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INFODAK\Desktop\club de compta\FICHIER COMPTABLE\NEW\Nouveau dossier\"/>
    </mc:Choice>
  </mc:AlternateContent>
  <bookViews>
    <workbookView xWindow="0" yWindow="0" windowWidth="20490" windowHeight="7620" tabRatio="873"/>
  </bookViews>
  <sheets>
    <sheet name="Feuil1" sheetId="77" r:id="rId1"/>
    <sheet name="Identification" sheetId="78" r:id="rId2"/>
    <sheet name="Couverture Etats de synthèse" sheetId="75" r:id="rId3"/>
    <sheet name="Couverture" sheetId="62" r:id="rId4"/>
    <sheet name="Programme" sheetId="79" r:id="rId5"/>
    <sheet name="Xml" sheetId="80" r:id="rId6"/>
    <sheet name="Balance N" sheetId="23" r:id="rId7"/>
    <sheet name="Balance N-1" sheetId="64" r:id="rId8"/>
    <sheet name="Balance N Retraitée" sheetId="1" r:id="rId9"/>
    <sheet name="Balance N-1 Retraitée" sheetId="63" r:id="rId10"/>
    <sheet name="T1 Bilan" sheetId="3" r:id="rId11"/>
    <sheet name="T2 CPC" sheetId="4" r:id="rId12"/>
    <sheet name="T3 B12-res fis" sheetId="34" r:id="rId13"/>
    <sheet name="T4 B2-immo" sheetId="24" r:id="rId14"/>
    <sheet name="T5 ESG" sheetId="7" r:id="rId15"/>
    <sheet name="T6 TB11" sheetId="8" r:id="rId16"/>
    <sheet name="T7 CNCET B10-CB" sheetId="33" r:id="rId17"/>
    <sheet name="T8 B2 BIS" sheetId="47" r:id="rId18"/>
    <sheet name="T9 B5-PROV" sheetId="48" r:id="rId19"/>
    <sheet name="T10 B3-+-Value" sheetId="26" r:id="rId20"/>
    <sheet name="T11 B4-Titres part" sheetId="27" r:id="rId21"/>
    <sheet name="T12 B14-TVA" sheetId="49" r:id="rId22"/>
    <sheet name="T13 C1-rép cap" sheetId="37" r:id="rId23"/>
    <sheet name="T14 C2-affec resu" sheetId="38" r:id="rId24"/>
    <sheet name="T15 Encourag" sheetId="53" r:id="rId25"/>
    <sheet name="T16 Amort" sheetId="71" r:id="rId26"/>
    <sheet name="T17 + V Fusions" sheetId="54" r:id="rId27"/>
    <sheet name="T18 Emprunts" sheetId="59" r:id="rId28"/>
    <sheet name="T19 Locations" sheetId="60" r:id="rId29"/>
    <sheet name="T20 Stocks" sheetId="61" r:id="rId30"/>
    <sheet name="ETIC  A0 A1" sheetId="72" r:id="rId31"/>
    <sheet name=" A2 " sheetId="73" r:id="rId32"/>
    <sheet name="A3" sheetId="74" r:id="rId33"/>
    <sheet name="B1-Tab non val" sheetId="58" r:id="rId34"/>
    <sheet name="B6-CREANCES-01" sheetId="51" r:id="rId35"/>
    <sheet name="B7-dettes" sheetId="30" r:id="rId36"/>
    <sheet name="B8-SURETES-01" sheetId="52" r:id="rId37"/>
    <sheet name="B9-Eng fin" sheetId="32" r:id="rId38"/>
    <sheet name="B13-res cour" sheetId="35" r:id="rId39"/>
    <sheet name="B15 Passif Eventuel" sheetId="70" r:id="rId40"/>
    <sheet name="C3-3 exer" sheetId="39" r:id="rId41"/>
    <sheet name="C4-ope  dev" sheetId="40" r:id="rId42"/>
    <sheet name="C5- Datation" sheetId="41" r:id="rId43"/>
    <sheet name="TF" sheetId="42" r:id="rId44"/>
    <sheet name="bilan condens" sheetId="44" r:id="rId45"/>
    <sheet name="Feuil2" sheetId="81" r:id="rId46"/>
  </sheets>
  <externalReferences>
    <externalReference r:id="rId47"/>
  </externalReferences>
  <definedNames>
    <definedName name="_xlnm._FilterDatabase" localSheetId="6" hidden="1">'Balance N'!$A$1:$G$598</definedName>
    <definedName name="_xlnm._FilterDatabase" localSheetId="8" hidden="1">'Balance N Retraitée'!$A$1:$H$1</definedName>
    <definedName name="_xlnm._FilterDatabase" localSheetId="9" hidden="1">'Balance N-1 Retraitée'!$A$1:$H$593</definedName>
    <definedName name="_xlnm._FilterDatabase" localSheetId="4" hidden="1">Programme!$A$1:$I$11739</definedName>
    <definedName name="A" localSheetId="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A"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aa" localSheetId="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aa"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achatmat" localSheetId="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achatmat"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B" localSheetId="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B"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Cellule_1000">'T4 B2-immo'!$D$18</definedName>
    <definedName name="Cellule_1001">'T4 B2-immo'!$D$21</definedName>
    <definedName name="Cellule_1002">'T4 B2-immo'!$D$22</definedName>
    <definedName name="Cellule_10022">'T15 Encourag'!$C$28</definedName>
    <definedName name="Cellule_10023">'T15 Encourag'!$C$29</definedName>
    <definedName name="Cellule_10024">'T15 Encourag'!$D$28</definedName>
    <definedName name="Cellule_10025">'T15 Encourag'!$D$29</definedName>
    <definedName name="Cellule_10026">'T15 Encourag'!$E$28</definedName>
    <definedName name="Cellule_10027">'T15 Encourag'!$E$29</definedName>
    <definedName name="Cellule_10028">'T15 Encourag'!$E$21</definedName>
    <definedName name="Cellule_10029">'T15 Encourag'!$E$22</definedName>
    <definedName name="Cellule_1003">'T4 B2-immo'!$D$23</definedName>
    <definedName name="Cellule_1004">'T4 B2-immo'!$D$24</definedName>
    <definedName name="Cellule_10040">'T15 Encourag'!$C$21</definedName>
    <definedName name="Cellule_10041">'T15 Encourag'!$C$22</definedName>
    <definedName name="Cellule_10042">'T15 Encourag'!$D$21</definedName>
    <definedName name="Cellule_10043">'T15 Encourag'!$D$22</definedName>
    <definedName name="Cellule_1005">'T4 B2-immo'!$D$27</definedName>
    <definedName name="Cellule_1006">'T4 B2-immo'!$D$25</definedName>
    <definedName name="Cellule_10061_1">'T16 Amort'!$A$24</definedName>
    <definedName name="Cellule_10061_10">'T16 Amort'!$A$33</definedName>
    <definedName name="Cellule_10061_2">'T16 Amort'!$A$25</definedName>
    <definedName name="Cellule_10061_3">'T16 Amort'!$A$26</definedName>
    <definedName name="Cellule_10061_4">'T16 Amort'!$A$27</definedName>
    <definedName name="Cellule_10061_5">'T16 Amort'!$A$28</definedName>
    <definedName name="Cellule_10061_6">'T16 Amort'!$A$29</definedName>
    <definedName name="Cellule_10061_7">'T16 Amort'!$A$30</definedName>
    <definedName name="Cellule_10061_8">'T16 Amort'!$A$31</definedName>
    <definedName name="Cellule_10061_9">'T16 Amort'!$A$32</definedName>
    <definedName name="Cellule_10064">'T4 B2-immo'!$B$9</definedName>
    <definedName name="Cellule_10065">'T4 B2-immo'!$C$9</definedName>
    <definedName name="Cellule_10066">'T4 B2-immo'!$D$9</definedName>
    <definedName name="Cellule_10067">'T4 B2-immo'!$E$9</definedName>
    <definedName name="Cellule_10068">'T4 B2-immo'!$F$9</definedName>
    <definedName name="Cellule_10069">'T4 B2-immo'!$G$9</definedName>
    <definedName name="Cellule_1007">'T4 B2-immo'!$D$26</definedName>
    <definedName name="Cellule_10070">'T4 B2-immo'!$H$9</definedName>
    <definedName name="Cellule_10071">'T4 B2-immo'!$I$9</definedName>
    <definedName name="Cellule_10073">'T4 B2-immo'!$B$14</definedName>
    <definedName name="Cellule_10074">'T4 B2-immo'!$C$14</definedName>
    <definedName name="Cellule_10075">'T4 B2-immo'!$D$14</definedName>
    <definedName name="Cellule_10076">'T4 B2-immo'!$E$14</definedName>
    <definedName name="Cellule_10077">'T4 B2-immo'!$F$14</definedName>
    <definedName name="Cellule_10078">'T4 B2-immo'!$G$14</definedName>
    <definedName name="Cellule_10079">'T4 B2-immo'!$H$14</definedName>
    <definedName name="Cellule_1008">'T4 B2-immo'!$E$10</definedName>
    <definedName name="Cellule_10080">'T4 B2-immo'!$I$14</definedName>
    <definedName name="Cellule_10082">'T4 B2-immo'!$B$20</definedName>
    <definedName name="Cellule_10083">'T4 B2-immo'!$C$20</definedName>
    <definedName name="Cellule_10084">'T4 B2-immo'!$D$20</definedName>
    <definedName name="Cellule_10085">'T4 B2-immo'!$E$20</definedName>
    <definedName name="Cellule_10086">'T4 B2-immo'!$F$20</definedName>
    <definedName name="Cellule_10087">'T4 B2-immo'!$G$20</definedName>
    <definedName name="Cellule_10088">'T4 B2-immo'!$H$20</definedName>
    <definedName name="Cellule_10089">'T4 B2-immo'!$I$20</definedName>
    <definedName name="Cellule_1009">'T4 B2-immo'!$E$11</definedName>
    <definedName name="Cellule_10091">'T6 TB11'!$D$28</definedName>
    <definedName name="Cellule_1010">'T4 B2-immo'!$E$12</definedName>
    <definedName name="Cellule_1011">'T4 B2-immo'!$E$15</definedName>
    <definedName name="Cellule_1012">'T4 B2-immo'!$E$16</definedName>
    <definedName name="Cellule_1013">'T4 B2-immo'!$E$17</definedName>
    <definedName name="Cellule_1014">'T4 B2-immo'!$E$18</definedName>
    <definedName name="Cellule_1015">'T4 B2-immo'!$E$21</definedName>
    <definedName name="Cellule_1016">'T4 B2-immo'!$E$22</definedName>
    <definedName name="Cellule_1017">'T4 B2-immo'!$E$23</definedName>
    <definedName name="Cellule_1018">'T4 B2-immo'!$E$24</definedName>
    <definedName name="Cellule_1019">'T4 B2-immo'!$E$27</definedName>
    <definedName name="Cellule_1020">'T4 B2-immo'!$E$25</definedName>
    <definedName name="Cellule_1021">'T4 B2-immo'!$E$26</definedName>
    <definedName name="Cellule_1022">'T4 B2-immo'!$F$10</definedName>
    <definedName name="Cellule_1023">'T4 B2-immo'!$F$11</definedName>
    <definedName name="Cellule_1024">'T4 B2-immo'!$F$12</definedName>
    <definedName name="Cellule_1025">'T4 B2-immo'!$F$15</definedName>
    <definedName name="Cellule_1026">'T4 B2-immo'!$F$16</definedName>
    <definedName name="Cellule_1027">'T4 B2-immo'!$F$17</definedName>
    <definedName name="Cellule_1028">'T4 B2-immo'!$F$18</definedName>
    <definedName name="Cellule_1029">'T4 B2-immo'!$F$21</definedName>
    <definedName name="Cellule_1030">'T4 B2-immo'!$F$22</definedName>
    <definedName name="Cellule_1031">'T4 B2-immo'!$F$23</definedName>
    <definedName name="Cellule_1032">'T4 B2-immo'!$F$24</definedName>
    <definedName name="Cellule_1033">'T4 B2-immo'!$F$27</definedName>
    <definedName name="Cellule_1034">'T4 B2-immo'!$F$25</definedName>
    <definedName name="Cellule_1035">'T4 B2-immo'!$F$26</definedName>
    <definedName name="Cellule_1036">'T4 B2-immo'!$G$10</definedName>
    <definedName name="Cellule_1037">'T4 B2-immo'!$G$11</definedName>
    <definedName name="Cellule_1038">'T4 B2-immo'!$G$12</definedName>
    <definedName name="Cellule_1039">'T4 B2-immo'!$G$15</definedName>
    <definedName name="Cellule_1040">'T4 B2-immo'!$G$16</definedName>
    <definedName name="Cellule_1041">'T4 B2-immo'!$G$17</definedName>
    <definedName name="Cellule_1042">'T4 B2-immo'!$G$18</definedName>
    <definedName name="Cellule_10420">'T6 TB11'!$D$29</definedName>
    <definedName name="Cellule_1043">'T4 B2-immo'!$G$21</definedName>
    <definedName name="Cellule_1044">'T4 B2-immo'!$G$22</definedName>
    <definedName name="Cellule_1045">'T4 B2-immo'!$G$23</definedName>
    <definedName name="Cellule_1046">'T4 B2-immo'!$G$24</definedName>
    <definedName name="Cellule_1047">'T4 B2-immo'!$G$27</definedName>
    <definedName name="Cellule_1048">'T4 B2-immo'!$G$25</definedName>
    <definedName name="Cellule_1049">'T4 B2-immo'!$G$26</definedName>
    <definedName name="Cellule_1050">'T4 B2-immo'!$H$10</definedName>
    <definedName name="Cellule_1051">'T4 B2-immo'!$H$11</definedName>
    <definedName name="Cellule_1052">'T4 B2-immo'!$H$12</definedName>
    <definedName name="Cellule_1053">'T4 B2-immo'!$H$15</definedName>
    <definedName name="Cellule_1054">'T4 B2-immo'!$H$16</definedName>
    <definedName name="Cellule_1055">'T4 B2-immo'!$H$17</definedName>
    <definedName name="Cellule_1056">'T4 B2-immo'!$H$18</definedName>
    <definedName name="Cellule_1057">'T4 B2-immo'!$H$21</definedName>
    <definedName name="Cellule_1058">'T4 B2-immo'!$H$22</definedName>
    <definedName name="Cellule_1059">'T4 B2-immo'!$H$23</definedName>
    <definedName name="Cellule_1060">'T4 B2-immo'!$H$24</definedName>
    <definedName name="Cellule_1061">'T4 B2-immo'!$H$27</definedName>
    <definedName name="Cellule_1062">'T4 B2-immo'!$H$25</definedName>
    <definedName name="Cellule_1063">'T4 B2-immo'!$H$26</definedName>
    <definedName name="Cellule_1064">'T4 B2-immo'!$I$10</definedName>
    <definedName name="Cellule_1065">'T4 B2-immo'!$I$11</definedName>
    <definedName name="Cellule_1066">'T4 B2-immo'!$I$12</definedName>
    <definedName name="Cellule_1067">'T4 B2-immo'!$I$15</definedName>
    <definedName name="Cellule_1068">'T4 B2-immo'!$I$16</definedName>
    <definedName name="Cellule_1069">'T4 B2-immo'!$I$17</definedName>
    <definedName name="Cellule_1070">'T4 B2-immo'!$I$18</definedName>
    <definedName name="Cellule_1071">'T4 B2-immo'!$I$21</definedName>
    <definedName name="Cellule_1072">'T4 B2-immo'!$I$22</definedName>
    <definedName name="Cellule_1073">'T4 B2-immo'!$I$23</definedName>
    <definedName name="Cellule_1074">'T4 B2-immo'!$I$24</definedName>
    <definedName name="Cellule_1075">'T4 B2-immo'!$I$27</definedName>
    <definedName name="Cellule_1076">'T4 B2-immo'!$I$25</definedName>
    <definedName name="Cellule_1077">'T4 B2-immo'!$I$26</definedName>
    <definedName name="Cellule_1078_1">'T16 Amort'!$B$24</definedName>
    <definedName name="Cellule_1078_10">'T16 Amort'!$B$33</definedName>
    <definedName name="Cellule_1078_2">'T16 Amort'!$B$25</definedName>
    <definedName name="Cellule_1078_3">'T16 Amort'!$B$26</definedName>
    <definedName name="Cellule_1078_4">'T16 Amort'!$B$27</definedName>
    <definedName name="Cellule_1078_5">'T16 Amort'!$B$28</definedName>
    <definedName name="Cellule_1078_6">'T16 Amort'!$B$29</definedName>
    <definedName name="Cellule_1078_7">'T16 Amort'!$B$30</definedName>
    <definedName name="Cellule_1078_8">'T16 Amort'!$B$31</definedName>
    <definedName name="Cellule_1078_9">'T16 Amort'!$B$32</definedName>
    <definedName name="Cellule_1079_1">'T16 Amort'!$C$24</definedName>
    <definedName name="Cellule_1079_10">'T16 Amort'!$C$33</definedName>
    <definedName name="Cellule_1079_2">'T16 Amort'!$C$25</definedName>
    <definedName name="Cellule_1079_3">'T16 Amort'!$C$26</definedName>
    <definedName name="Cellule_1079_4">'T16 Amort'!$C$27</definedName>
    <definedName name="Cellule_1079_5">'T16 Amort'!$C$28</definedName>
    <definedName name="Cellule_1079_6">'T16 Amort'!$C$29</definedName>
    <definedName name="Cellule_1079_7">'T16 Amort'!$C$30</definedName>
    <definedName name="Cellule_1079_8">'T16 Amort'!$C$31</definedName>
    <definedName name="Cellule_1079_9">'T16 Amort'!$C$32</definedName>
    <definedName name="Cellule_1080_1">'T16 Amort'!$D$24</definedName>
    <definedName name="Cellule_1080_10">'T16 Amort'!$D$33</definedName>
    <definedName name="Cellule_1080_2">'T16 Amort'!$D$25</definedName>
    <definedName name="Cellule_1080_3">'T16 Amort'!$D$26</definedName>
    <definedName name="Cellule_1080_4">'T16 Amort'!$D$27</definedName>
    <definedName name="Cellule_1080_5">'T16 Amort'!$D$28</definedName>
    <definedName name="Cellule_1080_6">'T16 Amort'!$D$29</definedName>
    <definedName name="Cellule_1080_7">'T16 Amort'!$D$30</definedName>
    <definedName name="Cellule_1080_8">'T16 Amort'!$D$31</definedName>
    <definedName name="Cellule_1080_9">'T16 Amort'!$D$32</definedName>
    <definedName name="Cellule_1081_1">'T16 Amort'!$E$24</definedName>
    <definedName name="Cellule_1081_10">'T16 Amort'!$E$33</definedName>
    <definedName name="Cellule_1081_2">'T16 Amort'!$E$25</definedName>
    <definedName name="Cellule_1081_3">'T16 Amort'!$E$26</definedName>
    <definedName name="Cellule_1081_4">'T16 Amort'!$E$27</definedName>
    <definedName name="Cellule_1081_5">'T16 Amort'!$E$28</definedName>
    <definedName name="Cellule_1081_6">'T16 Amort'!$E$29</definedName>
    <definedName name="Cellule_1081_7">'T16 Amort'!$E$30</definedName>
    <definedName name="Cellule_1081_8">'T16 Amort'!$E$31</definedName>
    <definedName name="Cellule_1081_9">'T16 Amort'!$E$32</definedName>
    <definedName name="Cellule_1082_1">'T16 Amort'!$F$24</definedName>
    <definedName name="Cellule_1082_10">'T16 Amort'!$F$33</definedName>
    <definedName name="Cellule_1082_2">'T16 Amort'!$F$25</definedName>
    <definedName name="Cellule_1082_3">'T16 Amort'!$F$26</definedName>
    <definedName name="Cellule_1082_4">'T16 Amort'!$F$27</definedName>
    <definedName name="Cellule_1082_5">'T16 Amort'!$F$28</definedName>
    <definedName name="Cellule_1082_6">'T16 Amort'!$F$29</definedName>
    <definedName name="Cellule_1082_7">'T16 Amort'!$F$30</definedName>
    <definedName name="Cellule_1082_8">'T16 Amort'!$F$31</definedName>
    <definedName name="Cellule_1082_9">'T16 Amort'!$F$32</definedName>
    <definedName name="Cellule_1083_1">'T16 Amort'!$G$24</definedName>
    <definedName name="Cellule_1083_10">'T16 Amort'!$G$33</definedName>
    <definedName name="Cellule_1083_2">'T16 Amort'!$G$25</definedName>
    <definedName name="Cellule_1083_3">'T16 Amort'!$G$26</definedName>
    <definedName name="Cellule_1083_4">'T16 Amort'!$G$27</definedName>
    <definedName name="Cellule_1083_5">'T16 Amort'!$G$28</definedName>
    <definedName name="Cellule_1083_6">'T16 Amort'!$G$29</definedName>
    <definedName name="Cellule_1083_7">'T16 Amort'!$G$30</definedName>
    <definedName name="Cellule_1083_8">'T16 Amort'!$G$31</definedName>
    <definedName name="Cellule_1083_9">'T16 Amort'!$G$32</definedName>
    <definedName name="Cellule_1084_1">'T16 Amort'!$H$24</definedName>
    <definedName name="Cellule_1084_10">'T16 Amort'!$H$33</definedName>
    <definedName name="Cellule_1084_2">'T16 Amort'!$H$25</definedName>
    <definedName name="Cellule_1084_3">'T16 Amort'!$H$26</definedName>
    <definedName name="Cellule_1084_4">'T16 Amort'!$H$27</definedName>
    <definedName name="Cellule_1084_5">'T16 Amort'!$H$28</definedName>
    <definedName name="Cellule_1084_6">'T16 Amort'!$H$29</definedName>
    <definedName name="Cellule_1084_7">'T16 Amort'!$H$30</definedName>
    <definedName name="Cellule_1084_8">'T16 Amort'!$H$31</definedName>
    <definedName name="Cellule_1084_9">'T16 Amort'!$H$32</definedName>
    <definedName name="Cellule_1085_1">'T16 Amort'!$I$24</definedName>
    <definedName name="Cellule_1085_10">'T16 Amort'!$I$33</definedName>
    <definedName name="Cellule_1085_2">'T16 Amort'!$I$25</definedName>
    <definedName name="Cellule_1085_3">'T16 Amort'!$I$26</definedName>
    <definedName name="Cellule_1085_4">'T16 Amort'!$I$27</definedName>
    <definedName name="Cellule_1085_5">'T16 Amort'!$I$28</definedName>
    <definedName name="Cellule_1085_6">'T16 Amort'!$I$29</definedName>
    <definedName name="Cellule_1085_7">'T16 Amort'!$I$30</definedName>
    <definedName name="Cellule_1085_8">'T16 Amort'!$I$31</definedName>
    <definedName name="Cellule_1085_9">'T16 Amort'!$I$32</definedName>
    <definedName name="Cellule_1086_1">'T16 Amort'!$J$24</definedName>
    <definedName name="Cellule_1086_10">'T16 Amort'!$J$33</definedName>
    <definedName name="Cellule_1086_2">'T16 Amort'!$J$25</definedName>
    <definedName name="Cellule_1086_3">'T16 Amort'!$J$26</definedName>
    <definedName name="Cellule_1086_4">'T16 Amort'!$J$27</definedName>
    <definedName name="Cellule_1086_5">'T16 Amort'!$J$28</definedName>
    <definedName name="Cellule_1086_6">'T16 Amort'!$J$29</definedName>
    <definedName name="Cellule_1086_7">'T16 Amort'!$J$30</definedName>
    <definedName name="Cellule_1086_8">'T16 Amort'!$J$31</definedName>
    <definedName name="Cellule_1086_9">'T16 Amort'!$J$32</definedName>
    <definedName name="Cellule_1088">'T16 Amort'!$C$37</definedName>
    <definedName name="Cellule_1089">'T16 Amort'!$D$37</definedName>
    <definedName name="Cellule_1090">'T16 Amort'!$E$37</definedName>
    <definedName name="Cellule_1091">'T16 Amort'!$F$37</definedName>
    <definedName name="Cellule_1093">'T16 Amort'!$H$37</definedName>
    <definedName name="Cellule_1094">'T16 Amort'!$I$37</definedName>
    <definedName name="Cellule_1098_1">'T7 CNCET B10-CB'!$A$11</definedName>
    <definedName name="Cellule_1098_2">'T7 CNCET B10-CB'!$A$12</definedName>
    <definedName name="Cellule_1098_3">'T7 CNCET B10-CB'!$A$13</definedName>
    <definedName name="Cellule_1098_4">'T7 CNCET B10-CB'!$A$14</definedName>
    <definedName name="Cellule_1098_5">'T7 CNCET B10-CB'!$A$15</definedName>
    <definedName name="Cellule_1098_6">'T7 CNCET B10-CB'!$A$16</definedName>
    <definedName name="Cellule_1099_1">'T7 CNCET B10-CB'!$B$11</definedName>
    <definedName name="Cellule_1099_2">'T7 CNCET B10-CB'!$B$12</definedName>
    <definedName name="Cellule_1099_3">'T7 CNCET B10-CB'!$B$13</definedName>
    <definedName name="Cellule_1099_4">'T7 CNCET B10-CB'!$B$14</definedName>
    <definedName name="Cellule_1099_5">'T7 CNCET B10-CB'!$B$15</definedName>
    <definedName name="Cellule_1099_6">'T7 CNCET B10-CB'!$B$16</definedName>
    <definedName name="Cellule_1100_1">'T7 CNCET B10-CB'!$C$11</definedName>
    <definedName name="Cellule_1100_2">'T7 CNCET B10-CB'!$C$12</definedName>
    <definedName name="Cellule_1100_3">'T7 CNCET B10-CB'!$C$13</definedName>
    <definedName name="Cellule_1100_4">'T7 CNCET B10-CB'!$C$14</definedName>
    <definedName name="Cellule_1100_5">'T7 CNCET B10-CB'!$C$15</definedName>
    <definedName name="Cellule_1100_6">'T7 CNCET B10-CB'!$C$16</definedName>
    <definedName name="Cellule_1101_1">'T7 CNCET B10-CB'!$D$11</definedName>
    <definedName name="Cellule_1101_2">'T7 CNCET B10-CB'!$D$12</definedName>
    <definedName name="Cellule_1101_3">'T7 CNCET B10-CB'!$D$13</definedName>
    <definedName name="Cellule_1101_4">'T7 CNCET B10-CB'!$D$14</definedName>
    <definedName name="Cellule_1101_5">'T7 CNCET B10-CB'!$D$15</definedName>
    <definedName name="Cellule_1101_6">'T7 CNCET B10-CB'!$D$16</definedName>
    <definedName name="Cellule_1102_1">'T7 CNCET B10-CB'!$E$11</definedName>
    <definedName name="Cellule_1102_2">'T7 CNCET B10-CB'!$E$12</definedName>
    <definedName name="Cellule_1102_3">'T7 CNCET B10-CB'!$E$13</definedName>
    <definedName name="Cellule_1102_4">'T7 CNCET B10-CB'!$E$14</definedName>
    <definedName name="Cellule_1102_5">'T7 CNCET B10-CB'!$E$15</definedName>
    <definedName name="Cellule_1102_6">'T7 CNCET B10-CB'!$E$16</definedName>
    <definedName name="Cellule_1103_1">'T7 CNCET B10-CB'!$F$11</definedName>
    <definedName name="Cellule_1103_2">'T7 CNCET B10-CB'!$F$12</definedName>
    <definedName name="Cellule_1103_3">'T7 CNCET B10-CB'!$F$13</definedName>
    <definedName name="Cellule_1103_4">'T7 CNCET B10-CB'!$F$14</definedName>
    <definedName name="Cellule_1103_5">'T7 CNCET B10-CB'!$F$15</definedName>
    <definedName name="Cellule_1103_6">'T7 CNCET B10-CB'!$F$16</definedName>
    <definedName name="Cellule_1104_1">'T7 CNCET B10-CB'!$G$11</definedName>
    <definedName name="Cellule_1104_2">'T7 CNCET B10-CB'!$G$12</definedName>
    <definedName name="Cellule_1104_3">'T7 CNCET B10-CB'!$G$13</definedName>
    <definedName name="Cellule_1104_4">'T7 CNCET B10-CB'!$G$14</definedName>
    <definedName name="Cellule_1104_5">'T7 CNCET B10-CB'!$G$15</definedName>
    <definedName name="Cellule_1104_6">'T7 CNCET B10-CB'!$G$16</definedName>
    <definedName name="Cellule_1105_1">'T7 CNCET B10-CB'!$H$11</definedName>
    <definedName name="Cellule_1105_2">'T7 CNCET B10-CB'!$H$12</definedName>
    <definedName name="Cellule_1105_3">'T7 CNCET B10-CB'!$H$13</definedName>
    <definedName name="Cellule_1105_4">'T7 CNCET B10-CB'!$H$14</definedName>
    <definedName name="Cellule_1105_5">'T7 CNCET B10-CB'!$H$15</definedName>
    <definedName name="Cellule_1105_6">'T7 CNCET B10-CB'!$H$16</definedName>
    <definedName name="Cellule_1106_1">'T7 CNCET B10-CB'!$I$11</definedName>
    <definedName name="Cellule_1106_2">'T7 CNCET B10-CB'!$I$12</definedName>
    <definedName name="Cellule_1106_3">'T7 CNCET B10-CB'!$I$13</definedName>
    <definedName name="Cellule_1106_4">'T7 CNCET B10-CB'!$I$14</definedName>
    <definedName name="Cellule_1106_5">'T7 CNCET B10-CB'!$I$15</definedName>
    <definedName name="Cellule_1106_6">'T7 CNCET B10-CB'!$I$16</definedName>
    <definedName name="Cellule_1107_1">'T7 CNCET B10-CB'!$J$11</definedName>
    <definedName name="Cellule_1107_2">'T7 CNCET B10-CB'!$J$12</definedName>
    <definedName name="Cellule_1107_3">'T7 CNCET B10-CB'!$J$13</definedName>
    <definedName name="Cellule_1107_4">'T7 CNCET B10-CB'!$J$14</definedName>
    <definedName name="Cellule_1107_5">'T7 CNCET B10-CB'!$J$15</definedName>
    <definedName name="Cellule_1107_6">'T7 CNCET B10-CB'!$J$16</definedName>
    <definedName name="Cellule_1108_1">'T7 CNCET B10-CB'!$K$11</definedName>
    <definedName name="Cellule_1108_2">'T7 CNCET B10-CB'!$K$12</definedName>
    <definedName name="Cellule_1108_3">'T7 CNCET B10-CB'!$K$13</definedName>
    <definedName name="Cellule_1108_4">'T7 CNCET B10-CB'!$K$14</definedName>
    <definedName name="Cellule_1108_5">'T7 CNCET B10-CB'!$K$15</definedName>
    <definedName name="Cellule_1108_6">'T7 CNCET B10-CB'!$K$16</definedName>
    <definedName name="Cellule_1110">'T17 + V Fusions'!$C$9</definedName>
    <definedName name="Cellule_1111">'T17 + V Fusions'!$D$9</definedName>
    <definedName name="Cellule_1112">'T17 + V Fusions'!$E$9</definedName>
    <definedName name="Cellule_1113">'T17 + V Fusions'!$F$9</definedName>
    <definedName name="Cellule_1114">'T17 + V Fusions'!$G$9</definedName>
    <definedName name="Cellule_1115">'T17 + V Fusions'!$H$9</definedName>
    <definedName name="Cellule_1116">'T17 + V Fusions'!$I$9</definedName>
    <definedName name="Cellule_1117">'T17 + V Fusions'!$J$9</definedName>
    <definedName name="Cellule_11176">'T2 CPC'!$D$11</definedName>
    <definedName name="Cellule_11177">'T2 CPC'!$E$11</definedName>
    <definedName name="Cellule_11178">'T2 CPC'!$F$11</definedName>
    <definedName name="Cellule_11179">'T2 CPC'!$G$11</definedName>
    <definedName name="Cellule_11181">'T2 CPC'!$D$12</definedName>
    <definedName name="Cellule_11182">'T2 CPC'!$E$12</definedName>
    <definedName name="Cellule_11183">'T2 CPC'!$F$12</definedName>
    <definedName name="Cellule_11184">'T2 CPC'!$G$12</definedName>
    <definedName name="Cellule_11186">'T2 CPC'!$D$13</definedName>
    <definedName name="Cellule_11187">'T2 CPC'!$E$13</definedName>
    <definedName name="Cellule_11188">'T2 CPC'!$F$13</definedName>
    <definedName name="Cellule_11189">'T2 CPC'!$G$13</definedName>
    <definedName name="Cellule_1119">'T17 + V Fusions'!$C$10</definedName>
    <definedName name="Cellule_11191">'T2 CPC'!$D$14</definedName>
    <definedName name="Cellule_11192">'T2 CPC'!$E$14</definedName>
    <definedName name="Cellule_11193">'T2 CPC'!$F$14</definedName>
    <definedName name="Cellule_11194">'T2 CPC'!$G$14</definedName>
    <definedName name="Cellule_11196">'T2 CPC'!$D$15</definedName>
    <definedName name="Cellule_11197">'T2 CPC'!$E$15</definedName>
    <definedName name="Cellule_11198">'T2 CPC'!$F$15</definedName>
    <definedName name="Cellule_11199">'T2 CPC'!$G$15</definedName>
    <definedName name="Cellule_1120">'T17 + V Fusions'!$D$10</definedName>
    <definedName name="Cellule_11201">'T2 CPC'!$D$16</definedName>
    <definedName name="Cellule_11202">'T2 CPC'!$E$16</definedName>
    <definedName name="Cellule_11203">'T2 CPC'!$F$16</definedName>
    <definedName name="Cellule_11204">'T2 CPC'!$G$16</definedName>
    <definedName name="Cellule_11206">'T2 CPC'!$D$17</definedName>
    <definedName name="Cellule_11207">'T2 CPC'!$E$17</definedName>
    <definedName name="Cellule_11208">'T2 CPC'!$F$17</definedName>
    <definedName name="Cellule_11209">'T2 CPC'!$G$17</definedName>
    <definedName name="Cellule_1121">'T17 + V Fusions'!$E$10</definedName>
    <definedName name="Cellule_11211">'T2 CPC'!$D$18</definedName>
    <definedName name="Cellule_11212">'T2 CPC'!$E$18</definedName>
    <definedName name="Cellule_11213">'T2 CPC'!$F$18</definedName>
    <definedName name="Cellule_11214">'T2 CPC'!$G$18</definedName>
    <definedName name="Cellule_11216">'T2 CPC'!$D$19</definedName>
    <definedName name="Cellule_11217">'T2 CPC'!$E$19</definedName>
    <definedName name="Cellule_11218">'T2 CPC'!$F$19</definedName>
    <definedName name="Cellule_11219">'T2 CPC'!$G$19</definedName>
    <definedName name="Cellule_1122">'T17 + V Fusions'!$F$10</definedName>
    <definedName name="Cellule_11221">'T2 CPC'!$D$21</definedName>
    <definedName name="Cellule_11222">'T2 CPC'!$E$21</definedName>
    <definedName name="Cellule_11223">'T2 CPC'!$F$21</definedName>
    <definedName name="Cellule_11224">'T2 CPC'!$G$21</definedName>
    <definedName name="Cellule_11226">'T2 CPC'!$D$20</definedName>
    <definedName name="Cellule_11227">'T2 CPC'!$E$20</definedName>
    <definedName name="Cellule_11228">'T2 CPC'!$F$20</definedName>
    <definedName name="Cellule_11229">'T2 CPC'!$G$20</definedName>
    <definedName name="Cellule_1123">'T17 + V Fusions'!$G$10</definedName>
    <definedName name="Cellule_11231">'T2 CPC'!$D$29</definedName>
    <definedName name="Cellule_11232">'T2 CPC'!$E$29</definedName>
    <definedName name="Cellule_11233">'T2 CPC'!$F$29</definedName>
    <definedName name="Cellule_11234">'T2 CPC'!$G$29</definedName>
    <definedName name="Cellule_11236">'T2 CPC'!$D$28</definedName>
    <definedName name="Cellule_11237">'T2 CPC'!$E$28</definedName>
    <definedName name="Cellule_11238">'T2 CPC'!$F$28</definedName>
    <definedName name="Cellule_11239">'T2 CPC'!$G$28</definedName>
    <definedName name="Cellule_1124">'T17 + V Fusions'!$H$10</definedName>
    <definedName name="Cellule_11241">'T2 CPC'!$D$27</definedName>
    <definedName name="Cellule_11242">'T2 CPC'!$E$27</definedName>
    <definedName name="Cellule_11243">'T2 CPC'!$F$27</definedName>
    <definedName name="Cellule_11244">'T2 CPC'!$G$27</definedName>
    <definedName name="Cellule_11246">'T2 CPC'!$D$26</definedName>
    <definedName name="Cellule_11247">'T2 CPC'!$E$26</definedName>
    <definedName name="Cellule_11248">'T2 CPC'!$F$26</definedName>
    <definedName name="Cellule_11249">'T2 CPC'!$G$26</definedName>
    <definedName name="Cellule_1125">'T17 + V Fusions'!$I$10</definedName>
    <definedName name="Cellule_11251">'T2 CPC'!$D$24</definedName>
    <definedName name="Cellule_11252">'T2 CPC'!$E$24</definedName>
    <definedName name="Cellule_11253">'T2 CPC'!$F$24</definedName>
    <definedName name="Cellule_11254">'T2 CPC'!$G$24</definedName>
    <definedName name="Cellule_11256">'T2 CPC'!$D$22</definedName>
    <definedName name="Cellule_11257">'T2 CPC'!$E$22</definedName>
    <definedName name="Cellule_11258">'T2 CPC'!$F$22</definedName>
    <definedName name="Cellule_11259">'T2 CPC'!$G$22</definedName>
    <definedName name="Cellule_1126">'T17 + V Fusions'!$J$10</definedName>
    <definedName name="Cellule_11261">'T2 CPC'!$D$23</definedName>
    <definedName name="Cellule_11262">'T2 CPC'!$E$23</definedName>
    <definedName name="Cellule_11263">'T2 CPC'!$F$23</definedName>
    <definedName name="Cellule_11264">'T2 CPC'!$G$23</definedName>
    <definedName name="Cellule_11266">'T2 CPC'!$D$25</definedName>
    <definedName name="Cellule_11267">'T2 CPC'!$E$25</definedName>
    <definedName name="Cellule_11268">'T2 CPC'!$F$25</definedName>
    <definedName name="Cellule_11269">'T2 CPC'!$G$25</definedName>
    <definedName name="Cellule_11271">'T2 CPC'!$D$31</definedName>
    <definedName name="Cellule_11272">'T2 CPC'!$E$31</definedName>
    <definedName name="Cellule_11273">'T2 CPC'!$F$31</definedName>
    <definedName name="Cellule_11274">'T2 CPC'!$G$31</definedName>
    <definedName name="Cellule_11276">'T2 CPC'!$D$32</definedName>
    <definedName name="Cellule_11277">'T2 CPC'!$E$32</definedName>
    <definedName name="Cellule_11278">'T2 CPC'!$F$32</definedName>
    <definedName name="Cellule_11279">'T2 CPC'!$G$32</definedName>
    <definedName name="Cellule_1128">'T17 + V Fusions'!$C$11</definedName>
    <definedName name="Cellule_11281">'T2 CPC'!$D$33</definedName>
    <definedName name="Cellule_11282">'T2 CPC'!$E$33</definedName>
    <definedName name="Cellule_11283">'T2 CPC'!$F$33</definedName>
    <definedName name="Cellule_11284">'T2 CPC'!$G$33</definedName>
    <definedName name="Cellule_11286">'T2 CPC'!$D$34</definedName>
    <definedName name="Cellule_11287">'T2 CPC'!$E$34</definedName>
    <definedName name="Cellule_11288">'T2 CPC'!$F$34</definedName>
    <definedName name="Cellule_11289">'T2 CPC'!$G$34</definedName>
    <definedName name="Cellule_1129">'T17 + V Fusions'!$D$11</definedName>
    <definedName name="Cellule_11291">'T2 CPC'!$D$35</definedName>
    <definedName name="Cellule_11292">'T2 CPC'!$E$35</definedName>
    <definedName name="Cellule_11293">'T2 CPC'!$F$35</definedName>
    <definedName name="Cellule_11294">'T2 CPC'!$G$35</definedName>
    <definedName name="Cellule_11296">'T2 CPC'!$D$37</definedName>
    <definedName name="Cellule_11297">'T2 CPC'!$E$37</definedName>
    <definedName name="Cellule_11298">'T2 CPC'!$F$37</definedName>
    <definedName name="Cellule_11299">'T2 CPC'!$G$37</definedName>
    <definedName name="Cellule_1130">'T17 + V Fusions'!$E$11</definedName>
    <definedName name="Cellule_11301">'T2 CPC'!$D$38</definedName>
    <definedName name="Cellule_11302">'T2 CPC'!$E$38</definedName>
    <definedName name="Cellule_11303">'T2 CPC'!$F$38</definedName>
    <definedName name="Cellule_11304">'T2 CPC'!$G$38</definedName>
    <definedName name="Cellule_11306">'T2 CPC'!$D$39</definedName>
    <definedName name="Cellule_11307">'T2 CPC'!$E$39</definedName>
    <definedName name="Cellule_11308">'T2 CPC'!$F$39</definedName>
    <definedName name="Cellule_11309">'T2 CPC'!$G$39</definedName>
    <definedName name="Cellule_1131">'T17 + V Fusions'!$F$11</definedName>
    <definedName name="Cellule_11311">'T2 CPC'!$D$40</definedName>
    <definedName name="Cellule_11312">'T2 CPC'!$E$40</definedName>
    <definedName name="Cellule_11313">'T2 CPC'!$F$40</definedName>
    <definedName name="Cellule_11314">'T2 CPC'!$G$40</definedName>
    <definedName name="Cellule_11316">'T2 CPC'!$D$41</definedName>
    <definedName name="Cellule_11317">'T2 CPC'!$E$41</definedName>
    <definedName name="Cellule_11318">'T2 CPC'!$F$41</definedName>
    <definedName name="Cellule_11319">'T2 CPC'!$G$41</definedName>
    <definedName name="Cellule_1132">'T17 + V Fusions'!$G$11</definedName>
    <definedName name="Cellule_11321">'T2 CPC'!$D$36</definedName>
    <definedName name="Cellule_11322">'T2 CPC'!$E$36</definedName>
    <definedName name="Cellule_11323">'T2 CPC'!$F$36</definedName>
    <definedName name="Cellule_11324">'T2 CPC'!$G$36</definedName>
    <definedName name="Cellule_11326">'T2 CPC'!$D$30</definedName>
    <definedName name="Cellule_11327">'T2 CPC'!$E$30</definedName>
    <definedName name="Cellule_11328">'T2 CPC'!$F$30</definedName>
    <definedName name="Cellule_11329">'T2 CPC'!$G$30</definedName>
    <definedName name="Cellule_1133">'T17 + V Fusions'!$H$11</definedName>
    <definedName name="Cellule_11331">'T2 CPC'!$D$42</definedName>
    <definedName name="Cellule_11332">'T2 CPC'!$E$42</definedName>
    <definedName name="Cellule_11333">'T2 CPC'!$F$42</definedName>
    <definedName name="Cellule_11334">'T2 CPC'!$G$42</definedName>
    <definedName name="Cellule_11336">'T2 CPC'!$D$43</definedName>
    <definedName name="Cellule_11337">'T2 CPC'!$E$43</definedName>
    <definedName name="Cellule_11338">'T2 CPC'!$F$43</definedName>
    <definedName name="Cellule_11339">'T2 CPC'!$G$43</definedName>
    <definedName name="Cellule_1134">'T17 + V Fusions'!$I$11</definedName>
    <definedName name="Cellule_11341">'T2 CPC'!$D$57</definedName>
    <definedName name="Cellule_11342">'T2 CPC'!$E$57</definedName>
    <definedName name="Cellule_11343">'T2 CPC'!$F$57</definedName>
    <definedName name="Cellule_11344">'T2 CPC'!$G$57</definedName>
    <definedName name="Cellule_11346">'T2 CPC'!$D$58</definedName>
    <definedName name="Cellule_11347">'T2 CPC'!$E$58</definedName>
    <definedName name="Cellule_11348">'T2 CPC'!$F$58</definedName>
    <definedName name="Cellule_11349">'T2 CPC'!$G$58</definedName>
    <definedName name="Cellule_1135">'T17 + V Fusions'!$J$11</definedName>
    <definedName name="Cellule_11351">'T2 CPC'!$D$59</definedName>
    <definedName name="Cellule_11352">'T2 CPC'!$E$59</definedName>
    <definedName name="Cellule_11353">'T2 CPC'!$F$59</definedName>
    <definedName name="Cellule_11354">'T2 CPC'!$G$59</definedName>
    <definedName name="Cellule_11356">'T2 CPC'!$D$60</definedName>
    <definedName name="Cellule_11357">'T2 CPC'!$E$60</definedName>
    <definedName name="Cellule_11358">'T2 CPC'!$F$60</definedName>
    <definedName name="Cellule_11359">'T2 CPC'!$G$60</definedName>
    <definedName name="Cellule_11361">'T2 CPC'!$D$61</definedName>
    <definedName name="Cellule_11362">'T2 CPC'!$E$61</definedName>
    <definedName name="Cellule_11363">'T2 CPC'!$F$61</definedName>
    <definedName name="Cellule_11364">'T2 CPC'!$G$61</definedName>
    <definedName name="Cellule_11366">'T2 CPC'!$D$62</definedName>
    <definedName name="Cellule_11367">'T2 CPC'!$E$62</definedName>
    <definedName name="Cellule_11368">'T2 CPC'!$F$62</definedName>
    <definedName name="Cellule_11369">'T2 CPC'!$G$62</definedName>
    <definedName name="Cellule_1137">'T17 + V Fusions'!$C$12</definedName>
    <definedName name="Cellule_11371">'T2 CPC'!$D$64</definedName>
    <definedName name="Cellule_11372">'T2 CPC'!$E$64</definedName>
    <definedName name="Cellule_11373">'T2 CPC'!$F$64</definedName>
    <definedName name="Cellule_11374">'T2 CPC'!$G$64</definedName>
    <definedName name="Cellule_11376">'T2 CPC'!$D$65</definedName>
    <definedName name="Cellule_11377">'T2 CPC'!$E$65</definedName>
    <definedName name="Cellule_11378">'T2 CPC'!$F$65</definedName>
    <definedName name="Cellule_11379">'T2 CPC'!$G$65</definedName>
    <definedName name="Cellule_1138">'T17 + V Fusions'!$D$12</definedName>
    <definedName name="Cellule_11381">'T2 CPC'!$D$66</definedName>
    <definedName name="Cellule_11382">'T2 CPC'!$E$66</definedName>
    <definedName name="Cellule_11383">'T2 CPC'!$F$66</definedName>
    <definedName name="Cellule_11384">'T2 CPC'!$G$66</definedName>
    <definedName name="Cellule_11386">'T2 CPC'!$D$67</definedName>
    <definedName name="Cellule_11387">'T2 CPC'!$E$67</definedName>
    <definedName name="Cellule_11388">'T2 CPC'!$F$67</definedName>
    <definedName name="Cellule_11389">'T2 CPC'!$G$67</definedName>
    <definedName name="Cellule_1139">'T17 + V Fusions'!$E$12</definedName>
    <definedName name="Cellule_11391">'T2 CPC'!$D$56</definedName>
    <definedName name="Cellule_11392">'T2 CPC'!$E$56</definedName>
    <definedName name="Cellule_11393">'T2 CPC'!$F$56</definedName>
    <definedName name="Cellule_11394">'T2 CPC'!$G$56</definedName>
    <definedName name="Cellule_11396">'T2 CPC'!$D$63</definedName>
    <definedName name="Cellule_11397">'T2 CPC'!$E$63</definedName>
    <definedName name="Cellule_11398">'T2 CPC'!$F$63</definedName>
    <definedName name="Cellule_11399">'T2 CPC'!$G$63</definedName>
    <definedName name="Cellule_1140">'T17 + V Fusions'!$F$12</definedName>
    <definedName name="Cellule_11401">'T2 CPC'!$D$69</definedName>
    <definedName name="Cellule_11402">'T2 CPC'!$E$69</definedName>
    <definedName name="Cellule_11403">'T2 CPC'!$F$69</definedName>
    <definedName name="Cellule_11404">'T2 CPC'!$G$69</definedName>
    <definedName name="Cellule_11406">'T2 CPC'!$D$68</definedName>
    <definedName name="Cellule_11407">'T2 CPC'!$E$68</definedName>
    <definedName name="Cellule_11408">'T2 CPC'!$F$68</definedName>
    <definedName name="Cellule_11409">'T2 CPC'!$G$68</definedName>
    <definedName name="Cellule_1141">'T17 + V Fusions'!$G$12</definedName>
    <definedName name="Cellule_11411">'T2 CPC'!$D$70</definedName>
    <definedName name="Cellule_11412">'T2 CPC'!$E$70</definedName>
    <definedName name="Cellule_11413">'T2 CPC'!$F$70</definedName>
    <definedName name="Cellule_11414">'T2 CPC'!$G$70</definedName>
    <definedName name="Cellule_11416">'T2 CPC'!$D$71</definedName>
    <definedName name="Cellule_11417">'T2 CPC'!$E$71</definedName>
    <definedName name="Cellule_11418">'T2 CPC'!$F$71</definedName>
    <definedName name="Cellule_11419">'T2 CPC'!$G$71</definedName>
    <definedName name="Cellule_1142">'T17 + V Fusions'!$H$12</definedName>
    <definedName name="Cellule_11421">'T2 CPC'!$D$72</definedName>
    <definedName name="Cellule_11422">'T2 CPC'!$E$72</definedName>
    <definedName name="Cellule_11423">'T2 CPC'!$F$72</definedName>
    <definedName name="Cellule_11424">'T2 CPC'!$G$72</definedName>
    <definedName name="Cellule_11426">'T2 CPC'!$D$75</definedName>
    <definedName name="Cellule_11427">'T2 CPC'!$E$75</definedName>
    <definedName name="Cellule_11428">'T2 CPC'!$F$75</definedName>
    <definedName name="Cellule_11429">'T2 CPC'!$G$75</definedName>
    <definedName name="Cellule_1143">'T17 + V Fusions'!$I$12</definedName>
    <definedName name="Cellule_11431">'T2 CPC'!$D$76</definedName>
    <definedName name="Cellule_11432">'T2 CPC'!$E$76</definedName>
    <definedName name="Cellule_11433">'T2 CPC'!$F$76</definedName>
    <definedName name="Cellule_11434">'T2 CPC'!$G$76</definedName>
    <definedName name="Cellule_11436">'T2 CPC'!$D$77</definedName>
    <definedName name="Cellule_11437">'T2 CPC'!$E$77</definedName>
    <definedName name="Cellule_11438">'T2 CPC'!$F$77</definedName>
    <definedName name="Cellule_11439">'T2 CPC'!$G$77</definedName>
    <definedName name="Cellule_1144">'T17 + V Fusions'!$J$12</definedName>
    <definedName name="Cellule_1146">'T17 + V Fusions'!$C$13</definedName>
    <definedName name="Cellule_1147">'T17 + V Fusions'!$D$13</definedName>
    <definedName name="Cellule_1148">'T17 + V Fusions'!$E$13</definedName>
    <definedName name="Cellule_1149">'T17 + V Fusions'!$F$13</definedName>
    <definedName name="Cellule_1150">'T17 + V Fusions'!$G$13</definedName>
    <definedName name="Cellule_1151">'T17 + V Fusions'!$H$13</definedName>
    <definedName name="Cellule_1152">'T17 + V Fusions'!$I$13</definedName>
    <definedName name="Cellule_1153">'T17 + V Fusions'!$J$13</definedName>
    <definedName name="Cellule_1155">'T17 + V Fusions'!$C$14</definedName>
    <definedName name="Cellule_1156">'T17 + V Fusions'!$D$14</definedName>
    <definedName name="Cellule_1157">'T17 + V Fusions'!$E$14</definedName>
    <definedName name="Cellule_1158">'T17 + V Fusions'!$F$14</definedName>
    <definedName name="Cellule_1159">'T17 + V Fusions'!$G$14</definedName>
    <definedName name="Cellule_1160">'T17 + V Fusions'!$H$14</definedName>
    <definedName name="Cellule_1161">'T17 + V Fusions'!$I$14</definedName>
    <definedName name="Cellule_1162">'T17 + V Fusions'!$J$14</definedName>
    <definedName name="Cellule_1164">'T17 + V Fusions'!$C$15</definedName>
    <definedName name="Cellule_1165">'T17 + V Fusions'!$D$15</definedName>
    <definedName name="Cellule_1166">'T17 + V Fusions'!$E$15</definedName>
    <definedName name="Cellule_1167">'T17 + V Fusions'!$F$15</definedName>
    <definedName name="Cellule_1168">'T17 + V Fusions'!$G$15</definedName>
    <definedName name="Cellule_1169">'T17 + V Fusions'!$H$15</definedName>
    <definedName name="Cellule_1170">'T17 + V Fusions'!$I$15</definedName>
    <definedName name="Cellule_1171">'T17 + V Fusions'!$J$15</definedName>
    <definedName name="Cellule_1173">'T17 + V Fusions'!$C$16</definedName>
    <definedName name="Cellule_1174">'T17 + V Fusions'!$D$16</definedName>
    <definedName name="Cellule_1175">'T17 + V Fusions'!$E$16</definedName>
    <definedName name="Cellule_1176">'T17 + V Fusions'!$F$16</definedName>
    <definedName name="Cellule_1177">'T17 + V Fusions'!$G$16</definedName>
    <definedName name="Cellule_1178">'T17 + V Fusions'!$H$16</definedName>
    <definedName name="Cellule_1179">'T17 + V Fusions'!$I$16</definedName>
    <definedName name="Cellule_1180">'T17 + V Fusions'!$J$16</definedName>
    <definedName name="Cellule_1182">'T17 + V Fusions'!$C$17</definedName>
    <definedName name="Cellule_1183">'T17 + V Fusions'!$D$17</definedName>
    <definedName name="Cellule_1184">'T17 + V Fusions'!$E$17</definedName>
    <definedName name="Cellule_1185">'T17 + V Fusions'!$F$17</definedName>
    <definedName name="Cellule_1186">'T17 + V Fusions'!$G$17</definedName>
    <definedName name="Cellule_1187">'T17 + V Fusions'!$H$17</definedName>
    <definedName name="Cellule_1188">'T17 + V Fusions'!$I$17</definedName>
    <definedName name="Cellule_1189">'T17 + V Fusions'!$J$17</definedName>
    <definedName name="Cellule_1191">'T17 + V Fusions'!$C$18</definedName>
    <definedName name="Cellule_1192">'T17 + V Fusions'!$D$18</definedName>
    <definedName name="Cellule_1193">'T17 + V Fusions'!$E$18</definedName>
    <definedName name="Cellule_1194">'T17 + V Fusions'!$F$18</definedName>
    <definedName name="Cellule_1195">'T17 + V Fusions'!$G$18</definedName>
    <definedName name="Cellule_1196">'T17 + V Fusions'!$H$18</definedName>
    <definedName name="Cellule_1197">'T17 + V Fusions'!$I$18</definedName>
    <definedName name="Cellule_1198">'T17 + V Fusions'!$J$18</definedName>
    <definedName name="Cellule_1200">'T17 + V Fusions'!$C$19</definedName>
    <definedName name="Cellule_1201">'T17 + V Fusions'!$D$19</definedName>
    <definedName name="Cellule_1202">'T17 + V Fusions'!$E$19</definedName>
    <definedName name="Cellule_1203">'T17 + V Fusions'!$F$19</definedName>
    <definedName name="Cellule_1204">'T17 + V Fusions'!$G$19</definedName>
    <definedName name="Cellule_1205">'T17 + V Fusions'!$H$19</definedName>
    <definedName name="Cellule_1206">'T17 + V Fusions'!$I$19</definedName>
    <definedName name="Cellule_1207">'T17 + V Fusions'!$J$19</definedName>
    <definedName name="Cellule_1208_1">'T18 Emprunts'!$A$14</definedName>
    <definedName name="Cellule_1208_2">'T18 Emprunts'!$A$15</definedName>
    <definedName name="Cellule_1208_3">'T18 Emprunts'!$A$16</definedName>
    <definedName name="Cellule_1208_4">'T18 Emprunts'!$A$17</definedName>
    <definedName name="Cellule_1209_1">'T18 Emprunts'!$B$14</definedName>
    <definedName name="Cellule_1209_2">'T18 Emprunts'!$B$15</definedName>
    <definedName name="Cellule_1209_3">'T18 Emprunts'!$B$16</definedName>
    <definedName name="Cellule_1209_4">'T18 Emprunts'!$B$17</definedName>
    <definedName name="Cellule_1210_1">'T18 Emprunts'!$C$14</definedName>
    <definedName name="Cellule_1210_2">'T18 Emprunts'!$C$15</definedName>
    <definedName name="Cellule_1210_3">'T18 Emprunts'!$C$16</definedName>
    <definedName name="Cellule_1210_4">'T18 Emprunts'!$C$17</definedName>
    <definedName name="Cellule_1211_1">'T18 Emprunts'!$D$14</definedName>
    <definedName name="Cellule_1211_2">'T18 Emprunts'!$D$15</definedName>
    <definedName name="Cellule_1211_3">'T18 Emprunts'!$D$16</definedName>
    <definedName name="Cellule_1211_4">'T18 Emprunts'!$D$17</definedName>
    <definedName name="Cellule_1212_1">'T18 Emprunts'!$E$14</definedName>
    <definedName name="Cellule_1212_2">'T18 Emprunts'!$E$15</definedName>
    <definedName name="Cellule_1212_3">'T18 Emprunts'!$E$16</definedName>
    <definedName name="Cellule_1212_4">'T18 Emprunts'!$E$17</definedName>
    <definedName name="Cellule_12121">'T8 B2 BIS'!$A$14</definedName>
    <definedName name="Cellule_12122">'T8 B2 BIS'!$B$14</definedName>
    <definedName name="Cellule_12123">'T8 B2 BIS'!$C$14</definedName>
    <definedName name="Cellule_12124">'T8 B2 BIS'!$D$14</definedName>
    <definedName name="Cellule_12125">'T8 B2 BIS'!$E$14</definedName>
    <definedName name="Cellule_1213_1">'T18 Emprunts'!$F$14</definedName>
    <definedName name="Cellule_1213_2">'T18 Emprunts'!$F$15</definedName>
    <definedName name="Cellule_1213_3">'T18 Emprunts'!$F$16</definedName>
    <definedName name="Cellule_1213_4">'T18 Emprunts'!$F$17</definedName>
    <definedName name="Cellule_1214_1">'T18 Emprunts'!$G$14</definedName>
    <definedName name="Cellule_1214_2">'T18 Emprunts'!$G$15</definedName>
    <definedName name="Cellule_1214_3">'T18 Emprunts'!$G$16</definedName>
    <definedName name="Cellule_1214_4">'T18 Emprunts'!$G$17</definedName>
    <definedName name="Cellule_1215_1">'T18 Emprunts'!$H$14</definedName>
    <definedName name="Cellule_1215_2">'T18 Emprunts'!$H$15</definedName>
    <definedName name="Cellule_1215_3">'T18 Emprunts'!$H$16</definedName>
    <definedName name="Cellule_1215_4">'T18 Emprunts'!$H$17</definedName>
    <definedName name="Cellule_1216_1">'T18 Emprunts'!$I$14</definedName>
    <definedName name="Cellule_1216_2">'T18 Emprunts'!$I$15</definedName>
    <definedName name="Cellule_1216_3">'T18 Emprunts'!$I$16</definedName>
    <definedName name="Cellule_1216_4">'T18 Emprunts'!$I$17</definedName>
    <definedName name="Cellule_1217_1">'T18 Emprunts'!$J$14</definedName>
    <definedName name="Cellule_1217_2">'T18 Emprunts'!$J$15</definedName>
    <definedName name="Cellule_1217_3">'T18 Emprunts'!$J$16</definedName>
    <definedName name="Cellule_1217_4">'T18 Emprunts'!$J$17</definedName>
    <definedName name="Cellule_1218_1">'T18 Emprunts'!$K$14</definedName>
    <definedName name="Cellule_1218_2">'T18 Emprunts'!$K$15</definedName>
    <definedName name="Cellule_1218_3">'T18 Emprunts'!$K$16</definedName>
    <definedName name="Cellule_1218_4">'T18 Emprunts'!$K$17</definedName>
    <definedName name="Cellule_1219_1">'T18 Emprunts'!$L$14</definedName>
    <definedName name="Cellule_1219_2">'T18 Emprunts'!$L$15</definedName>
    <definedName name="Cellule_1219_3">'T18 Emprunts'!$L$16</definedName>
    <definedName name="Cellule_1219_4">'T18 Emprunts'!$L$17</definedName>
    <definedName name="Cellule_122">'T1 Bilan'!$C$42</definedName>
    <definedName name="Cellule_1220_1">'T18 Emprunts'!$M$14</definedName>
    <definedName name="Cellule_1220_2">'T18 Emprunts'!$M$15</definedName>
    <definedName name="Cellule_1220_3">'T18 Emprunts'!$M$16</definedName>
    <definedName name="Cellule_1220_4">'T18 Emprunts'!$M$17</definedName>
    <definedName name="Cellule_1221_1">'T18 Emprunts'!$A$19</definedName>
    <definedName name="Cellule_1221_2">'T18 Emprunts'!$A$20</definedName>
    <definedName name="Cellule_1221_3">'T18 Emprunts'!$A$21</definedName>
    <definedName name="Cellule_1221_4">'T18 Emprunts'!$A$22</definedName>
    <definedName name="Cellule_1222_1">'T18 Emprunts'!$B$19</definedName>
    <definedName name="Cellule_1222_2">'T18 Emprunts'!$B$20</definedName>
    <definedName name="Cellule_1222_3">'T18 Emprunts'!$B$21</definedName>
    <definedName name="Cellule_1222_4">'T18 Emprunts'!$B$22</definedName>
    <definedName name="Cellule_1223_1">'T18 Emprunts'!$C$19</definedName>
    <definedName name="Cellule_1223_2">'T18 Emprunts'!$C$20</definedName>
    <definedName name="Cellule_1223_3">'T18 Emprunts'!$C$21</definedName>
    <definedName name="Cellule_1223_4">'T18 Emprunts'!$C$22</definedName>
    <definedName name="Cellule_1224_1">'T18 Emprunts'!$D$19</definedName>
    <definedName name="Cellule_1224_2">'T18 Emprunts'!$D$20</definedName>
    <definedName name="Cellule_1224_3">'T18 Emprunts'!$D$21</definedName>
    <definedName name="Cellule_1224_4">'T18 Emprunts'!$D$22</definedName>
    <definedName name="Cellule_1225_1">'T18 Emprunts'!$E$19</definedName>
    <definedName name="Cellule_1225_2">'T18 Emprunts'!$E$20</definedName>
    <definedName name="Cellule_1225_3">'T18 Emprunts'!$E$21</definedName>
    <definedName name="Cellule_1225_4">'T18 Emprunts'!$E$22</definedName>
    <definedName name="Cellule_1226_1">'T18 Emprunts'!$F$19</definedName>
    <definedName name="Cellule_1226_2">'T18 Emprunts'!$F$20</definedName>
    <definedName name="Cellule_1226_3">'T18 Emprunts'!$F$21</definedName>
    <definedName name="Cellule_1226_4">'T18 Emprunts'!$F$22</definedName>
    <definedName name="Cellule_1227_1">'T18 Emprunts'!$G$19</definedName>
    <definedName name="Cellule_1227_2">'T18 Emprunts'!$G$20</definedName>
    <definedName name="Cellule_1227_3">'T18 Emprunts'!$G$21</definedName>
    <definedName name="Cellule_1227_4">'T18 Emprunts'!$G$22</definedName>
    <definedName name="Cellule_1228_1">'T18 Emprunts'!$H$19</definedName>
    <definedName name="Cellule_1228_2">'T18 Emprunts'!$H$20</definedName>
    <definedName name="Cellule_1228_3">'T18 Emprunts'!$H$21</definedName>
    <definedName name="Cellule_1228_4">'T18 Emprunts'!$H$22</definedName>
    <definedName name="Cellule_1229_1">'T18 Emprunts'!$I$19</definedName>
    <definedName name="Cellule_1229_2">'T18 Emprunts'!$I$20</definedName>
    <definedName name="Cellule_1229_3">'T18 Emprunts'!$I$21</definedName>
    <definedName name="Cellule_1229_4">'T18 Emprunts'!$I$22</definedName>
    <definedName name="Cellule_123">'T1 Bilan'!$C$43</definedName>
    <definedName name="Cellule_1231">'T8 B2 BIS'!$B$9</definedName>
    <definedName name="Cellule_1232">'T8 B2 BIS'!$C$9</definedName>
    <definedName name="Cellule_1233">'T8 B2 BIS'!$D$9</definedName>
    <definedName name="Cellule_1234">'T8 B2 BIS'!$E$9</definedName>
    <definedName name="Cellule_1236">'T8 B2 BIS'!$B$11</definedName>
    <definedName name="Cellule_1237">'T8 B2 BIS'!$C$11</definedName>
    <definedName name="Cellule_1238">'T8 B2 BIS'!$D$11</definedName>
    <definedName name="Cellule_1239">'T8 B2 BIS'!$E$11</definedName>
    <definedName name="Cellule_124">'T1 Bilan'!$C$44</definedName>
    <definedName name="Cellule_1241">'T8 B2 BIS'!$B$12</definedName>
    <definedName name="Cellule_1242">'T8 B2 BIS'!$C$12</definedName>
    <definedName name="Cellule_1243">'T8 B2 BIS'!$D$12</definedName>
    <definedName name="Cellule_1244">'T8 B2 BIS'!$E$12</definedName>
    <definedName name="Cellule_1246">'T8 B2 BIS'!$B$13</definedName>
    <definedName name="Cellule_1247">'T8 B2 BIS'!$C$13</definedName>
    <definedName name="Cellule_1248">'T8 B2 BIS'!$D$13</definedName>
    <definedName name="Cellule_1249">'T8 B2 BIS'!$E$13</definedName>
    <definedName name="Cellule_125">'T1 Bilan'!$C$45</definedName>
    <definedName name="Cellule_1250_1">'T18 Emprunts'!$J$19</definedName>
    <definedName name="Cellule_1250_2">'T18 Emprunts'!$J$20</definedName>
    <definedName name="Cellule_1250_3">'T18 Emprunts'!$J$21</definedName>
    <definedName name="Cellule_1250_4">'T18 Emprunts'!$J$22</definedName>
    <definedName name="Cellule_1251_1">'T18 Emprunts'!$K$19</definedName>
    <definedName name="Cellule_1251_2">'T18 Emprunts'!$K$20</definedName>
    <definedName name="Cellule_1251_3">'T18 Emprunts'!$K$21</definedName>
    <definedName name="Cellule_1251_4">'T18 Emprunts'!$K$22</definedName>
    <definedName name="Cellule_1252_1">'T18 Emprunts'!$L$19</definedName>
    <definedName name="Cellule_1252_2">'T18 Emprunts'!$L$20</definedName>
    <definedName name="Cellule_1252_3">'T18 Emprunts'!$L$21</definedName>
    <definedName name="Cellule_1252_4">'T18 Emprunts'!$L$22</definedName>
    <definedName name="Cellule_1253_1">'T18 Emprunts'!$M$19</definedName>
    <definedName name="Cellule_1253_2">'T18 Emprunts'!$M$20</definedName>
    <definedName name="Cellule_1253_3">'T18 Emprunts'!$M$21</definedName>
    <definedName name="Cellule_1253_4">'T18 Emprunts'!$M$22</definedName>
    <definedName name="Cellule_1257">'T18 Emprunts'!$D$23</definedName>
    <definedName name="Cellule_12597">'T4 B2-immo'!$B$28</definedName>
    <definedName name="Cellule_12598">'T4 B2-immo'!$C$28</definedName>
    <definedName name="Cellule_12599">'T4 B2-immo'!$D$28</definedName>
    <definedName name="Cellule_126">'T1 Bilan'!$C$46</definedName>
    <definedName name="Cellule_12600">'T4 B2-immo'!$E$28</definedName>
    <definedName name="Cellule_12601">'T4 B2-immo'!$F$28</definedName>
    <definedName name="Cellule_12602">'T4 B2-immo'!$G$28</definedName>
    <definedName name="Cellule_12603">'T4 B2-immo'!$H$28</definedName>
    <definedName name="Cellule_12604">'T4 B2-immo'!$I$28</definedName>
    <definedName name="Cellule_1261">'T18 Emprunts'!$H$23</definedName>
    <definedName name="Cellule_1262">'T18 Emprunts'!$I$23</definedName>
    <definedName name="Cellule_1263">'T18 Emprunts'!$J$23</definedName>
    <definedName name="Cellule_1264">'T18 Emprunts'!$K$23</definedName>
    <definedName name="Cellule_1265">'T18 Emprunts'!$L$23</definedName>
    <definedName name="Cellule_1267_1">'T19 Locations'!$B$12</definedName>
    <definedName name="Cellule_1267_2">'T19 Locations'!$B$13</definedName>
    <definedName name="Cellule_1267_3">'T19 Locations'!$B$14</definedName>
    <definedName name="Cellule_1267_4">'T19 Locations'!$B$15</definedName>
    <definedName name="Cellule_1267_5">'T19 Locations'!$B$16</definedName>
    <definedName name="Cellule_1267_6">'T19 Locations'!$B$17</definedName>
    <definedName name="Cellule_1268_1">'T19 Locations'!$C$12</definedName>
    <definedName name="Cellule_1268_2">'T19 Locations'!$C$13</definedName>
    <definedName name="Cellule_1268_3">'T19 Locations'!$C$14</definedName>
    <definedName name="Cellule_1268_4">'T19 Locations'!$C$15</definedName>
    <definedName name="Cellule_1268_5">'T19 Locations'!$C$16</definedName>
    <definedName name="Cellule_1268_6">'T19 Locations'!$C$17</definedName>
    <definedName name="Cellule_1269_1">'T19 Locations'!$D$12</definedName>
    <definedName name="Cellule_1269_2">'T19 Locations'!$D$13</definedName>
    <definedName name="Cellule_1269_3">'T19 Locations'!$D$14</definedName>
    <definedName name="Cellule_1269_4">'T19 Locations'!$D$15</definedName>
    <definedName name="Cellule_1269_5">'T19 Locations'!$D$16</definedName>
    <definedName name="Cellule_1269_6">'T19 Locations'!$D$17</definedName>
    <definedName name="Cellule_127">'T1 Bilan'!$C$47</definedName>
    <definedName name="Cellule_1270_1">'T19 Locations'!$E$12</definedName>
    <definedName name="Cellule_1270_2">'T19 Locations'!$E$13</definedName>
    <definedName name="Cellule_1270_3">'T19 Locations'!$E$14</definedName>
    <definedName name="Cellule_1270_4">'T19 Locations'!$E$15</definedName>
    <definedName name="Cellule_1270_5">'T19 Locations'!$E$16</definedName>
    <definedName name="Cellule_1270_6">'T19 Locations'!$E$17</definedName>
    <definedName name="Cellule_1271_1">'T19 Locations'!$F$12</definedName>
    <definedName name="Cellule_1271_2">'T19 Locations'!$F$13</definedName>
    <definedName name="Cellule_1271_3">'T19 Locations'!$F$14</definedName>
    <definedName name="Cellule_1271_4">'T19 Locations'!$F$15</definedName>
    <definedName name="Cellule_1271_5">'T19 Locations'!$F$16</definedName>
    <definedName name="Cellule_1271_6">'T19 Locations'!$F$17</definedName>
    <definedName name="Cellule_1272_1">'T19 Locations'!$G$12</definedName>
    <definedName name="Cellule_1272_2">'T19 Locations'!$G$13</definedName>
    <definedName name="Cellule_1272_3">'T19 Locations'!$G$14</definedName>
    <definedName name="Cellule_1272_4">'T19 Locations'!$G$15</definedName>
    <definedName name="Cellule_1272_5">'T19 Locations'!$G$16</definedName>
    <definedName name="Cellule_1272_6">'T19 Locations'!$G$17</definedName>
    <definedName name="Cellule_1273_1">'T19 Locations'!$H$12</definedName>
    <definedName name="Cellule_1273_2">'T19 Locations'!$H$13</definedName>
    <definedName name="Cellule_1273_3">'T19 Locations'!$H$14</definedName>
    <definedName name="Cellule_1273_4">'T19 Locations'!$H$15</definedName>
    <definedName name="Cellule_1273_5">'T19 Locations'!$H$16</definedName>
    <definedName name="Cellule_1273_6">'T19 Locations'!$H$17</definedName>
    <definedName name="Cellule_1274_1">'T19 Locations'!$I$12</definedName>
    <definedName name="Cellule_1274_2">'T19 Locations'!$I$13</definedName>
    <definedName name="Cellule_1274_3">'T19 Locations'!$I$14</definedName>
    <definedName name="Cellule_1274_4">'T19 Locations'!$I$15</definedName>
    <definedName name="Cellule_1274_5">'T19 Locations'!$I$16</definedName>
    <definedName name="Cellule_1274_6">'T19 Locations'!$I$17</definedName>
    <definedName name="Cellule_1279">'T19 Locations'!$F$18</definedName>
    <definedName name="Cellule_128">'T1 Bilan'!$C$48</definedName>
    <definedName name="Cellule_1280">'T19 Locations'!$G$18</definedName>
    <definedName name="Cellule_129">'T1 Bilan'!$D$42</definedName>
    <definedName name="Cellule_130">'T1 Bilan'!$D$43</definedName>
    <definedName name="Cellule_1308">'T5 ESG'!$E$6</definedName>
    <definedName name="Cellule_1309">'T5 ESG'!$E$7</definedName>
    <definedName name="Cellule_131">'T1 Bilan'!$D$44</definedName>
    <definedName name="Cellule_1310">'T5 ESG'!$E$8</definedName>
    <definedName name="Cellule_1311">'T5 ESG'!$E$9</definedName>
    <definedName name="Cellule_1312">'T5 ESG'!$E$10</definedName>
    <definedName name="Cellule_1313">'T5 ESG'!$E$11</definedName>
    <definedName name="Cellule_1314">'T5 ESG'!$E$12</definedName>
    <definedName name="Cellule_1315">'T5 ESG'!$E$13</definedName>
    <definedName name="Cellule_1316">'T5 ESG'!$E$14</definedName>
    <definedName name="Cellule_1317">'T5 ESG'!$E$15</definedName>
    <definedName name="Cellule_1318">'T5 ESG'!$E$16</definedName>
    <definedName name="Cellule_1319">'T5 ESG'!$E$17</definedName>
    <definedName name="Cellule_132">'T1 Bilan'!$D$45</definedName>
    <definedName name="Cellule_1320">'T5 ESG'!$E$18</definedName>
    <definedName name="Cellule_1321">'T5 ESG'!$E$19</definedName>
    <definedName name="Cellule_1324">'T5 ESG'!$E$23</definedName>
    <definedName name="Cellule_1325">'T5 ESG'!$E$24</definedName>
    <definedName name="Cellule_1326">'T5 ESG'!$E$25</definedName>
    <definedName name="Cellule_1327">'T5 ESG'!$E$26</definedName>
    <definedName name="Cellule_1328">'T5 ESG'!$E$27</definedName>
    <definedName name="Cellule_1329">'T5 ESG'!$E$28</definedName>
    <definedName name="Cellule_133">'T1 Bilan'!$D$46</definedName>
    <definedName name="Cellule_1330">'T5 ESG'!$E$29</definedName>
    <definedName name="Cellule_1331">'T5 ESG'!$E$30</definedName>
    <definedName name="Cellule_1332">'T5 ESG'!$E$32</definedName>
    <definedName name="Cellule_1333">'T5 ESG'!$G$6</definedName>
    <definedName name="Cellule_13339">'T1 Bilan'!$B$82</definedName>
    <definedName name="Cellule_1334">'T5 ESG'!$G$7</definedName>
    <definedName name="Cellule_13343">'T1 Bilan'!$B$89</definedName>
    <definedName name="Cellule_1335">'T5 ESG'!$G$8</definedName>
    <definedName name="Cellule_1336">'T5 ESG'!$G$9</definedName>
    <definedName name="Cellule_13368">'T1 Bilan'!$E$122</definedName>
    <definedName name="Cellule_13369">'T1 Bilan'!$E$120</definedName>
    <definedName name="Cellule_1337">'T5 ESG'!$G$10</definedName>
    <definedName name="Cellule_13370">'T1 Bilan'!$E$117</definedName>
    <definedName name="Cellule_13371">'T1 Bilan'!$E$118</definedName>
    <definedName name="Cellule_13372">'T1 Bilan'!$E$119</definedName>
    <definedName name="Cellule_13373">'T1 Bilan'!$E$114</definedName>
    <definedName name="Cellule_13374">'T1 Bilan'!$E$113</definedName>
    <definedName name="Cellule_13375">'T1 Bilan'!$E$112</definedName>
    <definedName name="Cellule_13376">'T1 Bilan'!$E$103</definedName>
    <definedName name="Cellule_13377">'T1 Bilan'!$E$104</definedName>
    <definedName name="Cellule_13378">'T1 Bilan'!$E$105</definedName>
    <definedName name="Cellule_13379">'T1 Bilan'!$E$106</definedName>
    <definedName name="Cellule_1338">'T5 ESG'!$G$11</definedName>
    <definedName name="Cellule_13380">'T1 Bilan'!$E$107</definedName>
    <definedName name="Cellule_13381">'T1 Bilan'!$E$108</definedName>
    <definedName name="Cellule_13382">'T1 Bilan'!$E$109</definedName>
    <definedName name="Cellule_13383">'T1 Bilan'!$E$110</definedName>
    <definedName name="Cellule_13384">'T1 Bilan'!$E$111</definedName>
    <definedName name="Cellule_13385">'T1 Bilan'!$E$101</definedName>
    <definedName name="Cellule_13386">'T1 Bilan'!$E$97</definedName>
    <definedName name="Cellule_13387">'T1 Bilan'!$E$98</definedName>
    <definedName name="Cellule_13388">'T1 Bilan'!$E$99</definedName>
    <definedName name="Cellule_13389">'T1 Bilan'!$E$93</definedName>
    <definedName name="Cellule_1339">'T5 ESG'!$G$12</definedName>
    <definedName name="Cellule_13390">'T1 Bilan'!$E$94</definedName>
    <definedName name="Cellule_13391">'T1 Bilan'!$E$95</definedName>
    <definedName name="Cellule_13392">'T1 Bilan'!$E$89</definedName>
    <definedName name="Cellule_13393">'T1 Bilan'!$E$86</definedName>
    <definedName name="Cellule_13394">'T1 Bilan'!$E$87</definedName>
    <definedName name="Cellule_13395">'T1 Bilan'!$E$88</definedName>
    <definedName name="Cellule_13396">'T1 Bilan'!$E$82</definedName>
    <definedName name="Cellule_13397">'T1 Bilan'!$E$79</definedName>
    <definedName name="Cellule_13398">'T1 Bilan'!$E$80</definedName>
    <definedName name="Cellule_13399">'T1 Bilan'!$E$81</definedName>
    <definedName name="Cellule_134">'T1 Bilan'!$D$47</definedName>
    <definedName name="Cellule_1340">'T5 ESG'!$G$13</definedName>
    <definedName name="Cellule_13400">'T1 Bilan'!$E$68</definedName>
    <definedName name="Cellule_13401">'T1 Bilan'!$E$69</definedName>
    <definedName name="Cellule_13402">'T1 Bilan'!$E$70</definedName>
    <definedName name="Cellule_13403">'T1 Bilan'!$E$71</definedName>
    <definedName name="Cellule_13404">'T1 Bilan'!$E$72</definedName>
    <definedName name="Cellule_13405">'T1 Bilan'!$E$73</definedName>
    <definedName name="Cellule_13406">'T1 Bilan'!$E$74</definedName>
    <definedName name="Cellule_13407">'T1 Bilan'!$E$75</definedName>
    <definedName name="Cellule_13408">'T1 Bilan'!$E$76</definedName>
    <definedName name="Cellule_13409">'T1 Bilan'!$E$77</definedName>
    <definedName name="Cellule_1341">'T5 ESG'!$G$14</definedName>
    <definedName name="Cellule_13410">'T1 Bilan'!$E$78</definedName>
    <definedName name="Cellule_13411">'T1 Bilan'!$G$68</definedName>
    <definedName name="Cellule_13412">'T1 Bilan'!$G$69</definedName>
    <definedName name="Cellule_13413">'T1 Bilan'!$G$70</definedName>
    <definedName name="Cellule_13414">'T1 Bilan'!$G$71</definedName>
    <definedName name="Cellule_13415">'T1 Bilan'!$G$72</definedName>
    <definedName name="Cellule_13416">'T1 Bilan'!$G$73</definedName>
    <definedName name="Cellule_13417">'T1 Bilan'!$G$74</definedName>
    <definedName name="Cellule_13418">'T1 Bilan'!$G$75</definedName>
    <definedName name="Cellule_13419">'T1 Bilan'!$G$76</definedName>
    <definedName name="Cellule_1342">'T5 ESG'!$G$15</definedName>
    <definedName name="Cellule_13420">'T1 Bilan'!$G$77</definedName>
    <definedName name="Cellule_13421">'T1 Bilan'!$G$78</definedName>
    <definedName name="Cellule_13422">'T1 Bilan'!$G$79</definedName>
    <definedName name="Cellule_13423">'T1 Bilan'!$G$80</definedName>
    <definedName name="Cellule_13424">'T1 Bilan'!$G$81</definedName>
    <definedName name="Cellule_13425">'T1 Bilan'!$G$82</definedName>
    <definedName name="Cellule_13426">'T1 Bilan'!$G$86</definedName>
    <definedName name="Cellule_13427">'T1 Bilan'!$G$87</definedName>
    <definedName name="Cellule_13428">'T1 Bilan'!$G$88</definedName>
    <definedName name="Cellule_13429">'T1 Bilan'!$G$89</definedName>
    <definedName name="Cellule_1343">'T5 ESG'!$G$16</definedName>
    <definedName name="Cellule_13430">'T1 Bilan'!$G$93</definedName>
    <definedName name="Cellule_13431">'T1 Bilan'!$G$94</definedName>
    <definedName name="Cellule_13432">'T1 Bilan'!$G$95</definedName>
    <definedName name="Cellule_13433">'T1 Bilan'!$G$97</definedName>
    <definedName name="Cellule_13434">'T1 Bilan'!$G$98</definedName>
    <definedName name="Cellule_13435">'T1 Bilan'!$G$99</definedName>
    <definedName name="Cellule_13436">'T1 Bilan'!$G$101</definedName>
    <definedName name="Cellule_13437">'T1 Bilan'!$G$103</definedName>
    <definedName name="Cellule_13438">'T1 Bilan'!$G$104</definedName>
    <definedName name="Cellule_13439">'T1 Bilan'!$G$105</definedName>
    <definedName name="Cellule_1344">'T5 ESG'!$G$17</definedName>
    <definedName name="Cellule_13440">'T1 Bilan'!$G$106</definedName>
    <definedName name="Cellule_13441">'T1 Bilan'!$G$107</definedName>
    <definedName name="Cellule_13442">'T1 Bilan'!$G$108</definedName>
    <definedName name="Cellule_13443">'T1 Bilan'!$G$109</definedName>
    <definedName name="Cellule_13444">'T1 Bilan'!$G$110</definedName>
    <definedName name="Cellule_13445">'T1 Bilan'!$G$111</definedName>
    <definedName name="Cellule_13446">'T1 Bilan'!$G$112</definedName>
    <definedName name="Cellule_13447">'T1 Bilan'!$G$113</definedName>
    <definedName name="Cellule_13448">'T1 Bilan'!$G$114</definedName>
    <definedName name="Cellule_13449">'T1 Bilan'!$G$117</definedName>
    <definedName name="Cellule_1345">'T5 ESG'!$G$18</definedName>
    <definedName name="Cellule_13450">'T1 Bilan'!$G$118</definedName>
    <definedName name="Cellule_13451">'T1 Bilan'!$G$119</definedName>
    <definedName name="Cellule_13452">'T1 Bilan'!$G$120</definedName>
    <definedName name="Cellule_13453">'T1 Bilan'!$G$122</definedName>
    <definedName name="Cellule_1346">'T5 ESG'!$G$19</definedName>
    <definedName name="Cellule_1349">'T5 ESG'!$G$23</definedName>
    <definedName name="Cellule_135">'T1 Bilan'!$D$48</definedName>
    <definedName name="Cellule_1350">'T5 ESG'!$G$24</definedName>
    <definedName name="Cellule_13505">'T4 B2-immo'!$A$13</definedName>
    <definedName name="Cellule_13506">'T4 B2-immo'!$B$13</definedName>
    <definedName name="Cellule_13507">'T4 B2-immo'!$C$13</definedName>
    <definedName name="Cellule_13508">'T4 B2-immo'!$D$13</definedName>
    <definedName name="Cellule_13509">'T4 B2-immo'!$E$13</definedName>
    <definedName name="Cellule_1351">'T5 ESG'!$G$25</definedName>
    <definedName name="Cellule_13510">'T4 B2-immo'!$F$13</definedName>
    <definedName name="Cellule_13511">'T4 B2-immo'!$G$13</definedName>
    <definedName name="Cellule_13512">'T4 B2-immo'!$H$13</definedName>
    <definedName name="Cellule_13513">'T4 B2-immo'!$I$13</definedName>
    <definedName name="Cellule_1352">'T5 ESG'!$G$26</definedName>
    <definedName name="Cellule_1353">'T5 ESG'!$G$27</definedName>
    <definedName name="Cellule_13536_1">'T13 C1-rép cap'!$B$12</definedName>
    <definedName name="Cellule_13536_2">'T13 C1-rép cap'!$B$13</definedName>
    <definedName name="Cellule_13536_3">'T13 C1-rép cap'!$B$14</definedName>
    <definedName name="Cellule_13536_4">'T13 C1-rép cap'!$B$15</definedName>
    <definedName name="Cellule_13536_5">'T13 C1-rép cap'!$B$16</definedName>
    <definedName name="Cellule_13536_6">'T13 C1-rép cap'!$B$17</definedName>
    <definedName name="Cellule_13537_1">'T13 C1-rép cap'!$C$12</definedName>
    <definedName name="Cellule_13537_2">'T13 C1-rép cap'!$C$13</definedName>
    <definedName name="Cellule_13537_3">'T13 C1-rép cap'!$C$14</definedName>
    <definedName name="Cellule_13537_4">'T13 C1-rép cap'!$C$15</definedName>
    <definedName name="Cellule_13537_5">'T13 C1-rép cap'!$C$16</definedName>
    <definedName name="Cellule_13537_6">'T13 C1-rép cap'!$C$17</definedName>
    <definedName name="Cellule_1354">'T5 ESG'!$G$28</definedName>
    <definedName name="Cellule_1355">'T5 ESG'!$G$29</definedName>
    <definedName name="Cellule_1356">'T5 ESG'!$G$30</definedName>
    <definedName name="Cellule_1357">'T5 ESG'!$G$32</definedName>
    <definedName name="Cellule_136">'T1 Bilan'!$E$42</definedName>
    <definedName name="Cellule_137">'T1 Bilan'!$E$43</definedName>
    <definedName name="Cellule_1372">'T5 ESG'!$E$35</definedName>
    <definedName name="Cellule_1373">'T5 ESG'!$E$36</definedName>
    <definedName name="Cellule_1374">'T5 ESG'!$E$37</definedName>
    <definedName name="Cellule_1375">'T5 ESG'!$E$38</definedName>
    <definedName name="Cellule_1376">'T5 ESG'!$E$39</definedName>
    <definedName name="Cellule_1377">'T5 ESG'!$E$40</definedName>
    <definedName name="Cellule_1378">'T5 ESG'!$E$41</definedName>
    <definedName name="Cellule_1379">'T5 ESG'!$E$42</definedName>
    <definedName name="Cellule_138">'T1 Bilan'!$E$44</definedName>
    <definedName name="Cellule_1380">'T5 ESG'!$E$43</definedName>
    <definedName name="Cellule_1381">'T5 ESG'!$E$44</definedName>
    <definedName name="Cellule_1382">'T5 ESG'!$E$45</definedName>
    <definedName name="Cellule_1383">'T5 ESG'!$E$46</definedName>
    <definedName name="Cellule_1384">'T5 ESG'!$E$47</definedName>
    <definedName name="Cellule_1385">'T5 ESG'!$E$48</definedName>
    <definedName name="Cellule_1386">'T5 ESG'!$G$35</definedName>
    <definedName name="Cellule_1387">'T5 ESG'!$G$36</definedName>
    <definedName name="Cellule_1388">'T5 ESG'!$G$37</definedName>
    <definedName name="Cellule_1389">'T5 ESG'!$G$38</definedName>
    <definedName name="Cellule_139">'T1 Bilan'!$E$45</definedName>
    <definedName name="Cellule_1390">'T5 ESG'!$G$39</definedName>
    <definedName name="Cellule_1391">'T5 ESG'!$G$40</definedName>
    <definedName name="Cellule_1392">'T5 ESG'!$G$41</definedName>
    <definedName name="Cellule_1393">'T5 ESG'!$G$42</definedName>
    <definedName name="Cellule_1394">'T5 ESG'!$G$43</definedName>
    <definedName name="Cellule_1395">'T5 ESG'!$G$44</definedName>
    <definedName name="Cellule_1396">'T5 ESG'!$G$45</definedName>
    <definedName name="Cellule_1397">'T5 ESG'!$G$46</definedName>
    <definedName name="Cellule_1398">'T5 ESG'!$G$47</definedName>
    <definedName name="Cellule_1399">'T5 ESG'!$G$48</definedName>
    <definedName name="Cellule_140">'T1 Bilan'!$E$46</definedName>
    <definedName name="Cellule_1401">'T20 Stocks'!$B$8</definedName>
    <definedName name="Cellule_1402">'T20 Stocks'!$C$8</definedName>
    <definedName name="Cellule_1403">'T20 Stocks'!$D$8</definedName>
    <definedName name="Cellule_1404">'T20 Stocks'!$E$8</definedName>
    <definedName name="Cellule_1405">'T20 Stocks'!$F$8</definedName>
    <definedName name="Cellule_1406">'T20 Stocks'!$G$8</definedName>
    <definedName name="Cellule_1407">'T20 Stocks'!$H$8</definedName>
    <definedName name="Cellule_1409">'T20 Stocks'!$B$9</definedName>
    <definedName name="Cellule_141">'T1 Bilan'!$E$47</definedName>
    <definedName name="Cellule_1410">'T20 Stocks'!$C$9</definedName>
    <definedName name="Cellule_1411">'T20 Stocks'!$D$9</definedName>
    <definedName name="Cellule_1412">'T20 Stocks'!$E$9</definedName>
    <definedName name="Cellule_1413">'T20 Stocks'!$F$9</definedName>
    <definedName name="Cellule_1414">'T20 Stocks'!$G$9</definedName>
    <definedName name="Cellule_1415">'T20 Stocks'!$H$9</definedName>
    <definedName name="Cellule_1417">'T20 Stocks'!$B$10</definedName>
    <definedName name="Cellule_1418">'T20 Stocks'!$C$10</definedName>
    <definedName name="Cellule_1419">'T20 Stocks'!$D$10</definedName>
    <definedName name="Cellule_142">'T1 Bilan'!$E$48</definedName>
    <definedName name="Cellule_1420">'T20 Stocks'!$E$10</definedName>
    <definedName name="Cellule_1421">'T20 Stocks'!$F$10</definedName>
    <definedName name="Cellule_1422">'T20 Stocks'!$G$10</definedName>
    <definedName name="Cellule_1423">'T20 Stocks'!$H$10</definedName>
    <definedName name="Cellule_1425">'T20 Stocks'!$B$11</definedName>
    <definedName name="Cellule_1426">'T20 Stocks'!$C$11</definedName>
    <definedName name="Cellule_1427">'T20 Stocks'!$D$11</definedName>
    <definedName name="Cellule_1428">'T20 Stocks'!$E$11</definedName>
    <definedName name="Cellule_1429">'T20 Stocks'!$F$11</definedName>
    <definedName name="Cellule_143">'T1 Bilan'!$G$42</definedName>
    <definedName name="Cellule_1430">'T20 Stocks'!$G$11</definedName>
    <definedName name="Cellule_1431">'T20 Stocks'!$H$11</definedName>
    <definedName name="Cellule_1433">'T20 Stocks'!$B$12</definedName>
    <definedName name="Cellule_1434">'T20 Stocks'!$C$12</definedName>
    <definedName name="Cellule_1435">'T20 Stocks'!$D$12</definedName>
    <definedName name="Cellule_1436">'T20 Stocks'!$E$12</definedName>
    <definedName name="Cellule_1437">'T20 Stocks'!$F$12</definedName>
    <definedName name="Cellule_1438">'T20 Stocks'!$G$12</definedName>
    <definedName name="Cellule_1439">'T20 Stocks'!$H$12</definedName>
    <definedName name="Cellule_144">'T1 Bilan'!$G$43</definedName>
    <definedName name="Cellule_1449">'T20 Stocks'!$B$14</definedName>
    <definedName name="Cellule_145">'T1 Bilan'!$G$44</definedName>
    <definedName name="Cellule_1450">'T20 Stocks'!$C$14</definedName>
    <definedName name="Cellule_1451">'T20 Stocks'!$D$14</definedName>
    <definedName name="Cellule_1452">'T20 Stocks'!$E$14</definedName>
    <definedName name="Cellule_1453">'T20 Stocks'!$F$14</definedName>
    <definedName name="Cellule_1454">'T20 Stocks'!$G$14</definedName>
    <definedName name="Cellule_1455">'T20 Stocks'!$H$14</definedName>
    <definedName name="Cellule_1457">'T20 Stocks'!$B$15</definedName>
    <definedName name="Cellule_1458">'T20 Stocks'!$C$15</definedName>
    <definedName name="Cellule_1459">'T20 Stocks'!$D$15</definedName>
    <definedName name="Cellule_146">'T1 Bilan'!$G$45</definedName>
    <definedName name="Cellule_1460">'T20 Stocks'!$E$15</definedName>
    <definedName name="Cellule_1461">'T20 Stocks'!$F$15</definedName>
    <definedName name="Cellule_1462">'T20 Stocks'!$G$15</definedName>
    <definedName name="Cellule_1463">'T20 Stocks'!$H$15</definedName>
    <definedName name="Cellule_1465">'T20 Stocks'!$B$16</definedName>
    <definedName name="Cellule_1466">'T20 Stocks'!$C$16</definedName>
    <definedName name="Cellule_1467">'T20 Stocks'!$D$16</definedName>
    <definedName name="Cellule_1468">'T20 Stocks'!$E$16</definedName>
    <definedName name="Cellule_1469">'T20 Stocks'!$F$16</definedName>
    <definedName name="Cellule_147">'T1 Bilan'!$G$46</definedName>
    <definedName name="Cellule_1470">'T20 Stocks'!$G$16</definedName>
    <definedName name="Cellule_1471">'T20 Stocks'!$H$16</definedName>
    <definedName name="Cellule_1473">'T20 Stocks'!$B$17</definedName>
    <definedName name="Cellule_1474">'T20 Stocks'!$C$17</definedName>
    <definedName name="Cellule_1475">'T20 Stocks'!$D$17</definedName>
    <definedName name="Cellule_1476">'T20 Stocks'!$E$17</definedName>
    <definedName name="Cellule_1477">'T20 Stocks'!$F$17</definedName>
    <definedName name="Cellule_1478">'T20 Stocks'!$G$17</definedName>
    <definedName name="Cellule_1479">'T20 Stocks'!$H$17</definedName>
    <definedName name="Cellule_148">'T1 Bilan'!$G$47</definedName>
    <definedName name="Cellule_1481">'T20 Stocks'!$B$18</definedName>
    <definedName name="Cellule_1482">'T20 Stocks'!$C$18</definedName>
    <definedName name="Cellule_1483">'T20 Stocks'!$D$18</definedName>
    <definedName name="Cellule_1484">'T20 Stocks'!$E$18</definedName>
    <definedName name="Cellule_1485">'T20 Stocks'!$F$18</definedName>
    <definedName name="Cellule_1486">'T20 Stocks'!$G$18</definedName>
    <definedName name="Cellule_1487">'T20 Stocks'!$H$18</definedName>
    <definedName name="Cellule_149">'T1 Bilan'!$G$48</definedName>
    <definedName name="Cellule_151">'T1 Bilan'!$C$51</definedName>
    <definedName name="Cellule_152">'T1 Bilan'!$D$51</definedName>
    <definedName name="Cellule_1521">'T6 TB11'!$C$6</definedName>
    <definedName name="Cellule_1522">'T6 TB11'!$C$7</definedName>
    <definedName name="Cellule_1523">'T6 TB11'!$C$8</definedName>
    <definedName name="Cellule_1524">'T6 TB11'!$C$9</definedName>
    <definedName name="Cellule_1525">'T6 TB11'!$C$11</definedName>
    <definedName name="Cellule_1526">'T6 TB11'!$C$12</definedName>
    <definedName name="Cellule_1527">'T6 TB11'!$C$13</definedName>
    <definedName name="Cellule_1528">'T6 TB11'!$C$14</definedName>
    <definedName name="Cellule_1529">'T6 TB11'!$C$15</definedName>
    <definedName name="Cellule_153">'T1 Bilan'!$E$51</definedName>
    <definedName name="Cellule_1530">'T6 TB11'!$C$16</definedName>
    <definedName name="Cellule_1531">'T6 TB11'!$C$17</definedName>
    <definedName name="Cellule_1532">'T6 TB11'!$C$20</definedName>
    <definedName name="Cellule_1533">'T6 TB11'!$C$22</definedName>
    <definedName name="Cellule_1534">'T6 TB11'!$C$23</definedName>
    <definedName name="Cellule_1535">'T6 TB11'!$C$24</definedName>
    <definedName name="Cellule_1536">'T6 TB11'!$C$25</definedName>
    <definedName name="Cellule_1537">'T6 TB11'!$C$26</definedName>
    <definedName name="Cellule_1538">'T6 TB11'!$C$27</definedName>
    <definedName name="Cellule_1539">'T6 TB11'!$C$28</definedName>
    <definedName name="Cellule_154">'T1 Bilan'!$G$51</definedName>
    <definedName name="Cellule_1540">'T6 TB11'!$C$29</definedName>
    <definedName name="Cellule_1541">'T6 TB11'!$C$30</definedName>
    <definedName name="Cellule_1542">'T6 TB11'!$C$31</definedName>
    <definedName name="Cellule_1543">'T6 TB11'!$C$32</definedName>
    <definedName name="Cellule_1544">'T6 TB11'!$C$33</definedName>
    <definedName name="Cellule_1545">'T6 TB11'!$C$35</definedName>
    <definedName name="Cellule_1546">'T6 TB11'!$C$36</definedName>
    <definedName name="Cellule_1547">'T6 TB11'!$C$37</definedName>
    <definedName name="Cellule_1548">'T6 TB11'!$C$38</definedName>
    <definedName name="Cellule_1549">'T6 TB11'!$C$39</definedName>
    <definedName name="Cellule_1550">'T6 TB11'!$C$41</definedName>
    <definedName name="Cellule_1551">'T6 TB11'!$C$42</definedName>
    <definedName name="Cellule_1552">'T6 TB11'!$C$43</definedName>
    <definedName name="Cellule_1553">'T6 TB11'!$C$44</definedName>
    <definedName name="Cellule_1555">'T20 Stocks'!$B$19</definedName>
    <definedName name="Cellule_1556">'T20 Stocks'!$C$19</definedName>
    <definedName name="Cellule_1557">'T20 Stocks'!$D$19</definedName>
    <definedName name="Cellule_1558">'T20 Stocks'!$E$19</definedName>
    <definedName name="Cellule_1559">'T20 Stocks'!$F$19</definedName>
    <definedName name="Cellule_1560">'T20 Stocks'!$G$19</definedName>
    <definedName name="Cellule_1561">'T20 Stocks'!$H$19</definedName>
    <definedName name="Cellule_1562">'T6 TB11'!$D$6</definedName>
    <definedName name="Cellule_1563">'T6 TB11'!$D$7</definedName>
    <definedName name="Cellule_1564">'T6 TB11'!$D$8</definedName>
    <definedName name="Cellule_1565">'T6 TB11'!$D$9</definedName>
    <definedName name="Cellule_1566">'T6 TB11'!$D$11</definedName>
    <definedName name="Cellule_1567">'T6 TB11'!$D$12</definedName>
    <definedName name="Cellule_1568">'T6 TB11'!$D$13</definedName>
    <definedName name="Cellule_1569">'T6 TB11'!$D$14</definedName>
    <definedName name="Cellule_1570">'T6 TB11'!$D$15</definedName>
    <definedName name="Cellule_1571">'T6 TB11'!$D$16</definedName>
    <definedName name="Cellule_1572">'T6 TB11'!$D$17</definedName>
    <definedName name="Cellule_1573">'T6 TB11'!$D$20</definedName>
    <definedName name="Cellule_1574">'T6 TB11'!$D$22</definedName>
    <definedName name="Cellule_1575">'T6 TB11'!$D$23</definedName>
    <definedName name="Cellule_1576">'T6 TB11'!$D$24</definedName>
    <definedName name="Cellule_1577">'T6 TB11'!$D$25</definedName>
    <definedName name="Cellule_1578">'T6 TB11'!$D$26</definedName>
    <definedName name="Cellule_1579">'T6 TB11'!$D$27</definedName>
    <definedName name="Cellule_1582">'T6 TB11'!$D$30</definedName>
    <definedName name="Cellule_1583">'T6 TB11'!$D$31</definedName>
    <definedName name="Cellule_1584">'T6 TB11'!$D$32</definedName>
    <definedName name="Cellule_1585">'T6 TB11'!$D$33</definedName>
    <definedName name="Cellule_1586">'T6 TB11'!$D$35</definedName>
    <definedName name="Cellule_1587">'T6 TB11'!$D$36</definedName>
    <definedName name="Cellule_1588">'T6 TB11'!$D$37</definedName>
    <definedName name="Cellule_1589">'T6 TB11'!$D$38</definedName>
    <definedName name="Cellule_1590">'T6 TB11'!$D$39</definedName>
    <definedName name="Cellule_1591">'T6 TB11'!$D$41</definedName>
    <definedName name="Cellule_1592">'T6 TB11'!$D$42</definedName>
    <definedName name="Cellule_1593">'T6 TB11'!$D$43</definedName>
    <definedName name="Cellule_1594">'T6 TB11'!$D$44</definedName>
    <definedName name="Cellule_1596">'T20 Stocks'!$B$20</definedName>
    <definedName name="Cellule_1597">'T20 Stocks'!$C$20</definedName>
    <definedName name="Cellule_1598">'T20 Stocks'!$D$20</definedName>
    <definedName name="Cellule_1599">'T20 Stocks'!$E$20</definedName>
    <definedName name="Cellule_160">'T1 Bilan'!$C$36</definedName>
    <definedName name="Cellule_1600">'T20 Stocks'!$F$20</definedName>
    <definedName name="Cellule_1601">'T20 Stocks'!$G$20</definedName>
    <definedName name="Cellule_1602">'T20 Stocks'!$H$20</definedName>
    <definedName name="Cellule_1604">'T20 Stocks'!$B$21</definedName>
    <definedName name="Cellule_1605">'T20 Stocks'!$C$21</definedName>
    <definedName name="Cellule_1606">'T20 Stocks'!$D$21</definedName>
    <definedName name="Cellule_1607">'T20 Stocks'!$E$21</definedName>
    <definedName name="Cellule_1608">'T20 Stocks'!$F$21</definedName>
    <definedName name="Cellule_1609">'T20 Stocks'!$G$21</definedName>
    <definedName name="Cellule_161">'T1 Bilan'!$C$37</definedName>
    <definedName name="Cellule_1610">'T20 Stocks'!$H$21</definedName>
    <definedName name="Cellule_1612">'T20 Stocks'!$B$22</definedName>
    <definedName name="Cellule_1613">'T20 Stocks'!$C$22</definedName>
    <definedName name="Cellule_1614">'T20 Stocks'!$D$22</definedName>
    <definedName name="Cellule_1615">'T20 Stocks'!$E$22</definedName>
    <definedName name="Cellule_1616">'T20 Stocks'!$F$22</definedName>
    <definedName name="Cellule_1617">'T20 Stocks'!$G$22</definedName>
    <definedName name="Cellule_1618">'T20 Stocks'!$H$22</definedName>
    <definedName name="Cellule_162">'T1 Bilan'!$C$38</definedName>
    <definedName name="Cellule_1624">'T8 B2 BIS'!$B$16</definedName>
    <definedName name="Cellule_1625">'T8 B2 BIS'!$B$18</definedName>
    <definedName name="Cellule_1626">'T8 B2 BIS'!$B$19</definedName>
    <definedName name="Cellule_1627">'T8 B2 BIS'!$B$20</definedName>
    <definedName name="Cellule_1628">'T8 B2 BIS'!$B$21</definedName>
    <definedName name="Cellule_1629">'T8 B2 BIS'!$C$16</definedName>
    <definedName name="Cellule_163">'T1 Bilan'!$C$39</definedName>
    <definedName name="Cellule_1630">'T8 B2 BIS'!$C$18</definedName>
    <definedName name="Cellule_1631">'T8 B2 BIS'!$C$19</definedName>
    <definedName name="Cellule_1632">'T8 B2 BIS'!$C$20</definedName>
    <definedName name="Cellule_1633">'T8 B2 BIS'!$C$21</definedName>
    <definedName name="Cellule_1635">'T20 Stocks'!$B$23</definedName>
    <definedName name="Cellule_1636">'T20 Stocks'!$C$23</definedName>
    <definedName name="Cellule_1637">'T20 Stocks'!$D$23</definedName>
    <definedName name="Cellule_1638">'T20 Stocks'!$E$23</definedName>
    <definedName name="Cellule_1639">'T20 Stocks'!$F$23</definedName>
    <definedName name="Cellule_164">'T1 Bilan'!$C$40</definedName>
    <definedName name="Cellule_1640">'T20 Stocks'!$G$23</definedName>
    <definedName name="Cellule_1641">'T20 Stocks'!$H$23</definedName>
    <definedName name="Cellule_1643">'T20 Stocks'!$B$24</definedName>
    <definedName name="Cellule_1644">'T20 Stocks'!$C$24</definedName>
    <definedName name="Cellule_1645">'T20 Stocks'!$D$24</definedName>
    <definedName name="Cellule_1646">'T20 Stocks'!$E$24</definedName>
    <definedName name="Cellule_1647">'T20 Stocks'!$F$24</definedName>
    <definedName name="Cellule_1648">'T20 Stocks'!$G$24</definedName>
    <definedName name="Cellule_1649">'T20 Stocks'!$H$24</definedName>
    <definedName name="Cellule_165">'T1 Bilan'!$D$36</definedName>
    <definedName name="Cellule_1650">'T8 B2 BIS'!$D$16</definedName>
    <definedName name="Cellule_1651">'T8 B2 BIS'!$D$18</definedName>
    <definedName name="Cellule_1652">'T8 B2 BIS'!$D$19</definedName>
    <definedName name="Cellule_1653">'T8 B2 BIS'!$D$20</definedName>
    <definedName name="Cellule_1654">'T8 B2 BIS'!$D$21</definedName>
    <definedName name="Cellule_1656">'T20 Stocks'!$B$25</definedName>
    <definedName name="Cellule_1657">'T20 Stocks'!$C$25</definedName>
    <definedName name="Cellule_1658">'T20 Stocks'!$D$25</definedName>
    <definedName name="Cellule_1659">'T20 Stocks'!$E$25</definedName>
    <definedName name="Cellule_166">'T1 Bilan'!$D$37</definedName>
    <definedName name="Cellule_1660">'T20 Stocks'!$F$25</definedName>
    <definedName name="Cellule_1661">'T20 Stocks'!$G$25</definedName>
    <definedName name="Cellule_1662">'T20 Stocks'!$H$25</definedName>
    <definedName name="Cellule_1664">'T20 Stocks'!$B$26</definedName>
    <definedName name="Cellule_1665">'T20 Stocks'!$C$26</definedName>
    <definedName name="Cellule_1666">'T20 Stocks'!$D$26</definedName>
    <definedName name="Cellule_1667">'T20 Stocks'!$E$26</definedName>
    <definedName name="Cellule_1668">'T20 Stocks'!$F$26</definedName>
    <definedName name="Cellule_1669">'T20 Stocks'!$G$26</definedName>
    <definedName name="Cellule_167">'T1 Bilan'!$D$38</definedName>
    <definedName name="Cellule_1670">'T20 Stocks'!$H$26</definedName>
    <definedName name="Cellule_1672">'T20 Stocks'!$B$27</definedName>
    <definedName name="Cellule_1673">'T20 Stocks'!$C$27</definedName>
    <definedName name="Cellule_1674">'T20 Stocks'!$D$27</definedName>
    <definedName name="Cellule_1675">'T20 Stocks'!$E$27</definedName>
    <definedName name="Cellule_1676">'T20 Stocks'!$F$27</definedName>
    <definedName name="Cellule_1677">'T20 Stocks'!$G$27</definedName>
    <definedName name="Cellule_1678">'T20 Stocks'!$H$27</definedName>
    <definedName name="Cellule_1679">'T8 B2 BIS'!$E$16</definedName>
    <definedName name="Cellule_168">'T1 Bilan'!$D$39</definedName>
    <definedName name="Cellule_1680">'T8 B2 BIS'!$E$18</definedName>
    <definedName name="Cellule_1681">'T8 B2 BIS'!$E$19</definedName>
    <definedName name="Cellule_1682">'T8 B2 BIS'!$E$20</definedName>
    <definedName name="Cellule_1683">'T8 B2 BIS'!$E$21</definedName>
    <definedName name="Cellule_1685">'T20 Stocks'!$B$28</definedName>
    <definedName name="Cellule_1686">'T20 Stocks'!$C$28</definedName>
    <definedName name="Cellule_1687">'T20 Stocks'!$D$28</definedName>
    <definedName name="Cellule_1688">'T20 Stocks'!$E$28</definedName>
    <definedName name="Cellule_1689">'T20 Stocks'!$F$28</definedName>
    <definedName name="Cellule_169">'T1 Bilan'!$D$40</definedName>
    <definedName name="Cellule_1690">'T20 Stocks'!$G$28</definedName>
    <definedName name="Cellule_1691">'T20 Stocks'!$H$28</definedName>
    <definedName name="Cellule_170">'T1 Bilan'!$E$36</definedName>
    <definedName name="Cellule_1700">'T8 B2 BIS'!$B$23</definedName>
    <definedName name="Cellule_1701">'T8 B2 BIS'!$B$25</definedName>
    <definedName name="Cellule_1702">'T8 B2 BIS'!$B$26</definedName>
    <definedName name="Cellule_1703">'T8 B2 BIS'!$B$27</definedName>
    <definedName name="Cellule_1704">'T8 B2 BIS'!$B$28</definedName>
    <definedName name="Cellule_1705">'T8 B2 BIS'!$B$29</definedName>
    <definedName name="Cellule_1706">'T8 B2 BIS'!$B$30</definedName>
    <definedName name="Cellule_1707">'T8 B2 BIS'!$B$31</definedName>
    <definedName name="Cellule_1708">'T8 B2 BIS'!$C$23</definedName>
    <definedName name="Cellule_1709">'T8 B2 BIS'!$C$25</definedName>
    <definedName name="Cellule_171">'T1 Bilan'!$E$37</definedName>
    <definedName name="Cellule_1710">'T8 B2 BIS'!$C$26</definedName>
    <definedName name="Cellule_1711">'T8 B2 BIS'!$C$27</definedName>
    <definedName name="Cellule_1712">'T8 B2 BIS'!$C$28</definedName>
    <definedName name="Cellule_1713">'T8 B2 BIS'!$C$29</definedName>
    <definedName name="Cellule_1714">'T8 B2 BIS'!$C$30</definedName>
    <definedName name="Cellule_1715">'T8 B2 BIS'!$C$31</definedName>
    <definedName name="Cellule_1716">'T8 B2 BIS'!$D$23</definedName>
    <definedName name="Cellule_1717">'T8 B2 BIS'!$D$25</definedName>
    <definedName name="Cellule_1718">'T8 B2 BIS'!$D$26</definedName>
    <definedName name="Cellule_1719">'T8 B2 BIS'!$D$27</definedName>
    <definedName name="Cellule_172">'T1 Bilan'!$E$38</definedName>
    <definedName name="Cellule_1720">'T8 B2 BIS'!$D$28</definedName>
    <definedName name="Cellule_1721">'T8 B2 BIS'!$D$29</definedName>
    <definedName name="Cellule_1722">'T8 B2 BIS'!$D$30</definedName>
    <definedName name="Cellule_1723">'T8 B2 BIS'!$D$31</definedName>
    <definedName name="Cellule_1724">'T8 B2 BIS'!$E$23</definedName>
    <definedName name="Cellule_1725">'T8 B2 BIS'!$E$25</definedName>
    <definedName name="Cellule_1726">'T8 B2 BIS'!$E$26</definedName>
    <definedName name="Cellule_1727">'T8 B2 BIS'!$E$27</definedName>
    <definedName name="Cellule_1728">'T8 B2 BIS'!$E$28</definedName>
    <definedName name="Cellule_1729">'T8 B2 BIS'!$E$29</definedName>
    <definedName name="Cellule_173">'T1 Bilan'!$E$39</definedName>
    <definedName name="Cellule_1730">'T8 B2 BIS'!$E$30</definedName>
    <definedName name="Cellule_1731">'T8 B2 BIS'!$E$31</definedName>
    <definedName name="Cellule_1733">'T6 TB11'!$C$45</definedName>
    <definedName name="Cellule_1734">'T6 TB11'!$D$45</definedName>
    <definedName name="Cellule_1736">'T20 Stocks'!$B$29</definedName>
    <definedName name="Cellule_1737">'T20 Stocks'!$C$29</definedName>
    <definedName name="Cellule_1738">'T20 Stocks'!$D$29</definedName>
    <definedName name="Cellule_1739">'T20 Stocks'!$E$29</definedName>
    <definedName name="Cellule_174">'T1 Bilan'!$E$40</definedName>
    <definedName name="Cellule_1740">'T20 Stocks'!$F$29</definedName>
    <definedName name="Cellule_1741">'T20 Stocks'!$G$29</definedName>
    <definedName name="Cellule_1742">'T20 Stocks'!$H$29</definedName>
    <definedName name="Cellule_1748">'T9 B5-PROV'!$B$8</definedName>
    <definedName name="Cellule_1749">'T9 B5-PROV'!$C$8</definedName>
    <definedName name="Cellule_175">'T1 Bilan'!$G$36</definedName>
    <definedName name="Cellule_1750">'T9 B5-PROV'!$D$8</definedName>
    <definedName name="Cellule_1751">'T9 B5-PROV'!$E$8</definedName>
    <definedName name="Cellule_1752">'T9 B5-PROV'!$F$8</definedName>
    <definedName name="Cellule_1753">'T9 B5-PROV'!$G$8</definedName>
    <definedName name="Cellule_1754">'T9 B5-PROV'!$H$8</definedName>
    <definedName name="Cellule_1755">'T9 B5-PROV'!$I$8</definedName>
    <definedName name="Cellule_1757">'T20 Stocks'!$B$30</definedName>
    <definedName name="Cellule_1758">'T20 Stocks'!$C$30</definedName>
    <definedName name="Cellule_1759">'T20 Stocks'!$D$30</definedName>
    <definedName name="Cellule_176">'T1 Bilan'!$G$37</definedName>
    <definedName name="Cellule_1760">'T20 Stocks'!$E$30</definedName>
    <definedName name="Cellule_1761">'T20 Stocks'!$F$30</definedName>
    <definedName name="Cellule_1762">'T20 Stocks'!$G$30</definedName>
    <definedName name="Cellule_1763">'T20 Stocks'!$H$30</definedName>
    <definedName name="Cellule_1764">'T6 TB11'!$C$48</definedName>
    <definedName name="Cellule_1765">'T6 TB11'!$C$49</definedName>
    <definedName name="Cellule_1766">'T6 TB11'!$C$50</definedName>
    <definedName name="Cellule_1767">'T6 TB11'!$C$51</definedName>
    <definedName name="Cellule_1769">'T20 Stocks'!$B$31</definedName>
    <definedName name="Cellule_177">'T1 Bilan'!$G$38</definedName>
    <definedName name="Cellule_1770">'T20 Stocks'!$C$31</definedName>
    <definedName name="Cellule_1771">'T20 Stocks'!$D$31</definedName>
    <definedName name="Cellule_1772">'T20 Stocks'!$E$31</definedName>
    <definedName name="Cellule_1773">'T20 Stocks'!$F$31</definedName>
    <definedName name="Cellule_1774">'T20 Stocks'!$G$31</definedName>
    <definedName name="Cellule_1775">'T20 Stocks'!$H$31</definedName>
    <definedName name="Cellule_178">'T1 Bilan'!$G$39</definedName>
    <definedName name="Cellule_1784">'T9 B5-PROV'!$B$10</definedName>
    <definedName name="Cellule_1785">'T9 B5-PROV'!$C$10</definedName>
    <definedName name="Cellule_1786">'T9 B5-PROV'!$D$10</definedName>
    <definedName name="Cellule_1787">'T9 B5-PROV'!$E$10</definedName>
    <definedName name="Cellule_1788">'T9 B5-PROV'!$F$10</definedName>
    <definedName name="Cellule_1789">'T9 B5-PROV'!$G$10</definedName>
    <definedName name="Cellule_179">'T1 Bilan'!$G$40</definedName>
    <definedName name="Cellule_1790">'T9 B5-PROV'!$H$10</definedName>
    <definedName name="Cellule_1791">'T9 B5-PROV'!$I$10</definedName>
    <definedName name="Cellule_1792">'T6 TB11'!$C$54</definedName>
    <definedName name="Cellule_1793">'T6 TB11'!$C$55</definedName>
    <definedName name="Cellule_1794">'T6 TB11'!$C$56</definedName>
    <definedName name="Cellule_1795">'T6 TB11'!$C$57</definedName>
    <definedName name="Cellule_1796">'T6 TB11'!$C$58</definedName>
    <definedName name="Cellule_1797">'T6 TB11'!$C$59</definedName>
    <definedName name="Cellule_1798">'T6 TB11'!$C$60</definedName>
    <definedName name="Cellule_18">'T13 C1-rép cap'!$E$4</definedName>
    <definedName name="Cellule_1800">'T20 Stocks'!$B$32</definedName>
    <definedName name="Cellule_1801">'T20 Stocks'!$C$32</definedName>
    <definedName name="Cellule_1802">'T20 Stocks'!$D$32</definedName>
    <definedName name="Cellule_1803">'T20 Stocks'!$E$32</definedName>
    <definedName name="Cellule_1804">'T20 Stocks'!$F$32</definedName>
    <definedName name="Cellule_1805">'T20 Stocks'!$G$32</definedName>
    <definedName name="Cellule_1806">'T20 Stocks'!$H$32</definedName>
    <definedName name="Cellule_1807">'T6 TB11'!$D$54</definedName>
    <definedName name="Cellule_1808">'T6 TB11'!$D$55</definedName>
    <definedName name="Cellule_1809">'T6 TB11'!$D$56</definedName>
    <definedName name="Cellule_181">'T1 Bilan'!$C$49</definedName>
    <definedName name="Cellule_1810">'T6 TB11'!$D$57</definedName>
    <definedName name="Cellule_1811">'T6 TB11'!$D$58</definedName>
    <definedName name="Cellule_1812">'T6 TB11'!$D$59</definedName>
    <definedName name="Cellule_1813">'T6 TB11'!$D$60</definedName>
    <definedName name="Cellule_1814">'T6 TB11'!$D$48</definedName>
    <definedName name="Cellule_1815">'T6 TB11'!$D$49</definedName>
    <definedName name="Cellule_1816">'T6 TB11'!$D$50</definedName>
    <definedName name="Cellule_1817">'T6 TB11'!$D$51</definedName>
    <definedName name="Cellule_1819">'T20 Stocks'!$B$33</definedName>
    <definedName name="Cellule_182">'T1 Bilan'!$D$49</definedName>
    <definedName name="Cellule_1820">'T20 Stocks'!$C$33</definedName>
    <definedName name="Cellule_1821">'T20 Stocks'!$D$33</definedName>
    <definedName name="Cellule_1822">'T20 Stocks'!$E$33</definedName>
    <definedName name="Cellule_1823">'T20 Stocks'!$F$33</definedName>
    <definedName name="Cellule_1824">'T20 Stocks'!$G$33</definedName>
    <definedName name="Cellule_1825">'T20 Stocks'!$H$33</definedName>
    <definedName name="Cellule_1827">'T9 B5-PROV'!$B$13</definedName>
    <definedName name="Cellule_1828">'T9 B5-PROV'!$C$13</definedName>
    <definedName name="Cellule_1829">'T9 B5-PROV'!$D$13</definedName>
    <definedName name="Cellule_183">'T1 Bilan'!$E$49</definedName>
    <definedName name="Cellule_1830">'T9 B5-PROV'!$E$13</definedName>
    <definedName name="Cellule_1831">'T9 B5-PROV'!$F$13</definedName>
    <definedName name="Cellule_1832">'T9 B5-PROV'!$G$13</definedName>
    <definedName name="Cellule_1833">'T9 B5-PROV'!$H$13</definedName>
    <definedName name="Cellule_1834">'T9 B5-PROV'!$I$13</definedName>
    <definedName name="Cellule_1836">'T20 Stocks'!$B$34</definedName>
    <definedName name="Cellule_1837">'T20 Stocks'!$C$34</definedName>
    <definedName name="Cellule_1838">'T20 Stocks'!$D$34</definedName>
    <definedName name="Cellule_1839">'T20 Stocks'!$E$34</definedName>
    <definedName name="Cellule_184">'T1 Bilan'!$G$49</definedName>
    <definedName name="Cellule_1840">'T20 Stocks'!$F$34</definedName>
    <definedName name="Cellule_1841">'T20 Stocks'!$G$34</definedName>
    <definedName name="Cellule_1842">'T20 Stocks'!$H$34</definedName>
    <definedName name="Cellule_1844">'T9 B5-PROV'!$B$17</definedName>
    <definedName name="Cellule_1845">'T9 B5-PROV'!$C$17</definedName>
    <definedName name="Cellule_1846">'T9 B5-PROV'!$D$17</definedName>
    <definedName name="Cellule_1847">'T9 B5-PROV'!$E$17</definedName>
    <definedName name="Cellule_1848">'T9 B5-PROV'!$F$17</definedName>
    <definedName name="Cellule_1849">'T9 B5-PROV'!$G$17</definedName>
    <definedName name="Cellule_1850">'T9 B5-PROV'!$H$17</definedName>
    <definedName name="Cellule_1851">'T9 B5-PROV'!$I$17</definedName>
    <definedName name="Cellule_1853">'T20 Stocks'!$B$35</definedName>
    <definedName name="Cellule_1854">'T20 Stocks'!$C$35</definedName>
    <definedName name="Cellule_1855">'T20 Stocks'!$D$35</definedName>
    <definedName name="Cellule_1856">'T20 Stocks'!$E$35</definedName>
    <definedName name="Cellule_1857">'T20 Stocks'!$F$35</definedName>
    <definedName name="Cellule_1858">'T20 Stocks'!$G$35</definedName>
    <definedName name="Cellule_1859">'T20 Stocks'!$H$35</definedName>
    <definedName name="Cellule_186">'T1 Bilan'!$C$60</definedName>
    <definedName name="Cellule_1861">'T20 Stocks'!$B$36</definedName>
    <definedName name="Cellule_1862">'T20 Stocks'!$C$36</definedName>
    <definedName name="Cellule_1863">'T20 Stocks'!$D$36</definedName>
    <definedName name="Cellule_1864">'T20 Stocks'!$E$36</definedName>
    <definedName name="Cellule_1865">'T20 Stocks'!$F$36</definedName>
    <definedName name="Cellule_1866">'T20 Stocks'!$G$36</definedName>
    <definedName name="Cellule_1867">'T20 Stocks'!$H$36</definedName>
    <definedName name="Cellule_1869">'T20 Stocks'!$B$37</definedName>
    <definedName name="Cellule_187">'T1 Bilan'!$D$60</definedName>
    <definedName name="Cellule_1870">'T20 Stocks'!$C$37</definedName>
    <definedName name="Cellule_1871">'T20 Stocks'!$D$37</definedName>
    <definedName name="Cellule_1872">'T20 Stocks'!$E$37</definedName>
    <definedName name="Cellule_1873">'T20 Stocks'!$F$37</definedName>
    <definedName name="Cellule_1874">'T20 Stocks'!$G$37</definedName>
    <definedName name="Cellule_1875">'T20 Stocks'!$H$37</definedName>
    <definedName name="Cellule_1877">'T9 B5-PROV'!$B$20</definedName>
    <definedName name="Cellule_1878">'T9 B5-PROV'!$C$20</definedName>
    <definedName name="Cellule_1879">'T9 B5-PROV'!$D$20</definedName>
    <definedName name="Cellule_188">'T1 Bilan'!$E$60</definedName>
    <definedName name="Cellule_1880">'T9 B5-PROV'!$E$20</definedName>
    <definedName name="Cellule_1881">'T9 B5-PROV'!$F$20</definedName>
    <definedName name="Cellule_1882">'T9 B5-PROV'!$G$20</definedName>
    <definedName name="Cellule_1883">'T9 B5-PROV'!$H$20</definedName>
    <definedName name="Cellule_1884">'T9 B5-PROV'!$I$20</definedName>
    <definedName name="Cellule_1886">'T20 Stocks'!$B$38</definedName>
    <definedName name="Cellule_1887">'T20 Stocks'!$C$38</definedName>
    <definedName name="Cellule_1888">'T20 Stocks'!$D$38</definedName>
    <definedName name="Cellule_1889">'T20 Stocks'!$E$38</definedName>
    <definedName name="Cellule_189">'T1 Bilan'!$G$60</definedName>
    <definedName name="Cellule_1890">'T20 Stocks'!$F$38</definedName>
    <definedName name="Cellule_1891">'T20 Stocks'!$G$38</definedName>
    <definedName name="Cellule_1892">'T20 Stocks'!$H$38</definedName>
    <definedName name="Cellule_1894">'T9 B5-PROV'!$B$25</definedName>
    <definedName name="Cellule_1895">'T9 B5-PROV'!$C$25</definedName>
    <definedName name="Cellule_1896">'T9 B5-PROV'!$D$25</definedName>
    <definedName name="Cellule_1897">'T9 B5-PROV'!$E$25</definedName>
    <definedName name="Cellule_1898">'T9 B5-PROV'!$F$25</definedName>
    <definedName name="Cellule_1899">'T9 B5-PROV'!$G$25</definedName>
    <definedName name="Cellule_1900">'T9 B5-PROV'!$H$25</definedName>
    <definedName name="Cellule_1901">'T9 B5-PROV'!$I$25</definedName>
    <definedName name="Cellule_1903">'T9 B5-PROV'!$B$29</definedName>
    <definedName name="Cellule_1904">'T9 B5-PROV'!$C$29</definedName>
    <definedName name="Cellule_1905">'T9 B5-PROV'!$D$29</definedName>
    <definedName name="Cellule_1906">'T9 B5-PROV'!$E$29</definedName>
    <definedName name="Cellule_1907">'T9 B5-PROV'!$F$29</definedName>
    <definedName name="Cellule_1908">'T9 B5-PROV'!$G$29</definedName>
    <definedName name="Cellule_1909">'T9 B5-PROV'!$H$29</definedName>
    <definedName name="Cellule_1910">'T9 B5-PROV'!$I$29</definedName>
    <definedName name="Cellule_1912">'T9 B5-PROV'!$B$32</definedName>
    <definedName name="Cellule_1913">'T9 B5-PROV'!$C$32</definedName>
    <definedName name="Cellule_1914">'T9 B5-PROV'!$D$32</definedName>
    <definedName name="Cellule_1915">'T9 B5-PROV'!$E$32</definedName>
    <definedName name="Cellule_1916">'T9 B5-PROV'!$F$32</definedName>
    <definedName name="Cellule_1917">'T9 B5-PROV'!$G$32</definedName>
    <definedName name="Cellule_1918">'T9 B5-PROV'!$H$32</definedName>
    <definedName name="Cellule_1919">'T9 B5-PROV'!$I$32</definedName>
    <definedName name="Cellule_192">'T1 Bilan'!$C$31</definedName>
    <definedName name="Cellule_1921">'T9 B5-PROV'!$B$33</definedName>
    <definedName name="Cellule_1922">'T9 B5-PROV'!$C$33</definedName>
    <definedName name="Cellule_1923">'T9 B5-PROV'!$D$33</definedName>
    <definedName name="Cellule_1924">'T9 B5-PROV'!$E$33</definedName>
    <definedName name="Cellule_1925">'T9 B5-PROV'!$F$33</definedName>
    <definedName name="Cellule_1926">'T9 B5-PROV'!$G$33</definedName>
    <definedName name="Cellule_1927">'T9 B5-PROV'!$H$33</definedName>
    <definedName name="Cellule_1928">'T9 B5-PROV'!$I$33</definedName>
    <definedName name="Cellule_1929_1">'T10 B3-+-Value'!$A$10</definedName>
    <definedName name="Cellule_1929_2">'T10 B3-+-Value'!$A$11</definedName>
    <definedName name="Cellule_1929_3">'T10 B3-+-Value'!$A$12</definedName>
    <definedName name="Cellule_1929_4">'T10 B3-+-Value'!$A$13</definedName>
    <definedName name="Cellule_1929_5">'T10 B3-+-Value'!$A$14</definedName>
    <definedName name="Cellule_1929_6">'T10 B3-+-Value'!$A$15</definedName>
    <definedName name="Cellule_193">'T1 Bilan'!$C$32</definedName>
    <definedName name="Cellule_1930_1">'T10 B3-+-Value'!$B$10</definedName>
    <definedName name="Cellule_1930_2">'T10 B3-+-Value'!$B$11</definedName>
    <definedName name="Cellule_1930_3">'T10 B3-+-Value'!$B$12</definedName>
    <definedName name="Cellule_1930_4">'T10 B3-+-Value'!$B$13</definedName>
    <definedName name="Cellule_1930_5">'T10 B3-+-Value'!$B$14</definedName>
    <definedName name="Cellule_1930_6">'T10 B3-+-Value'!$B$15</definedName>
    <definedName name="Cellule_1931_1">'T10 B3-+-Value'!$C$10</definedName>
    <definedName name="Cellule_1931_2">'T10 B3-+-Value'!$C$11</definedName>
    <definedName name="Cellule_1931_3">'T10 B3-+-Value'!$C$12</definedName>
    <definedName name="Cellule_1931_4">'T10 B3-+-Value'!$C$13</definedName>
    <definedName name="Cellule_1931_5">'T10 B3-+-Value'!$C$14</definedName>
    <definedName name="Cellule_1931_6">'T10 B3-+-Value'!$C$15</definedName>
    <definedName name="Cellule_1932_1">'T10 B3-+-Value'!$D$10</definedName>
    <definedName name="Cellule_1932_2">'T10 B3-+-Value'!$D$11</definedName>
    <definedName name="Cellule_1932_3">'T10 B3-+-Value'!$D$12</definedName>
    <definedName name="Cellule_1932_4">'T10 B3-+-Value'!$D$13</definedName>
    <definedName name="Cellule_1932_5">'T10 B3-+-Value'!$D$14</definedName>
    <definedName name="Cellule_1932_6">'T10 B3-+-Value'!$D$15</definedName>
    <definedName name="Cellule_1933_1">'T10 B3-+-Value'!$E$10</definedName>
    <definedName name="Cellule_1933_2">'T10 B3-+-Value'!$E$11</definedName>
    <definedName name="Cellule_1933_3">'T10 B3-+-Value'!$E$12</definedName>
    <definedName name="Cellule_1933_4">'T10 B3-+-Value'!$E$13</definedName>
    <definedName name="Cellule_1933_5">'T10 B3-+-Value'!$E$14</definedName>
    <definedName name="Cellule_1933_6">'T10 B3-+-Value'!$E$15</definedName>
    <definedName name="Cellule_1934_1">'T10 B3-+-Value'!$F$10</definedName>
    <definedName name="Cellule_1934_2">'T10 B3-+-Value'!$F$11</definedName>
    <definedName name="Cellule_1934_3">'T10 B3-+-Value'!$F$12</definedName>
    <definedName name="Cellule_1934_4">'T10 B3-+-Value'!$F$13</definedName>
    <definedName name="Cellule_1934_5">'T10 B3-+-Value'!$F$14</definedName>
    <definedName name="Cellule_1934_6">'T10 B3-+-Value'!$F$15</definedName>
    <definedName name="Cellule_1935_1">'T10 B3-+-Value'!$G$10</definedName>
    <definedName name="Cellule_1935_2">'T10 B3-+-Value'!$G$11</definedName>
    <definedName name="Cellule_1935_3">'T10 B3-+-Value'!$G$12</definedName>
    <definedName name="Cellule_1935_4">'T10 B3-+-Value'!$G$13</definedName>
    <definedName name="Cellule_1935_5">'T10 B3-+-Value'!$G$14</definedName>
    <definedName name="Cellule_1935_6">'T10 B3-+-Value'!$G$15</definedName>
    <definedName name="Cellule_1936_1">'T10 B3-+-Value'!$H$10</definedName>
    <definedName name="Cellule_1936_2">'T10 B3-+-Value'!$H$11</definedName>
    <definedName name="Cellule_1936_3">'T10 B3-+-Value'!$H$12</definedName>
    <definedName name="Cellule_1936_4">'T10 B3-+-Value'!$H$13</definedName>
    <definedName name="Cellule_1936_5">'T10 B3-+-Value'!$H$14</definedName>
    <definedName name="Cellule_1936_6">'T10 B3-+-Value'!$H$15</definedName>
    <definedName name="Cellule_194">'T1 Bilan'!$D$31</definedName>
    <definedName name="Cellule_195">'T1 Bilan'!$D$32</definedName>
    <definedName name="Cellule_196">'T1 Bilan'!$E$31</definedName>
    <definedName name="Cellule_1963">'T6 TB11'!$C$68</definedName>
    <definedName name="Cellule_1964">'T6 TB11'!$C$69</definedName>
    <definedName name="Cellule_1965">'T6 TB11'!$C$70</definedName>
    <definedName name="Cellule_1966">'T6 TB11'!$C$71</definedName>
    <definedName name="Cellule_1967">'T6 TB11'!$C$72</definedName>
    <definedName name="Cellule_1968">'T6 TB11'!$C$74</definedName>
    <definedName name="Cellule_1969">'T6 TB11'!$C$75</definedName>
    <definedName name="Cellule_197">'T1 Bilan'!$E$32</definedName>
    <definedName name="Cellule_1970">'T6 TB11'!$C$76</definedName>
    <definedName name="Cellule_1971">'T6 TB11'!$C$77</definedName>
    <definedName name="Cellule_1972">'T6 TB11'!$C$78</definedName>
    <definedName name="Cellule_1973">'T6 TB11'!$C$79</definedName>
    <definedName name="Cellule_1974">'T6 TB11'!$C$80</definedName>
    <definedName name="Cellule_1975">'T6 TB11'!$C$81</definedName>
    <definedName name="Cellule_1976">'T6 TB11'!$C$83</definedName>
    <definedName name="Cellule_1977">'T6 TB11'!$C$84</definedName>
    <definedName name="Cellule_1978">'T6 TB11'!$C$85</definedName>
    <definedName name="Cellule_1979">'T6 TB11'!$C$86</definedName>
    <definedName name="Cellule_198">'T1 Bilan'!$G$31</definedName>
    <definedName name="Cellule_1980">'T6 TB11'!$C$87</definedName>
    <definedName name="Cellule_1981">'T6 TB11'!$C$89</definedName>
    <definedName name="Cellule_1982">'T6 TB11'!$C$90</definedName>
    <definedName name="Cellule_1983">'T6 TB11'!$C$91</definedName>
    <definedName name="Cellule_1984">'T6 TB11'!$C$92</definedName>
    <definedName name="Cellule_1985">'T6 TB11'!$C$94</definedName>
    <definedName name="Cellule_1986">'T6 TB11'!$C$95</definedName>
    <definedName name="Cellule_1987">'T6 TB11'!$C$96</definedName>
    <definedName name="Cellule_1988">'T6 TB11'!$C$97</definedName>
    <definedName name="Cellule_1989">'T6 TB11'!$D$68</definedName>
    <definedName name="Cellule_199">'T1 Bilan'!$G$32</definedName>
    <definedName name="Cellule_1990">'T6 TB11'!$D$69</definedName>
    <definedName name="Cellule_1991">'T6 TB11'!$D$70</definedName>
    <definedName name="Cellule_1992">'T6 TB11'!$D$71</definedName>
    <definedName name="Cellule_1993">'T6 TB11'!$D$72</definedName>
    <definedName name="Cellule_1994">'T6 TB11'!$D$74</definedName>
    <definedName name="Cellule_1995">'T6 TB11'!$D$75</definedName>
    <definedName name="Cellule_1996">'T6 TB11'!$D$76</definedName>
    <definedName name="Cellule_1997">'T6 TB11'!$D$77</definedName>
    <definedName name="Cellule_1998">'T6 TB11'!$D$78</definedName>
    <definedName name="Cellule_1999">'T6 TB11'!$D$79</definedName>
    <definedName name="Cellule_2000">'T6 TB11'!$D$80</definedName>
    <definedName name="Cellule_2001">'T6 TB11'!$D$81</definedName>
    <definedName name="Cellule_2002">'T6 TB11'!$D$83</definedName>
    <definedName name="Cellule_2003">'T6 TB11'!$D$84</definedName>
    <definedName name="Cellule_2004">'T6 TB11'!$D$85</definedName>
    <definedName name="Cellule_2005">'T6 TB11'!$D$86</definedName>
    <definedName name="Cellule_2006">'T6 TB11'!$D$87</definedName>
    <definedName name="Cellule_2007">'T6 TB11'!$D$89</definedName>
    <definedName name="Cellule_2008">'T6 TB11'!$D$90</definedName>
    <definedName name="Cellule_2009">'T6 TB11'!$D$91</definedName>
    <definedName name="Cellule_2010">'T6 TB11'!$D$92</definedName>
    <definedName name="Cellule_2011">'T6 TB11'!$D$94</definedName>
    <definedName name="Cellule_2012">'T6 TB11'!$D$95</definedName>
    <definedName name="Cellule_2013">'T6 TB11'!$D$96</definedName>
    <definedName name="Cellule_2014">'T6 TB11'!$D$97</definedName>
    <definedName name="Cellule_2022">'T6 TB11'!$C$100</definedName>
    <definedName name="Cellule_2024">'T6 TB11'!$C$101</definedName>
    <definedName name="Cellule_2025">'T6 TB11'!$C$102</definedName>
    <definedName name="Cellule_2026">'T6 TB11'!$C$103</definedName>
    <definedName name="Cellule_2027">'T6 TB11'!$C$104</definedName>
    <definedName name="Cellule_2028">'T6 TB11'!$C$105</definedName>
    <definedName name="Cellule_2029">'T6 TB11'!$D$100</definedName>
    <definedName name="Cellule_2031">'T6 TB11'!$D$101</definedName>
    <definedName name="Cellule_2032">'T6 TB11'!$D$102</definedName>
    <definedName name="Cellule_2033">'T6 TB11'!$D$103</definedName>
    <definedName name="Cellule_2034">'T6 TB11'!$D$104</definedName>
    <definedName name="Cellule_2035">'T6 TB11'!$D$105</definedName>
    <definedName name="Cellule_2037">'T10 B3-+-Value'!$B$16</definedName>
    <definedName name="Cellule_2038">'T10 B3-+-Value'!$C$16</definedName>
    <definedName name="Cellule_2039">'T10 B3-+-Value'!$D$16</definedName>
    <definedName name="Cellule_2040">'T10 B3-+-Value'!$E$16</definedName>
    <definedName name="Cellule_2041">'T10 B3-+-Value'!$F$16</definedName>
    <definedName name="Cellule_2042">'T10 B3-+-Value'!$G$16</definedName>
    <definedName name="Cellule_2043">'T10 B3-+-Value'!$H$16</definedName>
    <definedName name="Cellule_2044_1">'T11 B4-Titres part'!$A$11</definedName>
    <definedName name="Cellule_2044_2">'T11 B4-Titres part'!$A$12</definedName>
    <definedName name="Cellule_2044_3">'T11 B4-Titres part'!$A$13</definedName>
    <definedName name="Cellule_2044_4">'T11 B4-Titres part'!$A$14</definedName>
    <definedName name="Cellule_2045_1">'T11 B4-Titres part'!$B$11</definedName>
    <definedName name="Cellule_2045_2">'T11 B4-Titres part'!$B$12</definedName>
    <definedName name="Cellule_2045_3">'T11 B4-Titres part'!$B$13</definedName>
    <definedName name="Cellule_2045_4">'T11 B4-Titres part'!$B$14</definedName>
    <definedName name="Cellule_2046_1">'T11 B4-Titres part'!$C$11</definedName>
    <definedName name="Cellule_2046_2">'T11 B4-Titres part'!$C$12</definedName>
    <definedName name="Cellule_2046_3">'T11 B4-Titres part'!$C$13</definedName>
    <definedName name="Cellule_2046_4">'T11 B4-Titres part'!$C$14</definedName>
    <definedName name="Cellule_2047_1">'T11 B4-Titres part'!$D$11</definedName>
    <definedName name="Cellule_2047_2">'T11 B4-Titres part'!$D$12</definedName>
    <definedName name="Cellule_2047_3">'T11 B4-Titres part'!$D$13</definedName>
    <definedName name="Cellule_2047_4">'T11 B4-Titres part'!$D$14</definedName>
    <definedName name="Cellule_2048_1">'T11 B4-Titres part'!$E$11</definedName>
    <definedName name="Cellule_2048_2">'T11 B4-Titres part'!$E$12</definedName>
    <definedName name="Cellule_2048_3">'T11 B4-Titres part'!$E$13</definedName>
    <definedName name="Cellule_2048_4">'T11 B4-Titres part'!$E$14</definedName>
    <definedName name="Cellule_2049_1">'T11 B4-Titres part'!$F$11</definedName>
    <definedName name="Cellule_2049_2">'T11 B4-Titres part'!$F$12</definedName>
    <definedName name="Cellule_2049_3">'T11 B4-Titres part'!$F$13</definedName>
    <definedName name="Cellule_2049_4">'T11 B4-Titres part'!$F$14</definedName>
    <definedName name="Cellule_2050_1">'T11 B4-Titres part'!$G$11</definedName>
    <definedName name="Cellule_2050_2">'T11 B4-Titres part'!$G$12</definedName>
    <definedName name="Cellule_2050_3">'T11 B4-Titres part'!$G$13</definedName>
    <definedName name="Cellule_2050_4">'T11 B4-Titres part'!$G$14</definedName>
    <definedName name="Cellule_2051_1">'T11 B4-Titres part'!$H$11</definedName>
    <definedName name="Cellule_2051_2">'T11 B4-Titres part'!$H$12</definedName>
    <definedName name="Cellule_2051_3">'T11 B4-Titres part'!$H$13</definedName>
    <definedName name="Cellule_2051_4">'T11 B4-Titres part'!$H$14</definedName>
    <definedName name="Cellule_2052_1">'T11 B4-Titres part'!$I$11</definedName>
    <definedName name="Cellule_2052_2">'T11 B4-Titres part'!$I$12</definedName>
    <definedName name="Cellule_2052_3">'T11 B4-Titres part'!$I$13</definedName>
    <definedName name="Cellule_2052_4">'T11 B4-Titres part'!$I$14</definedName>
    <definedName name="Cellule_2053_1">'T11 B4-Titres part'!$J$11</definedName>
    <definedName name="Cellule_2053_2">'T11 B4-Titres part'!$J$12</definedName>
    <definedName name="Cellule_2053_3">'T11 B4-Titres part'!$J$13</definedName>
    <definedName name="Cellule_2053_4">'T11 B4-Titres part'!$J$14</definedName>
    <definedName name="Cellule_2055">'T11 B4-Titres part'!$B$15</definedName>
    <definedName name="Cellule_2056">'T11 B4-Titres part'!$C$15</definedName>
    <definedName name="Cellule_2057">'T11 B4-Titres part'!$D$15</definedName>
    <definedName name="Cellule_2058">'T11 B4-Titres part'!$E$15</definedName>
    <definedName name="Cellule_2059">'T11 B4-Titres part'!$F$15</definedName>
    <definedName name="Cellule_2060">'T11 B4-Titres part'!$G$15</definedName>
    <definedName name="Cellule_2061">'T11 B4-Titres part'!$H$15</definedName>
    <definedName name="Cellule_2062">'T11 B4-Titres part'!$I$15</definedName>
    <definedName name="Cellule_2063">'T11 B4-Titres part'!$J$15</definedName>
    <definedName name="Cellule_2065">'T12 B14-TVA'!$B$12</definedName>
    <definedName name="Cellule_2066">'T12 B14-TVA'!$C$12</definedName>
    <definedName name="Cellule_2067">'T12 B14-TVA'!$D$12</definedName>
    <definedName name="Cellule_2068">'T12 B14-TVA'!$E$12</definedName>
    <definedName name="Cellule_207">'T1 Bilan'!$C$18</definedName>
    <definedName name="Cellule_2070">'T12 B14-TVA'!$B$14</definedName>
    <definedName name="Cellule_2071">'T12 B14-TVA'!$C$14</definedName>
    <definedName name="Cellule_2072">'T12 B14-TVA'!$D$14</definedName>
    <definedName name="Cellule_2073">'T12 B14-TVA'!$E$14</definedName>
    <definedName name="Cellule_2075">'T12 B14-TVA'!$B$16</definedName>
    <definedName name="Cellule_2076">'T12 B14-TVA'!$C$16</definedName>
    <definedName name="Cellule_2077">'T12 B14-TVA'!$D$16</definedName>
    <definedName name="Cellule_2078">'T12 B14-TVA'!$E$16</definedName>
    <definedName name="Cellule_208">'T1 Bilan'!$C$19</definedName>
    <definedName name="Cellule_2080">'T12 B14-TVA'!$B$17</definedName>
    <definedName name="Cellule_2081">'T12 B14-TVA'!$C$17</definedName>
    <definedName name="Cellule_2082">'T12 B14-TVA'!$D$17</definedName>
    <definedName name="Cellule_2083">'T12 B14-TVA'!$E$17</definedName>
    <definedName name="Cellule_2085">'T12 B14-TVA'!$B$22</definedName>
    <definedName name="Cellule_2086">'T12 B14-TVA'!$C$22</definedName>
    <definedName name="Cellule_2087">'T12 B14-TVA'!$D$22</definedName>
    <definedName name="Cellule_2088">'T12 B14-TVA'!$E$22</definedName>
    <definedName name="Cellule_209">'T1 Bilan'!$C$20</definedName>
    <definedName name="Cellule_2094_1">'T13 C1-rép cap'!$A$12</definedName>
    <definedName name="Cellule_2094_2">'T13 C1-rép cap'!$A$13</definedName>
    <definedName name="Cellule_2094_3">'T13 C1-rép cap'!$A$14</definedName>
    <definedName name="Cellule_2094_4">'T13 C1-rép cap'!$A$15</definedName>
    <definedName name="Cellule_2094_5">'T13 C1-rép cap'!$A$16</definedName>
    <definedName name="Cellule_2094_6">'T13 C1-rép cap'!$A$17</definedName>
    <definedName name="Cellule_2095_1">'T13 C1-rép cap'!$D$12</definedName>
    <definedName name="Cellule_2095_2">'T13 C1-rép cap'!$D$13</definedName>
    <definedName name="Cellule_2095_3">'T13 C1-rép cap'!$D$14</definedName>
    <definedName name="Cellule_2095_4">'T13 C1-rép cap'!$D$15</definedName>
    <definedName name="Cellule_2095_5">'T13 C1-rép cap'!$D$16</definedName>
    <definedName name="Cellule_2095_6">'T13 C1-rép cap'!$D$17</definedName>
    <definedName name="Cellule_2096_1">'T13 C1-rép cap'!$E$12</definedName>
    <definedName name="Cellule_2096_2">'T13 C1-rép cap'!$E$13</definedName>
    <definedName name="Cellule_2096_3">'T13 C1-rép cap'!$E$14</definedName>
    <definedName name="Cellule_2096_4">'T13 C1-rép cap'!$E$15</definedName>
    <definedName name="Cellule_2096_5">'T13 C1-rép cap'!$E$16</definedName>
    <definedName name="Cellule_2096_6">'T13 C1-rép cap'!$E$17</definedName>
    <definedName name="Cellule_2097_1">'T13 C1-rép cap'!$F$12</definedName>
    <definedName name="Cellule_2097_2">'T13 C1-rép cap'!$F$13</definedName>
    <definedName name="Cellule_2097_3">'T13 C1-rép cap'!$F$14</definedName>
    <definedName name="Cellule_2097_4">'T13 C1-rép cap'!$F$15</definedName>
    <definedName name="Cellule_2097_5">'T13 C1-rép cap'!$F$16</definedName>
    <definedName name="Cellule_2097_6">'T13 C1-rép cap'!$F$17</definedName>
    <definedName name="Cellule_2098_1">'T13 C1-rép cap'!$G$12</definedName>
    <definedName name="Cellule_2098_2">'T13 C1-rép cap'!$G$13</definedName>
    <definedName name="Cellule_2098_3">'T13 C1-rép cap'!$G$14</definedName>
    <definedName name="Cellule_2098_4">'T13 C1-rép cap'!$G$15</definedName>
    <definedName name="Cellule_2098_5">'T13 C1-rép cap'!$G$16</definedName>
    <definedName name="Cellule_2098_6">'T13 C1-rép cap'!$G$17</definedName>
    <definedName name="Cellule_2099_1">'T13 C1-rép cap'!$H$12</definedName>
    <definedName name="Cellule_2099_2">'T13 C1-rép cap'!$H$13</definedName>
    <definedName name="Cellule_2099_3">'T13 C1-rép cap'!$H$14</definedName>
    <definedName name="Cellule_2099_4">'T13 C1-rép cap'!$H$15</definedName>
    <definedName name="Cellule_2099_5">'T13 C1-rép cap'!$H$16</definedName>
    <definedName name="Cellule_2099_6">'T13 C1-rép cap'!$H$17</definedName>
    <definedName name="Cellule_210">'T1 Bilan'!$C$21</definedName>
    <definedName name="Cellule_2100_1">'T13 C1-rép cap'!$I$12</definedName>
    <definedName name="Cellule_2100_2">'T13 C1-rép cap'!$I$13</definedName>
    <definedName name="Cellule_2100_3">'T13 C1-rép cap'!$I$14</definedName>
    <definedName name="Cellule_2100_4">'T13 C1-rép cap'!$I$15</definedName>
    <definedName name="Cellule_2100_5">'T13 C1-rép cap'!$I$16</definedName>
    <definedName name="Cellule_2100_6">'T13 C1-rép cap'!$I$17</definedName>
    <definedName name="Cellule_2101_1">'T13 C1-rép cap'!$J$12</definedName>
    <definedName name="Cellule_2101_2">'T13 C1-rép cap'!$J$13</definedName>
    <definedName name="Cellule_2101_3">'T13 C1-rép cap'!$J$14</definedName>
    <definedName name="Cellule_2101_4">'T13 C1-rép cap'!$J$15</definedName>
    <definedName name="Cellule_2101_5">'T13 C1-rép cap'!$J$16</definedName>
    <definedName name="Cellule_2101_6">'T13 C1-rép cap'!$J$17</definedName>
    <definedName name="Cellule_211">'T1 Bilan'!$C$22</definedName>
    <definedName name="Cellule_212">'T1 Bilan'!$C$23</definedName>
    <definedName name="Cellule_213">'T1 Bilan'!$C$24</definedName>
    <definedName name="Cellule_214">'T1 Bilan'!$D$18</definedName>
    <definedName name="Cellule_215">'T1 Bilan'!$D$19</definedName>
    <definedName name="Cellule_216">'T1 Bilan'!$D$20</definedName>
    <definedName name="Cellule_217">'T1 Bilan'!$D$21</definedName>
    <definedName name="Cellule_218">'T1 Bilan'!$D$22</definedName>
    <definedName name="Cellule_219">'T1 Bilan'!$D$23</definedName>
    <definedName name="Cellule_22">'T16 Amort'!$G$7</definedName>
    <definedName name="Cellule_220">'T1 Bilan'!$D$24</definedName>
    <definedName name="Cellule_221">'T1 Bilan'!$E$18</definedName>
    <definedName name="Cellule_222">'T1 Bilan'!$E$19</definedName>
    <definedName name="Cellule_223">'T1 Bilan'!$E$20</definedName>
    <definedName name="Cellule_224">'T1 Bilan'!$E$21</definedName>
    <definedName name="Cellule_225">'T1 Bilan'!$E$22</definedName>
    <definedName name="Cellule_226">'T1 Bilan'!$E$23</definedName>
    <definedName name="Cellule_227">'T1 Bilan'!$E$24</definedName>
    <definedName name="Cellule_228">'T1 Bilan'!$G$18</definedName>
    <definedName name="Cellule_229">'T1 Bilan'!$G$19</definedName>
    <definedName name="Cellule_230">'T1 Bilan'!$G$20</definedName>
    <definedName name="Cellule_231">'T1 Bilan'!$G$21</definedName>
    <definedName name="Cellule_232">'T1 Bilan'!$G$22</definedName>
    <definedName name="Cellule_233">'T1 Bilan'!$G$23</definedName>
    <definedName name="Cellule_234">'T1 Bilan'!$G$24</definedName>
    <definedName name="Cellule_238">'T1 Bilan'!$C$9</definedName>
    <definedName name="Cellule_239">'T1 Bilan'!$C$10</definedName>
    <definedName name="Cellule_240">'T1 Bilan'!$C$11</definedName>
    <definedName name="Cellule_241">'T1 Bilan'!$D$9</definedName>
    <definedName name="Cellule_242">'T1 Bilan'!$D$10</definedName>
    <definedName name="Cellule_243">'T1 Bilan'!$D$11</definedName>
    <definedName name="Cellule_244">'T1 Bilan'!$E$9</definedName>
    <definedName name="Cellule_245">'T1 Bilan'!$E$10</definedName>
    <definedName name="Cellule_246">'T1 Bilan'!$E$11</definedName>
    <definedName name="Cellule_247">'T1 Bilan'!$G$9</definedName>
    <definedName name="Cellule_248">'T1 Bilan'!$G$10</definedName>
    <definedName name="Cellule_249">'T1 Bilan'!$G$11</definedName>
    <definedName name="Cellule_254">'T1 Bilan'!$C$26</definedName>
    <definedName name="Cellule_255">'T1 Bilan'!$C$27</definedName>
    <definedName name="Cellule_256">'T1 Bilan'!$C$28</definedName>
    <definedName name="Cellule_257">'T1 Bilan'!$C$29</definedName>
    <definedName name="Cellule_258">'T1 Bilan'!$D$26</definedName>
    <definedName name="Cellule_259">'T1 Bilan'!$D$27</definedName>
    <definedName name="Cellule_260">'T1 Bilan'!$D$28</definedName>
    <definedName name="Cellule_261">'T1 Bilan'!$D$29</definedName>
    <definedName name="Cellule_262">'T1 Bilan'!$E$26</definedName>
    <definedName name="Cellule_263">'T1 Bilan'!$E$27</definedName>
    <definedName name="Cellule_264">'T1 Bilan'!$E$28</definedName>
    <definedName name="Cellule_265">'T1 Bilan'!$E$29</definedName>
    <definedName name="Cellule_266">'T1 Bilan'!$G$26</definedName>
    <definedName name="Cellule_267">'T1 Bilan'!$G$27</definedName>
    <definedName name="Cellule_268">'T1 Bilan'!$G$28</definedName>
    <definedName name="Cellule_269">'T1 Bilan'!$G$29</definedName>
    <definedName name="Cellule_274">'T1 Bilan'!$C$13</definedName>
    <definedName name="Cellule_275">'T1 Bilan'!$C$14</definedName>
    <definedName name="Cellule_276">'T1 Bilan'!$C$15</definedName>
    <definedName name="Cellule_277">'T1 Bilan'!$C$16</definedName>
    <definedName name="Cellule_278">'T1 Bilan'!$D$13</definedName>
    <definedName name="Cellule_279">'T1 Bilan'!$D$14</definedName>
    <definedName name="Cellule_280">'T1 Bilan'!$D$15</definedName>
    <definedName name="Cellule_281">'T1 Bilan'!$D$16</definedName>
    <definedName name="Cellule_282">'T1 Bilan'!$E$13</definedName>
    <definedName name="Cellule_283">'T1 Bilan'!$E$14</definedName>
    <definedName name="Cellule_284">'T1 Bilan'!$E$15</definedName>
    <definedName name="Cellule_285">'T1 Bilan'!$E$16</definedName>
    <definedName name="Cellule_286">'T1 Bilan'!$G$13</definedName>
    <definedName name="Cellule_287">'T1 Bilan'!$G$14</definedName>
    <definedName name="Cellule_288">'T1 Bilan'!$G$15</definedName>
    <definedName name="Cellule_289">'T1 Bilan'!$G$16</definedName>
    <definedName name="Cellule_291">'T1 Bilan'!$C$33</definedName>
    <definedName name="Cellule_292">'T1 Bilan'!$D$33</definedName>
    <definedName name="Cellule_293">'T1 Bilan'!$E$33</definedName>
    <definedName name="Cellule_294">'T1 Bilan'!$G$33</definedName>
    <definedName name="Cellule_296">'T1 Bilan'!$C$52</definedName>
    <definedName name="Cellule_297">'T1 Bilan'!$D$52</definedName>
    <definedName name="Cellule_298">'T1 Bilan'!$E$52</definedName>
    <definedName name="Cellule_299">'T1 Bilan'!$G$52</definedName>
    <definedName name="Cellule_303">'T1 Bilan'!$C$55</definedName>
    <definedName name="Cellule_304">'T1 Bilan'!$C$56</definedName>
    <definedName name="Cellule_305">'T1 Bilan'!$C$57</definedName>
    <definedName name="Cellule_306">'T1 Bilan'!$D$55</definedName>
    <definedName name="Cellule_307">'T1 Bilan'!$D$56</definedName>
    <definedName name="Cellule_308">'T1 Bilan'!$D$57</definedName>
    <definedName name="Cellule_309">'T1 Bilan'!$E$55</definedName>
    <definedName name="Cellule_310">'T1 Bilan'!$E$56</definedName>
    <definedName name="Cellule_311">'T1 Bilan'!$E$57</definedName>
    <definedName name="Cellule_312">'T1 Bilan'!$G$55</definedName>
    <definedName name="Cellule_313">'T1 Bilan'!$G$56</definedName>
    <definedName name="Cellule_314">'T1 Bilan'!$G$57</definedName>
    <definedName name="Cellule_316">'T1 Bilan'!$C$58</definedName>
    <definedName name="Cellule_317">'T1 Bilan'!$D$58</definedName>
    <definedName name="Cellule_318">'T1 Bilan'!$E$58</definedName>
    <definedName name="Cellule_319">'T1 Bilan'!$G$58</definedName>
    <definedName name="Cellule_330">'T1 Bilan'!$D$10</definedName>
    <definedName name="Cellule_4063">'T5 ESG'!$E$20</definedName>
    <definedName name="Cellule_4064">'T5 ESG'!$G$20</definedName>
    <definedName name="Cellule_4066">'T5 ESG'!$E$22</definedName>
    <definedName name="Cellule_4067">'T5 ESG'!$G$22</definedName>
    <definedName name="Cellule_471">'T14 C2-affec resu'!$B$11</definedName>
    <definedName name="Cellule_473">'T14 C2-affec resu'!$B$12</definedName>
    <definedName name="Cellule_475">'T14 C2-affec resu'!$B$13</definedName>
    <definedName name="Cellule_477">'T14 C2-affec resu'!$B$14</definedName>
    <definedName name="Cellule_479">'T14 C2-affec resu'!$B$15</definedName>
    <definedName name="Cellule_481">'T14 C2-affec resu'!$B$18</definedName>
    <definedName name="Cellule_483">'T14 C2-affec resu'!$D$10</definedName>
    <definedName name="Cellule_485">'T14 C2-affec resu'!$D$11</definedName>
    <definedName name="Cellule_487">'T14 C2-affec resu'!$D$12</definedName>
    <definedName name="Cellule_489">'T14 C2-affec resu'!$D$13</definedName>
    <definedName name="Cellule_491">'T14 C2-affec resu'!$D$14</definedName>
    <definedName name="Cellule_493">'T14 C2-affec resu'!$D$15</definedName>
    <definedName name="Cellule_495">'T14 C2-affec resu'!$D$18</definedName>
    <definedName name="Cellule_497">'T1 Bilan'!$C$8</definedName>
    <definedName name="Cellule_498">'T1 Bilan'!$D$8</definedName>
    <definedName name="Cellule_499">'T1 Bilan'!$E$8</definedName>
    <definedName name="Cellule_50">'T16 Amort'!$G$8</definedName>
    <definedName name="Cellule_500">'T1 Bilan'!$G$8</definedName>
    <definedName name="Cellule_502">'T1 Bilan'!$C$12</definedName>
    <definedName name="Cellule_503">'T1 Bilan'!$D$12</definedName>
    <definedName name="Cellule_504">'T1 Bilan'!$E$12</definedName>
    <definedName name="Cellule_505">'T1 Bilan'!$G$12</definedName>
    <definedName name="Cellule_507">'T1 Bilan'!$C$17</definedName>
    <definedName name="Cellule_508">'T1 Bilan'!$D$17</definedName>
    <definedName name="Cellule_509">'T1 Bilan'!$E$17</definedName>
    <definedName name="Cellule_51">'T16 Amort'!$G$9</definedName>
    <definedName name="Cellule_510">'T1 Bilan'!$G$17</definedName>
    <definedName name="Cellule_512">'T1 Bilan'!$C$25</definedName>
    <definedName name="Cellule_513">'T1 Bilan'!$D$25</definedName>
    <definedName name="Cellule_514">'T1 Bilan'!$E$25</definedName>
    <definedName name="Cellule_515">'T1 Bilan'!$G$25</definedName>
    <definedName name="Cellule_517">'T1 Bilan'!$C$30</definedName>
    <definedName name="Cellule_518">'T1 Bilan'!$D$30</definedName>
    <definedName name="Cellule_519">'T1 Bilan'!$E$30</definedName>
    <definedName name="Cellule_52">'T16 Amort'!$G$10</definedName>
    <definedName name="Cellule_520">'T1 Bilan'!$G$30</definedName>
    <definedName name="Cellule_522">'T1 Bilan'!$C$35</definedName>
    <definedName name="Cellule_523">'T1 Bilan'!$D$35</definedName>
    <definedName name="Cellule_524">'T1 Bilan'!$E$35</definedName>
    <definedName name="Cellule_525">'T1 Bilan'!$G$35</definedName>
    <definedName name="Cellule_527">'T1 Bilan'!$C$41</definedName>
    <definedName name="Cellule_528">'T1 Bilan'!$D$41</definedName>
    <definedName name="Cellule_529">'T1 Bilan'!$E$41</definedName>
    <definedName name="Cellule_53">'T7 CNCET B10-CB'!$K$4</definedName>
    <definedName name="Cellule_530">'T1 Bilan'!$G$41</definedName>
    <definedName name="Cellule_532">'T1 Bilan'!$C$54</definedName>
    <definedName name="Cellule_533">'T1 Bilan'!$D$54</definedName>
    <definedName name="Cellule_534">'T1 Bilan'!$E$54</definedName>
    <definedName name="Cellule_535">'T1 Bilan'!$G$54</definedName>
    <definedName name="Cellule_54">'T17 + V Fusions'!$J$6</definedName>
    <definedName name="Cellule_55">'T18 Emprunts'!$L$7</definedName>
    <definedName name="Cellule_6872">'T3 B12-res fis'!$B$50</definedName>
    <definedName name="Cellule_6873">'T3 B12-res fis'!$B$51</definedName>
    <definedName name="Cellule_6874">'T3 B12-res fis'!$C$50</definedName>
    <definedName name="Cellule_6875">'T3 B12-res fis'!$C$51</definedName>
    <definedName name="Cellule_70">'T6 TB11'!$D$3</definedName>
    <definedName name="Cellule_71">'T9 B5-PROV'!$I$3</definedName>
    <definedName name="Cellule_72">'T10 B3-+-Value'!$H$7</definedName>
    <definedName name="Cellule_7830_1">'T3 B12-res fis'!$C$34</definedName>
    <definedName name="Cellule_7830_2">'T3 B12-res fis'!$C$35</definedName>
    <definedName name="Cellule_7830_3">'T3 B12-res fis'!$C$36</definedName>
    <definedName name="Cellule_7830_4">'T3 B12-res fis'!$C$37</definedName>
    <definedName name="Cellule_7830_5">'T3 B12-res fis'!$C$38</definedName>
    <definedName name="Cellule_7830_6">'T3 B12-res fis'!$C$39</definedName>
    <definedName name="Cellule_817">'T3 B12-res fis'!$B$8</definedName>
    <definedName name="Cellule_818">'T3 B12-res fis'!$B$9</definedName>
    <definedName name="Cellule_819">'T3 B12-res fis'!$C$8</definedName>
    <definedName name="Cellule_820">'T3 B12-res fis'!$C$9</definedName>
    <definedName name="Cellule_821_1">'T3 B12-res fis'!$A$12</definedName>
    <definedName name="Cellule_821_2">'T3 B12-res fis'!$A$13</definedName>
    <definedName name="Cellule_821_3">'T3 B12-res fis'!$A$14</definedName>
    <definedName name="Cellule_821_4">'T3 B12-res fis'!$A$15</definedName>
    <definedName name="Cellule_821_5">'T3 B12-res fis'!$A$16</definedName>
    <definedName name="Cellule_821_6">'T3 B12-res fis'!$A$17</definedName>
    <definedName name="Cellule_822_1">'T3 B12-res fis'!$B$12</definedName>
    <definedName name="Cellule_822_2">'T3 B12-res fis'!$B$13</definedName>
    <definedName name="Cellule_822_3">'T3 B12-res fis'!$B$14</definedName>
    <definedName name="Cellule_822_4">'T3 B12-res fis'!$B$15</definedName>
    <definedName name="Cellule_822_5">'T3 B12-res fis'!$B$16</definedName>
    <definedName name="Cellule_822_6">'T3 B12-res fis'!$B$17</definedName>
    <definedName name="Cellule_823_1">'T3 B12-res fis'!$C$12</definedName>
    <definedName name="Cellule_823_2">'T3 B12-res fis'!$C$13</definedName>
    <definedName name="Cellule_823_3">'T3 B12-res fis'!$C$14</definedName>
    <definedName name="Cellule_823_4">'T3 B12-res fis'!$C$15</definedName>
    <definedName name="Cellule_823_5">'T3 B12-res fis'!$C$16</definedName>
    <definedName name="Cellule_823_6">'T3 B12-res fis'!$C$17</definedName>
    <definedName name="Cellule_824_1">'T3 B12-res fis'!$A$19</definedName>
    <definedName name="Cellule_824_2">'T3 B12-res fis'!$A$20</definedName>
    <definedName name="Cellule_824_3">'T3 B12-res fis'!$A$21</definedName>
    <definedName name="Cellule_824_4">'T3 B12-res fis'!$A$22</definedName>
    <definedName name="Cellule_824_5">'T3 B12-res fis'!$A$23</definedName>
    <definedName name="Cellule_824_6">'T3 B12-res fis'!$A$24</definedName>
    <definedName name="Cellule_825_1">'T3 B12-res fis'!$B$19</definedName>
    <definedName name="Cellule_825_2">'T3 B12-res fis'!$B$20</definedName>
    <definedName name="Cellule_825_3">'T3 B12-res fis'!$B$21</definedName>
    <definedName name="Cellule_825_4">'T3 B12-res fis'!$B$22</definedName>
    <definedName name="Cellule_825_5">'T3 B12-res fis'!$B$23</definedName>
    <definedName name="Cellule_825_6">'T3 B12-res fis'!$B$24</definedName>
    <definedName name="Cellule_826_1">'T3 B12-res fis'!$C$19</definedName>
    <definedName name="Cellule_826_2">'T3 B12-res fis'!$C$20</definedName>
    <definedName name="Cellule_826_3">'T3 B12-res fis'!$C$21</definedName>
    <definedName name="Cellule_826_4">'T3 B12-res fis'!$C$22</definedName>
    <definedName name="Cellule_826_5">'T3 B12-res fis'!$C$23</definedName>
    <definedName name="Cellule_826_6">'T3 B12-res fis'!$C$24</definedName>
    <definedName name="Cellule_827_1">'T3 B12-res fis'!$A$27</definedName>
    <definedName name="Cellule_827_2">'T3 B12-res fis'!$A$28</definedName>
    <definedName name="Cellule_827_3">'T3 B12-res fis'!$A$29</definedName>
    <definedName name="Cellule_827_4">'T3 B12-res fis'!$A$30</definedName>
    <definedName name="Cellule_827_5">'T3 B12-res fis'!$A$31</definedName>
    <definedName name="Cellule_827_6">'T3 B12-res fis'!$A$32</definedName>
    <definedName name="Cellule_828_1">'T3 B12-res fis'!$B$27</definedName>
    <definedName name="Cellule_828_2">'T3 B12-res fis'!$B$28</definedName>
    <definedName name="Cellule_828_3">'T3 B12-res fis'!$B$29</definedName>
    <definedName name="Cellule_828_4">'T3 B12-res fis'!$B$30</definedName>
    <definedName name="Cellule_828_5">'T3 B12-res fis'!$B$31</definedName>
    <definedName name="Cellule_828_6">'T3 B12-res fis'!$B$32</definedName>
    <definedName name="Cellule_829_1">'T3 B12-res fis'!$A$34</definedName>
    <definedName name="Cellule_829_2">'T3 B12-res fis'!$A$35</definedName>
    <definedName name="Cellule_829_3">'T3 B12-res fis'!$A$36</definedName>
    <definedName name="Cellule_829_4">'T3 B12-res fis'!$A$37</definedName>
    <definedName name="Cellule_829_5">'T3 B12-res fis'!$A$38</definedName>
    <definedName name="Cellule_829_6">'T3 B12-res fis'!$A$39</definedName>
    <definedName name="Cellule_830_1">'T3 B12-res fis'!$C$27</definedName>
    <definedName name="Cellule_830_2">'T3 B12-res fis'!$C$28</definedName>
    <definedName name="Cellule_830_3">'T3 B12-res fis'!$C$29</definedName>
    <definedName name="Cellule_830_4">'T3 B12-res fis'!$C$30</definedName>
    <definedName name="Cellule_830_5">'T3 B12-res fis'!$C$31</definedName>
    <definedName name="Cellule_830_6">'T3 B12-res fis'!$C$32</definedName>
    <definedName name="Cellule_831_1">'T3 B12-res fis'!$B$34</definedName>
    <definedName name="Cellule_831_2">'T3 B12-res fis'!$B$35</definedName>
    <definedName name="Cellule_831_3">'T3 B12-res fis'!$B$36</definedName>
    <definedName name="Cellule_831_4">'T3 B12-res fis'!$B$37</definedName>
    <definedName name="Cellule_831_5">'T3 B12-res fis'!$B$38</definedName>
    <definedName name="Cellule_831_6">'T3 B12-res fis'!$B$39</definedName>
    <definedName name="Cellule_833">'T3 B12-res fis'!$B$40</definedName>
    <definedName name="Cellule_834">'T3 B12-res fis'!$C$40</definedName>
    <definedName name="Cellule_837">'T3 B12-res fis'!$B$42</definedName>
    <definedName name="Cellule_838">'T3 B12-res fis'!$B$43</definedName>
    <definedName name="Cellule_839">'T3 B12-res fis'!$C$42</definedName>
    <definedName name="Cellule_840">'T3 B12-res fis'!$C$43</definedName>
    <definedName name="Cellule_845">'T3 B12-res fis'!$B$45</definedName>
    <definedName name="Cellule_846">'T3 B12-res fis'!$B$46</definedName>
    <definedName name="Cellule_847">'T3 B12-res fis'!$B$47</definedName>
    <definedName name="Cellule_848">'T3 B12-res fis'!$B$48</definedName>
    <definedName name="Cellule_849">'T3 B12-res fis'!$C$45</definedName>
    <definedName name="Cellule_850">'T3 B12-res fis'!$C$46</definedName>
    <definedName name="Cellule_851">'T3 B12-res fis'!$C$47</definedName>
    <definedName name="Cellule_852">'T3 B12-res fis'!$C$48</definedName>
    <definedName name="Cellule_854">'T3 B12-res fis'!$B$53</definedName>
    <definedName name="Cellule_855">'T3 B12-res fis'!$C$53</definedName>
    <definedName name="Cellule_860">'T3 B12-res fis'!$B$55</definedName>
    <definedName name="Cellule_861">'T3 B12-res fis'!$B$56</definedName>
    <definedName name="Cellule_862">'T3 B12-res fis'!#REF!</definedName>
    <definedName name="Cellule_863">'T3 B12-res fis'!$B$57</definedName>
    <definedName name="Cellule_864">'T3 B12-res fis'!$C$55</definedName>
    <definedName name="Cellule_865">'T3 B12-res fis'!$C$56</definedName>
    <definedName name="Cellule_866">'T3 B12-res fis'!$C$57</definedName>
    <definedName name="Cellule_867">'T3 B12-res fis'!$C$58</definedName>
    <definedName name="Cellule_873">'T15 Encourag'!$C$9</definedName>
    <definedName name="Cellule_874">'T15 Encourag'!$D$9</definedName>
    <definedName name="Cellule_875">'T15 Encourag'!$E$9</definedName>
    <definedName name="Cellule_877">'T15 Encourag'!$C$10</definedName>
    <definedName name="Cellule_878">'T15 Encourag'!$D$10</definedName>
    <definedName name="Cellule_879">'T15 Encourag'!$E$10</definedName>
    <definedName name="Cellule_881">'T15 Encourag'!$C$11</definedName>
    <definedName name="Cellule_882">'T15 Encourag'!$D$11</definedName>
    <definedName name="Cellule_883">'T15 Encourag'!$E$11</definedName>
    <definedName name="Cellule_885">'T15 Encourag'!$C$13</definedName>
    <definedName name="Cellule_886">'T15 Encourag'!$D$13</definedName>
    <definedName name="Cellule_887">'T15 Encourag'!$E$13</definedName>
    <definedName name="Cellule_893">'T15 Encourag'!$C$14</definedName>
    <definedName name="Cellule_894">'T15 Encourag'!$D$14</definedName>
    <definedName name="Cellule_895">'T15 Encourag'!$E$14</definedName>
    <definedName name="Cellule_897">'T15 Encourag'!$C$15</definedName>
    <definedName name="Cellule_898">'T15 Encourag'!$D$15</definedName>
    <definedName name="Cellule_899">'T15 Encourag'!$E$15</definedName>
    <definedName name="Cellule_901">'T15 Encourag'!$C$18</definedName>
    <definedName name="Cellule_902">'T15 Encourag'!$D$18</definedName>
    <definedName name="Cellule_903">'T15 Encourag'!$E$18</definedName>
    <definedName name="Cellule_905">'T15 Encourag'!$C$19</definedName>
    <definedName name="Cellule_906">'T15 Encourag'!$D$19</definedName>
    <definedName name="Cellule_907">'T15 Encourag'!$E$19</definedName>
    <definedName name="Cellule_909">'T15 Encourag'!$C$20</definedName>
    <definedName name="Cellule_910">'T15 Encourag'!$D$20</definedName>
    <definedName name="Cellule_911">'T15 Encourag'!$E$20</definedName>
    <definedName name="Cellule_921">'T15 Encourag'!$C$23</definedName>
    <definedName name="Cellule_922">'T15 Encourag'!$D$23</definedName>
    <definedName name="Cellule_923">'T15 Encourag'!$E$23</definedName>
    <definedName name="Cellule_925">'T15 Encourag'!$C$24</definedName>
    <definedName name="Cellule_926">'T15 Encourag'!$D$24</definedName>
    <definedName name="Cellule_927">'T15 Encourag'!$E$24</definedName>
    <definedName name="Cellule_929">'T15 Encourag'!$C$25</definedName>
    <definedName name="Cellule_930">'T15 Encourag'!$D$25</definedName>
    <definedName name="Cellule_931">'T15 Encourag'!$E$25</definedName>
    <definedName name="Cellule_933">'T15 Encourag'!$C$26</definedName>
    <definedName name="Cellule_934">'T15 Encourag'!$D$26</definedName>
    <definedName name="Cellule_935">'T15 Encourag'!$E$26</definedName>
    <definedName name="Cellule_937">'T15 Encourag'!$C$27</definedName>
    <definedName name="Cellule_938">'T15 Encourag'!$D$27</definedName>
    <definedName name="Cellule_939">'T15 Encourag'!$E$27</definedName>
    <definedName name="Cellule_949">'T15 Encourag'!$C$30</definedName>
    <definedName name="Cellule_950">'T15 Encourag'!$D$30</definedName>
    <definedName name="Cellule_951">'T15 Encourag'!$E$30</definedName>
    <definedName name="Cellule_966">'T4 B2-immo'!$B$10</definedName>
    <definedName name="Cellule_967">'T4 B2-immo'!$B$11</definedName>
    <definedName name="Cellule_968">'T4 B2-immo'!$B$12</definedName>
    <definedName name="Cellule_969">'T4 B2-immo'!$B$15</definedName>
    <definedName name="Cellule_970">'T4 B2-immo'!$B$16</definedName>
    <definedName name="Cellule_971">'T4 B2-immo'!$B$17</definedName>
    <definedName name="Cellule_972">'T4 B2-immo'!$B$18</definedName>
    <definedName name="Cellule_973">'T4 B2-immo'!$B$21</definedName>
    <definedName name="Cellule_974">'T4 B2-immo'!$B$22</definedName>
    <definedName name="Cellule_975">'T4 B2-immo'!$B$23</definedName>
    <definedName name="Cellule_976">'T4 B2-immo'!$B$24</definedName>
    <definedName name="Cellule_977">'T4 B2-immo'!$B$27</definedName>
    <definedName name="Cellule_978">'T4 B2-immo'!$B$25</definedName>
    <definedName name="Cellule_979">'T4 B2-immo'!$B$26</definedName>
    <definedName name="Cellule_980">'T4 B2-immo'!$C$10</definedName>
    <definedName name="Cellule_981">'T4 B2-immo'!$C$11</definedName>
    <definedName name="Cellule_982">'T4 B2-immo'!$C$12</definedName>
    <definedName name="Cellule_983">'T4 B2-immo'!$C$15</definedName>
    <definedName name="Cellule_984">'T4 B2-immo'!$C$16</definedName>
    <definedName name="Cellule_985">'T4 B2-immo'!$C$17</definedName>
    <definedName name="Cellule_986">'T4 B2-immo'!$C$18</definedName>
    <definedName name="Cellule_987">'T4 B2-immo'!$C$21</definedName>
    <definedName name="Cellule_988">'T4 B2-immo'!$C$22</definedName>
    <definedName name="Cellule_989">'T4 B2-immo'!$C$23</definedName>
    <definedName name="Cellule_990">'T4 B2-immo'!$C$24</definedName>
    <definedName name="Cellule_991">'T4 B2-immo'!$C$27</definedName>
    <definedName name="Cellule_992">'T4 B2-immo'!$C$25</definedName>
    <definedName name="Cellule_993">'T4 B2-immo'!$C$26</definedName>
    <definedName name="Cellule_994">'T4 B2-immo'!$D$10</definedName>
    <definedName name="Cellule_995">'T4 B2-immo'!$D$11</definedName>
    <definedName name="Cellule_996">'T4 B2-immo'!$D$12</definedName>
    <definedName name="Cellule_997">'T4 B2-immo'!$D$15</definedName>
    <definedName name="Cellule_998">'T4 B2-immo'!$D$16</definedName>
    <definedName name="Cellule_999">'T4 B2-immo'!$D$17</definedName>
    <definedName name="Cellule497">'T1 Bilan'!$C$8</definedName>
    <definedName name="E" localSheetId="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E"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ETASYNT_Balance_Liste">'Balance N Retraitée'!$A$1:$H$62</definedName>
    <definedName name="F" localSheetId="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F"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G" localSheetId="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G"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xlnm.Print_Titles" localSheetId="8">'Balance N Retraitée'!$1:$1</definedName>
    <definedName name="oaoaoaoao" localSheetId="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oaoaoaoao"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onacpc" localSheetId="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onacpc"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papapa" localSheetId="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papapa"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papapapapap" localSheetId="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papapapapap"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T" localSheetId="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T"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TAB16SUIT2">'[1]TABLAU16 (FRAIS PRELIM)'!#REF!</definedName>
    <definedName name="wrn.JEU." localSheetId="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wrn.JEU."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Z" localSheetId="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Z"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xlnm.Print_Area" localSheetId="31">' A2 '!$A$1:$C$43</definedName>
    <definedName name="_xlnm.Print_Area" localSheetId="38">'B13-res cour'!$A$1:$B$31</definedName>
    <definedName name="_xlnm.Print_Area" localSheetId="33">'B1-Tab non val'!$A$1:$D$32</definedName>
    <definedName name="_xlnm.Print_Area" localSheetId="34">'B6-CREANCES-01'!$A$1:$I$20</definedName>
    <definedName name="_xlnm.Print_Area" localSheetId="35">'B7-dettes'!$A$1:$I$21</definedName>
    <definedName name="_xlnm.Print_Area" localSheetId="36">'B8-SURETES-01'!$A$1:$F$36</definedName>
    <definedName name="_xlnm.Print_Area" localSheetId="37">'B9-Eng fin'!$B$1:$D$39</definedName>
    <definedName name="_xlnm.Print_Area" localSheetId="6">'Balance N'!$A$225:$M$321</definedName>
    <definedName name="_xlnm.Print_Area" localSheetId="8">'Balance N Retraitée'!$J$1:$M$10</definedName>
    <definedName name="_xlnm.Print_Area" localSheetId="44">'bilan condens'!$A$1:$F$37</definedName>
    <definedName name="_xlnm.Print_Area" localSheetId="40">'C3-3 exer'!$A$1:$D$28</definedName>
    <definedName name="_xlnm.Print_Area" localSheetId="41">'C4-ope  dev'!$A$1:$D$28</definedName>
    <definedName name="_xlnm.Print_Area" localSheetId="42">'C5- Datation'!$B$1:$D$42</definedName>
    <definedName name="_xlnm.Print_Area" localSheetId="30">'ETIC  A0 A1'!$B$1:$B$99</definedName>
    <definedName name="_xlnm.Print_Area" localSheetId="1">Identification!$A$1:$F$17</definedName>
    <definedName name="_xlnm.Print_Area" localSheetId="10">'T1 Bilan'!$A$1:$G$123</definedName>
    <definedName name="_xlnm.Print_Area" localSheetId="19">'T10 B3-+-Value'!$A$1:$H$17</definedName>
    <definedName name="_xlnm.Print_Area" localSheetId="20">'T11 B4-Titres part'!$A$1:$J$16</definedName>
    <definedName name="_xlnm.Print_Area" localSheetId="21">'T12 B14-TVA'!$A$1:$E$23</definedName>
    <definedName name="_xlnm.Print_Area" localSheetId="22">'T13 C1-rép cap'!$A$1:$J$20</definedName>
    <definedName name="_xlnm.Print_Area" localSheetId="23">'T14 C2-affec resu'!$A$1:$D$20</definedName>
    <definedName name="_xlnm.Print_Area" localSheetId="24">'T15 Encourag'!$A$1:$E$43</definedName>
    <definedName name="_xlnm.Print_Area" localSheetId="25">'T16 Amort'!$A$1:$J$27</definedName>
    <definedName name="_xlnm.Print_Area" localSheetId="27">'T18 Emprunts'!$A$1:$M$25</definedName>
    <definedName name="_xlnm.Print_Area" localSheetId="28">'T19 Locations'!$A$1:$I$21</definedName>
    <definedName name="_xlnm.Print_Area" localSheetId="11">'T2 CPC'!$A$1:$G$78</definedName>
    <definedName name="_xlnm.Print_Area" localSheetId="12">'T3 B12-res fis'!$A$1:$C$60</definedName>
    <definedName name="_xlnm.Print_Area" localSheetId="13">'T4 B2-immo'!$A$1:$I$27</definedName>
    <definedName name="_xlnm.Print_Area" localSheetId="14">'T5 ESG'!$A$1:$G$52</definedName>
    <definedName name="_xlnm.Print_Area" localSheetId="15">'T6 TB11'!$A$1:$D$105</definedName>
    <definedName name="_xlnm.Print_Area" localSheetId="16">'T7 CNCET B10-CB'!$A$1:$K$17</definedName>
    <definedName name="_xlnm.Print_Area" localSheetId="17">'T8 B2 BIS'!$A$1:$E$31</definedName>
    <definedName name="_xlnm.Print_Area" localSheetId="18">'T9 B5-PROV'!$A$1:$I$33</definedName>
    <definedName name="_xlnm.Print_Area" localSheetId="43">TF!$A$1:$G$56</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14" i="71" l="1"/>
  <c r="H15" i="71"/>
  <c r="H16" i="71"/>
  <c r="H17" i="71"/>
  <c r="H18" i="71"/>
  <c r="H19" i="71"/>
  <c r="H20" i="71"/>
  <c r="H21" i="71"/>
  <c r="H22" i="71"/>
  <c r="H23" i="71"/>
  <c r="H24" i="71"/>
  <c r="H25" i="71"/>
  <c r="H26" i="71"/>
  <c r="H27" i="71"/>
  <c r="H28" i="71"/>
  <c r="H29" i="71"/>
  <c r="H30" i="71"/>
  <c r="H31" i="71"/>
  <c r="H32" i="71"/>
  <c r="H33" i="71"/>
  <c r="H37" i="71"/>
  <c r="I24" i="71"/>
  <c r="D37" i="71"/>
  <c r="E37" i="71"/>
  <c r="C37" i="71"/>
  <c r="I33" i="71"/>
  <c r="I32" i="71"/>
  <c r="I31" i="71"/>
  <c r="A2"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C11" i="47"/>
  <c r="C33" i="23"/>
  <c r="I16" i="71"/>
  <c r="I15" i="71"/>
  <c r="I25" i="71"/>
  <c r="I22" i="71"/>
  <c r="I21" i="71"/>
  <c r="I20" i="71"/>
  <c r="I19" i="71"/>
  <c r="I18" i="71"/>
  <c r="I17" i="71"/>
  <c r="I14" i="71"/>
  <c r="I30" i="71"/>
  <c r="I29" i="71"/>
  <c r="I28" i="71"/>
  <c r="I27" i="71"/>
  <c r="I26" i="71"/>
  <c r="A2" i="63"/>
  <c r="A3" i="63"/>
  <c r="A4" i="63"/>
  <c r="H4" i="63"/>
  <c r="A5" i="63"/>
  <c r="A6" i="63"/>
  <c r="A7" i="63"/>
  <c r="A8" i="63"/>
  <c r="A9" i="63"/>
  <c r="A10" i="63"/>
  <c r="A11" i="63"/>
  <c r="A12" i="63"/>
  <c r="A13" i="63"/>
  <c r="A14" i="63"/>
  <c r="A15" i="63"/>
  <c r="A16" i="63"/>
  <c r="A17" i="63"/>
  <c r="A18" i="63"/>
  <c r="A19" i="63"/>
  <c r="A20" i="63"/>
  <c r="A21" i="63"/>
  <c r="A22" i="63"/>
  <c r="A23" i="63"/>
  <c r="A24" i="63"/>
  <c r="A25" i="63"/>
  <c r="A26" i="63"/>
  <c r="A27" i="63"/>
  <c r="A28" i="63"/>
  <c r="A29" i="63"/>
  <c r="A30" i="63"/>
  <c r="A31" i="63"/>
  <c r="A32" i="63"/>
  <c r="A33" i="63"/>
  <c r="A34" i="63"/>
  <c r="A35" i="63"/>
  <c r="A36" i="63"/>
  <c r="A37" i="63"/>
  <c r="A38" i="63"/>
  <c r="A39" i="63"/>
  <c r="A40" i="63"/>
  <c r="A41" i="63"/>
  <c r="A42" i="63"/>
  <c r="A43" i="63"/>
  <c r="A44" i="63"/>
  <c r="A45" i="63"/>
  <c r="A46" i="63"/>
  <c r="A47" i="63"/>
  <c r="A48" i="63"/>
  <c r="A49" i="63"/>
  <c r="A50" i="63"/>
  <c r="A51" i="63"/>
  <c r="A52" i="63"/>
  <c r="A53" i="63"/>
  <c r="A54" i="63"/>
  <c r="A55" i="63"/>
  <c r="A56" i="63"/>
  <c r="A57" i="63"/>
  <c r="A58" i="63"/>
  <c r="A59" i="63"/>
  <c r="A60" i="63"/>
  <c r="A61" i="63"/>
  <c r="A62" i="63"/>
  <c r="A63" i="63"/>
  <c r="A64" i="63"/>
  <c r="A65" i="63"/>
  <c r="A66" i="63"/>
  <c r="A67" i="63"/>
  <c r="A68" i="63"/>
  <c r="A69" i="63"/>
  <c r="A70" i="63"/>
  <c r="A71" i="63"/>
  <c r="A72" i="63"/>
  <c r="A73" i="63"/>
  <c r="A74" i="63"/>
  <c r="A75" i="63"/>
  <c r="A76" i="63"/>
  <c r="A77" i="63"/>
  <c r="A78" i="63"/>
  <c r="A79" i="63"/>
  <c r="A80" i="63"/>
  <c r="A81" i="63"/>
  <c r="A82" i="63"/>
  <c r="A83" i="63"/>
  <c r="A84" i="63"/>
  <c r="A85" i="63"/>
  <c r="A86" i="63"/>
  <c r="A87" i="63"/>
  <c r="A88" i="63"/>
  <c r="A89" i="63"/>
  <c r="A90" i="63"/>
  <c r="A91" i="63"/>
  <c r="A92" i="63"/>
  <c r="A93" i="63"/>
  <c r="A94" i="63"/>
  <c r="A95" i="63"/>
  <c r="A96" i="63"/>
  <c r="A97" i="63"/>
  <c r="A98" i="63"/>
  <c r="A99" i="63"/>
  <c r="A100" i="63"/>
  <c r="A101" i="63"/>
  <c r="A102" i="63"/>
  <c r="A103" i="63"/>
  <c r="A104" i="63"/>
  <c r="A105" i="63"/>
  <c r="A106" i="63"/>
  <c r="A107" i="63"/>
  <c r="A108" i="63"/>
  <c r="A109" i="63"/>
  <c r="A110" i="63"/>
  <c r="A111" i="63"/>
  <c r="A112" i="63"/>
  <c r="A113" i="63"/>
  <c r="A114" i="63"/>
  <c r="A115" i="63"/>
  <c r="A116" i="63"/>
  <c r="A117" i="63"/>
  <c r="A118" i="63"/>
  <c r="A119" i="63"/>
  <c r="A120" i="63"/>
  <c r="A121" i="63"/>
  <c r="A122" i="63"/>
  <c r="A123" i="63"/>
  <c r="A124" i="63"/>
  <c r="A125" i="63"/>
  <c r="A126" i="63"/>
  <c r="A127" i="63"/>
  <c r="A128" i="63"/>
  <c r="A129" i="63"/>
  <c r="A130" i="63"/>
  <c r="A131" i="63"/>
  <c r="A132" i="63"/>
  <c r="A133" i="63"/>
  <c r="A134" i="63"/>
  <c r="A135" i="63"/>
  <c r="A136" i="63"/>
  <c r="A137" i="63"/>
  <c r="A138" i="63"/>
  <c r="A139" i="63"/>
  <c r="A140" i="63"/>
  <c r="A141" i="63"/>
  <c r="A142" i="63"/>
  <c r="A143" i="63"/>
  <c r="A144" i="63"/>
  <c r="A145" i="63"/>
  <c r="A146" i="63"/>
  <c r="A147" i="63"/>
  <c r="A148" i="63"/>
  <c r="A149" i="63"/>
  <c r="A150" i="63"/>
  <c r="A151" i="63"/>
  <c r="A152" i="63"/>
  <c r="A153" i="63"/>
  <c r="A154" i="63"/>
  <c r="A155" i="63"/>
  <c r="A156" i="63"/>
  <c r="A157" i="63"/>
  <c r="A158" i="63"/>
  <c r="A159" i="63"/>
  <c r="A160" i="63"/>
  <c r="A161" i="63"/>
  <c r="A162" i="63"/>
  <c r="A163" i="63"/>
  <c r="A164" i="63"/>
  <c r="A165" i="63"/>
  <c r="A166" i="63"/>
  <c r="A167" i="63"/>
  <c r="A168" i="63"/>
  <c r="A169" i="63"/>
  <c r="A170" i="63"/>
  <c r="A171" i="63"/>
  <c r="A172" i="63"/>
  <c r="A173" i="63"/>
  <c r="A174" i="63"/>
  <c r="A175" i="63"/>
  <c r="A176" i="63"/>
  <c r="A177" i="63"/>
  <c r="A178" i="63"/>
  <c r="A179" i="63"/>
  <c r="A180" i="63"/>
  <c r="A181" i="63"/>
  <c r="A182" i="63"/>
  <c r="A183" i="63"/>
  <c r="A184" i="63"/>
  <c r="A185" i="63"/>
  <c r="A186" i="63"/>
  <c r="A187" i="63"/>
  <c r="A188" i="63"/>
  <c r="A189" i="63"/>
  <c r="A190" i="63"/>
  <c r="A191" i="63"/>
  <c r="A192" i="63"/>
  <c r="A193" i="63"/>
  <c r="A194" i="63"/>
  <c r="A195" i="63"/>
  <c r="A196" i="63"/>
  <c r="A197" i="63"/>
  <c r="A198" i="63"/>
  <c r="A199" i="63"/>
  <c r="A200" i="63"/>
  <c r="A201" i="63"/>
  <c r="A202" i="63"/>
  <c r="A203" i="63"/>
  <c r="A204" i="63"/>
  <c r="A205" i="63"/>
  <c r="A206" i="63"/>
  <c r="A207" i="63"/>
  <c r="A208" i="63"/>
  <c r="A209" i="63"/>
  <c r="A210" i="63"/>
  <c r="A211" i="63"/>
  <c r="A212" i="63"/>
  <c r="A213" i="63"/>
  <c r="A214" i="63"/>
  <c r="A215" i="63"/>
  <c r="A216" i="63"/>
  <c r="A217" i="63"/>
  <c r="A218" i="63"/>
  <c r="A219" i="63"/>
  <c r="A220" i="63"/>
  <c r="A221" i="63"/>
  <c r="A222" i="63"/>
  <c r="A223" i="63"/>
  <c r="A224" i="63"/>
  <c r="A225" i="63"/>
  <c r="A226" i="63"/>
  <c r="A227" i="63"/>
  <c r="A228" i="63"/>
  <c r="A229" i="63"/>
  <c r="A230" i="63"/>
  <c r="A231" i="63"/>
  <c r="A232" i="63"/>
  <c r="A233" i="63"/>
  <c r="A234" i="63"/>
  <c r="A235" i="63"/>
  <c r="A236" i="63"/>
  <c r="A237" i="63"/>
  <c r="A238" i="63"/>
  <c r="A239" i="63"/>
  <c r="A240" i="63"/>
  <c r="A241" i="63"/>
  <c r="A242" i="63"/>
  <c r="A243" i="63"/>
  <c r="A244" i="63"/>
  <c r="A245" i="63"/>
  <c r="A246" i="63"/>
  <c r="A247" i="63"/>
  <c r="A248" i="63"/>
  <c r="A249" i="63"/>
  <c r="A250" i="63"/>
  <c r="A251" i="63"/>
  <c r="A252" i="63"/>
  <c r="A253" i="63"/>
  <c r="A254" i="63"/>
  <c r="A255" i="63"/>
  <c r="A256" i="63"/>
  <c r="A257" i="63"/>
  <c r="A258" i="63"/>
  <c r="A259" i="63"/>
  <c r="A260" i="63"/>
  <c r="A261" i="63"/>
  <c r="A262" i="63"/>
  <c r="A263" i="63"/>
  <c r="A264" i="63"/>
  <c r="A265" i="63"/>
  <c r="A266" i="63"/>
  <c r="A267" i="63"/>
  <c r="A268" i="63"/>
  <c r="A269" i="63"/>
  <c r="A270" i="63"/>
  <c r="A271" i="63"/>
  <c r="A272" i="63"/>
  <c r="A273" i="63"/>
  <c r="A274" i="63"/>
  <c r="A275" i="63"/>
  <c r="A276" i="63"/>
  <c r="A277" i="63"/>
  <c r="A278" i="63"/>
  <c r="A279" i="63"/>
  <c r="A280" i="63"/>
  <c r="A281" i="63"/>
  <c r="A282" i="63"/>
  <c r="A283" i="63"/>
  <c r="A284" i="63"/>
  <c r="A285" i="63"/>
  <c r="A286" i="63"/>
  <c r="A287" i="63"/>
  <c r="A288" i="63"/>
  <c r="A289" i="63"/>
  <c r="A290" i="63"/>
  <c r="A291" i="63"/>
  <c r="A292" i="63"/>
  <c r="A293" i="63"/>
  <c r="A294" i="63"/>
  <c r="A295" i="63"/>
  <c r="A296" i="63"/>
  <c r="A297" i="63"/>
  <c r="A298" i="63"/>
  <c r="A299" i="63"/>
  <c r="A300" i="63"/>
  <c r="A301" i="63"/>
  <c r="A302" i="63"/>
  <c r="A303" i="63"/>
  <c r="A304" i="63"/>
  <c r="A305" i="63"/>
  <c r="A306" i="63"/>
  <c r="A307" i="63"/>
  <c r="A308" i="63"/>
  <c r="A309" i="63"/>
  <c r="A310" i="63"/>
  <c r="A311" i="63"/>
  <c r="A312" i="63"/>
  <c r="A313" i="63"/>
  <c r="A314" i="63"/>
  <c r="A315" i="63"/>
  <c r="A316" i="63"/>
  <c r="A317" i="63"/>
  <c r="A318" i="63"/>
  <c r="A319" i="63"/>
  <c r="A320" i="63"/>
  <c r="A321" i="63"/>
  <c r="A322" i="63"/>
  <c r="A323" i="63"/>
  <c r="A324" i="63"/>
  <c r="A325" i="63"/>
  <c r="A326" i="63"/>
  <c r="A327" i="63"/>
  <c r="A328" i="63"/>
  <c r="A329" i="63"/>
  <c r="A330" i="63"/>
  <c r="A331" i="63"/>
  <c r="A332" i="63"/>
  <c r="A333" i="63"/>
  <c r="A334" i="63"/>
  <c r="A335" i="63"/>
  <c r="A336" i="63"/>
  <c r="A337" i="63"/>
  <c r="A338" i="63"/>
  <c r="A339" i="63"/>
  <c r="A340" i="63"/>
  <c r="A341" i="63"/>
  <c r="A342" i="63"/>
  <c r="A343" i="63"/>
  <c r="A344" i="63"/>
  <c r="A345" i="63"/>
  <c r="A346" i="63"/>
  <c r="A347" i="63"/>
  <c r="A348" i="63"/>
  <c r="A349" i="63"/>
  <c r="A350" i="63"/>
  <c r="A351" i="63"/>
  <c r="A352" i="63"/>
  <c r="A353" i="63"/>
  <c r="A354" i="63"/>
  <c r="A355" i="63"/>
  <c r="A356" i="63"/>
  <c r="A357" i="63"/>
  <c r="A358" i="63"/>
  <c r="A359" i="63"/>
  <c r="A360" i="63"/>
  <c r="A361" i="63"/>
  <c r="A362" i="63"/>
  <c r="A363" i="63"/>
  <c r="A364" i="63"/>
  <c r="A365" i="63"/>
  <c r="A366" i="63"/>
  <c r="A367" i="63"/>
  <c r="A368" i="63"/>
  <c r="A369" i="63"/>
  <c r="A370" i="63"/>
  <c r="A371" i="63"/>
  <c r="A372" i="63"/>
  <c r="A373" i="63"/>
  <c r="A374" i="63"/>
  <c r="A375" i="63"/>
  <c r="A376" i="63"/>
  <c r="A377" i="63"/>
  <c r="A378" i="63"/>
  <c r="A379" i="63"/>
  <c r="A380" i="63"/>
  <c r="A381" i="63"/>
  <c r="A382" i="63"/>
  <c r="A383" i="63"/>
  <c r="A384" i="63"/>
  <c r="A385" i="63"/>
  <c r="A386" i="63"/>
  <c r="A387" i="63"/>
  <c r="A388" i="63"/>
  <c r="A389" i="63"/>
  <c r="A390" i="63"/>
  <c r="A391" i="63"/>
  <c r="A392" i="63"/>
  <c r="A393" i="63"/>
  <c r="A394" i="63"/>
  <c r="A395" i="63"/>
  <c r="A396" i="63"/>
  <c r="A397" i="63"/>
  <c r="A398" i="63"/>
  <c r="A399" i="63"/>
  <c r="A400" i="63"/>
  <c r="A401" i="63"/>
  <c r="A402" i="63"/>
  <c r="A403" i="63"/>
  <c r="A404" i="63"/>
  <c r="A405" i="63"/>
  <c r="A406" i="63"/>
  <c r="A407" i="63"/>
  <c r="A408" i="63"/>
  <c r="A409" i="63"/>
  <c r="A410" i="63"/>
  <c r="A411" i="63"/>
  <c r="A412" i="63"/>
  <c r="A413" i="63"/>
  <c r="A414" i="63"/>
  <c r="A415" i="63"/>
  <c r="A416" i="63"/>
  <c r="A417" i="63"/>
  <c r="A418" i="63"/>
  <c r="A419" i="63"/>
  <c r="A420" i="63"/>
  <c r="A421" i="63"/>
  <c r="A422" i="63"/>
  <c r="A423" i="63"/>
  <c r="A424" i="63"/>
  <c r="A425" i="63"/>
  <c r="A426" i="63"/>
  <c r="A427" i="63"/>
  <c r="A428" i="63"/>
  <c r="A429" i="63"/>
  <c r="A430" i="63"/>
  <c r="A431" i="63"/>
  <c r="A432" i="63"/>
  <c r="A433" i="63"/>
  <c r="A434" i="63"/>
  <c r="A435" i="63"/>
  <c r="A436" i="63"/>
  <c r="A437" i="63"/>
  <c r="A438" i="63"/>
  <c r="A439" i="63"/>
  <c r="A440" i="63"/>
  <c r="A441" i="63"/>
  <c r="A442" i="63"/>
  <c r="A443" i="63"/>
  <c r="A444" i="63"/>
  <c r="A445" i="63"/>
  <c r="A446" i="63"/>
  <c r="A447" i="63"/>
  <c r="A448" i="63"/>
  <c r="A449" i="63"/>
  <c r="A450" i="63"/>
  <c r="A451" i="63"/>
  <c r="A452" i="63"/>
  <c r="A453" i="63"/>
  <c r="A454" i="63"/>
  <c r="A455" i="63"/>
  <c r="A456" i="63"/>
  <c r="A457" i="63"/>
  <c r="A458" i="63"/>
  <c r="A459" i="63"/>
  <c r="A460" i="63"/>
  <c r="A461" i="63"/>
  <c r="A462" i="63"/>
  <c r="A463" i="63"/>
  <c r="A464" i="63"/>
  <c r="A465" i="63"/>
  <c r="A466" i="63"/>
  <c r="A467" i="63"/>
  <c r="A468" i="63"/>
  <c r="A469" i="63"/>
  <c r="A470" i="63"/>
  <c r="A471" i="63"/>
  <c r="A472" i="63"/>
  <c r="A473" i="63"/>
  <c r="A474" i="63"/>
  <c r="A475" i="63"/>
  <c r="A476" i="63"/>
  <c r="A477" i="63"/>
  <c r="A478" i="63"/>
  <c r="A479" i="63"/>
  <c r="A480" i="63"/>
  <c r="A481" i="63"/>
  <c r="A482" i="63"/>
  <c r="A483" i="63"/>
  <c r="A484" i="63"/>
  <c r="A485" i="63"/>
  <c r="A486" i="63"/>
  <c r="A487" i="63"/>
  <c r="A488" i="63"/>
  <c r="A489" i="63"/>
  <c r="A490" i="63"/>
  <c r="A491" i="63"/>
  <c r="A492" i="63"/>
  <c r="A493" i="63"/>
  <c r="A494" i="63"/>
  <c r="A495" i="63"/>
  <c r="A496" i="63"/>
  <c r="A497" i="63"/>
  <c r="A498" i="63"/>
  <c r="A499" i="63"/>
  <c r="A500" i="63"/>
  <c r="A501" i="63"/>
  <c r="A502" i="63"/>
  <c r="A503" i="63"/>
  <c r="A504" i="63"/>
  <c r="A505" i="63"/>
  <c r="A506" i="63"/>
  <c r="A507" i="63"/>
  <c r="A508" i="63"/>
  <c r="A509" i="63"/>
  <c r="A510" i="63"/>
  <c r="A511" i="63"/>
  <c r="A512" i="63"/>
  <c r="A513" i="63"/>
  <c r="A514" i="63"/>
  <c r="A515" i="63"/>
  <c r="A516" i="63"/>
  <c r="A517" i="63"/>
  <c r="A518" i="63"/>
  <c r="A519" i="63"/>
  <c r="A520" i="63"/>
  <c r="A521" i="63"/>
  <c r="A522" i="63"/>
  <c r="A523" i="63"/>
  <c r="A524" i="63"/>
  <c r="A525" i="63"/>
  <c r="A526" i="63"/>
  <c r="A527" i="63"/>
  <c r="A528" i="63"/>
  <c r="A529" i="63"/>
  <c r="A530" i="63"/>
  <c r="A531" i="63"/>
  <c r="A532" i="63"/>
  <c r="A533" i="63"/>
  <c r="A534" i="63"/>
  <c r="A535" i="63"/>
  <c r="A536" i="63"/>
  <c r="A537" i="63"/>
  <c r="A538" i="63"/>
  <c r="A539" i="63"/>
  <c r="A540" i="63"/>
  <c r="A541" i="63"/>
  <c r="A542" i="63"/>
  <c r="A543" i="63"/>
  <c r="A544" i="63"/>
  <c r="A545" i="63"/>
  <c r="A546" i="63"/>
  <c r="A547" i="63"/>
  <c r="A548" i="63"/>
  <c r="A549" i="63"/>
  <c r="A550" i="63"/>
  <c r="A551" i="63"/>
  <c r="A552" i="63"/>
  <c r="A553" i="63"/>
  <c r="A554" i="63"/>
  <c r="A555" i="63"/>
  <c r="A556" i="63"/>
  <c r="A557" i="63"/>
  <c r="A558" i="63"/>
  <c r="A559" i="63"/>
  <c r="A560" i="63"/>
  <c r="A561" i="63"/>
  <c r="A562" i="63"/>
  <c r="A563" i="63"/>
  <c r="A564" i="63"/>
  <c r="A565" i="63"/>
  <c r="A566" i="63"/>
  <c r="A567" i="63"/>
  <c r="A568" i="63"/>
  <c r="A569" i="63"/>
  <c r="A570" i="63"/>
  <c r="A571" i="63"/>
  <c r="A572" i="63"/>
  <c r="A573" i="63"/>
  <c r="A574" i="63"/>
  <c r="A575" i="63"/>
  <c r="A576" i="63"/>
  <c r="A577" i="63"/>
  <c r="A578" i="63"/>
  <c r="A579" i="63"/>
  <c r="A580" i="63"/>
  <c r="A581" i="63"/>
  <c r="A582" i="63"/>
  <c r="A583" i="63"/>
  <c r="A584" i="63"/>
  <c r="A585" i="63"/>
  <c r="A586" i="63"/>
  <c r="A587" i="63"/>
  <c r="A588" i="63"/>
  <c r="A589" i="63"/>
  <c r="A590" i="63"/>
  <c r="A591" i="63"/>
  <c r="A592" i="63"/>
  <c r="A593" i="63"/>
  <c r="A594" i="63"/>
  <c r="A595" i="63"/>
  <c r="A596" i="63"/>
  <c r="A597" i="63"/>
  <c r="A598" i="63"/>
  <c r="A599" i="63"/>
  <c r="A600" i="63"/>
  <c r="A601" i="63"/>
  <c r="A602" i="63"/>
  <c r="A603" i="63"/>
  <c r="A604" i="63"/>
  <c r="A605" i="63"/>
  <c r="A606" i="63"/>
  <c r="A607" i="63"/>
  <c r="A608" i="63"/>
  <c r="A609" i="63"/>
  <c r="A610" i="63"/>
  <c r="A611" i="63"/>
  <c r="A612" i="63"/>
  <c r="A613" i="63"/>
  <c r="A614" i="63"/>
  <c r="A615" i="63"/>
  <c r="A616" i="63"/>
  <c r="H2" i="63"/>
  <c r="H3" i="63"/>
  <c r="H5" i="63"/>
  <c r="H6" i="63"/>
  <c r="H7" i="63"/>
  <c r="H8" i="63"/>
  <c r="H9" i="63"/>
  <c r="H10" i="63"/>
  <c r="H11" i="63"/>
  <c r="H12" i="63"/>
  <c r="H13" i="63"/>
  <c r="H14" i="63"/>
  <c r="H15" i="63"/>
  <c r="H16" i="63"/>
  <c r="H17" i="63"/>
  <c r="H18" i="63"/>
  <c r="H19" i="63"/>
  <c r="H20" i="63"/>
  <c r="H21" i="63"/>
  <c r="H22" i="63"/>
  <c r="H23" i="63"/>
  <c r="H24" i="63"/>
  <c r="H25" i="63"/>
  <c r="H26" i="63"/>
  <c r="H27" i="63"/>
  <c r="H28" i="63"/>
  <c r="H29" i="63"/>
  <c r="H30" i="63"/>
  <c r="H31" i="63"/>
  <c r="H32" i="63"/>
  <c r="H33" i="63"/>
  <c r="H34" i="63"/>
  <c r="H35" i="63"/>
  <c r="H36" i="63"/>
  <c r="H37" i="63"/>
  <c r="H38" i="63"/>
  <c r="H39" i="63"/>
  <c r="H40" i="63"/>
  <c r="H41" i="63"/>
  <c r="H42" i="63"/>
  <c r="H43" i="63"/>
  <c r="H44" i="63"/>
  <c r="H45" i="63"/>
  <c r="H46" i="63"/>
  <c r="H47" i="63"/>
  <c r="H48" i="63"/>
  <c r="H49" i="63"/>
  <c r="H50" i="63"/>
  <c r="H51" i="63"/>
  <c r="H52" i="63"/>
  <c r="H53" i="63"/>
  <c r="H54" i="63"/>
  <c r="H55" i="63"/>
  <c r="H56" i="63"/>
  <c r="H57" i="63"/>
  <c r="H58" i="63"/>
  <c r="H59" i="63"/>
  <c r="H60" i="63"/>
  <c r="H61" i="63"/>
  <c r="H62" i="63"/>
  <c r="H63" i="63"/>
  <c r="H64" i="63"/>
  <c r="H65" i="63"/>
  <c r="H66" i="63"/>
  <c r="H67" i="63"/>
  <c r="H68" i="63"/>
  <c r="H69" i="63"/>
  <c r="H70" i="63"/>
  <c r="H71" i="63"/>
  <c r="H72" i="63"/>
  <c r="H73" i="63"/>
  <c r="H74" i="63"/>
  <c r="H75" i="63"/>
  <c r="H76" i="63"/>
  <c r="H77" i="63"/>
  <c r="H78" i="63"/>
  <c r="H79" i="63"/>
  <c r="H80" i="63"/>
  <c r="H81" i="63"/>
  <c r="H82" i="63"/>
  <c r="H83" i="63"/>
  <c r="H84" i="63"/>
  <c r="H85" i="63"/>
  <c r="H86" i="63"/>
  <c r="H87" i="63"/>
  <c r="H88" i="63"/>
  <c r="H89" i="63"/>
  <c r="H90" i="63"/>
  <c r="H91" i="63"/>
  <c r="H92" i="63"/>
  <c r="H93" i="63"/>
  <c r="H94" i="63"/>
  <c r="H95" i="63"/>
  <c r="H96" i="63"/>
  <c r="H97" i="63"/>
  <c r="H98" i="63"/>
  <c r="H99" i="63"/>
  <c r="H100" i="63"/>
  <c r="H101" i="63"/>
  <c r="H102" i="63"/>
  <c r="H103" i="63"/>
  <c r="H104" i="63"/>
  <c r="H105" i="63"/>
  <c r="H106" i="63"/>
  <c r="H107" i="63"/>
  <c r="H108" i="63"/>
  <c r="H109" i="63"/>
  <c r="H110" i="63"/>
  <c r="H111" i="63"/>
  <c r="H112" i="63"/>
  <c r="H113" i="63"/>
  <c r="H114" i="63"/>
  <c r="H115" i="63"/>
  <c r="H116" i="63"/>
  <c r="H117" i="63"/>
  <c r="H118" i="63"/>
  <c r="H119" i="63"/>
  <c r="H120" i="63"/>
  <c r="H121" i="63"/>
  <c r="H122" i="63"/>
  <c r="H123" i="63"/>
  <c r="H124" i="63"/>
  <c r="H125" i="63"/>
  <c r="H126" i="63"/>
  <c r="H127" i="63"/>
  <c r="H128" i="63"/>
  <c r="H129" i="63"/>
  <c r="H130" i="63"/>
  <c r="H131" i="63"/>
  <c r="H132" i="63"/>
  <c r="H133" i="63"/>
  <c r="H134" i="63"/>
  <c r="H135" i="63"/>
  <c r="H136" i="63"/>
  <c r="H137" i="63"/>
  <c r="H138" i="63"/>
  <c r="H139" i="63"/>
  <c r="H140" i="63"/>
  <c r="H141" i="63"/>
  <c r="H142" i="63"/>
  <c r="H143" i="63"/>
  <c r="H144" i="63"/>
  <c r="H145" i="63"/>
  <c r="H146" i="63"/>
  <c r="H147" i="63"/>
  <c r="H148" i="63"/>
  <c r="H149" i="63"/>
  <c r="H150" i="63"/>
  <c r="H151" i="63"/>
  <c r="H152" i="63"/>
  <c r="H153" i="63"/>
  <c r="H154" i="63"/>
  <c r="H155" i="63"/>
  <c r="H156" i="63"/>
  <c r="H157" i="63"/>
  <c r="H158" i="63"/>
  <c r="H159" i="63"/>
  <c r="H160" i="63"/>
  <c r="H161" i="63"/>
  <c r="H162" i="63"/>
  <c r="H163" i="63"/>
  <c r="H164" i="63"/>
  <c r="H165" i="63"/>
  <c r="H166" i="63"/>
  <c r="H167" i="63"/>
  <c r="H168" i="63"/>
  <c r="H169" i="63"/>
  <c r="H170" i="63"/>
  <c r="H171" i="63"/>
  <c r="H172" i="63"/>
  <c r="H173" i="63"/>
  <c r="H174" i="63"/>
  <c r="H175" i="63"/>
  <c r="H176" i="63"/>
  <c r="H177" i="63"/>
  <c r="H178" i="63"/>
  <c r="H179" i="63"/>
  <c r="H180" i="63"/>
  <c r="H181" i="63"/>
  <c r="H182" i="63"/>
  <c r="H183" i="63"/>
  <c r="H184" i="63"/>
  <c r="H185" i="63"/>
  <c r="H186" i="63"/>
  <c r="H187" i="63"/>
  <c r="H188" i="63"/>
  <c r="H189" i="63"/>
  <c r="H190" i="63"/>
  <c r="H191" i="63"/>
  <c r="H192" i="63"/>
  <c r="H193" i="63"/>
  <c r="H194" i="63"/>
  <c r="H195" i="63"/>
  <c r="H196" i="63"/>
  <c r="H197" i="63"/>
  <c r="H198" i="63"/>
  <c r="H199" i="63"/>
  <c r="H200" i="63"/>
  <c r="H201" i="63"/>
  <c r="H202" i="63"/>
  <c r="H203" i="63"/>
  <c r="H204" i="63"/>
  <c r="H205" i="63"/>
  <c r="H206" i="63"/>
  <c r="H207" i="63"/>
  <c r="H208" i="63"/>
  <c r="H209" i="63"/>
  <c r="H210" i="63"/>
  <c r="H211" i="63"/>
  <c r="H212" i="63"/>
  <c r="H213" i="63"/>
  <c r="H214" i="63"/>
  <c r="H215" i="63"/>
  <c r="H216" i="63"/>
  <c r="H217" i="63"/>
  <c r="H218" i="63"/>
  <c r="H219" i="63"/>
  <c r="H220" i="63"/>
  <c r="H221" i="63"/>
  <c r="H222" i="63"/>
  <c r="H223" i="63"/>
  <c r="H224" i="63"/>
  <c r="H225" i="63"/>
  <c r="H226" i="63"/>
  <c r="H227" i="63"/>
  <c r="H228" i="63"/>
  <c r="H229" i="63"/>
  <c r="H230" i="63"/>
  <c r="H231" i="63"/>
  <c r="H232" i="63"/>
  <c r="H233" i="63"/>
  <c r="H234" i="63"/>
  <c r="H235" i="63"/>
  <c r="H236" i="63"/>
  <c r="H237" i="63"/>
  <c r="H238" i="63"/>
  <c r="H239" i="63"/>
  <c r="H240" i="63"/>
  <c r="H241" i="63"/>
  <c r="H242" i="63"/>
  <c r="H243" i="63"/>
  <c r="H244" i="63"/>
  <c r="H245" i="63"/>
  <c r="H246" i="63"/>
  <c r="H247" i="63"/>
  <c r="H248" i="63"/>
  <c r="H249" i="63"/>
  <c r="H250" i="63"/>
  <c r="H251" i="63"/>
  <c r="H252" i="63"/>
  <c r="H253" i="63"/>
  <c r="H254" i="63"/>
  <c r="H255" i="63"/>
  <c r="H256" i="63"/>
  <c r="H257" i="63"/>
  <c r="H258" i="63"/>
  <c r="H259" i="63"/>
  <c r="H260" i="63"/>
  <c r="H261" i="63"/>
  <c r="H262" i="63"/>
  <c r="H263" i="63"/>
  <c r="H264" i="63"/>
  <c r="H265" i="63"/>
  <c r="H266" i="63"/>
  <c r="H267" i="63"/>
  <c r="H268" i="63"/>
  <c r="H269" i="63"/>
  <c r="H270" i="63"/>
  <c r="H271" i="63"/>
  <c r="H272" i="63"/>
  <c r="H273" i="63"/>
  <c r="H274" i="63"/>
  <c r="H275" i="63"/>
  <c r="H276" i="63"/>
  <c r="H277" i="63"/>
  <c r="H278" i="63"/>
  <c r="H279" i="63"/>
  <c r="H280" i="63"/>
  <c r="H281" i="63"/>
  <c r="H282" i="63"/>
  <c r="H283" i="63"/>
  <c r="H284" i="63"/>
  <c r="H285" i="63"/>
  <c r="H286" i="63"/>
  <c r="H287" i="63"/>
  <c r="H288" i="63"/>
  <c r="H289" i="63"/>
  <c r="H290" i="63"/>
  <c r="H291" i="63"/>
  <c r="H292" i="63"/>
  <c r="H293" i="63"/>
  <c r="H294" i="63"/>
  <c r="H295" i="63"/>
  <c r="H296" i="63"/>
  <c r="H297" i="63"/>
  <c r="H298" i="63"/>
  <c r="H299" i="63"/>
  <c r="H300" i="63"/>
  <c r="H301" i="63"/>
  <c r="H302" i="63"/>
  <c r="H303" i="63"/>
  <c r="H304" i="63"/>
  <c r="H305" i="63"/>
  <c r="H306" i="63"/>
  <c r="H307" i="63"/>
  <c r="H308" i="63"/>
  <c r="H309" i="63"/>
  <c r="H310" i="63"/>
  <c r="H311" i="63"/>
  <c r="H312" i="63"/>
  <c r="H313" i="63"/>
  <c r="H314" i="63"/>
  <c r="H315" i="63"/>
  <c r="H316" i="63"/>
  <c r="H317" i="63"/>
  <c r="H318" i="63"/>
  <c r="H319" i="63"/>
  <c r="H320" i="63"/>
  <c r="H321" i="63"/>
  <c r="H322" i="63"/>
  <c r="H323" i="63"/>
  <c r="H324" i="63"/>
  <c r="H325" i="63"/>
  <c r="H326" i="63"/>
  <c r="H327" i="63"/>
  <c r="H328" i="63"/>
  <c r="H329" i="63"/>
  <c r="H330" i="63"/>
  <c r="H331" i="63"/>
  <c r="H332" i="63"/>
  <c r="H333" i="63"/>
  <c r="H334" i="63"/>
  <c r="H335" i="63"/>
  <c r="H336" i="63"/>
  <c r="H337" i="63"/>
  <c r="H338" i="63"/>
  <c r="H339" i="63"/>
  <c r="H340" i="63"/>
  <c r="H341" i="63"/>
  <c r="H342" i="63"/>
  <c r="H343" i="63"/>
  <c r="H344" i="63"/>
  <c r="H345" i="63"/>
  <c r="H346" i="63"/>
  <c r="H347" i="63"/>
  <c r="H348" i="63"/>
  <c r="H349" i="63"/>
  <c r="H350" i="63"/>
  <c r="H351" i="63"/>
  <c r="H352" i="63"/>
  <c r="H353" i="63"/>
  <c r="H354" i="63"/>
  <c r="H355" i="63"/>
  <c r="H356" i="63"/>
  <c r="H357" i="63"/>
  <c r="H358" i="63"/>
  <c r="H359" i="63"/>
  <c r="H360" i="63"/>
  <c r="H361" i="63"/>
  <c r="H362" i="63"/>
  <c r="H363" i="63"/>
  <c r="H364" i="63"/>
  <c r="H365" i="63"/>
  <c r="H366" i="63"/>
  <c r="H367" i="63"/>
  <c r="H368" i="63"/>
  <c r="H369" i="63"/>
  <c r="H370" i="63"/>
  <c r="H371" i="63"/>
  <c r="H372" i="63"/>
  <c r="H373" i="63"/>
  <c r="H374" i="63"/>
  <c r="H375" i="63"/>
  <c r="H376" i="63"/>
  <c r="H377" i="63"/>
  <c r="H378" i="63"/>
  <c r="H379" i="63"/>
  <c r="H380" i="63"/>
  <c r="H381" i="63"/>
  <c r="H382" i="63"/>
  <c r="H383" i="63"/>
  <c r="H384" i="63"/>
  <c r="H385" i="63"/>
  <c r="H386" i="63"/>
  <c r="H387" i="63"/>
  <c r="H388" i="63"/>
  <c r="H389" i="63"/>
  <c r="H390" i="63"/>
  <c r="H391" i="63"/>
  <c r="H392" i="63"/>
  <c r="H393" i="63"/>
  <c r="H394" i="63"/>
  <c r="H395" i="63"/>
  <c r="H396" i="63"/>
  <c r="H397" i="63"/>
  <c r="H398" i="63"/>
  <c r="H399" i="63"/>
  <c r="H400" i="63"/>
  <c r="H401" i="63"/>
  <c r="H402" i="63"/>
  <c r="H403" i="63"/>
  <c r="H404" i="63"/>
  <c r="H405" i="63"/>
  <c r="H406" i="63"/>
  <c r="H407" i="63"/>
  <c r="H408" i="63"/>
  <c r="H409" i="63"/>
  <c r="H410" i="63"/>
  <c r="H411" i="63"/>
  <c r="H412" i="63"/>
  <c r="H413" i="63"/>
  <c r="H414" i="63"/>
  <c r="H415" i="63"/>
  <c r="H416" i="63"/>
  <c r="H417" i="63"/>
  <c r="H418" i="63"/>
  <c r="H419" i="63"/>
  <c r="H420" i="63"/>
  <c r="H421" i="63"/>
  <c r="H422" i="63"/>
  <c r="H423" i="63"/>
  <c r="H424" i="63"/>
  <c r="H425" i="63"/>
  <c r="H426" i="63"/>
  <c r="H427" i="63"/>
  <c r="H428" i="63"/>
  <c r="H429" i="63"/>
  <c r="H430" i="63"/>
  <c r="H431" i="63"/>
  <c r="H432" i="63"/>
  <c r="H433" i="63"/>
  <c r="H434" i="63"/>
  <c r="H435" i="63"/>
  <c r="H436" i="63"/>
  <c r="H437" i="63"/>
  <c r="H438" i="63"/>
  <c r="H439" i="63"/>
  <c r="H440" i="63"/>
  <c r="H441" i="63"/>
  <c r="H442" i="63"/>
  <c r="H443" i="63"/>
  <c r="H444" i="63"/>
  <c r="H445" i="63"/>
  <c r="H446" i="63"/>
  <c r="H447" i="63"/>
  <c r="H448" i="63"/>
  <c r="H449" i="63"/>
  <c r="H450" i="63"/>
  <c r="H451" i="63"/>
  <c r="H452" i="63"/>
  <c r="H453" i="63"/>
  <c r="H454" i="63"/>
  <c r="H455" i="63"/>
  <c r="H456" i="63"/>
  <c r="H457" i="63"/>
  <c r="H458" i="63"/>
  <c r="H459" i="63"/>
  <c r="H460" i="63"/>
  <c r="H461" i="63"/>
  <c r="H462" i="63"/>
  <c r="H463" i="63"/>
  <c r="H464" i="63"/>
  <c r="H465" i="63"/>
  <c r="H466" i="63"/>
  <c r="H467" i="63"/>
  <c r="H468" i="63"/>
  <c r="H469" i="63"/>
  <c r="H470" i="63"/>
  <c r="H471" i="63"/>
  <c r="H472" i="63"/>
  <c r="H473" i="63"/>
  <c r="H474" i="63"/>
  <c r="H475" i="63"/>
  <c r="H476" i="63"/>
  <c r="H477" i="63"/>
  <c r="H478" i="63"/>
  <c r="H479" i="63"/>
  <c r="H480" i="63"/>
  <c r="H481" i="63"/>
  <c r="H482" i="63"/>
  <c r="H483" i="63"/>
  <c r="H484" i="63"/>
  <c r="H485" i="63"/>
  <c r="H486" i="63"/>
  <c r="H487" i="63"/>
  <c r="H488" i="63"/>
  <c r="H489" i="63"/>
  <c r="H490" i="63"/>
  <c r="H491" i="63"/>
  <c r="H492" i="63"/>
  <c r="H493" i="63"/>
  <c r="H494" i="63"/>
  <c r="H495" i="63"/>
  <c r="H496" i="63"/>
  <c r="H497" i="63"/>
  <c r="H498" i="63"/>
  <c r="H499" i="63"/>
  <c r="H500" i="63"/>
  <c r="H501" i="63"/>
  <c r="H502" i="63"/>
  <c r="H503" i="63"/>
  <c r="H504" i="63"/>
  <c r="H505" i="63"/>
  <c r="H506" i="63"/>
  <c r="H507" i="63"/>
  <c r="H508" i="63"/>
  <c r="H509" i="63"/>
  <c r="H510" i="63"/>
  <c r="H511" i="63"/>
  <c r="H512" i="63"/>
  <c r="H513" i="63"/>
  <c r="H514" i="63"/>
  <c r="H515" i="63"/>
  <c r="H516" i="63"/>
  <c r="H517" i="63"/>
  <c r="H518" i="63"/>
  <c r="H519" i="63"/>
  <c r="H520" i="63"/>
  <c r="H521" i="63"/>
  <c r="H522" i="63"/>
  <c r="H523" i="63"/>
  <c r="H524" i="63"/>
  <c r="H525" i="63"/>
  <c r="H526" i="63"/>
  <c r="H527" i="63"/>
  <c r="H528" i="63"/>
  <c r="H529" i="63"/>
  <c r="H530" i="63"/>
  <c r="H531" i="63"/>
  <c r="H532" i="63"/>
  <c r="H533" i="63"/>
  <c r="H534" i="63"/>
  <c r="H535" i="63"/>
  <c r="H536" i="63"/>
  <c r="H537" i="63"/>
  <c r="H538" i="63"/>
  <c r="H539" i="63"/>
  <c r="H540" i="63"/>
  <c r="H541" i="63"/>
  <c r="H542" i="63"/>
  <c r="H543" i="63"/>
  <c r="H544" i="63"/>
  <c r="H545" i="63"/>
  <c r="H546" i="63"/>
  <c r="H547" i="63"/>
  <c r="H548" i="63"/>
  <c r="H549" i="63"/>
  <c r="H550" i="63"/>
  <c r="H551" i="63"/>
  <c r="H552" i="63"/>
  <c r="H553" i="63"/>
  <c r="H554" i="63"/>
  <c r="H555" i="63"/>
  <c r="H556" i="63"/>
  <c r="H557" i="63"/>
  <c r="H558" i="63"/>
  <c r="H559" i="63"/>
  <c r="H560" i="63"/>
  <c r="H561" i="63"/>
  <c r="H562" i="63"/>
  <c r="H563" i="63"/>
  <c r="H564" i="63"/>
  <c r="H565" i="63"/>
  <c r="H566" i="63"/>
  <c r="H567" i="63"/>
  <c r="H568" i="63"/>
  <c r="H569" i="63"/>
  <c r="H570" i="63"/>
  <c r="H571" i="63"/>
  <c r="H572" i="63"/>
  <c r="H573" i="63"/>
  <c r="H574" i="63"/>
  <c r="H575" i="63"/>
  <c r="H576" i="63"/>
  <c r="H577" i="63"/>
  <c r="H578" i="63"/>
  <c r="H579" i="63"/>
  <c r="H580" i="63"/>
  <c r="H581" i="63"/>
  <c r="H582" i="63"/>
  <c r="H583" i="63"/>
  <c r="H584" i="63"/>
  <c r="H585" i="63"/>
  <c r="H586" i="63"/>
  <c r="H587" i="63"/>
  <c r="H588" i="63"/>
  <c r="H589" i="63"/>
  <c r="H590" i="63"/>
  <c r="H591" i="63"/>
  <c r="H592" i="63"/>
  <c r="H593" i="63"/>
  <c r="H594" i="63"/>
  <c r="H595" i="63"/>
  <c r="H596" i="63"/>
  <c r="H597" i="63"/>
  <c r="H598" i="63"/>
  <c r="H599" i="63"/>
  <c r="H600" i="63"/>
  <c r="H601" i="63"/>
  <c r="H602" i="63"/>
  <c r="H603" i="63"/>
  <c r="H604" i="63"/>
  <c r="H605" i="63"/>
  <c r="H606" i="63"/>
  <c r="H607" i="63"/>
  <c r="H608" i="63"/>
  <c r="H609" i="63"/>
  <c r="H610" i="63"/>
  <c r="H611" i="63"/>
  <c r="H612" i="63"/>
  <c r="H613" i="63"/>
  <c r="H614" i="63"/>
  <c r="H615" i="63"/>
  <c r="H616" i="63"/>
  <c r="H617" i="63"/>
  <c r="G2" i="63"/>
  <c r="G3" i="63"/>
  <c r="G4" i="63"/>
  <c r="G5" i="63"/>
  <c r="G6" i="63"/>
  <c r="G7" i="63"/>
  <c r="G8" i="63"/>
  <c r="G9" i="63"/>
  <c r="G10" i="63"/>
  <c r="G11" i="63"/>
  <c r="G12" i="63"/>
  <c r="G13" i="63"/>
  <c r="G14" i="63"/>
  <c r="G15" i="63"/>
  <c r="G16" i="63"/>
  <c r="G17" i="63"/>
  <c r="G18" i="63"/>
  <c r="G19" i="63"/>
  <c r="G20" i="63"/>
  <c r="G21" i="63"/>
  <c r="G22" i="63"/>
  <c r="G23" i="63"/>
  <c r="G24" i="63"/>
  <c r="G25" i="63"/>
  <c r="G26" i="63"/>
  <c r="G27" i="63"/>
  <c r="G28" i="63"/>
  <c r="G29" i="63"/>
  <c r="G30" i="63"/>
  <c r="G31" i="63"/>
  <c r="G32" i="63"/>
  <c r="G33" i="63"/>
  <c r="G34" i="63"/>
  <c r="G35" i="63"/>
  <c r="G36" i="63"/>
  <c r="G37" i="63"/>
  <c r="G38" i="63"/>
  <c r="G39" i="63"/>
  <c r="G40" i="63"/>
  <c r="G41" i="63"/>
  <c r="G42" i="63"/>
  <c r="G43" i="63"/>
  <c r="G44" i="63"/>
  <c r="G45" i="63"/>
  <c r="G46" i="63"/>
  <c r="G47" i="63"/>
  <c r="G48" i="63"/>
  <c r="G49" i="63"/>
  <c r="G50" i="63"/>
  <c r="G51" i="63"/>
  <c r="G52" i="63"/>
  <c r="G53" i="63"/>
  <c r="G54" i="63"/>
  <c r="G55" i="63"/>
  <c r="G56" i="63"/>
  <c r="G57" i="63"/>
  <c r="G58" i="63"/>
  <c r="G59" i="63"/>
  <c r="G60" i="63"/>
  <c r="G61" i="63"/>
  <c r="G62" i="63"/>
  <c r="G63" i="63"/>
  <c r="G64" i="63"/>
  <c r="G65" i="63"/>
  <c r="G66" i="63"/>
  <c r="G67" i="63"/>
  <c r="G68" i="63"/>
  <c r="G69" i="63"/>
  <c r="G70" i="63"/>
  <c r="G71" i="63"/>
  <c r="G72" i="63"/>
  <c r="G73" i="63"/>
  <c r="G74" i="63"/>
  <c r="G75" i="63"/>
  <c r="G76" i="63"/>
  <c r="G77" i="63"/>
  <c r="G78" i="63"/>
  <c r="G79" i="63"/>
  <c r="G80" i="63"/>
  <c r="G81" i="63"/>
  <c r="G82" i="63"/>
  <c r="G83" i="63"/>
  <c r="G84" i="63"/>
  <c r="G85" i="63"/>
  <c r="G86" i="63"/>
  <c r="G87" i="63"/>
  <c r="G88" i="63"/>
  <c r="G89" i="63"/>
  <c r="G90" i="63"/>
  <c r="G91" i="63"/>
  <c r="G92" i="63"/>
  <c r="G93" i="63"/>
  <c r="G94" i="63"/>
  <c r="G95" i="63"/>
  <c r="G96" i="63"/>
  <c r="G97" i="63"/>
  <c r="G98" i="63"/>
  <c r="G99" i="63"/>
  <c r="G100" i="63"/>
  <c r="G101" i="63"/>
  <c r="G102" i="63"/>
  <c r="G103" i="63"/>
  <c r="G104" i="63"/>
  <c r="G105" i="63"/>
  <c r="G106" i="63"/>
  <c r="G107" i="63"/>
  <c r="G108" i="63"/>
  <c r="G109" i="63"/>
  <c r="G110" i="63"/>
  <c r="G111" i="63"/>
  <c r="G112" i="63"/>
  <c r="G113" i="63"/>
  <c r="G114" i="63"/>
  <c r="G115" i="63"/>
  <c r="G116" i="63"/>
  <c r="G117" i="63"/>
  <c r="G118" i="63"/>
  <c r="G119" i="63"/>
  <c r="G120" i="63"/>
  <c r="G121" i="63"/>
  <c r="G122" i="63"/>
  <c r="G123" i="63"/>
  <c r="G124" i="63"/>
  <c r="G125" i="63"/>
  <c r="G126" i="63"/>
  <c r="G127" i="63"/>
  <c r="G128" i="63"/>
  <c r="G129" i="63"/>
  <c r="G130" i="63"/>
  <c r="G131" i="63"/>
  <c r="G132" i="63"/>
  <c r="G133" i="63"/>
  <c r="G134" i="63"/>
  <c r="G135" i="63"/>
  <c r="G136" i="63"/>
  <c r="G137" i="63"/>
  <c r="G138" i="63"/>
  <c r="G139" i="63"/>
  <c r="G140" i="63"/>
  <c r="G141" i="63"/>
  <c r="G142" i="63"/>
  <c r="G143" i="63"/>
  <c r="G144" i="63"/>
  <c r="G145" i="63"/>
  <c r="G146" i="63"/>
  <c r="G147" i="63"/>
  <c r="G148" i="63"/>
  <c r="G149" i="63"/>
  <c r="G150" i="63"/>
  <c r="G151" i="63"/>
  <c r="G152" i="63"/>
  <c r="G153" i="63"/>
  <c r="G154" i="63"/>
  <c r="G155" i="63"/>
  <c r="G156" i="63"/>
  <c r="G157" i="63"/>
  <c r="G158" i="63"/>
  <c r="G159" i="63"/>
  <c r="G160" i="63"/>
  <c r="G161" i="63"/>
  <c r="G162" i="63"/>
  <c r="G163" i="63"/>
  <c r="G164" i="63"/>
  <c r="G165" i="63"/>
  <c r="G166" i="63"/>
  <c r="G167" i="63"/>
  <c r="G168" i="63"/>
  <c r="G169" i="63"/>
  <c r="G170" i="63"/>
  <c r="G171" i="63"/>
  <c r="G172" i="63"/>
  <c r="G173" i="63"/>
  <c r="G174" i="63"/>
  <c r="G175" i="63"/>
  <c r="G176" i="63"/>
  <c r="G177" i="63"/>
  <c r="G178" i="63"/>
  <c r="G179" i="63"/>
  <c r="G180" i="63"/>
  <c r="G181" i="63"/>
  <c r="G182" i="63"/>
  <c r="G183" i="63"/>
  <c r="G184" i="63"/>
  <c r="G185" i="63"/>
  <c r="G186" i="63"/>
  <c r="G187" i="63"/>
  <c r="G188" i="63"/>
  <c r="G189" i="63"/>
  <c r="G190" i="63"/>
  <c r="G191" i="63"/>
  <c r="G192" i="63"/>
  <c r="G193" i="63"/>
  <c r="G194" i="63"/>
  <c r="G195" i="63"/>
  <c r="G196" i="63"/>
  <c r="G197" i="63"/>
  <c r="G198" i="63"/>
  <c r="G199" i="63"/>
  <c r="G200" i="63"/>
  <c r="G201" i="63"/>
  <c r="G202" i="63"/>
  <c r="G203" i="63"/>
  <c r="G204" i="63"/>
  <c r="G205" i="63"/>
  <c r="G206" i="63"/>
  <c r="G207" i="63"/>
  <c r="G208" i="63"/>
  <c r="G209" i="63"/>
  <c r="G210" i="63"/>
  <c r="G211" i="63"/>
  <c r="G212" i="63"/>
  <c r="G213" i="63"/>
  <c r="G214" i="63"/>
  <c r="G215" i="63"/>
  <c r="G216" i="63"/>
  <c r="G217" i="63"/>
  <c r="G218" i="63"/>
  <c r="G219" i="63"/>
  <c r="G220" i="63"/>
  <c r="G221" i="63"/>
  <c r="G222" i="63"/>
  <c r="G223" i="63"/>
  <c r="G224" i="63"/>
  <c r="G225" i="63"/>
  <c r="G226" i="63"/>
  <c r="G227" i="63"/>
  <c r="G228" i="63"/>
  <c r="G229" i="63"/>
  <c r="G230" i="63"/>
  <c r="G231" i="63"/>
  <c r="G232" i="63"/>
  <c r="G233" i="63"/>
  <c r="G234" i="63"/>
  <c r="G235" i="63"/>
  <c r="G236" i="63"/>
  <c r="G237" i="63"/>
  <c r="G238" i="63"/>
  <c r="G239" i="63"/>
  <c r="G240" i="63"/>
  <c r="G241" i="63"/>
  <c r="G242" i="63"/>
  <c r="G243" i="63"/>
  <c r="G244" i="63"/>
  <c r="G245" i="63"/>
  <c r="G246" i="63"/>
  <c r="G247" i="63"/>
  <c r="G248" i="63"/>
  <c r="G249" i="63"/>
  <c r="G250" i="63"/>
  <c r="G251" i="63"/>
  <c r="G252" i="63"/>
  <c r="G253" i="63"/>
  <c r="G254" i="63"/>
  <c r="G255" i="63"/>
  <c r="G256" i="63"/>
  <c r="G257" i="63"/>
  <c r="G258" i="63"/>
  <c r="G259" i="63"/>
  <c r="G260" i="63"/>
  <c r="G261" i="63"/>
  <c r="G262" i="63"/>
  <c r="G263" i="63"/>
  <c r="G264" i="63"/>
  <c r="G265" i="63"/>
  <c r="G266" i="63"/>
  <c r="G267" i="63"/>
  <c r="G268" i="63"/>
  <c r="G269" i="63"/>
  <c r="G270" i="63"/>
  <c r="G271" i="63"/>
  <c r="G272" i="63"/>
  <c r="G273" i="63"/>
  <c r="G274" i="63"/>
  <c r="G275" i="63"/>
  <c r="G276" i="63"/>
  <c r="G277" i="63"/>
  <c r="G278" i="63"/>
  <c r="G279" i="63"/>
  <c r="G280" i="63"/>
  <c r="G281" i="63"/>
  <c r="G282" i="63"/>
  <c r="G283" i="63"/>
  <c r="G284" i="63"/>
  <c r="G285" i="63"/>
  <c r="G286" i="63"/>
  <c r="G287" i="63"/>
  <c r="G288" i="63"/>
  <c r="G289" i="63"/>
  <c r="G290" i="63"/>
  <c r="G291" i="63"/>
  <c r="G292" i="63"/>
  <c r="G293" i="63"/>
  <c r="G294" i="63"/>
  <c r="G295" i="63"/>
  <c r="G296" i="63"/>
  <c r="G297" i="63"/>
  <c r="G298" i="63"/>
  <c r="G299" i="63"/>
  <c r="G300" i="63"/>
  <c r="G301" i="63"/>
  <c r="G302" i="63"/>
  <c r="G303" i="63"/>
  <c r="G304" i="63"/>
  <c r="G305" i="63"/>
  <c r="G306" i="63"/>
  <c r="G307" i="63"/>
  <c r="G308" i="63"/>
  <c r="G309" i="63"/>
  <c r="G310" i="63"/>
  <c r="G311" i="63"/>
  <c r="G312" i="63"/>
  <c r="G313" i="63"/>
  <c r="G314" i="63"/>
  <c r="G315" i="63"/>
  <c r="G316" i="63"/>
  <c r="G317" i="63"/>
  <c r="G318" i="63"/>
  <c r="G319" i="63"/>
  <c r="G320" i="63"/>
  <c r="G321" i="63"/>
  <c r="G322" i="63"/>
  <c r="G323" i="63"/>
  <c r="G324" i="63"/>
  <c r="G325" i="63"/>
  <c r="G326" i="63"/>
  <c r="G327" i="63"/>
  <c r="G328" i="63"/>
  <c r="G329" i="63"/>
  <c r="G330" i="63"/>
  <c r="G331" i="63"/>
  <c r="G332" i="63"/>
  <c r="G333" i="63"/>
  <c r="G334" i="63"/>
  <c r="G335" i="63"/>
  <c r="G336" i="63"/>
  <c r="G337" i="63"/>
  <c r="G338" i="63"/>
  <c r="G339" i="63"/>
  <c r="G340" i="63"/>
  <c r="G341" i="63"/>
  <c r="G342" i="63"/>
  <c r="G343" i="63"/>
  <c r="G344" i="63"/>
  <c r="G345" i="63"/>
  <c r="G346" i="63"/>
  <c r="G347" i="63"/>
  <c r="G348" i="63"/>
  <c r="G349" i="63"/>
  <c r="G350" i="63"/>
  <c r="G351" i="63"/>
  <c r="G352" i="63"/>
  <c r="G353" i="63"/>
  <c r="G354" i="63"/>
  <c r="G355" i="63"/>
  <c r="G356" i="63"/>
  <c r="G357" i="63"/>
  <c r="G358" i="63"/>
  <c r="G359" i="63"/>
  <c r="G360" i="63"/>
  <c r="G361" i="63"/>
  <c r="G362" i="63"/>
  <c r="G363" i="63"/>
  <c r="G364" i="63"/>
  <c r="G365" i="63"/>
  <c r="G366" i="63"/>
  <c r="G367" i="63"/>
  <c r="G368" i="63"/>
  <c r="G369" i="63"/>
  <c r="G370" i="63"/>
  <c r="G371" i="63"/>
  <c r="G372" i="63"/>
  <c r="G373" i="63"/>
  <c r="G374" i="63"/>
  <c r="G375" i="63"/>
  <c r="G376" i="63"/>
  <c r="G377" i="63"/>
  <c r="G378" i="63"/>
  <c r="G379" i="63"/>
  <c r="G380" i="63"/>
  <c r="G381" i="63"/>
  <c r="G382" i="63"/>
  <c r="G383" i="63"/>
  <c r="G384" i="63"/>
  <c r="G385" i="63"/>
  <c r="G386" i="63"/>
  <c r="G387" i="63"/>
  <c r="G388" i="63"/>
  <c r="G389" i="63"/>
  <c r="G390" i="63"/>
  <c r="G391" i="63"/>
  <c r="G392" i="63"/>
  <c r="G393" i="63"/>
  <c r="G394" i="63"/>
  <c r="G395" i="63"/>
  <c r="G396" i="63"/>
  <c r="G397" i="63"/>
  <c r="G398" i="63"/>
  <c r="G399" i="63"/>
  <c r="G400" i="63"/>
  <c r="G401" i="63"/>
  <c r="G402" i="63"/>
  <c r="G403" i="63"/>
  <c r="G404" i="63"/>
  <c r="G405" i="63"/>
  <c r="G406" i="63"/>
  <c r="G407" i="63"/>
  <c r="G408" i="63"/>
  <c r="G409" i="63"/>
  <c r="G410" i="63"/>
  <c r="G411" i="63"/>
  <c r="G412" i="63"/>
  <c r="G413" i="63"/>
  <c r="G414" i="63"/>
  <c r="G415" i="63"/>
  <c r="G416" i="63"/>
  <c r="G417" i="63"/>
  <c r="G418" i="63"/>
  <c r="G419" i="63"/>
  <c r="G420" i="63"/>
  <c r="G421" i="63"/>
  <c r="G422" i="63"/>
  <c r="G423" i="63"/>
  <c r="G424" i="63"/>
  <c r="G425" i="63"/>
  <c r="G426" i="63"/>
  <c r="G427" i="63"/>
  <c r="G428" i="63"/>
  <c r="G429" i="63"/>
  <c r="G430" i="63"/>
  <c r="G431" i="63"/>
  <c r="G432" i="63"/>
  <c r="G433" i="63"/>
  <c r="G434" i="63"/>
  <c r="G435" i="63"/>
  <c r="G436" i="63"/>
  <c r="G437" i="63"/>
  <c r="G438" i="63"/>
  <c r="G439" i="63"/>
  <c r="G440" i="63"/>
  <c r="G441" i="63"/>
  <c r="G442" i="63"/>
  <c r="G443" i="63"/>
  <c r="G444" i="63"/>
  <c r="G445" i="63"/>
  <c r="G446" i="63"/>
  <c r="G447" i="63"/>
  <c r="G448" i="63"/>
  <c r="G449" i="63"/>
  <c r="G450" i="63"/>
  <c r="G451" i="63"/>
  <c r="G452" i="63"/>
  <c r="G453" i="63"/>
  <c r="G454" i="63"/>
  <c r="G455" i="63"/>
  <c r="G456" i="63"/>
  <c r="G457" i="63"/>
  <c r="G458" i="63"/>
  <c r="G459" i="63"/>
  <c r="G460" i="63"/>
  <c r="G461" i="63"/>
  <c r="G462" i="63"/>
  <c r="G463" i="63"/>
  <c r="G464" i="63"/>
  <c r="G465" i="63"/>
  <c r="G466" i="63"/>
  <c r="G467" i="63"/>
  <c r="G468" i="63"/>
  <c r="G469" i="63"/>
  <c r="G470" i="63"/>
  <c r="G471" i="63"/>
  <c r="G472" i="63"/>
  <c r="G473" i="63"/>
  <c r="G474" i="63"/>
  <c r="G475" i="63"/>
  <c r="G476" i="63"/>
  <c r="G477" i="63"/>
  <c r="G478" i="63"/>
  <c r="G479" i="63"/>
  <c r="G480" i="63"/>
  <c r="G481" i="63"/>
  <c r="G482" i="63"/>
  <c r="G483" i="63"/>
  <c r="G484" i="63"/>
  <c r="G485" i="63"/>
  <c r="G486" i="63"/>
  <c r="G487" i="63"/>
  <c r="G488" i="63"/>
  <c r="G489" i="63"/>
  <c r="G490" i="63"/>
  <c r="G491" i="63"/>
  <c r="G492" i="63"/>
  <c r="G493" i="63"/>
  <c r="G494" i="63"/>
  <c r="G495" i="63"/>
  <c r="G496" i="63"/>
  <c r="G497" i="63"/>
  <c r="G498" i="63"/>
  <c r="G499" i="63"/>
  <c r="G500" i="63"/>
  <c r="G501" i="63"/>
  <c r="G502" i="63"/>
  <c r="G503" i="63"/>
  <c r="G504" i="63"/>
  <c r="G505" i="63"/>
  <c r="G506" i="63"/>
  <c r="G507" i="63"/>
  <c r="G508" i="63"/>
  <c r="G509" i="63"/>
  <c r="G510" i="63"/>
  <c r="G511" i="63"/>
  <c r="G512" i="63"/>
  <c r="G513" i="63"/>
  <c r="G514" i="63"/>
  <c r="G515" i="63"/>
  <c r="G516" i="63"/>
  <c r="G517" i="63"/>
  <c r="G518" i="63"/>
  <c r="G519" i="63"/>
  <c r="G520" i="63"/>
  <c r="G521" i="63"/>
  <c r="G522" i="63"/>
  <c r="G523" i="63"/>
  <c r="G524" i="63"/>
  <c r="G525" i="63"/>
  <c r="G526" i="63"/>
  <c r="G527" i="63"/>
  <c r="G528" i="63"/>
  <c r="G529" i="63"/>
  <c r="G530" i="63"/>
  <c r="G531" i="63"/>
  <c r="G532" i="63"/>
  <c r="G533" i="63"/>
  <c r="G534" i="63"/>
  <c r="G535" i="63"/>
  <c r="G536" i="63"/>
  <c r="G537" i="63"/>
  <c r="G538" i="63"/>
  <c r="G539" i="63"/>
  <c r="G540" i="63"/>
  <c r="G541" i="63"/>
  <c r="G542" i="63"/>
  <c r="G543" i="63"/>
  <c r="G544" i="63"/>
  <c r="G545" i="63"/>
  <c r="G546" i="63"/>
  <c r="G547" i="63"/>
  <c r="G548" i="63"/>
  <c r="G549" i="63"/>
  <c r="G550" i="63"/>
  <c r="G551" i="63"/>
  <c r="G552" i="63"/>
  <c r="G553" i="63"/>
  <c r="G554" i="63"/>
  <c r="G555" i="63"/>
  <c r="G556" i="63"/>
  <c r="G557" i="63"/>
  <c r="G558" i="63"/>
  <c r="G559" i="63"/>
  <c r="G560" i="63"/>
  <c r="G561" i="63"/>
  <c r="G562" i="63"/>
  <c r="G563" i="63"/>
  <c r="G564" i="63"/>
  <c r="G565" i="63"/>
  <c r="G566" i="63"/>
  <c r="G567" i="63"/>
  <c r="G568" i="63"/>
  <c r="G569" i="63"/>
  <c r="G570" i="63"/>
  <c r="G571" i="63"/>
  <c r="G572" i="63"/>
  <c r="G573" i="63"/>
  <c r="G574" i="63"/>
  <c r="G575" i="63"/>
  <c r="G576" i="63"/>
  <c r="G577" i="63"/>
  <c r="G578" i="63"/>
  <c r="G579" i="63"/>
  <c r="G580" i="63"/>
  <c r="G581" i="63"/>
  <c r="G582" i="63"/>
  <c r="G583" i="63"/>
  <c r="G584" i="63"/>
  <c r="G585" i="63"/>
  <c r="G586" i="63"/>
  <c r="G587" i="63"/>
  <c r="G588" i="63"/>
  <c r="G589" i="63"/>
  <c r="G590" i="63"/>
  <c r="G591" i="63"/>
  <c r="G592" i="63"/>
  <c r="G593" i="63"/>
  <c r="G594" i="63"/>
  <c r="G595" i="63"/>
  <c r="G596" i="63"/>
  <c r="G597" i="63"/>
  <c r="G598" i="63"/>
  <c r="G599" i="63"/>
  <c r="G600" i="63"/>
  <c r="G601" i="63"/>
  <c r="G602" i="63"/>
  <c r="G603" i="63"/>
  <c r="G604" i="63"/>
  <c r="G605" i="63"/>
  <c r="G606" i="63"/>
  <c r="G607" i="63"/>
  <c r="G608" i="63"/>
  <c r="G609" i="63"/>
  <c r="G610" i="63"/>
  <c r="G611" i="63"/>
  <c r="G612" i="63"/>
  <c r="G613" i="63"/>
  <c r="G614" i="63"/>
  <c r="G615" i="63"/>
  <c r="G616" i="63"/>
  <c r="G617" i="63"/>
  <c r="B11" i="47"/>
  <c r="B12" i="47"/>
  <c r="B13" i="47"/>
  <c r="B9" i="47"/>
  <c r="B18" i="47"/>
  <c r="B19" i="47"/>
  <c r="B20" i="47"/>
  <c r="B21" i="47"/>
  <c r="B16" i="47"/>
  <c r="B25" i="47"/>
  <c r="B26" i="47"/>
  <c r="B27" i="47"/>
  <c r="B28" i="47"/>
  <c r="B29" i="47"/>
  <c r="B30" i="47"/>
  <c r="B31" i="47"/>
  <c r="B23" i="47"/>
  <c r="E39" i="71"/>
  <c r="I23" i="71"/>
  <c r="I37" i="71"/>
  <c r="E41" i="71"/>
  <c r="G21" i="4"/>
  <c r="G22" i="4"/>
  <c r="G23" i="4"/>
  <c r="G24" i="4"/>
  <c r="G25" i="4"/>
  <c r="G26" i="4"/>
  <c r="G27" i="4"/>
  <c r="G28" i="4"/>
  <c r="G37" i="4"/>
  <c r="G38" i="4"/>
  <c r="G39" i="4"/>
  <c r="G40" i="4"/>
  <c r="G41" i="4"/>
  <c r="G64" i="4"/>
  <c r="G65" i="4"/>
  <c r="G66" i="4"/>
  <c r="G67" i="4"/>
  <c r="G68" i="4"/>
  <c r="G71" i="4"/>
  <c r="G76" i="4"/>
  <c r="B57" i="34"/>
  <c r="B32" i="62"/>
  <c r="B31" i="62"/>
  <c r="B27" i="62"/>
  <c r="F23" i="62"/>
  <c r="C32" i="75"/>
  <c r="C31" i="75"/>
  <c r="C27" i="75"/>
  <c r="F23" i="75"/>
  <c r="C21" i="75"/>
  <c r="C21" i="62"/>
  <c r="A11738" i="80"/>
  <c r="A11737" i="80"/>
  <c r="A11736" i="80"/>
  <c r="A11735" i="80"/>
  <c r="A11734" i="80"/>
  <c r="A11733" i="80"/>
  <c r="A11732" i="80"/>
  <c r="A11730" i="80"/>
  <c r="A11729" i="80"/>
  <c r="A11728" i="80"/>
  <c r="A11727" i="80"/>
  <c r="A11726" i="80"/>
  <c r="A11724" i="80"/>
  <c r="A11723" i="80"/>
  <c r="A11722" i="80"/>
  <c r="A11721" i="80"/>
  <c r="A11720" i="80"/>
  <c r="A11718" i="80"/>
  <c r="A11717" i="80"/>
  <c r="A11716" i="80"/>
  <c r="A11715" i="80"/>
  <c r="A11714" i="80"/>
  <c r="A11712" i="80"/>
  <c r="A11711" i="80"/>
  <c r="A11710" i="80"/>
  <c r="A11709" i="80"/>
  <c r="A11708" i="80"/>
  <c r="A11706" i="80"/>
  <c r="A11705" i="80"/>
  <c r="A11704" i="80"/>
  <c r="A11703" i="80"/>
  <c r="A11702" i="80"/>
  <c r="H33" i="61"/>
  <c r="H11702" i="79"/>
  <c r="A11701" i="80"/>
  <c r="A11700" i="80"/>
  <c r="A11699" i="80"/>
  <c r="A11698" i="80"/>
  <c r="A11697" i="80"/>
  <c r="A11696" i="80"/>
  <c r="A11694" i="80"/>
  <c r="A11693" i="80"/>
  <c r="A11692" i="80"/>
  <c r="A11691" i="80"/>
  <c r="A11690" i="80"/>
  <c r="G31" i="61"/>
  <c r="D31" i="61"/>
  <c r="H31" i="61"/>
  <c r="H11690" i="79"/>
  <c r="A11689" i="80"/>
  <c r="A11688" i="80"/>
  <c r="A11687" i="80"/>
  <c r="A11686" i="80"/>
  <c r="A11685" i="80"/>
  <c r="A11684" i="80"/>
  <c r="A11682" i="80"/>
  <c r="A11681" i="80"/>
  <c r="A11680" i="80"/>
  <c r="A11679" i="80"/>
  <c r="A11678" i="80"/>
  <c r="H29" i="61"/>
  <c r="H11678" i="79"/>
  <c r="A11677" i="80"/>
  <c r="A11676" i="80"/>
  <c r="A11675" i="80"/>
  <c r="A11674" i="80"/>
  <c r="A11673" i="80"/>
  <c r="A11672" i="80"/>
  <c r="A11670" i="80"/>
  <c r="A11669" i="80"/>
  <c r="A11668" i="80"/>
  <c r="A11667" i="80"/>
  <c r="A11666" i="80"/>
  <c r="A11664" i="80"/>
  <c r="A11663" i="80"/>
  <c r="A11662" i="80"/>
  <c r="A11661" i="80"/>
  <c r="A11660" i="80"/>
  <c r="A11658" i="80"/>
  <c r="A11657" i="80"/>
  <c r="A11656" i="80"/>
  <c r="A11655" i="80"/>
  <c r="A11654" i="80"/>
  <c r="A11652" i="80"/>
  <c r="A11651" i="80"/>
  <c r="A11650" i="80"/>
  <c r="A11649" i="80"/>
  <c r="A11648" i="80"/>
  <c r="A11646" i="80"/>
  <c r="A11645" i="80"/>
  <c r="A11644" i="80"/>
  <c r="A11643" i="80"/>
  <c r="A11642" i="80"/>
  <c r="H11642" i="79"/>
  <c r="A11641" i="80"/>
  <c r="A11640" i="80"/>
  <c r="A11639" i="80"/>
  <c r="A11638" i="80"/>
  <c r="A11637" i="80"/>
  <c r="A11636" i="80"/>
  <c r="A11634" i="80"/>
  <c r="A11633" i="80"/>
  <c r="A11632" i="80"/>
  <c r="A11631" i="80"/>
  <c r="A11630" i="80"/>
  <c r="A11628" i="80"/>
  <c r="A11627" i="80"/>
  <c r="A11626" i="80"/>
  <c r="A11625" i="80"/>
  <c r="A11624" i="80"/>
  <c r="G20" i="61"/>
  <c r="D20" i="61"/>
  <c r="H20" i="61"/>
  <c r="H11624" i="79"/>
  <c r="A11623" i="80"/>
  <c r="A11622" i="80"/>
  <c r="A11621" i="80"/>
  <c r="A11620" i="80"/>
  <c r="A11619" i="80"/>
  <c r="A11618" i="80"/>
  <c r="A11616" i="80"/>
  <c r="A11615" i="80"/>
  <c r="A11614" i="80"/>
  <c r="A11613" i="80"/>
  <c r="A11612" i="80"/>
  <c r="G10" i="61"/>
  <c r="D10" i="61"/>
  <c r="H10" i="61"/>
  <c r="H11612" i="79"/>
  <c r="A11611" i="80"/>
  <c r="A11610" i="80"/>
  <c r="A11609" i="80"/>
  <c r="A11608" i="80"/>
  <c r="A11607" i="80"/>
  <c r="A11606" i="80"/>
  <c r="G18" i="61"/>
  <c r="D18" i="61"/>
  <c r="H18" i="61"/>
  <c r="H11606" i="79"/>
  <c r="A11605" i="80"/>
  <c r="A11604" i="80"/>
  <c r="A11603" i="80"/>
  <c r="A11602" i="80"/>
  <c r="A11601" i="80"/>
  <c r="A11600" i="80"/>
  <c r="G17" i="61"/>
  <c r="D17" i="61"/>
  <c r="H17" i="61"/>
  <c r="H11600" i="79"/>
  <c r="A11599" i="80"/>
  <c r="A11598" i="80"/>
  <c r="A11597" i="80"/>
  <c r="A11596" i="80"/>
  <c r="A11595" i="80"/>
  <c r="A11594" i="80"/>
  <c r="A11592" i="80"/>
  <c r="A11591" i="80"/>
  <c r="A11590" i="80"/>
  <c r="A11589" i="80"/>
  <c r="A11588" i="80"/>
  <c r="A11586" i="80"/>
  <c r="A11585" i="80"/>
  <c r="A11584" i="80"/>
  <c r="A11583" i="80"/>
  <c r="A11582" i="80"/>
  <c r="H11582" i="79"/>
  <c r="A11581" i="80"/>
  <c r="A11580" i="80"/>
  <c r="A11579" i="80"/>
  <c r="A11578" i="80"/>
  <c r="A11577" i="80"/>
  <c r="A11576" i="80"/>
  <c r="A11574" i="80"/>
  <c r="A11573" i="80"/>
  <c r="A11572" i="80"/>
  <c r="A11571" i="80"/>
  <c r="A11570" i="80"/>
  <c r="A11568" i="80"/>
  <c r="A11567" i="80"/>
  <c r="A11566" i="80"/>
  <c r="A11565" i="80"/>
  <c r="A11564" i="80"/>
  <c r="G9" i="61"/>
  <c r="D9" i="61"/>
  <c r="H9" i="61"/>
  <c r="H11564" i="79"/>
  <c r="A11563" i="80"/>
  <c r="A11562" i="80"/>
  <c r="A11561" i="80"/>
  <c r="A11560" i="80"/>
  <c r="A11559" i="80"/>
  <c r="A11558" i="80"/>
  <c r="G8" i="61"/>
  <c r="D8" i="61"/>
  <c r="H8" i="61"/>
  <c r="H11558" i="79"/>
  <c r="A11557" i="80"/>
  <c r="A11556" i="80"/>
  <c r="A11555" i="80"/>
  <c r="A11554" i="80"/>
  <c r="A11553" i="80"/>
  <c r="A11552" i="80"/>
  <c r="A11550" i="80"/>
  <c r="A11549" i="80"/>
  <c r="A11548" i="80"/>
  <c r="A11547" i="80"/>
  <c r="A11546" i="80"/>
  <c r="A11544" i="80"/>
  <c r="A11543" i="80"/>
  <c r="A11542" i="80"/>
  <c r="A11541" i="80"/>
  <c r="A11540" i="80"/>
  <c r="A11538" i="80"/>
  <c r="A11537" i="80"/>
  <c r="A11536" i="80"/>
  <c r="A11535" i="80"/>
  <c r="A11534" i="80"/>
  <c r="A11532" i="80"/>
  <c r="A11531" i="80"/>
  <c r="A11530" i="80"/>
  <c r="A11529" i="80"/>
  <c r="A11528" i="80"/>
  <c r="A11526" i="80"/>
  <c r="A11525" i="80"/>
  <c r="A11524" i="80"/>
  <c r="A11523" i="80"/>
  <c r="A11522" i="80"/>
  <c r="H11522" i="79"/>
  <c r="A11521" i="80"/>
  <c r="A11520" i="80"/>
  <c r="A11519" i="80"/>
  <c r="A11518" i="80"/>
  <c r="A11517" i="80"/>
  <c r="A11516" i="80"/>
  <c r="A11514" i="80"/>
  <c r="A11513" i="80"/>
  <c r="A11512" i="80"/>
  <c r="A11511" i="80"/>
  <c r="A11510" i="80"/>
  <c r="H11510" i="79"/>
  <c r="A11509" i="80"/>
  <c r="A11508" i="80"/>
  <c r="A11507" i="80"/>
  <c r="A11506" i="80"/>
  <c r="A11505" i="80"/>
  <c r="A11504" i="80"/>
  <c r="A11502" i="80"/>
  <c r="A11501" i="80"/>
  <c r="A11500" i="80"/>
  <c r="A11499" i="80"/>
  <c r="A11498" i="80"/>
  <c r="H11498" i="79"/>
  <c r="A11497" i="80"/>
  <c r="A11496" i="80"/>
  <c r="A11495" i="80"/>
  <c r="A11494" i="80"/>
  <c r="A11493" i="80"/>
  <c r="A11492" i="80"/>
  <c r="A11490" i="80"/>
  <c r="A11489" i="80"/>
  <c r="A11488" i="80"/>
  <c r="A11487" i="80"/>
  <c r="A11486" i="80"/>
  <c r="A11484" i="80"/>
  <c r="A11483" i="80"/>
  <c r="A11482" i="80"/>
  <c r="A11481" i="80"/>
  <c r="A11480" i="80"/>
  <c r="A11478" i="80"/>
  <c r="A11477" i="80"/>
  <c r="A11476" i="80"/>
  <c r="A11475" i="80"/>
  <c r="A11474" i="80"/>
  <c r="A11472" i="80"/>
  <c r="A11471" i="80"/>
  <c r="A11470" i="80"/>
  <c r="A11469" i="80"/>
  <c r="A11468" i="80"/>
  <c r="A11466" i="80"/>
  <c r="A11465" i="80"/>
  <c r="A11464" i="80"/>
  <c r="A11463" i="80"/>
  <c r="A11462" i="80"/>
  <c r="H11462" i="79"/>
  <c r="A11461" i="80"/>
  <c r="A11460" i="80"/>
  <c r="A11459" i="80"/>
  <c r="A11458" i="80"/>
  <c r="A11457" i="80"/>
  <c r="A11456" i="80"/>
  <c r="A11454" i="80"/>
  <c r="A11453" i="80"/>
  <c r="A11452" i="80"/>
  <c r="A11451" i="80"/>
  <c r="A11450" i="80"/>
  <c r="A11448" i="80"/>
  <c r="A11447" i="80"/>
  <c r="A11446" i="80"/>
  <c r="A11445" i="80"/>
  <c r="A11444" i="80"/>
  <c r="H11444" i="79"/>
  <c r="A11443" i="80"/>
  <c r="A11442" i="80"/>
  <c r="A11441" i="80"/>
  <c r="A11440" i="80"/>
  <c r="A11439" i="80"/>
  <c r="A11438" i="80"/>
  <c r="A11436" i="80"/>
  <c r="A11435" i="80"/>
  <c r="A11434" i="80"/>
  <c r="A11433" i="80"/>
  <c r="A11432" i="80"/>
  <c r="H11432" i="79"/>
  <c r="A11431" i="80"/>
  <c r="A11430" i="80"/>
  <c r="A11429" i="80"/>
  <c r="A11428" i="80"/>
  <c r="A11427" i="80"/>
  <c r="A11426" i="80"/>
  <c r="H11426" i="79"/>
  <c r="A11425" i="80"/>
  <c r="A11424" i="80"/>
  <c r="A11423" i="80"/>
  <c r="A11422" i="80"/>
  <c r="A11421" i="80"/>
  <c r="A11420" i="80"/>
  <c r="H11420" i="79"/>
  <c r="A11419" i="80"/>
  <c r="A11418" i="80"/>
  <c r="A11417" i="80"/>
  <c r="A11416" i="80"/>
  <c r="A11415" i="80"/>
  <c r="A11414" i="80"/>
  <c r="A11412" i="80"/>
  <c r="A11411" i="80"/>
  <c r="A11410" i="80"/>
  <c r="A11409" i="80"/>
  <c r="A11408" i="80"/>
  <c r="A11406" i="80"/>
  <c r="A11405" i="80"/>
  <c r="A11404" i="80"/>
  <c r="A11403" i="80"/>
  <c r="A11402" i="80"/>
  <c r="H11402" i="79"/>
  <c r="A11401" i="80"/>
  <c r="A11400" i="80"/>
  <c r="A11399" i="80"/>
  <c r="A11398" i="80"/>
  <c r="A11397" i="80"/>
  <c r="A11396" i="80"/>
  <c r="A11394" i="80"/>
  <c r="A11393" i="80"/>
  <c r="A11392" i="80"/>
  <c r="A11391" i="80"/>
  <c r="A11390" i="80"/>
  <c r="A11388" i="80"/>
  <c r="A11387" i="80"/>
  <c r="A11386" i="80"/>
  <c r="A11385" i="80"/>
  <c r="A11384" i="80"/>
  <c r="H11384" i="79"/>
  <c r="A11383" i="80"/>
  <c r="A11382" i="80"/>
  <c r="A11381" i="80"/>
  <c r="A11380" i="80"/>
  <c r="A11379" i="80"/>
  <c r="A11378" i="80"/>
  <c r="H11378" i="79"/>
  <c r="A11377" i="80"/>
  <c r="A11376" i="80"/>
  <c r="A11375" i="80"/>
  <c r="A11374" i="80"/>
  <c r="A11373" i="80"/>
  <c r="A11372" i="80"/>
  <c r="A11370" i="80"/>
  <c r="A11369" i="80"/>
  <c r="A11368" i="80"/>
  <c r="A11367" i="80"/>
  <c r="A11366" i="80"/>
  <c r="A11364" i="80"/>
  <c r="A11363" i="80"/>
  <c r="A11362" i="80"/>
  <c r="A11361" i="80"/>
  <c r="A11360" i="80"/>
  <c r="A11358" i="80"/>
  <c r="A11357" i="80"/>
  <c r="A11356" i="80"/>
  <c r="A11355" i="80"/>
  <c r="A11354" i="80"/>
  <c r="A11352" i="80"/>
  <c r="A11351" i="80"/>
  <c r="A11350" i="80"/>
  <c r="A11349" i="80"/>
  <c r="A11348" i="80"/>
  <c r="A11346" i="80"/>
  <c r="A11345" i="80"/>
  <c r="A11344" i="80"/>
  <c r="A11343" i="80"/>
  <c r="A11342" i="80"/>
  <c r="H11342" i="79"/>
  <c r="A11341" i="80"/>
  <c r="A11340" i="80"/>
  <c r="A11339" i="80"/>
  <c r="A11338" i="80"/>
  <c r="A11337" i="80"/>
  <c r="A11336" i="80"/>
  <c r="A11334" i="80"/>
  <c r="A11333" i="80"/>
  <c r="A11332" i="80"/>
  <c r="A11331" i="80"/>
  <c r="A11330" i="80"/>
  <c r="H11330" i="79"/>
  <c r="A11329" i="80"/>
  <c r="A11328" i="80"/>
  <c r="A11327" i="80"/>
  <c r="A11326" i="80"/>
  <c r="A11325" i="80"/>
  <c r="A11324" i="80"/>
  <c r="A11322" i="80"/>
  <c r="A11321" i="80"/>
  <c r="A11320" i="80"/>
  <c r="A11319" i="80"/>
  <c r="A11318" i="80"/>
  <c r="H11318" i="79"/>
  <c r="A11317" i="80"/>
  <c r="A11316" i="80"/>
  <c r="A11315" i="80"/>
  <c r="A11314" i="80"/>
  <c r="A11313" i="80"/>
  <c r="A11312" i="80"/>
  <c r="A11310" i="80"/>
  <c r="A11309" i="80"/>
  <c r="A11308" i="80"/>
  <c r="A11307" i="80"/>
  <c r="A11306" i="80"/>
  <c r="A11304" i="80"/>
  <c r="A11303" i="80"/>
  <c r="A11302" i="80"/>
  <c r="A11301" i="80"/>
  <c r="A11300" i="80"/>
  <c r="A11298" i="80"/>
  <c r="A11297" i="80"/>
  <c r="A11296" i="80"/>
  <c r="A11295" i="80"/>
  <c r="A11294" i="80"/>
  <c r="A11292" i="80"/>
  <c r="A11291" i="80"/>
  <c r="A11290" i="80"/>
  <c r="A11289" i="80"/>
  <c r="A11288" i="80"/>
  <c r="A11286" i="80"/>
  <c r="A11285" i="80"/>
  <c r="A11284" i="80"/>
  <c r="A11283" i="80"/>
  <c r="A11282" i="80"/>
  <c r="H11282" i="79"/>
  <c r="A11281" i="80"/>
  <c r="A11280" i="80"/>
  <c r="A11279" i="80"/>
  <c r="A11278" i="80"/>
  <c r="A11277" i="80"/>
  <c r="A11276" i="80"/>
  <c r="A11274" i="80"/>
  <c r="A11273" i="80"/>
  <c r="A11272" i="80"/>
  <c r="A11271" i="80"/>
  <c r="A11270" i="80"/>
  <c r="A11268" i="80"/>
  <c r="A11267" i="80"/>
  <c r="A11266" i="80"/>
  <c r="A11265" i="80"/>
  <c r="A11264" i="80"/>
  <c r="H11264" i="79"/>
  <c r="A11263" i="80"/>
  <c r="A11262" i="80"/>
  <c r="A11261" i="80"/>
  <c r="A11260" i="80"/>
  <c r="A11259" i="80"/>
  <c r="A11258" i="80"/>
  <c r="A11256" i="80"/>
  <c r="A11255" i="80"/>
  <c r="A11254" i="80"/>
  <c r="A11253" i="80"/>
  <c r="A11252" i="80"/>
  <c r="H11252" i="79"/>
  <c r="A11251" i="80"/>
  <c r="A11250" i="80"/>
  <c r="A11249" i="80"/>
  <c r="A11248" i="80"/>
  <c r="A11247" i="80"/>
  <c r="A11246" i="80"/>
  <c r="H11246" i="79"/>
  <c r="A11245" i="80"/>
  <c r="A11244" i="80"/>
  <c r="A11243" i="80"/>
  <c r="A11242" i="80"/>
  <c r="A11241" i="80"/>
  <c r="A11240" i="80"/>
  <c r="A11238" i="80"/>
  <c r="A11237" i="80"/>
  <c r="A11236" i="80"/>
  <c r="A11235" i="80"/>
  <c r="A11234" i="80"/>
  <c r="A11232" i="80"/>
  <c r="A11231" i="80"/>
  <c r="A11230" i="80"/>
  <c r="A11229" i="80"/>
  <c r="A11228" i="80"/>
  <c r="H11228" i="79"/>
  <c r="A11227" i="80"/>
  <c r="A11226" i="80"/>
  <c r="A11225" i="80"/>
  <c r="A11224" i="80"/>
  <c r="A11223" i="80"/>
  <c r="A11222" i="80"/>
  <c r="A11220" i="80"/>
  <c r="A11219" i="80"/>
  <c r="A11218" i="80"/>
  <c r="A11217" i="80"/>
  <c r="A11216" i="80"/>
  <c r="A11214" i="80"/>
  <c r="A11213" i="80"/>
  <c r="A11212" i="80"/>
  <c r="A11211" i="80"/>
  <c r="A11210" i="80"/>
  <c r="H11210" i="79"/>
  <c r="A11209" i="80"/>
  <c r="A11208" i="80"/>
  <c r="A11207" i="80"/>
  <c r="A11206" i="80"/>
  <c r="A11205" i="80"/>
  <c r="A11204" i="80"/>
  <c r="H11204" i="79"/>
  <c r="A11203" i="80"/>
  <c r="A11202" i="80"/>
  <c r="A11201" i="80"/>
  <c r="A11200" i="80"/>
  <c r="A11199" i="80"/>
  <c r="A11198" i="80"/>
  <c r="H11198" i="79"/>
  <c r="A11197" i="80"/>
  <c r="A11196" i="80"/>
  <c r="A11195" i="80"/>
  <c r="A11194" i="80"/>
  <c r="A11193" i="80"/>
  <c r="A11192" i="80"/>
  <c r="A11190" i="80"/>
  <c r="A11189" i="80"/>
  <c r="A11188" i="80"/>
  <c r="A11187" i="80"/>
  <c r="A11186" i="80"/>
  <c r="A11184" i="80"/>
  <c r="A11183" i="80"/>
  <c r="A11182" i="80"/>
  <c r="A11181" i="80"/>
  <c r="A11180" i="80"/>
  <c r="A11178" i="80"/>
  <c r="A11177" i="80"/>
  <c r="A11176" i="80"/>
  <c r="A11175" i="80"/>
  <c r="A11174" i="80"/>
  <c r="A11172" i="80"/>
  <c r="A11171" i="80"/>
  <c r="A11170" i="80"/>
  <c r="A11169" i="80"/>
  <c r="A11168" i="80"/>
  <c r="A11166" i="80"/>
  <c r="A11165" i="80"/>
  <c r="A11164" i="80"/>
  <c r="A11163" i="80"/>
  <c r="A11162" i="80"/>
  <c r="H11162" i="79"/>
  <c r="A11161" i="80"/>
  <c r="A11160" i="80"/>
  <c r="A11159" i="80"/>
  <c r="A11158" i="80"/>
  <c r="A11157" i="80"/>
  <c r="A11156" i="80"/>
  <c r="A11154" i="80"/>
  <c r="A11153" i="80"/>
  <c r="A11152" i="80"/>
  <c r="A11151" i="80"/>
  <c r="A11150" i="80"/>
  <c r="H11150" i="79"/>
  <c r="A11149" i="80"/>
  <c r="A11148" i="80"/>
  <c r="A11147" i="80"/>
  <c r="A11146" i="80"/>
  <c r="A11145" i="80"/>
  <c r="A11144" i="80"/>
  <c r="A11142" i="80"/>
  <c r="A11141" i="80"/>
  <c r="A11140" i="80"/>
  <c r="A11139" i="80"/>
  <c r="A11138" i="80"/>
  <c r="H11138" i="79"/>
  <c r="A11137" i="80"/>
  <c r="A11136" i="80"/>
  <c r="A11135" i="80"/>
  <c r="A11134" i="80"/>
  <c r="A11133" i="80"/>
  <c r="A11132" i="80"/>
  <c r="A11130" i="80"/>
  <c r="A11129" i="80"/>
  <c r="A11128" i="80"/>
  <c r="A11127" i="80"/>
  <c r="A11126" i="80"/>
  <c r="A11124" i="80"/>
  <c r="A11123" i="80"/>
  <c r="A11122" i="80"/>
  <c r="A11121" i="80"/>
  <c r="A11120" i="80"/>
  <c r="A11118" i="80"/>
  <c r="A11117" i="80"/>
  <c r="A11116" i="80"/>
  <c r="A11115" i="80"/>
  <c r="A11114" i="80"/>
  <c r="A11112" i="80"/>
  <c r="A11111" i="80"/>
  <c r="A11110" i="80"/>
  <c r="A11109" i="80"/>
  <c r="A11108" i="80"/>
  <c r="A11106" i="80"/>
  <c r="A11105" i="80"/>
  <c r="A11104" i="80"/>
  <c r="A11103" i="80"/>
  <c r="A11102" i="80"/>
  <c r="H11102" i="79"/>
  <c r="A11101" i="80"/>
  <c r="A11100" i="80"/>
  <c r="A11099" i="80"/>
  <c r="A11098" i="80"/>
  <c r="A11097" i="80"/>
  <c r="A11096" i="80"/>
  <c r="A11094" i="80"/>
  <c r="A11093" i="80"/>
  <c r="A11092" i="80"/>
  <c r="A11091" i="80"/>
  <c r="A11090" i="80"/>
  <c r="A11088" i="80"/>
  <c r="A11087" i="80"/>
  <c r="A11086" i="80"/>
  <c r="A11085" i="80"/>
  <c r="A11084" i="80"/>
  <c r="H11084" i="79"/>
  <c r="A11083" i="80"/>
  <c r="A11082" i="80"/>
  <c r="A11081" i="80"/>
  <c r="A11080" i="80"/>
  <c r="A11079" i="80"/>
  <c r="A11078" i="80"/>
  <c r="A11076" i="80"/>
  <c r="A11075" i="80"/>
  <c r="A11074" i="80"/>
  <c r="A11073" i="80"/>
  <c r="A11072" i="80"/>
  <c r="H11072" i="79"/>
  <c r="A11071" i="80"/>
  <c r="A11070" i="80"/>
  <c r="A11069" i="80"/>
  <c r="A11068" i="80"/>
  <c r="A11067" i="80"/>
  <c r="A11066" i="80"/>
  <c r="H11066" i="79"/>
  <c r="A11065" i="80"/>
  <c r="A11064" i="80"/>
  <c r="A11063" i="80"/>
  <c r="A11062" i="80"/>
  <c r="A11061" i="80"/>
  <c r="A11060" i="80"/>
  <c r="A11058" i="80"/>
  <c r="A11057" i="80"/>
  <c r="A11056" i="80"/>
  <c r="A11055" i="80"/>
  <c r="A11054" i="80"/>
  <c r="A11052" i="80"/>
  <c r="A11051" i="80"/>
  <c r="A11050" i="80"/>
  <c r="A11049" i="80"/>
  <c r="A11048" i="80"/>
  <c r="H11048" i="79"/>
  <c r="A11047" i="80"/>
  <c r="A11046" i="80"/>
  <c r="A11045" i="80"/>
  <c r="A11044" i="80"/>
  <c r="A11043" i="80"/>
  <c r="A11042" i="80"/>
  <c r="A11040" i="80"/>
  <c r="A11039" i="80"/>
  <c r="A11038" i="80"/>
  <c r="A11037" i="80"/>
  <c r="A11036" i="80"/>
  <c r="A11034" i="80"/>
  <c r="A11033" i="80"/>
  <c r="A11032" i="80"/>
  <c r="A11031" i="80"/>
  <c r="A11030" i="80"/>
  <c r="H11030" i="79"/>
  <c r="A11029" i="80"/>
  <c r="A11028" i="80"/>
  <c r="A11027" i="80"/>
  <c r="A11026" i="80"/>
  <c r="A11025" i="80"/>
  <c r="A11024" i="80"/>
  <c r="H11024" i="79"/>
  <c r="A11023" i="80"/>
  <c r="A11022" i="80"/>
  <c r="A11021" i="80"/>
  <c r="A11020" i="80"/>
  <c r="A11019" i="80"/>
  <c r="A11018" i="80"/>
  <c r="H11018" i="79"/>
  <c r="A11017" i="80"/>
  <c r="A11016" i="80"/>
  <c r="A11015" i="80"/>
  <c r="A11014" i="80"/>
  <c r="A11013" i="80"/>
  <c r="A11012" i="80"/>
  <c r="A11010" i="80"/>
  <c r="A11009" i="80"/>
  <c r="A11008" i="80"/>
  <c r="A11007" i="80"/>
  <c r="A11006" i="80"/>
  <c r="A11004" i="80"/>
  <c r="A11003" i="80"/>
  <c r="A11002" i="80"/>
  <c r="A11001" i="80"/>
  <c r="A11000" i="80"/>
  <c r="A10998" i="80"/>
  <c r="A10997" i="80"/>
  <c r="A10996" i="80"/>
  <c r="A10995" i="80"/>
  <c r="A10994" i="80"/>
  <c r="A10992" i="80"/>
  <c r="A10991" i="80"/>
  <c r="A10990" i="80"/>
  <c r="A10989" i="80"/>
  <c r="A10988" i="80"/>
  <c r="A10986" i="80"/>
  <c r="A10985" i="80"/>
  <c r="A10984" i="80"/>
  <c r="A10983" i="80"/>
  <c r="A10982" i="80"/>
  <c r="H10982" i="79"/>
  <c r="A10981" i="80"/>
  <c r="A10980" i="80"/>
  <c r="A10979" i="80"/>
  <c r="A10978" i="80"/>
  <c r="A10977" i="80"/>
  <c r="A10976" i="80"/>
  <c r="A10974" i="80"/>
  <c r="A10973" i="80"/>
  <c r="A10972" i="80"/>
  <c r="A10971" i="80"/>
  <c r="A10970" i="80"/>
  <c r="H10970" i="79"/>
  <c r="A10969" i="80"/>
  <c r="A10968" i="80"/>
  <c r="A10967" i="80"/>
  <c r="A10966" i="80"/>
  <c r="A10965" i="80"/>
  <c r="A10964" i="80"/>
  <c r="A10962" i="80"/>
  <c r="A10961" i="80"/>
  <c r="A10960" i="80"/>
  <c r="A10959" i="80"/>
  <c r="A10958" i="80"/>
  <c r="H10958" i="79"/>
  <c r="A10957" i="80"/>
  <c r="A10956" i="80"/>
  <c r="A10955" i="80"/>
  <c r="A10954" i="80"/>
  <c r="A10953" i="80"/>
  <c r="A10952" i="80"/>
  <c r="A10950" i="80"/>
  <c r="A10949" i="80"/>
  <c r="A10948" i="80"/>
  <c r="A10947" i="80"/>
  <c r="A10946" i="80"/>
  <c r="A10944" i="80"/>
  <c r="A10943" i="80"/>
  <c r="A10942" i="80"/>
  <c r="A10941" i="80"/>
  <c r="A10940" i="80"/>
  <c r="A10938" i="80"/>
  <c r="A10937" i="80"/>
  <c r="A10936" i="80"/>
  <c r="A10935" i="80"/>
  <c r="A10934" i="80"/>
  <c r="A10932" i="80"/>
  <c r="A10931" i="80"/>
  <c r="A10930" i="80"/>
  <c r="A10929" i="80"/>
  <c r="A10928" i="80"/>
  <c r="A10926" i="80"/>
  <c r="A10925" i="80"/>
  <c r="A10924" i="80"/>
  <c r="A10923" i="80"/>
  <c r="A10922" i="80"/>
  <c r="H10922" i="79"/>
  <c r="A10921" i="80"/>
  <c r="A10920" i="80"/>
  <c r="A10919" i="80"/>
  <c r="A10918" i="80"/>
  <c r="A10917" i="80"/>
  <c r="A10916" i="80"/>
  <c r="A10914" i="80"/>
  <c r="A10913" i="80"/>
  <c r="A10912" i="80"/>
  <c r="A10911" i="80"/>
  <c r="A10910" i="80"/>
  <c r="A10908" i="80"/>
  <c r="A10907" i="80"/>
  <c r="A10906" i="80"/>
  <c r="A10905" i="80"/>
  <c r="A10904" i="80"/>
  <c r="H10904" i="79"/>
  <c r="A10903" i="80"/>
  <c r="A10902" i="80"/>
  <c r="A10901" i="80"/>
  <c r="A10900" i="80"/>
  <c r="A10899" i="80"/>
  <c r="A10898" i="80"/>
  <c r="A10896" i="80"/>
  <c r="A10895" i="80"/>
  <c r="A10894" i="80"/>
  <c r="A10893" i="80"/>
  <c r="A10892" i="80"/>
  <c r="H10892" i="79"/>
  <c r="A10891" i="80"/>
  <c r="A10890" i="80"/>
  <c r="A10889" i="80"/>
  <c r="A10888" i="80"/>
  <c r="A10887" i="80"/>
  <c r="A10886" i="80"/>
  <c r="H10886" i="79"/>
  <c r="A10885" i="80"/>
  <c r="A10884" i="80"/>
  <c r="A10883" i="80"/>
  <c r="A10882" i="80"/>
  <c r="A10881" i="80"/>
  <c r="A10880" i="80"/>
  <c r="A10878" i="80"/>
  <c r="A10877" i="80"/>
  <c r="A10876" i="80"/>
  <c r="A10875" i="80"/>
  <c r="A10874" i="80"/>
  <c r="A10872" i="80"/>
  <c r="A10871" i="80"/>
  <c r="A10870" i="80"/>
  <c r="A10869" i="80"/>
  <c r="A10868" i="80"/>
  <c r="H10868" i="79"/>
  <c r="A10867" i="80"/>
  <c r="A10866" i="80"/>
  <c r="A10865" i="80"/>
  <c r="A10864" i="80"/>
  <c r="A10863" i="80"/>
  <c r="A10862" i="80"/>
  <c r="A10860" i="80"/>
  <c r="A10859" i="80"/>
  <c r="A10858" i="80"/>
  <c r="A10857" i="80"/>
  <c r="A10856" i="80"/>
  <c r="A10854" i="80"/>
  <c r="A10853" i="80"/>
  <c r="A10852" i="80"/>
  <c r="A10851" i="80"/>
  <c r="A10850" i="80"/>
  <c r="H10850" i="79"/>
  <c r="A10849" i="80"/>
  <c r="A10848" i="80"/>
  <c r="A10847" i="80"/>
  <c r="A10846" i="80"/>
  <c r="A10845" i="80"/>
  <c r="A10844" i="80"/>
  <c r="H10844" i="79"/>
  <c r="A10843" i="80"/>
  <c r="A10842" i="80"/>
  <c r="A10841" i="80"/>
  <c r="A10840" i="80"/>
  <c r="A10839" i="80"/>
  <c r="A10838" i="80"/>
  <c r="H10838" i="79"/>
  <c r="A10837" i="80"/>
  <c r="A10836" i="80"/>
  <c r="A10835" i="80"/>
  <c r="A10834" i="80"/>
  <c r="A10833" i="80"/>
  <c r="A10832" i="80"/>
  <c r="A10830" i="80"/>
  <c r="A10829" i="80"/>
  <c r="A10828" i="80"/>
  <c r="A10827" i="80"/>
  <c r="A10826" i="80"/>
  <c r="A10824" i="80"/>
  <c r="A10823" i="80"/>
  <c r="A10822" i="80"/>
  <c r="A10821" i="80"/>
  <c r="A10820" i="80"/>
  <c r="A10818" i="80"/>
  <c r="A10817" i="80"/>
  <c r="A10816" i="80"/>
  <c r="A10815" i="80"/>
  <c r="A10814" i="80"/>
  <c r="A10812" i="80"/>
  <c r="A10811" i="80"/>
  <c r="A10810" i="80"/>
  <c r="A10809" i="80"/>
  <c r="A10808" i="80"/>
  <c r="A10806" i="80"/>
  <c r="A10805" i="80"/>
  <c r="A10804" i="80"/>
  <c r="A10803" i="80"/>
  <c r="A10802" i="80"/>
  <c r="H10802" i="79"/>
  <c r="A10801" i="80"/>
  <c r="A10800" i="80"/>
  <c r="A10799" i="80"/>
  <c r="A10798" i="80"/>
  <c r="A10797" i="80"/>
  <c r="A10796" i="80"/>
  <c r="A10794" i="80"/>
  <c r="A10793" i="80"/>
  <c r="A10792" i="80"/>
  <c r="A10791" i="80"/>
  <c r="A10790" i="80"/>
  <c r="H10790" i="79"/>
  <c r="A10789" i="80"/>
  <c r="A10788" i="80"/>
  <c r="A10787" i="80"/>
  <c r="A10786" i="80"/>
  <c r="A10785" i="80"/>
  <c r="A10784" i="80"/>
  <c r="A10782" i="80"/>
  <c r="A10781" i="80"/>
  <c r="A10780" i="80"/>
  <c r="A10779" i="80"/>
  <c r="A10778" i="80"/>
  <c r="H10778" i="79"/>
  <c r="A10777" i="80"/>
  <c r="A10776" i="80"/>
  <c r="A10775" i="80"/>
  <c r="A10774" i="80"/>
  <c r="A10773" i="80"/>
  <c r="A10772" i="80"/>
  <c r="A10770" i="80"/>
  <c r="A10769" i="80"/>
  <c r="A10768" i="80"/>
  <c r="A10767" i="80"/>
  <c r="A10766" i="80"/>
  <c r="A10764" i="80"/>
  <c r="A10763" i="80"/>
  <c r="A10762" i="80"/>
  <c r="A10761" i="80"/>
  <c r="A10760" i="80"/>
  <c r="A10758" i="80"/>
  <c r="A10757" i="80"/>
  <c r="A10756" i="80"/>
  <c r="A10755" i="80"/>
  <c r="A10754" i="80"/>
  <c r="A10752" i="80"/>
  <c r="A10751" i="80"/>
  <c r="A10750" i="80"/>
  <c r="A10749" i="80"/>
  <c r="A10748" i="80"/>
  <c r="A10746" i="80"/>
  <c r="A10745" i="80"/>
  <c r="A10744" i="80"/>
  <c r="A10743" i="80"/>
  <c r="A10742" i="80"/>
  <c r="A10740" i="80"/>
  <c r="A10739" i="80"/>
  <c r="A10738" i="80"/>
  <c r="A10737" i="80"/>
  <c r="A10736" i="80"/>
  <c r="H10736" i="79"/>
  <c r="A10735" i="80"/>
  <c r="A10734" i="80"/>
  <c r="A10733" i="80"/>
  <c r="A10732" i="80"/>
  <c r="A10731" i="80"/>
  <c r="A10730" i="80"/>
  <c r="A10728" i="80"/>
  <c r="A10727" i="80"/>
  <c r="A10726" i="80"/>
  <c r="A10725" i="80"/>
  <c r="A10724" i="80"/>
  <c r="H10724" i="79"/>
  <c r="A10723" i="80"/>
  <c r="A10722" i="80"/>
  <c r="A10721" i="80"/>
  <c r="A10720" i="80"/>
  <c r="A10719" i="80"/>
  <c r="A10718" i="80"/>
  <c r="A10716" i="80"/>
  <c r="A10715" i="80"/>
  <c r="A10714" i="80"/>
  <c r="A10713" i="80"/>
  <c r="A10712" i="80"/>
  <c r="H10712" i="79"/>
  <c r="A10711" i="80"/>
  <c r="A10710" i="80"/>
  <c r="A10709" i="80"/>
  <c r="A10708" i="80"/>
  <c r="A10707" i="80"/>
  <c r="A10706" i="80"/>
  <c r="H10706" i="79"/>
  <c r="A10705" i="80"/>
  <c r="A10704" i="80"/>
  <c r="A10703" i="80"/>
  <c r="A10702" i="80"/>
  <c r="A10701" i="80"/>
  <c r="A10700" i="80"/>
  <c r="A10698" i="80"/>
  <c r="A10697" i="80"/>
  <c r="A10696" i="80"/>
  <c r="A10695" i="80"/>
  <c r="A10694" i="80"/>
  <c r="A10692" i="80"/>
  <c r="A10691" i="80"/>
  <c r="A10690" i="80"/>
  <c r="A10689" i="80"/>
  <c r="A10688" i="80"/>
  <c r="H10688" i="79"/>
  <c r="A10687" i="80"/>
  <c r="A10686" i="80"/>
  <c r="A10685" i="80"/>
  <c r="A10684" i="80"/>
  <c r="A10683" i="80"/>
  <c r="A10682" i="80"/>
  <c r="A10680" i="80"/>
  <c r="A10679" i="80"/>
  <c r="A10678" i="80"/>
  <c r="A10677" i="80"/>
  <c r="A10676" i="80"/>
  <c r="A10674" i="80"/>
  <c r="A10673" i="80"/>
  <c r="A10672" i="80"/>
  <c r="A10671" i="80"/>
  <c r="A10670" i="80"/>
  <c r="H10670" i="79"/>
  <c r="A10669" i="80"/>
  <c r="A10668" i="80"/>
  <c r="A10667" i="80"/>
  <c r="A10666" i="80"/>
  <c r="A10665" i="80"/>
  <c r="A10664" i="80"/>
  <c r="H10664" i="79"/>
  <c r="A10663" i="80"/>
  <c r="A10662" i="80"/>
  <c r="A10661" i="80"/>
  <c r="A10660" i="80"/>
  <c r="A10659" i="80"/>
  <c r="A10658" i="80"/>
  <c r="H10658" i="79"/>
  <c r="A10657" i="80"/>
  <c r="A10656" i="80"/>
  <c r="A10655" i="80"/>
  <c r="A10654" i="80"/>
  <c r="A10653" i="80"/>
  <c r="A10652" i="80"/>
  <c r="A10650" i="80"/>
  <c r="A10649" i="80"/>
  <c r="A10648" i="80"/>
  <c r="A10647" i="80"/>
  <c r="A10646" i="80"/>
  <c r="A10644" i="80"/>
  <c r="A10643" i="80"/>
  <c r="A10642" i="80"/>
  <c r="A10641" i="80"/>
  <c r="A10640" i="80"/>
  <c r="A10638" i="80"/>
  <c r="A10637" i="80"/>
  <c r="A10636" i="80"/>
  <c r="A10635" i="80"/>
  <c r="A10634" i="80"/>
  <c r="A10632" i="80"/>
  <c r="A10631" i="80"/>
  <c r="A10630" i="80"/>
  <c r="A10629" i="80"/>
  <c r="A10628" i="80"/>
  <c r="A10626" i="80"/>
  <c r="A10625" i="80"/>
  <c r="A10624" i="80"/>
  <c r="A10623" i="80"/>
  <c r="A10622" i="80"/>
  <c r="H10622" i="79"/>
  <c r="A10621" i="80"/>
  <c r="A10620" i="80"/>
  <c r="A10619" i="80"/>
  <c r="A10618" i="80"/>
  <c r="A10617" i="80"/>
  <c r="A10616" i="80"/>
  <c r="A10614" i="80"/>
  <c r="A10613" i="80"/>
  <c r="A10612" i="80"/>
  <c r="A10611" i="80"/>
  <c r="A10610" i="80"/>
  <c r="H10610" i="79"/>
  <c r="A10609" i="80"/>
  <c r="A10608" i="80"/>
  <c r="A10607" i="80"/>
  <c r="A10606" i="80"/>
  <c r="A10605" i="80"/>
  <c r="A10604" i="80"/>
  <c r="A10602" i="80"/>
  <c r="A10601" i="80"/>
  <c r="A10600" i="80"/>
  <c r="A10599" i="80"/>
  <c r="A10598" i="80"/>
  <c r="H10598" i="79"/>
  <c r="A10597" i="80"/>
  <c r="A10596" i="80"/>
  <c r="A10595" i="80"/>
  <c r="A10594" i="80"/>
  <c r="A10593" i="80"/>
  <c r="A10592" i="80"/>
  <c r="A10590" i="80"/>
  <c r="A10589" i="80"/>
  <c r="A10588" i="80"/>
  <c r="A10587" i="80"/>
  <c r="A10586" i="80"/>
  <c r="A10584" i="80"/>
  <c r="A10583" i="80"/>
  <c r="A10582" i="80"/>
  <c r="A10581" i="80"/>
  <c r="A10580" i="80"/>
  <c r="A10578" i="80"/>
  <c r="A10577" i="80"/>
  <c r="A10576" i="80"/>
  <c r="A10575" i="80"/>
  <c r="A10574" i="80"/>
  <c r="A10572" i="80"/>
  <c r="A10571" i="80"/>
  <c r="A10570" i="80"/>
  <c r="A10569" i="80"/>
  <c r="A10568" i="80"/>
  <c r="A10566" i="80"/>
  <c r="A10565" i="80"/>
  <c r="A10564" i="80"/>
  <c r="A10563" i="80"/>
  <c r="A10562" i="80"/>
  <c r="A10560" i="80"/>
  <c r="A10559" i="80"/>
  <c r="A10558" i="80"/>
  <c r="A10557" i="80"/>
  <c r="A10556" i="80"/>
  <c r="H10556" i="79"/>
  <c r="A10555" i="80"/>
  <c r="A10554" i="80"/>
  <c r="A10553" i="80"/>
  <c r="A10552" i="80"/>
  <c r="A10551" i="80"/>
  <c r="A10550" i="80"/>
  <c r="A10548" i="80"/>
  <c r="A10547" i="80"/>
  <c r="A10546" i="80"/>
  <c r="A10545" i="80"/>
  <c r="A10544" i="80"/>
  <c r="H10544" i="79"/>
  <c r="A10543" i="80"/>
  <c r="A10542" i="80"/>
  <c r="A10541" i="80"/>
  <c r="A10540" i="80"/>
  <c r="A10539" i="80"/>
  <c r="A10538" i="80"/>
  <c r="A10536" i="80"/>
  <c r="A10535" i="80"/>
  <c r="A10534" i="80"/>
  <c r="A10533" i="80"/>
  <c r="A10532" i="80"/>
  <c r="H10532" i="79"/>
  <c r="A10531" i="80"/>
  <c r="A10530" i="80"/>
  <c r="A10529" i="80"/>
  <c r="A10528" i="80"/>
  <c r="A10527" i="80"/>
  <c r="A10526" i="80"/>
  <c r="H10526" i="79"/>
  <c r="A10525" i="80"/>
  <c r="A10524" i="80"/>
  <c r="A10523" i="80"/>
  <c r="A10522" i="80"/>
  <c r="A10521" i="80"/>
  <c r="A10520" i="80"/>
  <c r="A10518" i="80"/>
  <c r="A10517" i="80"/>
  <c r="A10516" i="80"/>
  <c r="A10515" i="80"/>
  <c r="A10514" i="80"/>
  <c r="A10512" i="80"/>
  <c r="A10511" i="80"/>
  <c r="A10510" i="80"/>
  <c r="A10509" i="80"/>
  <c r="A10508" i="80"/>
  <c r="H10508" i="79"/>
  <c r="A10507" i="80"/>
  <c r="A10506" i="80"/>
  <c r="A10505" i="80"/>
  <c r="A10504" i="80"/>
  <c r="A10503" i="80"/>
  <c r="A10502" i="80"/>
  <c r="A10500" i="80"/>
  <c r="A10499" i="80"/>
  <c r="A10498" i="80"/>
  <c r="A10497" i="80"/>
  <c r="A10496" i="80"/>
  <c r="A10494" i="80"/>
  <c r="A10493" i="80"/>
  <c r="A10492" i="80"/>
  <c r="A10491" i="80"/>
  <c r="A10490" i="80"/>
  <c r="H10490" i="79"/>
  <c r="A10489" i="80"/>
  <c r="A10488" i="80"/>
  <c r="A10487" i="80"/>
  <c r="A10486" i="80"/>
  <c r="A10485" i="80"/>
  <c r="A10484" i="80"/>
  <c r="H10484" i="79"/>
  <c r="A10483" i="80"/>
  <c r="A10482" i="80"/>
  <c r="A10481" i="80"/>
  <c r="A10480" i="80"/>
  <c r="A10479" i="80"/>
  <c r="A10478" i="80"/>
  <c r="H10478" i="79"/>
  <c r="A10477" i="80"/>
  <c r="A10476" i="80"/>
  <c r="A10475" i="80"/>
  <c r="A10474" i="80"/>
  <c r="A10473" i="80"/>
  <c r="A10472" i="80"/>
  <c r="A10471" i="80"/>
  <c r="A10470" i="80"/>
  <c r="A10469" i="80"/>
  <c r="A10468" i="80"/>
  <c r="A10467" i="80"/>
  <c r="A10466" i="80"/>
  <c r="A10465" i="80"/>
  <c r="A10463" i="80"/>
  <c r="A10462" i="80"/>
  <c r="A10461" i="80"/>
  <c r="A10460" i="80"/>
  <c r="A10459" i="80"/>
  <c r="A10457" i="80"/>
  <c r="A10456" i="80"/>
  <c r="A10455" i="80"/>
  <c r="A10454" i="80"/>
  <c r="A10453" i="80"/>
  <c r="A10452" i="80"/>
  <c r="H10452" i="79"/>
  <c r="A10451" i="80"/>
  <c r="A10450" i="80"/>
  <c r="A10449" i="80"/>
  <c r="A10448" i="80"/>
  <c r="A10447" i="80"/>
  <c r="H10447" i="79"/>
  <c r="A10446" i="80"/>
  <c r="A10445" i="80"/>
  <c r="A10444" i="80"/>
  <c r="A10443" i="80"/>
  <c r="A10442" i="80"/>
  <c r="H10442" i="79"/>
  <c r="A10441" i="80"/>
  <c r="A10440" i="80"/>
  <c r="A10439" i="80"/>
  <c r="A10438" i="80"/>
  <c r="A10437" i="80"/>
  <c r="H10437" i="79"/>
  <c r="A10436" i="80"/>
  <c r="A10435" i="80"/>
  <c r="A10434" i="80"/>
  <c r="A10433" i="80"/>
  <c r="A10432" i="80"/>
  <c r="H10432" i="79"/>
  <c r="A10431" i="80"/>
  <c r="A10430" i="80"/>
  <c r="A10429" i="80"/>
  <c r="A10428" i="80"/>
  <c r="A10427" i="80"/>
  <c r="H10427" i="79"/>
  <c r="A10426" i="80"/>
  <c r="A10425" i="80"/>
  <c r="A10424" i="80"/>
  <c r="A10423" i="80"/>
  <c r="A10422" i="80"/>
  <c r="H10422" i="79"/>
  <c r="A10421" i="80"/>
  <c r="A10420" i="80"/>
  <c r="A10419" i="80"/>
  <c r="A10418" i="80"/>
  <c r="A10417" i="80"/>
  <c r="H10417" i="79"/>
  <c r="A10416" i="80"/>
  <c r="A10415" i="80"/>
  <c r="A10414" i="80"/>
  <c r="A10413" i="80"/>
  <c r="A10412" i="80"/>
  <c r="H10412" i="79"/>
  <c r="A10411" i="80"/>
  <c r="A10410" i="80"/>
  <c r="A10409" i="80"/>
  <c r="A10408" i="80"/>
  <c r="A10407" i="80"/>
  <c r="H10407" i="79"/>
  <c r="A10406" i="80"/>
  <c r="A10405" i="80"/>
  <c r="A10404" i="80"/>
  <c r="A10403" i="80"/>
  <c r="A10402" i="80"/>
  <c r="H10402" i="79"/>
  <c r="A10401" i="80"/>
  <c r="A10400" i="80"/>
  <c r="A10399" i="80"/>
  <c r="A10398" i="80"/>
  <c r="A10397" i="80"/>
  <c r="H10397" i="79"/>
  <c r="A10396" i="80"/>
  <c r="A10395" i="80"/>
  <c r="A10394" i="80"/>
  <c r="A10393" i="80"/>
  <c r="A10392" i="80"/>
  <c r="H10392" i="79"/>
  <c r="A10391" i="80"/>
  <c r="A10390" i="80"/>
  <c r="A10389" i="80"/>
  <c r="A10388" i="80"/>
  <c r="A10387" i="80"/>
  <c r="H10387" i="79"/>
  <c r="A10386" i="80"/>
  <c r="A10385" i="80"/>
  <c r="A10384" i="80"/>
  <c r="A10383" i="80"/>
  <c r="A10382" i="80"/>
  <c r="H10382" i="79"/>
  <c r="A10381" i="80"/>
  <c r="A10380" i="80"/>
  <c r="A10379" i="80"/>
  <c r="A10378" i="80"/>
  <c r="A10377" i="80"/>
  <c r="H10377" i="79"/>
  <c r="A10376" i="80"/>
  <c r="A10375" i="80"/>
  <c r="A10374" i="80"/>
  <c r="A10373" i="80"/>
  <c r="A10372" i="80"/>
  <c r="H10372" i="79"/>
  <c r="A10371" i="80"/>
  <c r="A10370" i="80"/>
  <c r="A10369" i="80"/>
  <c r="A10368" i="80"/>
  <c r="A10367" i="80"/>
  <c r="H10367" i="79"/>
  <c r="A10366" i="80"/>
  <c r="A10365" i="80"/>
  <c r="A10364" i="80"/>
  <c r="A10363" i="80"/>
  <c r="A10362" i="80"/>
  <c r="H10362" i="79"/>
  <c r="A10361" i="80"/>
  <c r="A10360" i="80"/>
  <c r="A10359" i="80"/>
  <c r="A10358" i="80"/>
  <c r="A10357" i="80"/>
  <c r="H10357" i="79"/>
  <c r="A10356" i="80"/>
  <c r="A10355" i="80"/>
  <c r="A10354" i="80"/>
  <c r="A10353" i="80"/>
  <c r="A10352" i="80"/>
  <c r="H10352" i="79"/>
  <c r="A10351" i="80"/>
  <c r="A10350" i="80"/>
  <c r="A10349" i="80"/>
  <c r="A10348" i="80"/>
  <c r="A10347" i="80"/>
  <c r="H10347" i="79"/>
  <c r="A10346" i="80"/>
  <c r="A10345" i="80"/>
  <c r="A10344" i="80"/>
  <c r="A10343" i="80"/>
  <c r="A10342" i="80"/>
  <c r="H10342" i="79"/>
  <c r="A10341" i="80"/>
  <c r="A10340" i="80"/>
  <c r="A10339" i="80"/>
  <c r="A10338" i="80"/>
  <c r="A10337" i="80"/>
  <c r="H10337" i="79"/>
  <c r="A10336" i="80"/>
  <c r="A10335" i="80"/>
  <c r="A10334" i="80"/>
  <c r="A10333" i="80"/>
  <c r="A10332" i="80"/>
  <c r="H10332" i="79"/>
  <c r="A10331" i="80"/>
  <c r="A10330" i="80"/>
  <c r="A10329" i="80"/>
  <c r="A10328" i="80"/>
  <c r="A10327" i="80"/>
  <c r="H10327" i="79"/>
  <c r="A10326" i="80"/>
  <c r="A10325" i="80"/>
  <c r="A10324" i="80"/>
  <c r="A10323" i="80"/>
  <c r="A10322" i="80"/>
  <c r="H10322" i="79"/>
  <c r="A10321" i="80"/>
  <c r="A10320" i="80"/>
  <c r="A10319" i="80"/>
  <c r="A10318" i="80"/>
  <c r="A10317" i="80"/>
  <c r="H10317" i="79"/>
  <c r="A10316" i="80"/>
  <c r="A10315" i="80"/>
  <c r="A10314" i="80"/>
  <c r="A10313" i="80"/>
  <c r="A10312" i="80"/>
  <c r="H10312" i="79"/>
  <c r="A10311" i="80"/>
  <c r="A10310" i="80"/>
  <c r="A10309" i="80"/>
  <c r="A10308" i="80"/>
  <c r="A10307" i="80"/>
  <c r="A10305" i="80"/>
  <c r="A10304" i="80"/>
  <c r="A10303" i="80"/>
  <c r="A10302" i="80"/>
  <c r="H10302" i="79"/>
  <c r="A10301" i="80"/>
  <c r="A10300" i="80"/>
  <c r="A10299" i="80"/>
  <c r="A10298" i="80"/>
  <c r="A10297" i="80"/>
  <c r="H10297" i="79"/>
  <c r="A10296" i="80"/>
  <c r="A10295" i="80"/>
  <c r="A10294" i="80"/>
  <c r="A10293" i="80"/>
  <c r="A10292" i="80"/>
  <c r="H10292" i="79"/>
  <c r="A10291" i="80"/>
  <c r="A10290" i="80"/>
  <c r="A10289" i="80"/>
  <c r="A10288" i="80"/>
  <c r="A10287" i="80"/>
  <c r="H10287" i="79"/>
  <c r="A10286" i="80"/>
  <c r="A10285" i="80"/>
  <c r="A10284" i="80"/>
  <c r="A10283" i="80"/>
  <c r="A10282" i="80"/>
  <c r="H10282" i="79"/>
  <c r="A10281" i="80"/>
  <c r="A10280" i="80"/>
  <c r="A10279" i="80"/>
  <c r="A10278" i="80"/>
  <c r="A10277" i="80"/>
  <c r="H10277" i="79"/>
  <c r="A10276" i="80"/>
  <c r="A10275" i="80"/>
  <c r="A10274" i="80"/>
  <c r="A10273" i="80"/>
  <c r="A10272" i="80"/>
  <c r="H10272" i="79"/>
  <c r="A10271" i="80"/>
  <c r="A10270" i="80"/>
  <c r="A10269" i="80"/>
  <c r="A10268" i="80"/>
  <c r="A10267" i="80"/>
  <c r="A10265" i="80"/>
  <c r="A10264" i="80"/>
  <c r="A10263" i="80"/>
  <c r="A10262" i="80"/>
  <c r="A10260" i="80"/>
  <c r="A10259" i="80"/>
  <c r="A10258" i="80"/>
  <c r="A10257" i="80"/>
  <c r="A10255" i="80"/>
  <c r="A10254" i="80"/>
  <c r="A10253" i="80"/>
  <c r="A10252" i="80"/>
  <c r="H10252" i="79"/>
  <c r="A10251" i="80"/>
  <c r="A10250" i="80"/>
  <c r="A10249" i="80"/>
  <c r="A10248" i="80"/>
  <c r="A10247" i="80"/>
  <c r="A10245" i="80"/>
  <c r="A10244" i="80"/>
  <c r="A10243" i="80"/>
  <c r="A10242" i="80"/>
  <c r="A10240" i="80"/>
  <c r="A10239" i="80"/>
  <c r="A10238" i="80"/>
  <c r="A10237" i="80"/>
  <c r="A10235" i="80"/>
  <c r="A10234" i="80"/>
  <c r="A10233" i="80"/>
  <c r="A10232" i="80"/>
  <c r="A10230" i="80"/>
  <c r="A10229" i="80"/>
  <c r="A10228" i="80"/>
  <c r="A10227" i="80"/>
  <c r="A10225" i="80"/>
  <c r="A10224" i="80"/>
  <c r="A10223" i="80"/>
  <c r="A10222" i="80"/>
  <c r="A10220" i="80"/>
  <c r="A10219" i="80"/>
  <c r="A10218" i="80"/>
  <c r="A10217" i="80"/>
  <c r="A10215" i="80"/>
  <c r="A10214" i="80"/>
  <c r="A10213" i="80"/>
  <c r="A10212" i="80"/>
  <c r="A10211" i="80"/>
  <c r="A10210" i="80"/>
  <c r="A10209" i="80"/>
  <c r="A10208" i="80"/>
  <c r="A10206" i="80"/>
  <c r="A10205" i="80"/>
  <c r="A10204" i="80"/>
  <c r="A10203" i="80"/>
  <c r="A10202" i="80"/>
  <c r="A10201" i="80"/>
  <c r="A10200" i="80"/>
  <c r="L23" i="59"/>
  <c r="H10200" i="79"/>
  <c r="A10199" i="80"/>
  <c r="A10198" i="80"/>
  <c r="A10197" i="80"/>
  <c r="A10196" i="80"/>
  <c r="A10195" i="80"/>
  <c r="A10194" i="80"/>
  <c r="K23" i="59"/>
  <c r="H10194" i="79"/>
  <c r="A10193" i="80"/>
  <c r="A10192" i="80"/>
  <c r="A10191" i="80"/>
  <c r="A10190" i="80"/>
  <c r="A10189" i="80"/>
  <c r="A10188" i="80"/>
  <c r="J23" i="59"/>
  <c r="H10188" i="79"/>
  <c r="A10187" i="80"/>
  <c r="A10186" i="80"/>
  <c r="A10185" i="80"/>
  <c r="A10184" i="80"/>
  <c r="A10183" i="80"/>
  <c r="A10182" i="80"/>
  <c r="I23" i="59"/>
  <c r="H10182" i="79"/>
  <c r="A10181" i="80"/>
  <c r="A10180" i="80"/>
  <c r="A10179" i="80"/>
  <c r="A10178" i="80"/>
  <c r="A10177" i="80"/>
  <c r="A10176" i="80"/>
  <c r="H23" i="59"/>
  <c r="H10176" i="79"/>
  <c r="A10175" i="80"/>
  <c r="A10174" i="80"/>
  <c r="A10173" i="80"/>
  <c r="A10172" i="80"/>
  <c r="A10171" i="80"/>
  <c r="A10170" i="80"/>
  <c r="D23" i="59"/>
  <c r="H10170" i="79"/>
  <c r="A10169" i="80"/>
  <c r="A10168" i="80"/>
  <c r="A10167" i="80"/>
  <c r="A10166" i="80"/>
  <c r="A10165" i="80"/>
  <c r="A10164" i="80"/>
  <c r="A10163" i="80"/>
  <c r="H10163" i="79"/>
  <c r="A10162" i="80"/>
  <c r="A10161" i="80"/>
  <c r="A10160" i="80"/>
  <c r="A10159" i="80"/>
  <c r="A10158" i="80"/>
  <c r="H10158" i="79"/>
  <c r="A10157" i="80"/>
  <c r="A10156" i="80"/>
  <c r="A10155" i="80"/>
  <c r="A10154" i="80"/>
  <c r="A10153" i="80"/>
  <c r="H10153" i="79"/>
  <c r="A10152" i="80"/>
  <c r="A10151" i="80"/>
  <c r="A10150" i="80"/>
  <c r="A10149" i="80"/>
  <c r="A10148" i="80"/>
  <c r="H10148" i="79"/>
  <c r="A10147" i="80"/>
  <c r="A10146" i="80"/>
  <c r="A10145" i="80"/>
  <c r="A10144" i="80"/>
  <c r="A10143" i="80"/>
  <c r="H10143" i="79"/>
  <c r="A10142" i="80"/>
  <c r="A10141" i="80"/>
  <c r="A10140" i="80"/>
  <c r="A10139" i="80"/>
  <c r="A10138" i="80"/>
  <c r="H10138" i="79"/>
  <c r="A10137" i="80"/>
  <c r="A10136" i="80"/>
  <c r="A10135" i="80"/>
  <c r="A10134" i="80"/>
  <c r="A10133" i="80"/>
  <c r="H10133" i="79"/>
  <c r="A10132" i="80"/>
  <c r="A10131" i="80"/>
  <c r="A10130" i="80"/>
  <c r="A10129" i="80"/>
  <c r="A10128" i="80"/>
  <c r="H10128" i="79"/>
  <c r="A10127" i="80"/>
  <c r="A10126" i="80"/>
  <c r="A10125" i="80"/>
  <c r="A10124" i="80"/>
  <c r="A10123" i="80"/>
  <c r="H10123" i="79"/>
  <c r="A10122" i="80"/>
  <c r="A10121" i="80"/>
  <c r="A10120" i="80"/>
  <c r="A10119" i="80"/>
  <c r="A10118" i="80"/>
  <c r="H10118" i="79"/>
  <c r="A10117" i="80"/>
  <c r="A10116" i="80"/>
  <c r="A10115" i="80"/>
  <c r="A10114" i="80"/>
  <c r="A10113" i="80"/>
  <c r="H10113" i="79"/>
  <c r="A10112" i="80"/>
  <c r="A10111" i="80"/>
  <c r="A10110" i="80"/>
  <c r="A10109" i="80"/>
  <c r="A10108" i="80"/>
  <c r="H10108" i="79"/>
  <c r="A10107" i="80"/>
  <c r="A10106" i="80"/>
  <c r="A10105" i="80"/>
  <c r="A10104" i="80"/>
  <c r="A10103" i="80"/>
  <c r="H10103" i="79"/>
  <c r="A10102" i="80"/>
  <c r="A10101" i="80"/>
  <c r="A10100" i="80"/>
  <c r="A10099" i="80"/>
  <c r="A10098" i="80"/>
  <c r="H10098" i="79"/>
  <c r="A10097" i="80"/>
  <c r="A10096" i="80"/>
  <c r="A10095" i="80"/>
  <c r="A10094" i="80"/>
  <c r="A10093" i="80"/>
  <c r="H10093" i="79"/>
  <c r="A10092" i="80"/>
  <c r="A10091" i="80"/>
  <c r="A10090" i="80"/>
  <c r="A10089" i="80"/>
  <c r="A10088" i="80"/>
  <c r="H10088" i="79"/>
  <c r="A10087" i="80"/>
  <c r="A10086" i="80"/>
  <c r="A10085" i="80"/>
  <c r="A10084" i="80"/>
  <c r="A10083" i="80"/>
  <c r="H10083" i="79"/>
  <c r="A10082" i="80"/>
  <c r="A10081" i="80"/>
  <c r="A10080" i="80"/>
  <c r="A10079" i="80"/>
  <c r="A10078" i="80"/>
  <c r="H10078" i="79"/>
  <c r="A10077" i="80"/>
  <c r="A10076" i="80"/>
  <c r="A10075" i="80"/>
  <c r="A10074" i="80"/>
  <c r="A10073" i="80"/>
  <c r="H10073" i="79"/>
  <c r="A10072" i="80"/>
  <c r="A10071" i="80"/>
  <c r="A10070" i="80"/>
  <c r="A10069" i="80"/>
  <c r="A10068" i="80"/>
  <c r="H10068" i="79"/>
  <c r="A10067" i="80"/>
  <c r="A10066" i="80"/>
  <c r="A10065" i="80"/>
  <c r="A10064" i="80"/>
  <c r="A10063" i="80"/>
  <c r="H10063" i="79"/>
  <c r="A10062" i="80"/>
  <c r="A10061" i="80"/>
  <c r="A10060" i="80"/>
  <c r="A10059" i="80"/>
  <c r="A10058" i="80"/>
  <c r="H10058" i="79"/>
  <c r="A10057" i="80"/>
  <c r="A10056" i="80"/>
  <c r="A10055" i="80"/>
  <c r="A10054" i="80"/>
  <c r="A10053" i="80"/>
  <c r="H10053" i="79"/>
  <c r="A10052" i="80"/>
  <c r="A10051" i="80"/>
  <c r="A10050" i="80"/>
  <c r="A10049" i="80"/>
  <c r="A10048" i="80"/>
  <c r="H10048" i="79"/>
  <c r="A10047" i="80"/>
  <c r="A10046" i="80"/>
  <c r="A10045" i="80"/>
  <c r="A10044" i="80"/>
  <c r="A10043" i="80"/>
  <c r="H10043" i="79"/>
  <c r="A10042" i="80"/>
  <c r="A10041" i="80"/>
  <c r="A10040" i="80"/>
  <c r="A10039" i="80"/>
  <c r="A10038" i="80"/>
  <c r="H10038" i="79"/>
  <c r="A10037" i="80"/>
  <c r="A10036" i="80"/>
  <c r="A10035" i="80"/>
  <c r="A10034" i="80"/>
  <c r="A10033" i="80"/>
  <c r="H10033" i="79"/>
  <c r="A10032" i="80"/>
  <c r="A10031" i="80"/>
  <c r="A10030" i="80"/>
  <c r="A10029" i="80"/>
  <c r="A10028" i="80"/>
  <c r="H10028" i="79"/>
  <c r="A10027" i="80"/>
  <c r="A10026" i="80"/>
  <c r="A10025" i="80"/>
  <c r="A10024" i="80"/>
  <c r="A10023" i="80"/>
  <c r="H10023" i="79"/>
  <c r="A10022" i="80"/>
  <c r="A10021" i="80"/>
  <c r="A10020" i="80"/>
  <c r="A10019" i="80"/>
  <c r="A10018" i="80"/>
  <c r="H10018" i="79"/>
  <c r="A10017" i="80"/>
  <c r="A10016" i="80"/>
  <c r="A10015" i="80"/>
  <c r="A10014" i="80"/>
  <c r="A10013" i="80"/>
  <c r="H10013" i="79"/>
  <c r="A10012" i="80"/>
  <c r="A10011" i="80"/>
  <c r="A10010" i="80"/>
  <c r="A10009" i="80"/>
  <c r="A10008" i="80"/>
  <c r="H10008" i="79"/>
  <c r="A10007" i="80"/>
  <c r="A10006" i="80"/>
  <c r="A10005" i="80"/>
  <c r="A10004" i="80"/>
  <c r="A10003" i="80"/>
  <c r="H10003" i="79"/>
  <c r="A10002" i="80"/>
  <c r="A10001" i="80"/>
  <c r="A10000" i="80"/>
  <c r="A9999" i="80"/>
  <c r="A9998" i="80"/>
  <c r="H9998" i="79"/>
  <c r="A9997" i="80"/>
  <c r="A9996" i="80"/>
  <c r="A9995" i="80"/>
  <c r="A9994" i="80"/>
  <c r="A9993" i="80"/>
  <c r="H9993" i="79"/>
  <c r="A9992" i="80"/>
  <c r="A9991" i="80"/>
  <c r="A9990" i="80"/>
  <c r="A9989" i="80"/>
  <c r="A9988" i="80"/>
  <c r="H9988" i="79"/>
  <c r="A9987" i="80"/>
  <c r="A9986" i="80"/>
  <c r="A9985" i="80"/>
  <c r="A9984" i="80"/>
  <c r="A9983" i="80"/>
  <c r="H9983" i="79"/>
  <c r="A9982" i="80"/>
  <c r="A9981" i="80"/>
  <c r="A9980" i="80"/>
  <c r="A9979" i="80"/>
  <c r="A9978" i="80"/>
  <c r="H9978" i="79"/>
  <c r="A9977" i="80"/>
  <c r="A9976" i="80"/>
  <c r="A9975" i="80"/>
  <c r="A9974" i="80"/>
  <c r="A9973" i="80"/>
  <c r="H9973" i="79"/>
  <c r="A9972" i="80"/>
  <c r="A9971" i="80"/>
  <c r="A9970" i="80"/>
  <c r="A9969" i="80"/>
  <c r="A9968" i="80"/>
  <c r="H9968" i="79"/>
  <c r="A9967" i="80"/>
  <c r="A9966" i="80"/>
  <c r="A9965" i="80"/>
  <c r="A9964" i="80"/>
  <c r="A9963" i="80"/>
  <c r="H9963" i="79"/>
  <c r="A9962" i="80"/>
  <c r="A9961" i="80"/>
  <c r="A9960" i="80"/>
  <c r="A9959" i="80"/>
  <c r="A9958" i="80"/>
  <c r="H9958" i="79"/>
  <c r="A9957" i="80"/>
  <c r="A9956" i="80"/>
  <c r="A9955" i="80"/>
  <c r="A9954" i="80"/>
  <c r="A9953" i="80"/>
  <c r="H9953" i="79"/>
  <c r="A9952" i="80"/>
  <c r="A9951" i="80"/>
  <c r="A9950" i="80"/>
  <c r="A9949" i="80"/>
  <c r="A9948" i="80"/>
  <c r="H9948" i="79"/>
  <c r="A9947" i="80"/>
  <c r="A9946" i="80"/>
  <c r="A9945" i="80"/>
  <c r="A9944" i="80"/>
  <c r="A9943" i="80"/>
  <c r="H9943" i="79"/>
  <c r="A9942" i="80"/>
  <c r="A9941" i="80"/>
  <c r="A9940" i="80"/>
  <c r="A9939" i="80"/>
  <c r="A9938" i="80"/>
  <c r="H9938" i="79"/>
  <c r="A9937" i="80"/>
  <c r="A9936" i="80"/>
  <c r="A9935" i="80"/>
  <c r="A9934" i="80"/>
  <c r="A9933" i="80"/>
  <c r="H9933" i="79"/>
  <c r="A9932" i="80"/>
  <c r="A9931" i="80"/>
  <c r="A9930" i="80"/>
  <c r="A9929" i="80"/>
  <c r="A9928" i="80"/>
  <c r="H9928" i="79"/>
  <c r="A9927" i="80"/>
  <c r="A9926" i="80"/>
  <c r="A9925" i="80"/>
  <c r="A9924" i="80"/>
  <c r="A9923" i="80"/>
  <c r="H9923" i="79"/>
  <c r="A9922" i="80"/>
  <c r="A9921" i="80"/>
  <c r="A9920" i="80"/>
  <c r="A9919" i="80"/>
  <c r="A9918" i="80"/>
  <c r="H9918" i="79"/>
  <c r="A9917" i="80"/>
  <c r="A9916" i="80"/>
  <c r="A9915" i="80"/>
  <c r="A9914" i="80"/>
  <c r="A9913" i="80"/>
  <c r="H9913" i="79"/>
  <c r="A9912" i="80"/>
  <c r="A9911" i="80"/>
  <c r="A9910" i="80"/>
  <c r="A9909" i="80"/>
  <c r="A9908" i="80"/>
  <c r="H9908" i="79"/>
  <c r="A9907" i="80"/>
  <c r="A9906" i="80"/>
  <c r="A9905" i="80"/>
  <c r="A9904" i="80"/>
  <c r="A9903" i="80"/>
  <c r="H9903" i="79"/>
  <c r="A9902" i="80"/>
  <c r="A9901" i="80"/>
  <c r="A9900" i="80"/>
  <c r="A9899" i="80"/>
  <c r="A9898" i="80"/>
  <c r="H9898" i="79"/>
  <c r="A9897" i="80"/>
  <c r="A9896" i="80"/>
  <c r="A9895" i="80"/>
  <c r="A9894" i="80"/>
  <c r="A9893" i="80"/>
  <c r="H9893" i="79"/>
  <c r="A9892" i="80"/>
  <c r="A9891" i="80"/>
  <c r="A9890" i="80"/>
  <c r="A9889" i="80"/>
  <c r="A9888" i="80"/>
  <c r="H9888" i="79"/>
  <c r="A9887" i="80"/>
  <c r="A9886" i="80"/>
  <c r="A9885" i="80"/>
  <c r="A9884" i="80"/>
  <c r="A9883" i="80"/>
  <c r="H9883" i="79"/>
  <c r="A9882" i="80"/>
  <c r="A9881" i="80"/>
  <c r="A9880" i="80"/>
  <c r="A9879" i="80"/>
  <c r="A9878" i="80"/>
  <c r="H9878" i="79"/>
  <c r="A9877" i="80"/>
  <c r="A9876" i="80"/>
  <c r="A9875" i="80"/>
  <c r="A9874" i="80"/>
  <c r="A9873" i="80"/>
  <c r="H9873" i="79"/>
  <c r="A9872" i="80"/>
  <c r="A9871" i="80"/>
  <c r="A9870" i="80"/>
  <c r="A9869" i="80"/>
  <c r="A9868" i="80"/>
  <c r="H9868" i="79"/>
  <c r="A9867" i="80"/>
  <c r="A9866" i="80"/>
  <c r="A9865" i="80"/>
  <c r="A9864" i="80"/>
  <c r="A9863" i="80"/>
  <c r="H9863" i="79"/>
  <c r="A9862" i="80"/>
  <c r="A9861" i="80"/>
  <c r="A9860" i="80"/>
  <c r="A9859" i="80"/>
  <c r="A9858" i="80"/>
  <c r="H9858" i="79"/>
  <c r="A9857" i="80"/>
  <c r="A9856" i="80"/>
  <c r="A9855" i="80"/>
  <c r="A9854" i="80"/>
  <c r="A9853" i="80"/>
  <c r="H9853" i="79"/>
  <c r="A9852" i="80"/>
  <c r="A9851" i="80"/>
  <c r="A9850" i="80"/>
  <c r="A9849" i="80"/>
  <c r="A9848" i="80"/>
  <c r="H9848" i="79"/>
  <c r="A9847" i="80"/>
  <c r="A9846" i="80"/>
  <c r="A9845" i="80"/>
  <c r="A9844" i="80"/>
  <c r="A9843" i="80"/>
  <c r="H9843" i="79"/>
  <c r="A9842" i="80"/>
  <c r="A9841" i="80"/>
  <c r="A9840" i="80"/>
  <c r="A9839" i="80"/>
  <c r="A9838" i="80"/>
  <c r="H9838" i="79"/>
  <c r="A9837" i="80"/>
  <c r="A9836" i="80"/>
  <c r="A9835" i="80"/>
  <c r="A9834" i="80"/>
  <c r="A9833" i="80"/>
  <c r="H9833" i="79"/>
  <c r="A9832" i="80"/>
  <c r="A9831" i="80"/>
  <c r="A9830" i="80"/>
  <c r="A9829" i="80"/>
  <c r="A9828" i="80"/>
  <c r="H9828" i="79"/>
  <c r="A9827" i="80"/>
  <c r="A9826" i="80"/>
  <c r="A9825" i="80"/>
  <c r="A9824" i="80"/>
  <c r="A9823" i="80"/>
  <c r="H9823" i="79"/>
  <c r="A9822" i="80"/>
  <c r="A9821" i="80"/>
  <c r="A9820" i="80"/>
  <c r="A9819" i="80"/>
  <c r="A9818" i="80"/>
  <c r="H9818" i="79"/>
  <c r="A9817" i="80"/>
  <c r="A9816" i="80"/>
  <c r="A9815" i="80"/>
  <c r="A9814" i="80"/>
  <c r="A9813" i="80"/>
  <c r="H9813" i="79"/>
  <c r="A9812" i="80"/>
  <c r="A9811" i="80"/>
  <c r="A9810" i="80"/>
  <c r="A9809" i="80"/>
  <c r="A9808" i="80"/>
  <c r="H9808" i="79"/>
  <c r="A9807" i="80"/>
  <c r="A9806" i="80"/>
  <c r="A9805" i="80"/>
  <c r="A9804" i="80"/>
  <c r="A9803" i="80"/>
  <c r="H9803" i="79"/>
  <c r="A9802" i="80"/>
  <c r="A9801" i="80"/>
  <c r="A9800" i="80"/>
  <c r="A9799" i="80"/>
  <c r="A9798" i="80"/>
  <c r="H9798" i="79"/>
  <c r="A9797" i="80"/>
  <c r="A9796" i="80"/>
  <c r="A9795" i="80"/>
  <c r="A9794" i="80"/>
  <c r="A9793" i="80"/>
  <c r="H9793" i="79"/>
  <c r="A9792" i="80"/>
  <c r="A9791" i="80"/>
  <c r="A9790" i="80"/>
  <c r="A9789" i="80"/>
  <c r="A9788" i="80"/>
  <c r="H9788" i="79"/>
  <c r="A9787" i="80"/>
  <c r="A9786" i="80"/>
  <c r="A9785" i="80"/>
  <c r="A9784" i="80"/>
  <c r="A9783" i="80"/>
  <c r="H9783" i="79"/>
  <c r="A9782" i="80"/>
  <c r="A9781" i="80"/>
  <c r="A9780" i="80"/>
  <c r="A9779" i="80"/>
  <c r="A9778" i="80"/>
  <c r="H9778" i="79"/>
  <c r="A9777" i="80"/>
  <c r="A9776" i="80"/>
  <c r="A9775" i="80"/>
  <c r="A9774" i="80"/>
  <c r="A9773" i="80"/>
  <c r="H9773" i="79"/>
  <c r="A9772" i="80"/>
  <c r="A9771" i="80"/>
  <c r="A9770" i="80"/>
  <c r="A9769" i="80"/>
  <c r="A9768" i="80"/>
  <c r="H9768" i="79"/>
  <c r="A9767" i="80"/>
  <c r="A9766" i="80"/>
  <c r="A9765" i="80"/>
  <c r="A9764" i="80"/>
  <c r="A9763" i="80"/>
  <c r="H9763" i="79"/>
  <c r="A9762" i="80"/>
  <c r="A9761" i="80"/>
  <c r="A9760" i="80"/>
  <c r="A9759" i="80"/>
  <c r="A9758" i="80"/>
  <c r="H9758" i="79"/>
  <c r="A9757" i="80"/>
  <c r="A9756" i="80"/>
  <c r="A9755" i="80"/>
  <c r="A9754" i="80"/>
  <c r="A9753" i="80"/>
  <c r="H9753" i="79"/>
  <c r="A9752" i="80"/>
  <c r="A9751" i="80"/>
  <c r="A9750" i="80"/>
  <c r="A9749" i="80"/>
  <c r="A9748" i="80"/>
  <c r="H9748" i="79"/>
  <c r="A9747" i="80"/>
  <c r="A9746" i="80"/>
  <c r="A9745" i="80"/>
  <c r="A9744" i="80"/>
  <c r="A9743" i="80"/>
  <c r="H9743" i="79"/>
  <c r="A9742" i="80"/>
  <c r="A9741" i="80"/>
  <c r="A9740" i="80"/>
  <c r="A9739" i="80"/>
  <c r="A9738" i="80"/>
  <c r="H9738" i="79"/>
  <c r="A9737" i="80"/>
  <c r="A9736" i="80"/>
  <c r="A9735" i="80"/>
  <c r="A9734" i="80"/>
  <c r="A9733" i="80"/>
  <c r="H9733" i="79"/>
  <c r="A9732" i="80"/>
  <c r="A9731" i="80"/>
  <c r="A9730" i="80"/>
  <c r="A9729" i="80"/>
  <c r="A9728" i="80"/>
  <c r="H9728" i="79"/>
  <c r="A9727" i="80"/>
  <c r="A9726" i="80"/>
  <c r="A9725" i="80"/>
  <c r="A9724" i="80"/>
  <c r="A9723" i="80"/>
  <c r="H9723" i="79"/>
  <c r="A9722" i="80"/>
  <c r="A9721" i="80"/>
  <c r="A9720" i="80"/>
  <c r="A9719" i="80"/>
  <c r="A9718" i="80"/>
  <c r="H9718" i="79"/>
  <c r="A9717" i="80"/>
  <c r="A9716" i="80"/>
  <c r="A9715" i="80"/>
  <c r="A9714" i="80"/>
  <c r="A9713" i="80"/>
  <c r="H9713" i="79"/>
  <c r="A9712" i="80"/>
  <c r="A9711" i="80"/>
  <c r="A9710" i="80"/>
  <c r="A9709" i="80"/>
  <c r="A9708" i="80"/>
  <c r="H9708" i="79"/>
  <c r="A9707" i="80"/>
  <c r="A9706" i="80"/>
  <c r="A9705" i="80"/>
  <c r="A9704" i="80"/>
  <c r="A9703" i="80"/>
  <c r="H9703" i="79"/>
  <c r="A9702" i="80"/>
  <c r="A9701" i="80"/>
  <c r="A9700" i="80"/>
  <c r="A9699" i="80"/>
  <c r="A9698" i="80"/>
  <c r="H9698" i="79"/>
  <c r="A9697" i="80"/>
  <c r="A9696" i="80"/>
  <c r="A9695" i="80"/>
  <c r="A9694" i="80"/>
  <c r="A9693" i="80"/>
  <c r="H9693" i="79"/>
  <c r="A9692" i="80"/>
  <c r="A9691" i="80"/>
  <c r="A9690" i="80"/>
  <c r="A9689" i="80"/>
  <c r="A9688" i="80"/>
  <c r="H9688" i="79"/>
  <c r="A9687" i="80"/>
  <c r="A9686" i="80"/>
  <c r="A9685" i="80"/>
  <c r="A9684" i="80"/>
  <c r="A9683" i="80"/>
  <c r="H9683" i="79"/>
  <c r="A9682" i="80"/>
  <c r="A9681" i="80"/>
  <c r="A9680" i="80"/>
  <c r="A9679" i="80"/>
  <c r="A9678" i="80"/>
  <c r="H9678" i="79"/>
  <c r="A9677" i="80"/>
  <c r="A9676" i="80"/>
  <c r="A9675" i="80"/>
  <c r="A9674" i="80"/>
  <c r="A9673" i="80"/>
  <c r="H9673" i="79"/>
  <c r="A9672" i="80"/>
  <c r="A9671" i="80"/>
  <c r="A9670" i="80"/>
  <c r="A9669" i="80"/>
  <c r="A9668" i="80"/>
  <c r="H9668" i="79"/>
  <c r="A9667" i="80"/>
  <c r="A9666" i="80"/>
  <c r="A9665" i="80"/>
  <c r="A9664" i="80"/>
  <c r="A9663" i="80"/>
  <c r="H9663" i="79"/>
  <c r="A9662" i="80"/>
  <c r="A9661" i="80"/>
  <c r="A9660" i="80"/>
  <c r="A9659" i="80"/>
  <c r="A9658" i="80"/>
  <c r="H9658" i="79"/>
  <c r="A9657" i="80"/>
  <c r="A9656" i="80"/>
  <c r="A9655" i="80"/>
  <c r="A9654" i="80"/>
  <c r="A9653" i="80"/>
  <c r="H9653" i="79"/>
  <c r="A9652" i="80"/>
  <c r="A9651" i="80"/>
  <c r="A9650" i="80"/>
  <c r="A9649" i="80"/>
  <c r="A9648" i="80"/>
  <c r="H9648" i="79"/>
  <c r="A9647" i="80"/>
  <c r="A9646" i="80"/>
  <c r="A9645" i="80"/>
  <c r="A9644" i="80"/>
  <c r="A9643" i="80"/>
  <c r="A9642" i="80"/>
  <c r="A9641" i="80"/>
  <c r="A9640" i="80"/>
  <c r="A9639" i="80"/>
  <c r="A9637" i="80"/>
  <c r="A9636" i="80"/>
  <c r="A9635" i="80"/>
  <c r="A9634" i="80"/>
  <c r="A9633" i="80"/>
  <c r="A9632" i="80"/>
  <c r="A9631" i="80"/>
  <c r="H9631" i="79"/>
  <c r="A9630" i="80"/>
  <c r="A9629" i="80"/>
  <c r="A9628" i="80"/>
  <c r="A9627" i="80"/>
  <c r="A9626" i="80"/>
  <c r="A9625" i="80"/>
  <c r="H9625" i="79"/>
  <c r="A9624" i="80"/>
  <c r="A9623" i="80"/>
  <c r="A9622" i="80"/>
  <c r="A9621" i="80"/>
  <c r="A9620" i="80"/>
  <c r="A9619" i="80"/>
  <c r="H9619" i="79"/>
  <c r="A9618" i="80"/>
  <c r="A9617" i="80"/>
  <c r="A9616" i="80"/>
  <c r="A9615" i="80"/>
  <c r="A9614" i="80"/>
  <c r="A9613" i="80"/>
  <c r="H9613" i="79"/>
  <c r="A9612" i="80"/>
  <c r="A9611" i="80"/>
  <c r="A9610" i="80"/>
  <c r="A9609" i="80"/>
  <c r="A9608" i="80"/>
  <c r="A9607" i="80"/>
  <c r="H9607" i="79"/>
  <c r="A9606" i="80"/>
  <c r="A9605" i="80"/>
  <c r="A9604" i="80"/>
  <c r="A9603" i="80"/>
  <c r="A9602" i="80"/>
  <c r="A9601" i="80"/>
  <c r="H9601" i="79"/>
  <c r="A9600" i="80"/>
  <c r="A9599" i="80"/>
  <c r="A9598" i="80"/>
  <c r="A9597" i="80"/>
  <c r="A9596" i="80"/>
  <c r="A9595" i="80"/>
  <c r="H9595" i="79"/>
  <c r="A9594" i="80"/>
  <c r="A9593" i="80"/>
  <c r="A9592" i="80"/>
  <c r="A9591" i="80"/>
  <c r="A9590" i="80"/>
  <c r="A9589" i="80"/>
  <c r="H9589" i="79"/>
  <c r="A9588" i="80"/>
  <c r="A9587" i="80"/>
  <c r="A9586" i="80"/>
  <c r="A9585" i="80"/>
  <c r="A9584" i="80"/>
  <c r="A9583" i="80"/>
  <c r="H9583" i="79"/>
  <c r="A9582" i="80"/>
  <c r="A9581" i="80"/>
  <c r="A9580" i="80"/>
  <c r="A9579" i="80"/>
  <c r="A9578" i="80"/>
  <c r="A9577" i="80"/>
  <c r="H9577" i="79"/>
  <c r="A9576" i="80"/>
  <c r="A9575" i="80"/>
  <c r="A9574" i="80"/>
  <c r="A9573" i="80"/>
  <c r="A9572" i="80"/>
  <c r="A9571" i="80"/>
  <c r="H9571" i="79"/>
  <c r="A9570" i="80"/>
  <c r="A9569" i="80"/>
  <c r="A9568" i="80"/>
  <c r="A9567" i="80"/>
  <c r="A9566" i="80"/>
  <c r="A9565" i="80"/>
  <c r="I19" i="54"/>
  <c r="H9565" i="79"/>
  <c r="A9564" i="80"/>
  <c r="A9563" i="80"/>
  <c r="A9562" i="80"/>
  <c r="A9561" i="80"/>
  <c r="A9560" i="80"/>
  <c r="A9559" i="80"/>
  <c r="H9559" i="79"/>
  <c r="A9558" i="80"/>
  <c r="A9557" i="80"/>
  <c r="A9556" i="80"/>
  <c r="A9555" i="80"/>
  <c r="A9554" i="80"/>
  <c r="A9553" i="80"/>
  <c r="H9553" i="79"/>
  <c r="A9552" i="80"/>
  <c r="A9551" i="80"/>
  <c r="A9550" i="80"/>
  <c r="A9549" i="80"/>
  <c r="A9548" i="80"/>
  <c r="A9547" i="80"/>
  <c r="H9547" i="79"/>
  <c r="A9546" i="80"/>
  <c r="A9545" i="80"/>
  <c r="A9544" i="80"/>
  <c r="A9543" i="80"/>
  <c r="A9542" i="80"/>
  <c r="A9541" i="80"/>
  <c r="H9541" i="79"/>
  <c r="A9540" i="80"/>
  <c r="A9539" i="80"/>
  <c r="A9538" i="80"/>
  <c r="A9537" i="80"/>
  <c r="A9536" i="80"/>
  <c r="A9535" i="80"/>
  <c r="H9535" i="79"/>
  <c r="A9534" i="80"/>
  <c r="A9533" i="80"/>
  <c r="A9532" i="80"/>
  <c r="A9531" i="80"/>
  <c r="A9530" i="80"/>
  <c r="A9529" i="80"/>
  <c r="H9529" i="79"/>
  <c r="A9528" i="80"/>
  <c r="A9527" i="80"/>
  <c r="A9526" i="80"/>
  <c r="A9525" i="80"/>
  <c r="A9524" i="80"/>
  <c r="A9523" i="80"/>
  <c r="H9523" i="79"/>
  <c r="A9522" i="80"/>
  <c r="A9521" i="80"/>
  <c r="A9520" i="80"/>
  <c r="A9519" i="80"/>
  <c r="A9518" i="80"/>
  <c r="A9517" i="80"/>
  <c r="H9517" i="79"/>
  <c r="A9516" i="80"/>
  <c r="A9515" i="80"/>
  <c r="A9514" i="80"/>
  <c r="A9513" i="80"/>
  <c r="A9512" i="80"/>
  <c r="A9511" i="80"/>
  <c r="H9511" i="79"/>
  <c r="A9510" i="80"/>
  <c r="A9509" i="80"/>
  <c r="A9508" i="80"/>
  <c r="A9507" i="80"/>
  <c r="A9506" i="80"/>
  <c r="A9505" i="80"/>
  <c r="H9505" i="79"/>
  <c r="A9504" i="80"/>
  <c r="A9503" i="80"/>
  <c r="A9502" i="80"/>
  <c r="A9501" i="80"/>
  <c r="A9500" i="80"/>
  <c r="A9499" i="80"/>
  <c r="H19" i="54"/>
  <c r="H9499" i="79"/>
  <c r="A9498" i="80"/>
  <c r="A9497" i="80"/>
  <c r="A9496" i="80"/>
  <c r="A9495" i="80"/>
  <c r="A9494" i="80"/>
  <c r="A9493" i="80"/>
  <c r="H9493" i="79"/>
  <c r="A9492" i="80"/>
  <c r="A9491" i="80"/>
  <c r="A9490" i="80"/>
  <c r="A9489" i="80"/>
  <c r="A9488" i="80"/>
  <c r="A9487" i="80"/>
  <c r="H9487" i="79"/>
  <c r="A9486" i="80"/>
  <c r="A9485" i="80"/>
  <c r="A9484" i="80"/>
  <c r="A9483" i="80"/>
  <c r="A9482" i="80"/>
  <c r="A9481" i="80"/>
  <c r="H9481" i="79"/>
  <c r="A9480" i="80"/>
  <c r="A9479" i="80"/>
  <c r="A9478" i="80"/>
  <c r="A9477" i="80"/>
  <c r="A9476" i="80"/>
  <c r="A9475" i="80"/>
  <c r="H9475" i="79"/>
  <c r="A9474" i="80"/>
  <c r="A9473" i="80"/>
  <c r="A9472" i="80"/>
  <c r="A9471" i="80"/>
  <c r="A9470" i="80"/>
  <c r="A9469" i="80"/>
  <c r="H9469" i="79"/>
  <c r="A9468" i="80"/>
  <c r="A9467" i="80"/>
  <c r="A9466" i="80"/>
  <c r="A9465" i="80"/>
  <c r="A9464" i="80"/>
  <c r="A9463" i="80"/>
  <c r="H9463" i="79"/>
  <c r="A9462" i="80"/>
  <c r="A9461" i="80"/>
  <c r="A9460" i="80"/>
  <c r="A9459" i="80"/>
  <c r="A9458" i="80"/>
  <c r="A9457" i="80"/>
  <c r="H9457" i="79"/>
  <c r="A9456" i="80"/>
  <c r="A9455" i="80"/>
  <c r="A9454" i="80"/>
  <c r="A9453" i="80"/>
  <c r="A9452" i="80"/>
  <c r="A9451" i="80"/>
  <c r="H9451" i="79"/>
  <c r="A9450" i="80"/>
  <c r="A9449" i="80"/>
  <c r="A9448" i="80"/>
  <c r="A9447" i="80"/>
  <c r="A9446" i="80"/>
  <c r="A9445" i="80"/>
  <c r="H9445" i="79"/>
  <c r="A9444" i="80"/>
  <c r="A9443" i="80"/>
  <c r="A9442" i="80"/>
  <c r="A9441" i="80"/>
  <c r="A9440" i="80"/>
  <c r="A9439" i="80"/>
  <c r="H9439" i="79"/>
  <c r="A9438" i="80"/>
  <c r="A9437" i="80"/>
  <c r="A9436" i="80"/>
  <c r="A9435" i="80"/>
  <c r="A9434" i="80"/>
  <c r="A9433" i="80"/>
  <c r="G19" i="54"/>
  <c r="H9433" i="79"/>
  <c r="A9432" i="80"/>
  <c r="A9431" i="80"/>
  <c r="A9430" i="80"/>
  <c r="A9429" i="80"/>
  <c r="A9428" i="80"/>
  <c r="A9427" i="80"/>
  <c r="H9427" i="79"/>
  <c r="A9426" i="80"/>
  <c r="A9425" i="80"/>
  <c r="A9424" i="80"/>
  <c r="A9423" i="80"/>
  <c r="A9422" i="80"/>
  <c r="A9421" i="80"/>
  <c r="H9421" i="79"/>
  <c r="A9420" i="80"/>
  <c r="A9419" i="80"/>
  <c r="A9418" i="80"/>
  <c r="A9417" i="80"/>
  <c r="A9416" i="80"/>
  <c r="A9415" i="80"/>
  <c r="H9415" i="79"/>
  <c r="A9414" i="80"/>
  <c r="A9413" i="80"/>
  <c r="A9412" i="80"/>
  <c r="A9411" i="80"/>
  <c r="A9410" i="80"/>
  <c r="A9409" i="80"/>
  <c r="H9409" i="79"/>
  <c r="A9408" i="80"/>
  <c r="A9407" i="80"/>
  <c r="A9406" i="80"/>
  <c r="A9405" i="80"/>
  <c r="A9404" i="80"/>
  <c r="A9403" i="80"/>
  <c r="H9403" i="79"/>
  <c r="A9402" i="80"/>
  <c r="A9401" i="80"/>
  <c r="A9400" i="80"/>
  <c r="A9399" i="80"/>
  <c r="A9398" i="80"/>
  <c r="A9397" i="80"/>
  <c r="H9397" i="79"/>
  <c r="A9396" i="80"/>
  <c r="A9395" i="80"/>
  <c r="A9394" i="80"/>
  <c r="A9393" i="80"/>
  <c r="A9392" i="80"/>
  <c r="A9391" i="80"/>
  <c r="H9391" i="79"/>
  <c r="A9390" i="80"/>
  <c r="A9389" i="80"/>
  <c r="A9388" i="80"/>
  <c r="A9387" i="80"/>
  <c r="A9386" i="80"/>
  <c r="A9385" i="80"/>
  <c r="H9385" i="79"/>
  <c r="A9384" i="80"/>
  <c r="A9383" i="80"/>
  <c r="A9382" i="80"/>
  <c r="A9381" i="80"/>
  <c r="A9380" i="80"/>
  <c r="A9379" i="80"/>
  <c r="H9379" i="79"/>
  <c r="A9378" i="80"/>
  <c r="A9377" i="80"/>
  <c r="A9376" i="80"/>
  <c r="A9375" i="80"/>
  <c r="A9374" i="80"/>
  <c r="A9373" i="80"/>
  <c r="H9373" i="79"/>
  <c r="A9372" i="80"/>
  <c r="A9371" i="80"/>
  <c r="A9370" i="80"/>
  <c r="A9369" i="80"/>
  <c r="A9368" i="80"/>
  <c r="A9367" i="80"/>
  <c r="H9367" i="79"/>
  <c r="A9366" i="80"/>
  <c r="A9365" i="80"/>
  <c r="A9364" i="80"/>
  <c r="A9363" i="80"/>
  <c r="A9362" i="80"/>
  <c r="A9361" i="80"/>
  <c r="F19" i="54"/>
  <c r="H9361" i="79"/>
  <c r="A9360" i="80"/>
  <c r="A9359" i="80"/>
  <c r="A9358" i="80"/>
  <c r="A9357" i="80"/>
  <c r="A9356" i="80"/>
  <c r="A9355" i="80"/>
  <c r="H9355" i="79"/>
  <c r="A9354" i="80"/>
  <c r="A9353" i="80"/>
  <c r="A9352" i="80"/>
  <c r="A9351" i="80"/>
  <c r="A9350" i="80"/>
  <c r="A9349" i="80"/>
  <c r="H9349" i="79"/>
  <c r="A9348" i="80"/>
  <c r="A9347" i="80"/>
  <c r="A9346" i="80"/>
  <c r="A9345" i="80"/>
  <c r="A9344" i="80"/>
  <c r="A9343" i="80"/>
  <c r="H9343" i="79"/>
  <c r="A9342" i="80"/>
  <c r="A9341" i="80"/>
  <c r="A9340" i="80"/>
  <c r="A9339" i="80"/>
  <c r="A9338" i="80"/>
  <c r="A9337" i="80"/>
  <c r="H9337" i="79"/>
  <c r="A9336" i="80"/>
  <c r="A9335" i="80"/>
  <c r="A9334" i="80"/>
  <c r="A9333" i="80"/>
  <c r="A9332" i="80"/>
  <c r="A9331" i="80"/>
  <c r="H9331" i="79"/>
  <c r="A9330" i="80"/>
  <c r="A9329" i="80"/>
  <c r="A9328" i="80"/>
  <c r="A9327" i="80"/>
  <c r="A9326" i="80"/>
  <c r="A9325" i="80"/>
  <c r="H9325" i="79"/>
  <c r="A9324" i="80"/>
  <c r="A9323" i="80"/>
  <c r="A9322" i="80"/>
  <c r="A9321" i="80"/>
  <c r="A9320" i="80"/>
  <c r="A9319" i="80"/>
  <c r="H9319" i="79"/>
  <c r="A9318" i="80"/>
  <c r="A9317" i="80"/>
  <c r="A9316" i="80"/>
  <c r="A9315" i="80"/>
  <c r="A9314" i="80"/>
  <c r="A9313" i="80"/>
  <c r="H9313" i="79"/>
  <c r="A9312" i="80"/>
  <c r="A9311" i="80"/>
  <c r="A9310" i="80"/>
  <c r="A9309" i="80"/>
  <c r="A9308" i="80"/>
  <c r="A9307" i="80"/>
  <c r="H9307" i="79"/>
  <c r="A9306" i="80"/>
  <c r="A9305" i="80"/>
  <c r="A9304" i="80"/>
  <c r="A9303" i="80"/>
  <c r="A9302" i="80"/>
  <c r="A9301" i="80"/>
  <c r="H9301" i="79"/>
  <c r="A9300" i="80"/>
  <c r="A9299" i="80"/>
  <c r="A9298" i="80"/>
  <c r="A9297" i="80"/>
  <c r="A9296" i="80"/>
  <c r="A9295" i="80"/>
  <c r="E19" i="54"/>
  <c r="H9295" i="79"/>
  <c r="A9294" i="80"/>
  <c r="A9293" i="80"/>
  <c r="A9292" i="80"/>
  <c r="A9291" i="80"/>
  <c r="A9290" i="80"/>
  <c r="A9289" i="80"/>
  <c r="H9289" i="79"/>
  <c r="A9288" i="80"/>
  <c r="A9287" i="80"/>
  <c r="A9286" i="80"/>
  <c r="A9285" i="80"/>
  <c r="A9284" i="80"/>
  <c r="A9283" i="80"/>
  <c r="H9283" i="79"/>
  <c r="A9282" i="80"/>
  <c r="A9281" i="80"/>
  <c r="A9280" i="80"/>
  <c r="A9279" i="80"/>
  <c r="A9278" i="80"/>
  <c r="A9277" i="80"/>
  <c r="H9277" i="79"/>
  <c r="A9276" i="80"/>
  <c r="A9275" i="80"/>
  <c r="A9274" i="80"/>
  <c r="A9273" i="80"/>
  <c r="A9272" i="80"/>
  <c r="A9271" i="80"/>
  <c r="H9271" i="79"/>
  <c r="A9270" i="80"/>
  <c r="A9269" i="80"/>
  <c r="A9268" i="80"/>
  <c r="A9267" i="80"/>
  <c r="A9266" i="80"/>
  <c r="A9265" i="80"/>
  <c r="H9265" i="79"/>
  <c r="A9264" i="80"/>
  <c r="A9263" i="80"/>
  <c r="A9262" i="80"/>
  <c r="A9261" i="80"/>
  <c r="A9260" i="80"/>
  <c r="A9259" i="80"/>
  <c r="H9259" i="79"/>
  <c r="A9258" i="80"/>
  <c r="A9257" i="80"/>
  <c r="A9256" i="80"/>
  <c r="A9255" i="80"/>
  <c r="A9254" i="80"/>
  <c r="A9253" i="80"/>
  <c r="H9253" i="79"/>
  <c r="A9252" i="80"/>
  <c r="A9251" i="80"/>
  <c r="A9250" i="80"/>
  <c r="A9249" i="80"/>
  <c r="A9248" i="80"/>
  <c r="A9247" i="80"/>
  <c r="H9247" i="79"/>
  <c r="A9246" i="80"/>
  <c r="A9245" i="80"/>
  <c r="A9244" i="80"/>
  <c r="A9243" i="80"/>
  <c r="A9242" i="80"/>
  <c r="A9241" i="80"/>
  <c r="H9241" i="79"/>
  <c r="A9240" i="80"/>
  <c r="A9239" i="80"/>
  <c r="A9238" i="80"/>
  <c r="A9237" i="80"/>
  <c r="A9236" i="80"/>
  <c r="A9235" i="80"/>
  <c r="D19" i="54"/>
  <c r="H9235" i="79"/>
  <c r="A9234" i="80"/>
  <c r="A9233" i="80"/>
  <c r="A9232" i="80"/>
  <c r="A9231" i="80"/>
  <c r="A9230" i="80"/>
  <c r="A9229" i="80"/>
  <c r="H9229" i="79"/>
  <c r="A9228" i="80"/>
  <c r="A9227" i="80"/>
  <c r="A9226" i="80"/>
  <c r="A9225" i="80"/>
  <c r="A9224" i="80"/>
  <c r="A9223" i="80"/>
  <c r="H9223" i="79"/>
  <c r="A9222" i="80"/>
  <c r="A9221" i="80"/>
  <c r="A9220" i="80"/>
  <c r="A9219" i="80"/>
  <c r="A9218" i="80"/>
  <c r="A9217" i="80"/>
  <c r="H9217" i="79"/>
  <c r="A9216" i="80"/>
  <c r="A9215" i="80"/>
  <c r="A9214" i="80"/>
  <c r="A9213" i="80"/>
  <c r="A9212" i="80"/>
  <c r="A9211" i="80"/>
  <c r="H9211" i="79"/>
  <c r="A9210" i="80"/>
  <c r="A9209" i="80"/>
  <c r="A9208" i="80"/>
  <c r="A9207" i="80"/>
  <c r="A9206" i="80"/>
  <c r="A9205" i="80"/>
  <c r="H9205" i="79"/>
  <c r="A9204" i="80"/>
  <c r="A9203" i="80"/>
  <c r="A9202" i="80"/>
  <c r="A9201" i="80"/>
  <c r="A9200" i="80"/>
  <c r="A9199" i="80"/>
  <c r="H9199" i="79"/>
  <c r="A9198" i="80"/>
  <c r="A9197" i="80"/>
  <c r="A9196" i="80"/>
  <c r="A9195" i="80"/>
  <c r="A9194" i="80"/>
  <c r="A9193" i="80"/>
  <c r="H9193" i="79"/>
  <c r="A9192" i="80"/>
  <c r="A9191" i="80"/>
  <c r="A9190" i="80"/>
  <c r="A9189" i="80"/>
  <c r="A9188" i="80"/>
  <c r="A9187" i="80"/>
  <c r="H9187" i="79"/>
  <c r="A9186" i="80"/>
  <c r="A9185" i="80"/>
  <c r="A9184" i="80"/>
  <c r="A9183" i="80"/>
  <c r="A9182" i="80"/>
  <c r="A9181" i="80"/>
  <c r="H9181" i="79"/>
  <c r="A9180" i="80"/>
  <c r="A9179" i="80"/>
  <c r="A9178" i="80"/>
  <c r="A9177" i="80"/>
  <c r="A9176" i="80"/>
  <c r="A9175" i="80"/>
  <c r="H9175" i="79"/>
  <c r="A9174" i="80"/>
  <c r="A9173" i="80"/>
  <c r="A9172" i="80"/>
  <c r="A9171" i="80"/>
  <c r="A9170" i="80"/>
  <c r="A9169" i="80"/>
  <c r="C19" i="54"/>
  <c r="H9169" i="79"/>
  <c r="A9168" i="80"/>
  <c r="A9167" i="80"/>
  <c r="A9166" i="80"/>
  <c r="A9165" i="80"/>
  <c r="A9164" i="80"/>
  <c r="A9163" i="80"/>
  <c r="H9163" i="79"/>
  <c r="A9162" i="80"/>
  <c r="A9161" i="80"/>
  <c r="A9160" i="80"/>
  <c r="A9159" i="80"/>
  <c r="A9158" i="80"/>
  <c r="A9157" i="80"/>
  <c r="H9157" i="79"/>
  <c r="A9156" i="80"/>
  <c r="A9155" i="80"/>
  <c r="A9154" i="80"/>
  <c r="A9153" i="80"/>
  <c r="A9152" i="80"/>
  <c r="A9151" i="80"/>
  <c r="H9151" i="79"/>
  <c r="A9150" i="80"/>
  <c r="A9149" i="80"/>
  <c r="A9148" i="80"/>
  <c r="A9147" i="80"/>
  <c r="A9146" i="80"/>
  <c r="A9145" i="80"/>
  <c r="H9145" i="79"/>
  <c r="A9144" i="80"/>
  <c r="A9143" i="80"/>
  <c r="A9142" i="80"/>
  <c r="A9141" i="80"/>
  <c r="A9140" i="80"/>
  <c r="A9139" i="80"/>
  <c r="H9139" i="79"/>
  <c r="A9138" i="80"/>
  <c r="A9137" i="80"/>
  <c r="A9136" i="80"/>
  <c r="A9135" i="80"/>
  <c r="A9134" i="80"/>
  <c r="A9133" i="80"/>
  <c r="H9133" i="79"/>
  <c r="A9132" i="80"/>
  <c r="A9131" i="80"/>
  <c r="A9130" i="80"/>
  <c r="A9129" i="80"/>
  <c r="A9128" i="80"/>
  <c r="A9127" i="80"/>
  <c r="H9127" i="79"/>
  <c r="A9126" i="80"/>
  <c r="A9125" i="80"/>
  <c r="A9124" i="80"/>
  <c r="A9123" i="80"/>
  <c r="A9122" i="80"/>
  <c r="A9121" i="80"/>
  <c r="H9121" i="79"/>
  <c r="A9120" i="80"/>
  <c r="A9119" i="80"/>
  <c r="A9118" i="80"/>
  <c r="A9117" i="80"/>
  <c r="A9116" i="80"/>
  <c r="A9115" i="80"/>
  <c r="H9115" i="79"/>
  <c r="A9114" i="80"/>
  <c r="A9113" i="80"/>
  <c r="A9112" i="80"/>
  <c r="A9111" i="80"/>
  <c r="A9110" i="80"/>
  <c r="A9109" i="80"/>
  <c r="H9109" i="79"/>
  <c r="A9108" i="80"/>
  <c r="A9107" i="80"/>
  <c r="A9106" i="80"/>
  <c r="A9105" i="80"/>
  <c r="A9104" i="80"/>
  <c r="A9103" i="80"/>
  <c r="A9102" i="80"/>
  <c r="A9101" i="80"/>
  <c r="A9100" i="80"/>
  <c r="A9099" i="80"/>
  <c r="A9098" i="80"/>
  <c r="A9096" i="80"/>
  <c r="A9095" i="80"/>
  <c r="A9094" i="80"/>
  <c r="A9093" i="80"/>
  <c r="A9092" i="80"/>
  <c r="A9090" i="80"/>
  <c r="A9089" i="80"/>
  <c r="A9088" i="80"/>
  <c r="A9087" i="80"/>
  <c r="A9086" i="80"/>
  <c r="A9084" i="80"/>
  <c r="A9083" i="80"/>
  <c r="A9082" i="80"/>
  <c r="A9081" i="80"/>
  <c r="A9080" i="80"/>
  <c r="A9078" i="80"/>
  <c r="A9077" i="80"/>
  <c r="A9076" i="80"/>
  <c r="A9075" i="80"/>
  <c r="A9074" i="80"/>
  <c r="A9073" i="80"/>
  <c r="A9072" i="80"/>
  <c r="A9070" i="80"/>
  <c r="A9069" i="80"/>
  <c r="A9068" i="80"/>
  <c r="A9067" i="80"/>
  <c r="A9066" i="80"/>
  <c r="A9064" i="80"/>
  <c r="A9063" i="80"/>
  <c r="A9062" i="80"/>
  <c r="A9061" i="80"/>
  <c r="A9060" i="80"/>
  <c r="A9058" i="80"/>
  <c r="A9057" i="80"/>
  <c r="A9056" i="80"/>
  <c r="A9055" i="80"/>
  <c r="A9054" i="80"/>
  <c r="A9052" i="80"/>
  <c r="A9051" i="80"/>
  <c r="A9050" i="80"/>
  <c r="A9049" i="80"/>
  <c r="A9048" i="80"/>
  <c r="A9046" i="80"/>
  <c r="A9045" i="80"/>
  <c r="A9044" i="80"/>
  <c r="A9043" i="80"/>
  <c r="A9042" i="80"/>
  <c r="A9040" i="80"/>
  <c r="A9039" i="80"/>
  <c r="A9038" i="80"/>
  <c r="A9037" i="80"/>
  <c r="A9036" i="80"/>
  <c r="A9035" i="80"/>
  <c r="A9033" i="80"/>
  <c r="A9032" i="80"/>
  <c r="A9031" i="80"/>
  <c r="A9030" i="80"/>
  <c r="A9028" i="80"/>
  <c r="A9027" i="80"/>
  <c r="A9026" i="80"/>
  <c r="A9025" i="80"/>
  <c r="A9023" i="80"/>
  <c r="A9022" i="80"/>
  <c r="A9021" i="80"/>
  <c r="A9020" i="80"/>
  <c r="A9018" i="80"/>
  <c r="A9017" i="80"/>
  <c r="A9016" i="80"/>
  <c r="A9015" i="80"/>
  <c r="A9013" i="80"/>
  <c r="A9012" i="80"/>
  <c r="A9011" i="80"/>
  <c r="A9010" i="80"/>
  <c r="A9008" i="80"/>
  <c r="A9007" i="80"/>
  <c r="A9006" i="80"/>
  <c r="A9005" i="80"/>
  <c r="A9003" i="80"/>
  <c r="A9002" i="80"/>
  <c r="A9001" i="80"/>
  <c r="A9000" i="80"/>
  <c r="A8998" i="80"/>
  <c r="A8997" i="80"/>
  <c r="A8996" i="80"/>
  <c r="A8995" i="80"/>
  <c r="A8993" i="80"/>
  <c r="A8992" i="80"/>
  <c r="A8991" i="80"/>
  <c r="A8990" i="80"/>
  <c r="A8988" i="80"/>
  <c r="A8987" i="80"/>
  <c r="A8986" i="80"/>
  <c r="A8985" i="80"/>
  <c r="A8983" i="80"/>
  <c r="A8982" i="80"/>
  <c r="A8981" i="80"/>
  <c r="A8980" i="80"/>
  <c r="A8978" i="80"/>
  <c r="A8977" i="80"/>
  <c r="A8976" i="80"/>
  <c r="A8975" i="80"/>
  <c r="A8973" i="80"/>
  <c r="A8972" i="80"/>
  <c r="A8971" i="80"/>
  <c r="A8970" i="80"/>
  <c r="A8968" i="80"/>
  <c r="A8967" i="80"/>
  <c r="A8966" i="80"/>
  <c r="A8965" i="80"/>
  <c r="A8963" i="80"/>
  <c r="A8962" i="80"/>
  <c r="A8961" i="80"/>
  <c r="A8960" i="80"/>
  <c r="A8958" i="80"/>
  <c r="A8957" i="80"/>
  <c r="A8956" i="80"/>
  <c r="A8955" i="80"/>
  <c r="A8953" i="80"/>
  <c r="A8952" i="80"/>
  <c r="A8951" i="80"/>
  <c r="A8950" i="80"/>
  <c r="A8948" i="80"/>
  <c r="A8947" i="80"/>
  <c r="A8946" i="80"/>
  <c r="A8945" i="80"/>
  <c r="A8943" i="80"/>
  <c r="A8942" i="80"/>
  <c r="A8941" i="80"/>
  <c r="A8940" i="80"/>
  <c r="A8938" i="80"/>
  <c r="A8937" i="80"/>
  <c r="A8936" i="80"/>
  <c r="A8935" i="80"/>
  <c r="A8933" i="80"/>
  <c r="A8932" i="80"/>
  <c r="A8931" i="80"/>
  <c r="A8930" i="80"/>
  <c r="A8928" i="80"/>
  <c r="A8927" i="80"/>
  <c r="A8926" i="80"/>
  <c r="A8925" i="80"/>
  <c r="A8923" i="80"/>
  <c r="A8922" i="80"/>
  <c r="A8921" i="80"/>
  <c r="A8920" i="80"/>
  <c r="A8918" i="80"/>
  <c r="A8917" i="80"/>
  <c r="A8916" i="80"/>
  <c r="A8915" i="80"/>
  <c r="A8913" i="80"/>
  <c r="A8912" i="80"/>
  <c r="A8911" i="80"/>
  <c r="A8910" i="80"/>
  <c r="A8908" i="80"/>
  <c r="A8907" i="80"/>
  <c r="A8906" i="80"/>
  <c r="A8905" i="80"/>
  <c r="A8903" i="80"/>
  <c r="A8902" i="80"/>
  <c r="A8901" i="80"/>
  <c r="A8900" i="80"/>
  <c r="A8898" i="80"/>
  <c r="A8897" i="80"/>
  <c r="A8896" i="80"/>
  <c r="A8895" i="80"/>
  <c r="A8893" i="80"/>
  <c r="A8892" i="80"/>
  <c r="A8891" i="80"/>
  <c r="A8890" i="80"/>
  <c r="A8888" i="80"/>
  <c r="A8887" i="80"/>
  <c r="A8886" i="80"/>
  <c r="A8885" i="80"/>
  <c r="A8883" i="80"/>
  <c r="A8882" i="80"/>
  <c r="A8881" i="80"/>
  <c r="A8880" i="80"/>
  <c r="A8878" i="80"/>
  <c r="A8877" i="80"/>
  <c r="A8876" i="80"/>
  <c r="A8875" i="80"/>
  <c r="A8873" i="80"/>
  <c r="A8872" i="80"/>
  <c r="A8871" i="80"/>
  <c r="A8870" i="80"/>
  <c r="A8868" i="80"/>
  <c r="A8867" i="80"/>
  <c r="A8866" i="80"/>
  <c r="A8865" i="80"/>
  <c r="A8863" i="80"/>
  <c r="A8862" i="80"/>
  <c r="A8861" i="80"/>
  <c r="A8860" i="80"/>
  <c r="A8858" i="80"/>
  <c r="A8857" i="80"/>
  <c r="A8856" i="80"/>
  <c r="A8855" i="80"/>
  <c r="A8853" i="80"/>
  <c r="A8852" i="80"/>
  <c r="A8851" i="80"/>
  <c r="A8850" i="80"/>
  <c r="A8848" i="80"/>
  <c r="A8847" i="80"/>
  <c r="A8846" i="80"/>
  <c r="A8845" i="80"/>
  <c r="A8843" i="80"/>
  <c r="A8842" i="80"/>
  <c r="A8841" i="80"/>
  <c r="A8840" i="80"/>
  <c r="A8838" i="80"/>
  <c r="A8837" i="80"/>
  <c r="A8836" i="80"/>
  <c r="A8835" i="80"/>
  <c r="A8833" i="80"/>
  <c r="A8832" i="80"/>
  <c r="A8831" i="80"/>
  <c r="A8830" i="80"/>
  <c r="A8828" i="80"/>
  <c r="A8827" i="80"/>
  <c r="A8826" i="80"/>
  <c r="A8825" i="80"/>
  <c r="A8823" i="80"/>
  <c r="A8822" i="80"/>
  <c r="A8821" i="80"/>
  <c r="A8820" i="80"/>
  <c r="A8818" i="80"/>
  <c r="A8817" i="80"/>
  <c r="A8816" i="80"/>
  <c r="A8815" i="80"/>
  <c r="A8813" i="80"/>
  <c r="A8812" i="80"/>
  <c r="A8811" i="80"/>
  <c r="A8810" i="80"/>
  <c r="A8808" i="80"/>
  <c r="A8807" i="80"/>
  <c r="A8806" i="80"/>
  <c r="A8805" i="80"/>
  <c r="A8803" i="80"/>
  <c r="A8802" i="80"/>
  <c r="A8801" i="80"/>
  <c r="A8800" i="80"/>
  <c r="A8798" i="80"/>
  <c r="A8797" i="80"/>
  <c r="A8796" i="80"/>
  <c r="A8795" i="80"/>
  <c r="A8793" i="80"/>
  <c r="A8792" i="80"/>
  <c r="A8791" i="80"/>
  <c r="A8790" i="80"/>
  <c r="A8788" i="80"/>
  <c r="A8787" i="80"/>
  <c r="A8786" i="80"/>
  <c r="A8785" i="80"/>
  <c r="A8783" i="80"/>
  <c r="A8782" i="80"/>
  <c r="A8781" i="80"/>
  <c r="A8780" i="80"/>
  <c r="A8778" i="80"/>
  <c r="A8777" i="80"/>
  <c r="A8776" i="80"/>
  <c r="A8775" i="80"/>
  <c r="A8773" i="80"/>
  <c r="A8772" i="80"/>
  <c r="A8771" i="80"/>
  <c r="A8770" i="80"/>
  <c r="A8768" i="80"/>
  <c r="A8767" i="80"/>
  <c r="A8766" i="80"/>
  <c r="A8765" i="80"/>
  <c r="A8763" i="80"/>
  <c r="A8762" i="80"/>
  <c r="A8761" i="80"/>
  <c r="A8760" i="80"/>
  <c r="A8758" i="80"/>
  <c r="A8757" i="80"/>
  <c r="A8756" i="80"/>
  <c r="A8755" i="80"/>
  <c r="A8753" i="80"/>
  <c r="A8752" i="80"/>
  <c r="A8751" i="80"/>
  <c r="A8750" i="80"/>
  <c r="A8748" i="80"/>
  <c r="A8747" i="80"/>
  <c r="A8746" i="80"/>
  <c r="A8745" i="80"/>
  <c r="A8743" i="80"/>
  <c r="A8742" i="80"/>
  <c r="A8741" i="80"/>
  <c r="A8740" i="80"/>
  <c r="A8738" i="80"/>
  <c r="A8737" i="80"/>
  <c r="A8736" i="80"/>
  <c r="A8735" i="80"/>
  <c r="A8733" i="80"/>
  <c r="A8732" i="80"/>
  <c r="A8731" i="80"/>
  <c r="A8730" i="80"/>
  <c r="A8728" i="80"/>
  <c r="A8727" i="80"/>
  <c r="A8726" i="80"/>
  <c r="A8725" i="80"/>
  <c r="A8723" i="80"/>
  <c r="A8722" i="80"/>
  <c r="A8721" i="80"/>
  <c r="A8720" i="80"/>
  <c r="A8718" i="80"/>
  <c r="A8717" i="80"/>
  <c r="A8716" i="80"/>
  <c r="A8715" i="80"/>
  <c r="A8713" i="80"/>
  <c r="A8712" i="80"/>
  <c r="A8711" i="80"/>
  <c r="A8710" i="80"/>
  <c r="A8708" i="80"/>
  <c r="A8707" i="80"/>
  <c r="A8706" i="80"/>
  <c r="A8705" i="80"/>
  <c r="A8703" i="80"/>
  <c r="A8702" i="80"/>
  <c r="A8701" i="80"/>
  <c r="A8700" i="80"/>
  <c r="A8698" i="80"/>
  <c r="A8697" i="80"/>
  <c r="A8696" i="80"/>
  <c r="A8695" i="80"/>
  <c r="A8693" i="80"/>
  <c r="A8692" i="80"/>
  <c r="A8691" i="80"/>
  <c r="A8690" i="80"/>
  <c r="A8688" i="80"/>
  <c r="A8687" i="80"/>
  <c r="A8686" i="80"/>
  <c r="A8685" i="80"/>
  <c r="A8683" i="80"/>
  <c r="A8682" i="80"/>
  <c r="A8681" i="80"/>
  <c r="A8680" i="80"/>
  <c r="A8678" i="80"/>
  <c r="A8677" i="80"/>
  <c r="A8676" i="80"/>
  <c r="A8675" i="80"/>
  <c r="A8673" i="80"/>
  <c r="A8672" i="80"/>
  <c r="A8671" i="80"/>
  <c r="A8670" i="80"/>
  <c r="A8668" i="80"/>
  <c r="A8667" i="80"/>
  <c r="A8666" i="80"/>
  <c r="A8665" i="80"/>
  <c r="A8663" i="80"/>
  <c r="A8662" i="80"/>
  <c r="A8661" i="80"/>
  <c r="A8660" i="80"/>
  <c r="A8658" i="80"/>
  <c r="A8657" i="80"/>
  <c r="A8656" i="80"/>
  <c r="A8655" i="80"/>
  <c r="A8653" i="80"/>
  <c r="A8652" i="80"/>
  <c r="A8651" i="80"/>
  <c r="A8650" i="80"/>
  <c r="A8648" i="80"/>
  <c r="A8647" i="80"/>
  <c r="A8646" i="80"/>
  <c r="A8645" i="80"/>
  <c r="A8643" i="80"/>
  <c r="A8642" i="80"/>
  <c r="A8641" i="80"/>
  <c r="A8640" i="80"/>
  <c r="A8638" i="80"/>
  <c r="A8637" i="80"/>
  <c r="A8636" i="80"/>
  <c r="A8635" i="80"/>
  <c r="A8633" i="80"/>
  <c r="A8632" i="80"/>
  <c r="A8631" i="80"/>
  <c r="A8630" i="80"/>
  <c r="A8628" i="80"/>
  <c r="A8627" i="80"/>
  <c r="A8626" i="80"/>
  <c r="A8625" i="80"/>
  <c r="A8623" i="80"/>
  <c r="A8622" i="80"/>
  <c r="A8621" i="80"/>
  <c r="A8620" i="80"/>
  <c r="A8618" i="80"/>
  <c r="A8617" i="80"/>
  <c r="A8616" i="80"/>
  <c r="A8615" i="80"/>
  <c r="A8613" i="80"/>
  <c r="A8612" i="80"/>
  <c r="A8611" i="80"/>
  <c r="A8610" i="80"/>
  <c r="A8608" i="80"/>
  <c r="A8607" i="80"/>
  <c r="A8606" i="80"/>
  <c r="A8605" i="80"/>
  <c r="A8603" i="80"/>
  <c r="A8602" i="80"/>
  <c r="A8601" i="80"/>
  <c r="A8600" i="80"/>
  <c r="A8598" i="80"/>
  <c r="A8597" i="80"/>
  <c r="A8596" i="80"/>
  <c r="A8595" i="80"/>
  <c r="A8593" i="80"/>
  <c r="A8592" i="80"/>
  <c r="A8591" i="80"/>
  <c r="A8590" i="80"/>
  <c r="A8588" i="80"/>
  <c r="A8587" i="80"/>
  <c r="A8586" i="80"/>
  <c r="A8585" i="80"/>
  <c r="A8583" i="80"/>
  <c r="A8582" i="80"/>
  <c r="A8581" i="80"/>
  <c r="A8580" i="80"/>
  <c r="A8578" i="80"/>
  <c r="A8577" i="80"/>
  <c r="A8576" i="80"/>
  <c r="A8575" i="80"/>
  <c r="A8573" i="80"/>
  <c r="A8572" i="80"/>
  <c r="A8571" i="80"/>
  <c r="A8570" i="80"/>
  <c r="A8568" i="80"/>
  <c r="A8567" i="80"/>
  <c r="A8566" i="80"/>
  <c r="A8565" i="80"/>
  <c r="A8563" i="80"/>
  <c r="A8562" i="80"/>
  <c r="A8561" i="80"/>
  <c r="A8560" i="80"/>
  <c r="A8558" i="80"/>
  <c r="A8557" i="80"/>
  <c r="A8556" i="80"/>
  <c r="A8555" i="80"/>
  <c r="A8553" i="80"/>
  <c r="A8552" i="80"/>
  <c r="A8551" i="80"/>
  <c r="A8550" i="80"/>
  <c r="A8548" i="80"/>
  <c r="A8547" i="80"/>
  <c r="A8546" i="80"/>
  <c r="A8545" i="80"/>
  <c r="A8543" i="80"/>
  <c r="A8542" i="80"/>
  <c r="A8541" i="80"/>
  <c r="A8540" i="80"/>
  <c r="A8538" i="80"/>
  <c r="A8537" i="80"/>
  <c r="A8536" i="80"/>
  <c r="A8535" i="80"/>
  <c r="A8534" i="80"/>
  <c r="A8533" i="80"/>
  <c r="A8532" i="80"/>
  <c r="A8531" i="80"/>
  <c r="A8530" i="80"/>
  <c r="A8529" i="80"/>
  <c r="E30" i="53"/>
  <c r="H8529" i="79"/>
  <c r="A8528" i="80"/>
  <c r="A8527" i="80"/>
  <c r="A8526" i="80"/>
  <c r="A8525" i="80"/>
  <c r="A8524" i="80"/>
  <c r="A8523" i="80"/>
  <c r="D30" i="53"/>
  <c r="H8523" i="79"/>
  <c r="A8522" i="80"/>
  <c r="A8521" i="80"/>
  <c r="A8520" i="80"/>
  <c r="A8519" i="80"/>
  <c r="A8518" i="80"/>
  <c r="A8517" i="80"/>
  <c r="C30" i="53"/>
  <c r="H8517" i="79"/>
  <c r="A8516" i="80"/>
  <c r="A8515" i="80"/>
  <c r="A8514" i="80"/>
  <c r="A8513" i="80"/>
  <c r="A8512" i="80"/>
  <c r="A8511" i="80"/>
  <c r="H8511" i="79"/>
  <c r="A8510" i="80"/>
  <c r="A8509" i="80"/>
  <c r="A8508" i="80"/>
  <c r="A8507" i="80"/>
  <c r="A8506" i="80"/>
  <c r="A8505" i="80"/>
  <c r="H8505" i="79"/>
  <c r="A8504" i="80"/>
  <c r="A8503" i="80"/>
  <c r="A8502" i="80"/>
  <c r="A8501" i="80"/>
  <c r="A8500" i="80"/>
  <c r="A8499" i="80"/>
  <c r="H8499" i="79"/>
  <c r="A8498" i="80"/>
  <c r="A8497" i="80"/>
  <c r="A8496" i="80"/>
  <c r="A8495" i="80"/>
  <c r="A8494" i="80"/>
  <c r="A8493" i="80"/>
  <c r="H8493" i="79"/>
  <c r="A8492" i="80"/>
  <c r="A8491" i="80"/>
  <c r="A8490" i="80"/>
  <c r="A8489" i="80"/>
  <c r="A8488" i="80"/>
  <c r="A8487" i="80"/>
  <c r="H8487" i="79"/>
  <c r="A8486" i="80"/>
  <c r="A8485" i="80"/>
  <c r="A8484" i="80"/>
  <c r="A8483" i="80"/>
  <c r="A8482" i="80"/>
  <c r="A8481" i="80"/>
  <c r="H8481" i="79"/>
  <c r="A8480" i="80"/>
  <c r="A8479" i="80"/>
  <c r="A8478" i="80"/>
  <c r="A8477" i="80"/>
  <c r="A8476" i="80"/>
  <c r="A8475" i="80"/>
  <c r="H8475" i="79"/>
  <c r="A8474" i="80"/>
  <c r="A8473" i="80"/>
  <c r="A8472" i="80"/>
  <c r="A8471" i="80"/>
  <c r="A8470" i="80"/>
  <c r="A8469" i="80"/>
  <c r="H8469" i="79"/>
  <c r="A8468" i="80"/>
  <c r="A8467" i="80"/>
  <c r="A8466" i="80"/>
  <c r="A8465" i="80"/>
  <c r="A8464" i="80"/>
  <c r="A8463" i="80"/>
  <c r="H8463" i="79"/>
  <c r="A8462" i="80"/>
  <c r="A8461" i="80"/>
  <c r="A8460" i="80"/>
  <c r="A8459" i="80"/>
  <c r="A8458" i="80"/>
  <c r="A8457" i="80"/>
  <c r="H8457" i="79"/>
  <c r="A8456" i="80"/>
  <c r="A8455" i="80"/>
  <c r="A8454" i="80"/>
  <c r="A8453" i="80"/>
  <c r="A8452" i="80"/>
  <c r="A8451" i="80"/>
  <c r="H8451" i="79"/>
  <c r="A8450" i="80"/>
  <c r="A8449" i="80"/>
  <c r="A8448" i="80"/>
  <c r="A8447" i="80"/>
  <c r="A8446" i="80"/>
  <c r="A8445" i="80"/>
  <c r="H8445" i="79"/>
  <c r="A8444" i="80"/>
  <c r="A8443" i="80"/>
  <c r="A8442" i="80"/>
  <c r="A8441" i="80"/>
  <c r="A8440" i="80"/>
  <c r="A8439" i="80"/>
  <c r="H8439" i="79"/>
  <c r="A8438" i="80"/>
  <c r="A8437" i="80"/>
  <c r="A8436" i="80"/>
  <c r="A8435" i="80"/>
  <c r="A8434" i="80"/>
  <c r="A8433" i="80"/>
  <c r="H8433" i="79"/>
  <c r="A8432" i="80"/>
  <c r="A8431" i="80"/>
  <c r="A8430" i="80"/>
  <c r="A8429" i="80"/>
  <c r="A8428" i="80"/>
  <c r="A8427" i="80"/>
  <c r="H8427" i="79"/>
  <c r="A8426" i="80"/>
  <c r="A8425" i="80"/>
  <c r="A8424" i="80"/>
  <c r="A8423" i="80"/>
  <c r="A8422" i="80"/>
  <c r="A8421" i="80"/>
  <c r="H8421" i="79"/>
  <c r="A8420" i="80"/>
  <c r="A8419" i="80"/>
  <c r="A8418" i="80"/>
  <c r="A8417" i="80"/>
  <c r="A8416" i="80"/>
  <c r="A8415" i="80"/>
  <c r="H8415" i="79"/>
  <c r="A8414" i="80"/>
  <c r="A8413" i="80"/>
  <c r="A8412" i="80"/>
  <c r="A8411" i="80"/>
  <c r="A8410" i="80"/>
  <c r="A8409" i="80"/>
  <c r="H8409" i="79"/>
  <c r="A8408" i="80"/>
  <c r="A8407" i="80"/>
  <c r="A8406" i="80"/>
  <c r="A8405" i="80"/>
  <c r="A8404" i="80"/>
  <c r="A8403" i="80"/>
  <c r="H8403" i="79"/>
  <c r="A8402" i="80"/>
  <c r="A8401" i="80"/>
  <c r="A8400" i="80"/>
  <c r="A8399" i="80"/>
  <c r="A8398" i="80"/>
  <c r="A8397" i="80"/>
  <c r="H8397" i="79"/>
  <c r="A8396" i="80"/>
  <c r="A8395" i="80"/>
  <c r="A8394" i="80"/>
  <c r="A8393" i="80"/>
  <c r="A8392" i="80"/>
  <c r="A8391" i="80"/>
  <c r="H8391" i="79"/>
  <c r="A8390" i="80"/>
  <c r="A8389" i="80"/>
  <c r="A8388" i="80"/>
  <c r="A8387" i="80"/>
  <c r="A8386" i="80"/>
  <c r="A8385" i="80"/>
  <c r="H8385" i="79"/>
  <c r="A8384" i="80"/>
  <c r="A8383" i="80"/>
  <c r="A8382" i="80"/>
  <c r="A8381" i="80"/>
  <c r="A8380" i="80"/>
  <c r="A8379" i="80"/>
  <c r="H8379" i="79"/>
  <c r="A8378" i="80"/>
  <c r="A8377" i="80"/>
  <c r="A8376" i="80"/>
  <c r="A8375" i="80"/>
  <c r="A8374" i="80"/>
  <c r="A8373" i="80"/>
  <c r="H8373" i="79"/>
  <c r="A8372" i="80"/>
  <c r="A8371" i="80"/>
  <c r="A8370" i="80"/>
  <c r="A8369" i="80"/>
  <c r="A8368" i="80"/>
  <c r="A8367" i="80"/>
  <c r="H8367" i="79"/>
  <c r="A8366" i="80"/>
  <c r="A8365" i="80"/>
  <c r="A8364" i="80"/>
  <c r="A8363" i="80"/>
  <c r="A8362" i="80"/>
  <c r="A8361" i="80"/>
  <c r="H8361" i="79"/>
  <c r="A8360" i="80"/>
  <c r="A8359" i="80"/>
  <c r="A8358" i="80"/>
  <c r="A8357" i="80"/>
  <c r="A8356" i="80"/>
  <c r="A8355" i="80"/>
  <c r="H8355" i="79"/>
  <c r="A8354" i="80"/>
  <c r="A8353" i="80"/>
  <c r="A8352" i="80"/>
  <c r="A8351" i="80"/>
  <c r="A8350" i="80"/>
  <c r="A8349" i="80"/>
  <c r="H8349" i="79"/>
  <c r="A8348" i="80"/>
  <c r="A8347" i="80"/>
  <c r="A8346" i="80"/>
  <c r="A8345" i="80"/>
  <c r="A8344" i="80"/>
  <c r="A8343" i="80"/>
  <c r="H8343" i="79"/>
  <c r="A8342" i="80"/>
  <c r="A8341" i="80"/>
  <c r="A8340" i="80"/>
  <c r="A8339" i="80"/>
  <c r="A8338" i="80"/>
  <c r="A8337" i="80"/>
  <c r="H8337" i="79"/>
  <c r="A8336" i="80"/>
  <c r="A8335" i="80"/>
  <c r="A8334" i="80"/>
  <c r="A8333" i="80"/>
  <c r="A8332" i="80"/>
  <c r="A8331" i="80"/>
  <c r="H8331" i="79"/>
  <c r="A8330" i="80"/>
  <c r="A8329" i="80"/>
  <c r="A8328" i="80"/>
  <c r="A8327" i="80"/>
  <c r="A8326" i="80"/>
  <c r="A8325" i="80"/>
  <c r="H8325" i="79"/>
  <c r="A8324" i="80"/>
  <c r="A8323" i="80"/>
  <c r="A8322" i="80"/>
  <c r="A8321" i="80"/>
  <c r="A8320" i="80"/>
  <c r="A8319" i="80"/>
  <c r="H8319" i="79"/>
  <c r="A8318" i="80"/>
  <c r="A8317" i="80"/>
  <c r="A8316" i="80"/>
  <c r="A8315" i="80"/>
  <c r="A8314" i="80"/>
  <c r="A8313" i="80"/>
  <c r="H8313" i="79"/>
  <c r="A8312" i="80"/>
  <c r="A8311" i="80"/>
  <c r="A8310" i="80"/>
  <c r="A8309" i="80"/>
  <c r="A8308" i="80"/>
  <c r="A8307" i="80"/>
  <c r="H8307" i="79"/>
  <c r="A8306" i="80"/>
  <c r="A8305" i="80"/>
  <c r="A8304" i="80"/>
  <c r="A8303" i="80"/>
  <c r="A8302" i="80"/>
  <c r="A8301" i="80"/>
  <c r="H8301" i="79"/>
  <c r="A8300" i="80"/>
  <c r="A8299" i="80"/>
  <c r="A8298" i="80"/>
  <c r="A8297" i="80"/>
  <c r="A8296" i="80"/>
  <c r="A8295" i="80"/>
  <c r="H8295" i="79"/>
  <c r="A8294" i="80"/>
  <c r="A8293" i="80"/>
  <c r="A8292" i="80"/>
  <c r="A8291" i="80"/>
  <c r="A8290" i="80"/>
  <c r="A8289" i="80"/>
  <c r="H8289" i="79"/>
  <c r="A8288" i="80"/>
  <c r="A8287" i="80"/>
  <c r="A8286" i="80"/>
  <c r="A8285" i="80"/>
  <c r="A8284" i="80"/>
  <c r="A8283" i="80"/>
  <c r="H8283" i="79"/>
  <c r="A8282" i="80"/>
  <c r="A8281" i="80"/>
  <c r="A8280" i="80"/>
  <c r="A8279" i="80"/>
  <c r="A8278" i="80"/>
  <c r="A8277" i="80"/>
  <c r="H8277" i="79"/>
  <c r="A8276" i="80"/>
  <c r="A8275" i="80"/>
  <c r="A8274" i="80"/>
  <c r="A8273" i="80"/>
  <c r="A8272" i="80"/>
  <c r="A8271" i="80"/>
  <c r="H8271" i="79"/>
  <c r="A8270" i="80"/>
  <c r="A8269" i="80"/>
  <c r="A8268" i="80"/>
  <c r="A8267" i="80"/>
  <c r="A8266" i="80"/>
  <c r="A8265" i="80"/>
  <c r="H8265" i="79"/>
  <c r="A8264" i="80"/>
  <c r="A8263" i="80"/>
  <c r="A8262" i="80"/>
  <c r="A8261" i="80"/>
  <c r="A8260" i="80"/>
  <c r="A8259" i="80"/>
  <c r="H8259" i="79"/>
  <c r="A8258" i="80"/>
  <c r="A8257" i="80"/>
  <c r="A8256" i="80"/>
  <c r="A8255" i="80"/>
  <c r="A8254" i="80"/>
  <c r="A8253" i="80"/>
  <c r="H8253" i="79"/>
  <c r="A8252" i="80"/>
  <c r="A8251" i="80"/>
  <c r="A8250" i="80"/>
  <c r="A8249" i="80"/>
  <c r="A8248" i="80"/>
  <c r="A8247" i="80"/>
  <c r="H8247" i="79"/>
  <c r="A8246" i="80"/>
  <c r="A8245" i="80"/>
  <c r="A8244" i="80"/>
  <c r="A8243" i="80"/>
  <c r="A8242" i="80"/>
  <c r="A8241" i="80"/>
  <c r="H8241" i="79"/>
  <c r="A8240" i="80"/>
  <c r="A8239" i="80"/>
  <c r="A8238" i="80"/>
  <c r="A8237" i="80"/>
  <c r="A8236" i="80"/>
  <c r="A8235" i="80"/>
  <c r="H8235" i="79"/>
  <c r="A8234" i="80"/>
  <c r="A8233" i="80"/>
  <c r="A8232" i="80"/>
  <c r="A8231" i="80"/>
  <c r="A8230" i="80"/>
  <c r="A8229" i="80"/>
  <c r="H8229" i="79"/>
  <c r="A8228" i="80"/>
  <c r="A8227" i="80"/>
  <c r="A8226" i="80"/>
  <c r="A8225" i="80"/>
  <c r="A8224" i="80"/>
  <c r="A8223" i="80"/>
  <c r="H8223" i="79"/>
  <c r="A8222" i="80"/>
  <c r="A8221" i="80"/>
  <c r="A8220" i="80"/>
  <c r="A8219" i="80"/>
  <c r="A8218" i="80"/>
  <c r="A8217" i="80"/>
  <c r="H8217" i="79"/>
  <c r="A8216" i="80"/>
  <c r="A8215" i="80"/>
  <c r="A8214" i="80"/>
  <c r="A8213" i="80"/>
  <c r="A8212" i="80"/>
  <c r="A8211" i="80"/>
  <c r="H8211" i="79"/>
  <c r="A8210" i="80"/>
  <c r="A8209" i="80"/>
  <c r="A8208" i="80"/>
  <c r="A8207" i="80"/>
  <c r="A8206" i="80"/>
  <c r="A8205" i="80"/>
  <c r="H8205" i="79"/>
  <c r="A8204" i="80"/>
  <c r="A8203" i="80"/>
  <c r="A8202" i="80"/>
  <c r="A8201" i="80"/>
  <c r="A8200" i="80"/>
  <c r="A8199" i="80"/>
  <c r="H8199" i="79"/>
  <c r="A8198" i="80"/>
  <c r="A8197" i="80"/>
  <c r="A8196" i="80"/>
  <c r="A8195" i="80"/>
  <c r="A8194" i="80"/>
  <c r="A8193" i="80"/>
  <c r="H8193" i="79"/>
  <c r="A8192" i="80"/>
  <c r="A8191" i="80"/>
  <c r="A8190" i="80"/>
  <c r="A8189" i="80"/>
  <c r="A8188" i="80"/>
  <c r="A8187" i="80"/>
  <c r="A8186" i="80"/>
  <c r="A8185" i="80"/>
  <c r="A8184" i="80"/>
  <c r="A8183" i="80"/>
  <c r="A8182" i="80"/>
  <c r="A8181" i="80"/>
  <c r="A8180" i="80"/>
  <c r="A8178" i="80"/>
  <c r="A8177" i="80"/>
  <c r="A8176" i="80"/>
  <c r="A8175" i="80"/>
  <c r="A8174" i="80"/>
  <c r="A8172" i="80"/>
  <c r="A8171" i="80"/>
  <c r="A8170" i="80"/>
  <c r="A8169" i="80"/>
  <c r="A8168" i="80"/>
  <c r="H8168" i="79"/>
  <c r="A8167" i="80"/>
  <c r="A8166" i="80"/>
  <c r="A8165" i="80"/>
  <c r="A8164" i="80"/>
  <c r="A8163" i="80"/>
  <c r="A8162" i="80"/>
  <c r="H8162" i="79"/>
  <c r="A8161" i="80"/>
  <c r="A8160" i="80"/>
  <c r="A8159" i="80"/>
  <c r="A8158" i="80"/>
  <c r="A8157" i="80"/>
  <c r="A8156" i="80"/>
  <c r="H8156" i="79"/>
  <c r="A8155" i="80"/>
  <c r="A8154" i="80"/>
  <c r="A8153" i="80"/>
  <c r="A8152" i="80"/>
  <c r="A8151" i="80"/>
  <c r="A8150" i="80"/>
  <c r="H8150" i="79"/>
  <c r="A8149" i="80"/>
  <c r="A8148" i="80"/>
  <c r="A8147" i="80"/>
  <c r="A8146" i="80"/>
  <c r="A8145" i="80"/>
  <c r="A8144" i="80"/>
  <c r="H8144" i="79"/>
  <c r="A8143" i="80"/>
  <c r="A8142" i="80"/>
  <c r="A8141" i="80"/>
  <c r="A8140" i="80"/>
  <c r="A8139" i="80"/>
  <c r="A8138" i="80"/>
  <c r="A8136" i="80"/>
  <c r="A8135" i="80"/>
  <c r="A8134" i="80"/>
  <c r="A8133" i="80"/>
  <c r="A8132" i="80"/>
  <c r="H8132" i="79"/>
  <c r="A8131" i="80"/>
  <c r="A8130" i="80"/>
  <c r="A8129" i="80"/>
  <c r="A8128" i="80"/>
  <c r="A8127" i="80"/>
  <c r="A8126" i="80"/>
  <c r="H8126" i="79"/>
  <c r="A8125" i="80"/>
  <c r="A8124" i="80"/>
  <c r="A8123" i="80"/>
  <c r="A8122" i="80"/>
  <c r="A8121" i="80"/>
  <c r="A8120" i="80"/>
  <c r="A8118" i="80"/>
  <c r="A8117" i="80"/>
  <c r="A8116" i="80"/>
  <c r="A8115" i="80"/>
  <c r="A8114" i="80"/>
  <c r="A8112" i="80"/>
  <c r="A8111" i="80"/>
  <c r="A8110" i="80"/>
  <c r="A8109" i="80"/>
  <c r="A8108" i="80"/>
  <c r="A8106" i="80"/>
  <c r="A8105" i="80"/>
  <c r="A8104" i="80"/>
  <c r="A8103" i="80"/>
  <c r="A8102" i="80"/>
  <c r="A8101" i="80"/>
  <c r="A8100" i="80"/>
  <c r="A8099" i="80"/>
  <c r="A8098" i="80"/>
  <c r="A8097" i="80"/>
  <c r="A8095" i="80"/>
  <c r="A8094" i="80"/>
  <c r="A8093" i="80"/>
  <c r="A8092" i="80"/>
  <c r="A8091" i="80"/>
  <c r="A8090" i="80"/>
  <c r="A8089" i="80"/>
  <c r="A8088" i="80"/>
  <c r="A8086" i="80"/>
  <c r="A8085" i="80"/>
  <c r="A8084" i="80"/>
  <c r="A8083" i="80"/>
  <c r="A8081" i="80"/>
  <c r="A8080" i="80"/>
  <c r="A8079" i="80"/>
  <c r="A8078" i="80"/>
  <c r="A8076" i="80"/>
  <c r="A8075" i="80"/>
  <c r="A8074" i="80"/>
  <c r="A8073" i="80"/>
  <c r="A8071" i="80"/>
  <c r="A8070" i="80"/>
  <c r="A8069" i="80"/>
  <c r="A8068" i="80"/>
  <c r="A8066" i="80"/>
  <c r="A8065" i="80"/>
  <c r="A8064" i="80"/>
  <c r="A8063" i="80"/>
  <c r="A8061" i="80"/>
  <c r="A8060" i="80"/>
  <c r="A8059" i="80"/>
  <c r="A8058" i="80"/>
  <c r="A8056" i="80"/>
  <c r="A8055" i="80"/>
  <c r="A8054" i="80"/>
  <c r="A8053" i="80"/>
  <c r="A8051" i="80"/>
  <c r="A8050" i="80"/>
  <c r="A8049" i="80"/>
  <c r="A8048" i="80"/>
  <c r="A8046" i="80"/>
  <c r="A8045" i="80"/>
  <c r="A8044" i="80"/>
  <c r="A8043" i="80"/>
  <c r="A8041" i="80"/>
  <c r="A8040" i="80"/>
  <c r="A8039" i="80"/>
  <c r="A8038" i="80"/>
  <c r="A8036" i="80"/>
  <c r="A8035" i="80"/>
  <c r="A8034" i="80"/>
  <c r="A8033" i="80"/>
  <c r="A8031" i="80"/>
  <c r="A8030" i="80"/>
  <c r="A8029" i="80"/>
  <c r="A8028" i="80"/>
  <c r="A8026" i="80"/>
  <c r="A8025" i="80"/>
  <c r="A8024" i="80"/>
  <c r="A8023" i="80"/>
  <c r="A8021" i="80"/>
  <c r="A8020" i="80"/>
  <c r="A8019" i="80"/>
  <c r="A8018" i="80"/>
  <c r="A8016" i="80"/>
  <c r="A8015" i="80"/>
  <c r="A8014" i="80"/>
  <c r="A8013" i="80"/>
  <c r="A8011" i="80"/>
  <c r="A8010" i="80"/>
  <c r="A8009" i="80"/>
  <c r="A8008" i="80"/>
  <c r="A8006" i="80"/>
  <c r="A8005" i="80"/>
  <c r="A8004" i="80"/>
  <c r="A8003" i="80"/>
  <c r="A8001" i="80"/>
  <c r="A8000" i="80"/>
  <c r="A7999" i="80"/>
  <c r="A7998" i="80"/>
  <c r="A7996" i="80"/>
  <c r="A7995" i="80"/>
  <c r="A7994" i="80"/>
  <c r="A7993" i="80"/>
  <c r="A7991" i="80"/>
  <c r="A7990" i="80"/>
  <c r="A7989" i="80"/>
  <c r="A7988" i="80"/>
  <c r="A7986" i="80"/>
  <c r="A7985" i="80"/>
  <c r="A7984" i="80"/>
  <c r="A7983" i="80"/>
  <c r="A7981" i="80"/>
  <c r="A7980" i="80"/>
  <c r="A7979" i="80"/>
  <c r="A7978" i="80"/>
  <c r="A7976" i="80"/>
  <c r="A7975" i="80"/>
  <c r="A7974" i="80"/>
  <c r="A7973" i="80"/>
  <c r="A7971" i="80"/>
  <c r="A7970" i="80"/>
  <c r="A7969" i="80"/>
  <c r="A7968" i="80"/>
  <c r="A7966" i="80"/>
  <c r="A7965" i="80"/>
  <c r="A7964" i="80"/>
  <c r="A7963" i="80"/>
  <c r="A7961" i="80"/>
  <c r="A7960" i="80"/>
  <c r="A7959" i="80"/>
  <c r="A7958" i="80"/>
  <c r="A7956" i="80"/>
  <c r="A7955" i="80"/>
  <c r="A7954" i="80"/>
  <c r="A7953" i="80"/>
  <c r="A7951" i="80"/>
  <c r="A7950" i="80"/>
  <c r="A7949" i="80"/>
  <c r="A7948" i="80"/>
  <c r="A7946" i="80"/>
  <c r="A7945" i="80"/>
  <c r="A7944" i="80"/>
  <c r="A7943" i="80"/>
  <c r="A7941" i="80"/>
  <c r="A7940" i="80"/>
  <c r="A7939" i="80"/>
  <c r="A7938" i="80"/>
  <c r="A7936" i="80"/>
  <c r="A7935" i="80"/>
  <c r="A7934" i="80"/>
  <c r="A7933" i="80"/>
  <c r="A7931" i="80"/>
  <c r="A7930" i="80"/>
  <c r="A7929" i="80"/>
  <c r="A7928" i="80"/>
  <c r="A7926" i="80"/>
  <c r="A7925" i="80"/>
  <c r="A7924" i="80"/>
  <c r="A7923" i="80"/>
  <c r="A7921" i="80"/>
  <c r="A7920" i="80"/>
  <c r="A7919" i="80"/>
  <c r="A7918" i="80"/>
  <c r="A7916" i="80"/>
  <c r="A7915" i="80"/>
  <c r="A7914" i="80"/>
  <c r="A7913" i="80"/>
  <c r="A7911" i="80"/>
  <c r="A7910" i="80"/>
  <c r="A7909" i="80"/>
  <c r="A7908" i="80"/>
  <c r="A7906" i="80"/>
  <c r="A7905" i="80"/>
  <c r="A7904" i="80"/>
  <c r="A7903" i="80"/>
  <c r="A7901" i="80"/>
  <c r="A7900" i="80"/>
  <c r="A7899" i="80"/>
  <c r="A7898" i="80"/>
  <c r="A7896" i="80"/>
  <c r="A7895" i="80"/>
  <c r="A7894" i="80"/>
  <c r="A7893" i="80"/>
  <c r="A7891" i="80"/>
  <c r="A7890" i="80"/>
  <c r="A7889" i="80"/>
  <c r="A7888" i="80"/>
  <c r="A7886" i="80"/>
  <c r="A7885" i="80"/>
  <c r="A7884" i="80"/>
  <c r="A7883" i="80"/>
  <c r="A7881" i="80"/>
  <c r="A7880" i="80"/>
  <c r="A7879" i="80"/>
  <c r="A7878" i="80"/>
  <c r="A7876" i="80"/>
  <c r="A7875" i="80"/>
  <c r="A7874" i="80"/>
  <c r="A7873" i="80"/>
  <c r="A7871" i="80"/>
  <c r="A7870" i="80"/>
  <c r="A7869" i="80"/>
  <c r="A7868" i="80"/>
  <c r="A7866" i="80"/>
  <c r="A7865" i="80"/>
  <c r="A7864" i="80"/>
  <c r="A7863" i="80"/>
  <c r="A7861" i="80"/>
  <c r="A7860" i="80"/>
  <c r="A7859" i="80"/>
  <c r="A7858" i="80"/>
  <c r="A7856" i="80"/>
  <c r="A7855" i="80"/>
  <c r="A7854" i="80"/>
  <c r="A7853" i="80"/>
  <c r="A7851" i="80"/>
  <c r="A7850" i="80"/>
  <c r="A7849" i="80"/>
  <c r="A7848" i="80"/>
  <c r="A7846" i="80"/>
  <c r="A7845" i="80"/>
  <c r="A7844" i="80"/>
  <c r="A7843" i="80"/>
  <c r="A7841" i="80"/>
  <c r="A7840" i="80"/>
  <c r="A7839" i="80"/>
  <c r="A7838" i="80"/>
  <c r="A7836" i="80"/>
  <c r="A7835" i="80"/>
  <c r="A7834" i="80"/>
  <c r="A7833" i="80"/>
  <c r="A7831" i="80"/>
  <c r="A7830" i="80"/>
  <c r="A7829" i="80"/>
  <c r="A7828" i="80"/>
  <c r="A7826" i="80"/>
  <c r="A7825" i="80"/>
  <c r="A7824" i="80"/>
  <c r="A7823" i="80"/>
  <c r="A7821" i="80"/>
  <c r="A7820" i="80"/>
  <c r="A7819" i="80"/>
  <c r="A7818" i="80"/>
  <c r="A7816" i="80"/>
  <c r="A7815" i="80"/>
  <c r="A7814" i="80"/>
  <c r="A7813" i="80"/>
  <c r="A7811" i="80"/>
  <c r="A7810" i="80"/>
  <c r="A7809" i="80"/>
  <c r="A7808" i="80"/>
  <c r="A7806" i="80"/>
  <c r="A7805" i="80"/>
  <c r="A7804" i="80"/>
  <c r="A7803" i="80"/>
  <c r="A7801" i="80"/>
  <c r="A7800" i="80"/>
  <c r="A7799" i="80"/>
  <c r="A7798" i="80"/>
  <c r="A7796" i="80"/>
  <c r="A7795" i="80"/>
  <c r="A7794" i="80"/>
  <c r="A7793" i="80"/>
  <c r="A7791" i="80"/>
  <c r="A7790" i="80"/>
  <c r="A7789" i="80"/>
  <c r="A7788" i="80"/>
  <c r="A7787" i="80"/>
  <c r="A7786" i="80"/>
  <c r="A7785" i="80"/>
  <c r="A7784" i="80"/>
  <c r="A7783" i="80"/>
  <c r="A7782" i="80"/>
  <c r="A7780" i="80"/>
  <c r="A7779" i="80"/>
  <c r="A7778" i="80"/>
  <c r="A7777" i="80"/>
  <c r="A7776" i="80"/>
  <c r="A7774" i="80"/>
  <c r="A7773" i="80"/>
  <c r="A7772" i="80"/>
  <c r="A7771" i="80"/>
  <c r="A7770" i="80"/>
  <c r="A7768" i="80"/>
  <c r="A7767" i="80"/>
  <c r="A7766" i="80"/>
  <c r="A7765" i="80"/>
  <c r="A7764" i="80"/>
  <c r="A7762" i="80"/>
  <c r="A7761" i="80"/>
  <c r="A7760" i="80"/>
  <c r="A7759" i="80"/>
  <c r="A7758" i="80"/>
  <c r="A7756" i="80"/>
  <c r="A7755" i="80"/>
  <c r="A7754" i="80"/>
  <c r="A7753" i="80"/>
  <c r="A7752" i="80"/>
  <c r="A7750" i="80"/>
  <c r="A7749" i="80"/>
  <c r="A7748" i="80"/>
  <c r="A7747" i="80"/>
  <c r="A7746" i="80"/>
  <c r="A7744" i="80"/>
  <c r="A7743" i="80"/>
  <c r="A7742" i="80"/>
  <c r="A7741" i="80"/>
  <c r="A7740" i="80"/>
  <c r="A7738" i="80"/>
  <c r="A7737" i="80"/>
  <c r="A7736" i="80"/>
  <c r="A7735" i="80"/>
  <c r="A7734" i="80"/>
  <c r="A7732" i="80"/>
  <c r="A7731" i="80"/>
  <c r="A7730" i="80"/>
  <c r="A7729" i="80"/>
  <c r="A7728" i="80"/>
  <c r="A7726" i="80"/>
  <c r="A7725" i="80"/>
  <c r="A7724" i="80"/>
  <c r="A7723" i="80"/>
  <c r="A7722" i="80"/>
  <c r="A7720" i="80"/>
  <c r="A7719" i="80"/>
  <c r="A7718" i="80"/>
  <c r="A7717" i="80"/>
  <c r="A7716" i="80"/>
  <c r="A7714" i="80"/>
  <c r="A7713" i="80"/>
  <c r="A7712" i="80"/>
  <c r="A7711" i="80"/>
  <c r="A7710" i="80"/>
  <c r="A7708" i="80"/>
  <c r="A7707" i="80"/>
  <c r="A7706" i="80"/>
  <c r="A7705" i="80"/>
  <c r="A7704" i="80"/>
  <c r="A7702" i="80"/>
  <c r="A7701" i="80"/>
  <c r="A7700" i="80"/>
  <c r="A7699" i="80"/>
  <c r="A7698" i="80"/>
  <c r="A7696" i="80"/>
  <c r="A7695" i="80"/>
  <c r="A7694" i="80"/>
  <c r="A7693" i="80"/>
  <c r="A7692" i="80"/>
  <c r="A7690" i="80"/>
  <c r="A7689" i="80"/>
  <c r="A7688" i="80"/>
  <c r="A7687" i="80"/>
  <c r="A7686" i="80"/>
  <c r="A7684" i="80"/>
  <c r="A7683" i="80"/>
  <c r="A7682" i="80"/>
  <c r="A7681" i="80"/>
  <c r="A7680" i="80"/>
  <c r="A7678" i="80"/>
  <c r="A7677" i="80"/>
  <c r="A7676" i="80"/>
  <c r="A7675" i="80"/>
  <c r="A7674" i="80"/>
  <c r="A7672" i="80"/>
  <c r="A7671" i="80"/>
  <c r="A7670" i="80"/>
  <c r="A7669" i="80"/>
  <c r="A7668" i="80"/>
  <c r="A7666" i="80"/>
  <c r="A7665" i="80"/>
  <c r="A7664" i="80"/>
  <c r="A7663" i="80"/>
  <c r="A7662" i="80"/>
  <c r="A7661" i="80"/>
  <c r="A7660" i="80"/>
  <c r="A7659" i="80"/>
  <c r="A7658" i="80"/>
  <c r="A7657" i="80"/>
  <c r="A7656" i="80"/>
  <c r="A7655" i="80"/>
  <c r="J15" i="27"/>
  <c r="H7655" i="79"/>
  <c r="A7654" i="80"/>
  <c r="A7653" i="80"/>
  <c r="A7652" i="80"/>
  <c r="A7651" i="80"/>
  <c r="A7650" i="80"/>
  <c r="A7649" i="80"/>
  <c r="H7649" i="79"/>
  <c r="A7648" i="80"/>
  <c r="A7647" i="80"/>
  <c r="A7646" i="80"/>
  <c r="A7645" i="80"/>
  <c r="A7644" i="80"/>
  <c r="A7643" i="80"/>
  <c r="H7643" i="79"/>
  <c r="A7642" i="80"/>
  <c r="A7641" i="80"/>
  <c r="A7640" i="80"/>
  <c r="A7639" i="80"/>
  <c r="A7638" i="80"/>
  <c r="A7637" i="80"/>
  <c r="H7637" i="79"/>
  <c r="A7636" i="80"/>
  <c r="A7635" i="80"/>
  <c r="A7634" i="80"/>
  <c r="A7633" i="80"/>
  <c r="A7632" i="80"/>
  <c r="A7631" i="80"/>
  <c r="F15" i="27"/>
  <c r="H7631" i="79"/>
  <c r="A7630" i="80"/>
  <c r="A7629" i="80"/>
  <c r="A7628" i="80"/>
  <c r="A7627" i="80"/>
  <c r="A7626" i="80"/>
  <c r="A7625" i="80"/>
  <c r="E15" i="27"/>
  <c r="H7625" i="79"/>
  <c r="A7624" i="80"/>
  <c r="A7623" i="80"/>
  <c r="A7622" i="80"/>
  <c r="A7621" i="80"/>
  <c r="A7620" i="80"/>
  <c r="A7619" i="80"/>
  <c r="H7619" i="79"/>
  <c r="A7618" i="80"/>
  <c r="A7617" i="80"/>
  <c r="A7616" i="80"/>
  <c r="A7615" i="80"/>
  <c r="A7614" i="80"/>
  <c r="A7613" i="80"/>
  <c r="H7613" i="79"/>
  <c r="A7612" i="80"/>
  <c r="A7611" i="80"/>
  <c r="A7610" i="80"/>
  <c r="A7609" i="80"/>
  <c r="A7608" i="80"/>
  <c r="A7607" i="80"/>
  <c r="A7606" i="80"/>
  <c r="H7606" i="79"/>
  <c r="A7605" i="80"/>
  <c r="A7604" i="80"/>
  <c r="A7603" i="80"/>
  <c r="A7602" i="80"/>
  <c r="A7601" i="80"/>
  <c r="H7601" i="79"/>
  <c r="A7600" i="80"/>
  <c r="A7599" i="80"/>
  <c r="A7598" i="80"/>
  <c r="A7597" i="80"/>
  <c r="A7596" i="80"/>
  <c r="H7596" i="79"/>
  <c r="A7595" i="80"/>
  <c r="A7594" i="80"/>
  <c r="A7593" i="80"/>
  <c r="A7592" i="80"/>
  <c r="A7591" i="80"/>
  <c r="H7591" i="79"/>
  <c r="A7590" i="80"/>
  <c r="A7589" i="80"/>
  <c r="A7588" i="80"/>
  <c r="A7587" i="80"/>
  <c r="A7586" i="80"/>
  <c r="H7586" i="79"/>
  <c r="A7585" i="80"/>
  <c r="A7584" i="80"/>
  <c r="A7583" i="80"/>
  <c r="A7582" i="80"/>
  <c r="A7581" i="80"/>
  <c r="H7581" i="79"/>
  <c r="A7580" i="80"/>
  <c r="A7579" i="80"/>
  <c r="A7578" i="80"/>
  <c r="A7577" i="80"/>
  <c r="A7576" i="80"/>
  <c r="H7576" i="79"/>
  <c r="A7575" i="80"/>
  <c r="A7574" i="80"/>
  <c r="A7573" i="80"/>
  <c r="A7572" i="80"/>
  <c r="A7571" i="80"/>
  <c r="H7571" i="79"/>
  <c r="A7570" i="80"/>
  <c r="A7569" i="80"/>
  <c r="A7568" i="80"/>
  <c r="A7567" i="80"/>
  <c r="A7566" i="80"/>
  <c r="H7566" i="79"/>
  <c r="A7565" i="80"/>
  <c r="A7564" i="80"/>
  <c r="A7563" i="80"/>
  <c r="A7562" i="80"/>
  <c r="A7561" i="80"/>
  <c r="H7561" i="79"/>
  <c r="A7560" i="80"/>
  <c r="A7559" i="80"/>
  <c r="A7558" i="80"/>
  <c r="A7557" i="80"/>
  <c r="A7556" i="80"/>
  <c r="H7556" i="79"/>
  <c r="A7555" i="80"/>
  <c r="A7554" i="80"/>
  <c r="A7553" i="80"/>
  <c r="A7552" i="80"/>
  <c r="A7551" i="80"/>
  <c r="H7551" i="79"/>
  <c r="A7550" i="80"/>
  <c r="A7549" i="80"/>
  <c r="A7548" i="80"/>
  <c r="A7547" i="80"/>
  <c r="A7546" i="80"/>
  <c r="H7546" i="79"/>
  <c r="A7545" i="80"/>
  <c r="A7544" i="80"/>
  <c r="A7543" i="80"/>
  <c r="A7542" i="80"/>
  <c r="A7541" i="80"/>
  <c r="H7541" i="79"/>
  <c r="A7540" i="80"/>
  <c r="A7539" i="80"/>
  <c r="A7538" i="80"/>
  <c r="A7537" i="80"/>
  <c r="A7536" i="80"/>
  <c r="H7536" i="79"/>
  <c r="A7535" i="80"/>
  <c r="A7534" i="80"/>
  <c r="A7533" i="80"/>
  <c r="A7532" i="80"/>
  <c r="A7531" i="80"/>
  <c r="H7531" i="79"/>
  <c r="A7530" i="80"/>
  <c r="A7529" i="80"/>
  <c r="A7528" i="80"/>
  <c r="A7527" i="80"/>
  <c r="A7526" i="80"/>
  <c r="H7526" i="79"/>
  <c r="A7525" i="80"/>
  <c r="A7524" i="80"/>
  <c r="A7523" i="80"/>
  <c r="A7522" i="80"/>
  <c r="A7521" i="80"/>
  <c r="H7521" i="79"/>
  <c r="A7520" i="80"/>
  <c r="A7519" i="80"/>
  <c r="A7518" i="80"/>
  <c r="A7517" i="80"/>
  <c r="A7516" i="80"/>
  <c r="H7516" i="79"/>
  <c r="A7515" i="80"/>
  <c r="A7514" i="80"/>
  <c r="A7513" i="80"/>
  <c r="A7512" i="80"/>
  <c r="A7511" i="80"/>
  <c r="H7511" i="79"/>
  <c r="A7510" i="80"/>
  <c r="A7509" i="80"/>
  <c r="A7508" i="80"/>
  <c r="A7507" i="80"/>
  <c r="A7506" i="80"/>
  <c r="H7506" i="79"/>
  <c r="A7505" i="80"/>
  <c r="A7504" i="80"/>
  <c r="A7503" i="80"/>
  <c r="A7502" i="80"/>
  <c r="A7501" i="80"/>
  <c r="H7501" i="79"/>
  <c r="A7500" i="80"/>
  <c r="A7499" i="80"/>
  <c r="A7498" i="80"/>
  <c r="A7497" i="80"/>
  <c r="A7496" i="80"/>
  <c r="H7496" i="79"/>
  <c r="A7495" i="80"/>
  <c r="A7494" i="80"/>
  <c r="A7493" i="80"/>
  <c r="A7492" i="80"/>
  <c r="A7491" i="80"/>
  <c r="H7491" i="79"/>
  <c r="A7490" i="80"/>
  <c r="A7489" i="80"/>
  <c r="A7488" i="80"/>
  <c r="A7487" i="80"/>
  <c r="A7486" i="80"/>
  <c r="H7486" i="79"/>
  <c r="A7485" i="80"/>
  <c r="A7484" i="80"/>
  <c r="A7483" i="80"/>
  <c r="A7482" i="80"/>
  <c r="A7481" i="80"/>
  <c r="H7481" i="79"/>
  <c r="A7480" i="80"/>
  <c r="A7479" i="80"/>
  <c r="A7478" i="80"/>
  <c r="A7477" i="80"/>
  <c r="A7476" i="80"/>
  <c r="H7476" i="79"/>
  <c r="A7475" i="80"/>
  <c r="A7474" i="80"/>
  <c r="A7473" i="80"/>
  <c r="A7472" i="80"/>
  <c r="A7471" i="80"/>
  <c r="H7471" i="79"/>
  <c r="A7470" i="80"/>
  <c r="A7469" i="80"/>
  <c r="A7468" i="80"/>
  <c r="A7467" i="80"/>
  <c r="A7466" i="80"/>
  <c r="H7466" i="79"/>
  <c r="A7465" i="80"/>
  <c r="A7464" i="80"/>
  <c r="A7463" i="80"/>
  <c r="A7462" i="80"/>
  <c r="A7461" i="80"/>
  <c r="H7461" i="79"/>
  <c r="A7460" i="80"/>
  <c r="A7459" i="80"/>
  <c r="A7458" i="80"/>
  <c r="A7457" i="80"/>
  <c r="A7456" i="80"/>
  <c r="H7456" i="79"/>
  <c r="A7455" i="80"/>
  <c r="A7454" i="80"/>
  <c r="A7453" i="80"/>
  <c r="A7452" i="80"/>
  <c r="A7451" i="80"/>
  <c r="H7451" i="79"/>
  <c r="A7450" i="80"/>
  <c r="A7449" i="80"/>
  <c r="A7448" i="80"/>
  <c r="A7447" i="80"/>
  <c r="A7446" i="80"/>
  <c r="H7446" i="79"/>
  <c r="A7445" i="80"/>
  <c r="A7444" i="80"/>
  <c r="A7443" i="80"/>
  <c r="A7442" i="80"/>
  <c r="A7441" i="80"/>
  <c r="H7441" i="79"/>
  <c r="A7440" i="80"/>
  <c r="A7439" i="80"/>
  <c r="A7438" i="80"/>
  <c r="A7437" i="80"/>
  <c r="A7436" i="80"/>
  <c r="H7436" i="79"/>
  <c r="A7435" i="80"/>
  <c r="A7434" i="80"/>
  <c r="A7433" i="80"/>
  <c r="A7432" i="80"/>
  <c r="A7431" i="80"/>
  <c r="H7431" i="79"/>
  <c r="A7430" i="80"/>
  <c r="A7429" i="80"/>
  <c r="A7428" i="80"/>
  <c r="A7427" i="80"/>
  <c r="A7426" i="80"/>
  <c r="H7426" i="79"/>
  <c r="A7425" i="80"/>
  <c r="A7424" i="80"/>
  <c r="A7423" i="80"/>
  <c r="A7422" i="80"/>
  <c r="A7421" i="80"/>
  <c r="H7421" i="79"/>
  <c r="A7420" i="80"/>
  <c r="A7419" i="80"/>
  <c r="A7418" i="80"/>
  <c r="A7417" i="80"/>
  <c r="A7416" i="80"/>
  <c r="H7416" i="79"/>
  <c r="A7415" i="80"/>
  <c r="A7414" i="80"/>
  <c r="A7413" i="80"/>
  <c r="A7412" i="80"/>
  <c r="A7411" i="80"/>
  <c r="H7411" i="79"/>
  <c r="A7410" i="80"/>
  <c r="A7409" i="80"/>
  <c r="A7408" i="80"/>
  <c r="A7407" i="80"/>
  <c r="A7406" i="80"/>
  <c r="A7405" i="80"/>
  <c r="A7404" i="80"/>
  <c r="A7403" i="80"/>
  <c r="A7402" i="80"/>
  <c r="A7400" i="80"/>
  <c r="A7399" i="80"/>
  <c r="A7398" i="80"/>
  <c r="A7397" i="80"/>
  <c r="A7396" i="80"/>
  <c r="A7395" i="80"/>
  <c r="A7394" i="80"/>
  <c r="A7392" i="80"/>
  <c r="A7391" i="80"/>
  <c r="A7390" i="80"/>
  <c r="A7389" i="80"/>
  <c r="A7388" i="80"/>
  <c r="A7386" i="80"/>
  <c r="A7385" i="80"/>
  <c r="A7384" i="80"/>
  <c r="A7383" i="80"/>
  <c r="A7382" i="80"/>
  <c r="A7380" i="80"/>
  <c r="A7379" i="80"/>
  <c r="A7378" i="80"/>
  <c r="A7377" i="80"/>
  <c r="A7376" i="80"/>
  <c r="A7374" i="80"/>
  <c r="A7373" i="80"/>
  <c r="A7372" i="80"/>
  <c r="A7371" i="80"/>
  <c r="A7370" i="80"/>
  <c r="A7368" i="80"/>
  <c r="A7367" i="80"/>
  <c r="A7366" i="80"/>
  <c r="A7365" i="80"/>
  <c r="A7364" i="80"/>
  <c r="A7362" i="80"/>
  <c r="A7361" i="80"/>
  <c r="A7360" i="80"/>
  <c r="A7359" i="80"/>
  <c r="A7358" i="80"/>
  <c r="A7356" i="80"/>
  <c r="A7355" i="80"/>
  <c r="A7354" i="80"/>
  <c r="A7353" i="80"/>
  <c r="A7352" i="80"/>
  <c r="A7351" i="80"/>
  <c r="E15" i="26"/>
  <c r="H15" i="26"/>
  <c r="H7351" i="79"/>
  <c r="A7350" i="80"/>
  <c r="A7349" i="80"/>
  <c r="A7348" i="80"/>
  <c r="A7347" i="80"/>
  <c r="A7346" i="80"/>
  <c r="G15" i="26"/>
  <c r="H7346" i="79"/>
  <c r="A7345" i="80"/>
  <c r="A7344" i="80"/>
  <c r="A7343" i="80"/>
  <c r="A7342" i="80"/>
  <c r="A7341" i="80"/>
  <c r="H7341" i="79"/>
  <c r="A7340" i="80"/>
  <c r="A7339" i="80"/>
  <c r="A7338" i="80"/>
  <c r="A7337" i="80"/>
  <c r="A7336" i="80"/>
  <c r="H7336" i="79"/>
  <c r="A7335" i="80"/>
  <c r="A7334" i="80"/>
  <c r="A7333" i="80"/>
  <c r="A7332" i="80"/>
  <c r="A7331" i="80"/>
  <c r="H7331" i="79"/>
  <c r="A7330" i="80"/>
  <c r="A7329" i="80"/>
  <c r="A7328" i="80"/>
  <c r="A7327" i="80"/>
  <c r="A7326" i="80"/>
  <c r="H7326" i="79"/>
  <c r="A7325" i="80"/>
  <c r="A7324" i="80"/>
  <c r="A7323" i="80"/>
  <c r="A7322" i="80"/>
  <c r="A7321" i="80"/>
  <c r="H7321" i="79"/>
  <c r="A7320" i="80"/>
  <c r="A7319" i="80"/>
  <c r="A7318" i="80"/>
  <c r="A7317" i="80"/>
  <c r="A7316" i="80"/>
  <c r="H7316" i="79"/>
  <c r="A7315" i="80"/>
  <c r="A7314" i="80"/>
  <c r="A7313" i="80"/>
  <c r="A7312" i="80"/>
  <c r="A7311" i="80"/>
  <c r="A7309" i="80"/>
  <c r="A7308" i="80"/>
  <c r="A7307" i="80"/>
  <c r="A7306" i="80"/>
  <c r="A7304" i="80"/>
  <c r="A7303" i="80"/>
  <c r="A7302" i="80"/>
  <c r="A7301" i="80"/>
  <c r="A7299" i="80"/>
  <c r="A7298" i="80"/>
  <c r="A7297" i="80"/>
  <c r="A7296" i="80"/>
  <c r="A7294" i="80"/>
  <c r="A7293" i="80"/>
  <c r="A7292" i="80"/>
  <c r="A7291" i="80"/>
  <c r="A7289" i="80"/>
  <c r="A7288" i="80"/>
  <c r="A7287" i="80"/>
  <c r="A7286" i="80"/>
  <c r="A7284" i="80"/>
  <c r="A7283" i="80"/>
  <c r="A7282" i="80"/>
  <c r="A7281" i="80"/>
  <c r="A7279" i="80"/>
  <c r="A7278" i="80"/>
  <c r="A7277" i="80"/>
  <c r="A7276" i="80"/>
  <c r="A7274" i="80"/>
  <c r="A7273" i="80"/>
  <c r="A7272" i="80"/>
  <c r="A7271" i="80"/>
  <c r="A7269" i="80"/>
  <c r="A7268" i="80"/>
  <c r="A7267" i="80"/>
  <c r="A7266" i="80"/>
  <c r="A7264" i="80"/>
  <c r="A7263" i="80"/>
  <c r="A7262" i="80"/>
  <c r="A7261" i="80"/>
  <c r="A7259" i="80"/>
  <c r="A7258" i="80"/>
  <c r="A7257" i="80"/>
  <c r="A7256" i="80"/>
  <c r="A7254" i="80"/>
  <c r="A7253" i="80"/>
  <c r="A7252" i="80"/>
  <c r="A7251" i="80"/>
  <c r="A7249" i="80"/>
  <c r="A7248" i="80"/>
  <c r="A7247" i="80"/>
  <c r="A7246" i="80"/>
  <c r="A7244" i="80"/>
  <c r="A7243" i="80"/>
  <c r="A7242" i="80"/>
  <c r="A7241" i="80"/>
  <c r="A7239" i="80"/>
  <c r="A7238" i="80"/>
  <c r="A7237" i="80"/>
  <c r="A7236" i="80"/>
  <c r="A7234" i="80"/>
  <c r="A7233" i="80"/>
  <c r="A7232" i="80"/>
  <c r="A7231" i="80"/>
  <c r="A7229" i="80"/>
  <c r="A7228" i="80"/>
  <c r="A7227" i="80"/>
  <c r="A7226" i="80"/>
  <c r="A7224" i="80"/>
  <c r="A7223" i="80"/>
  <c r="A7222" i="80"/>
  <c r="A7221" i="80"/>
  <c r="A7219" i="80"/>
  <c r="A7218" i="80"/>
  <c r="A7217" i="80"/>
  <c r="A7216" i="80"/>
  <c r="A7214" i="80"/>
  <c r="A7213" i="80"/>
  <c r="A7212" i="80"/>
  <c r="A7211" i="80"/>
  <c r="A7209" i="80"/>
  <c r="A7208" i="80"/>
  <c r="A7207" i="80"/>
  <c r="A7206" i="80"/>
  <c r="A7204" i="80"/>
  <c r="A7203" i="80"/>
  <c r="A7202" i="80"/>
  <c r="A7201" i="80"/>
  <c r="A7199" i="80"/>
  <c r="A7198" i="80"/>
  <c r="A7197" i="80"/>
  <c r="A7196" i="80"/>
  <c r="A7194" i="80"/>
  <c r="A7193" i="80"/>
  <c r="A7192" i="80"/>
  <c r="A7191" i="80"/>
  <c r="A7189" i="80"/>
  <c r="A7188" i="80"/>
  <c r="A7187" i="80"/>
  <c r="A7186" i="80"/>
  <c r="A7184" i="80"/>
  <c r="A7183" i="80"/>
  <c r="A7182" i="80"/>
  <c r="A7181" i="80"/>
  <c r="A7179" i="80"/>
  <c r="A7178" i="80"/>
  <c r="A7177" i="80"/>
  <c r="A7176" i="80"/>
  <c r="A7174" i="80"/>
  <c r="A7173" i="80"/>
  <c r="A7172" i="80"/>
  <c r="A7171" i="80"/>
  <c r="A7169" i="80"/>
  <c r="A7168" i="80"/>
  <c r="A7167" i="80"/>
  <c r="A7166" i="80"/>
  <c r="A7164" i="80"/>
  <c r="A7163" i="80"/>
  <c r="A7162" i="80"/>
  <c r="A7161" i="80"/>
  <c r="A7159" i="80"/>
  <c r="A7158" i="80"/>
  <c r="A7157" i="80"/>
  <c r="A7156" i="80"/>
  <c r="A7154" i="80"/>
  <c r="A7153" i="80"/>
  <c r="A7152" i="80"/>
  <c r="A7151" i="80"/>
  <c r="A7149" i="80"/>
  <c r="A7148" i="80"/>
  <c r="A7147" i="80"/>
  <c r="A7146" i="80"/>
  <c r="A7144" i="80"/>
  <c r="A7143" i="80"/>
  <c r="A7142" i="80"/>
  <c r="A7141" i="80"/>
  <c r="A7139" i="80"/>
  <c r="A7138" i="80"/>
  <c r="A7137" i="80"/>
  <c r="A7136" i="80"/>
  <c r="A7134" i="80"/>
  <c r="A7133" i="80"/>
  <c r="A7132" i="80"/>
  <c r="A7131" i="80"/>
  <c r="A7129" i="80"/>
  <c r="A7128" i="80"/>
  <c r="A7127" i="80"/>
  <c r="A7126" i="80"/>
  <c r="A7124" i="80"/>
  <c r="A7123" i="80"/>
  <c r="A7122" i="80"/>
  <c r="A7121" i="80"/>
  <c r="A7119" i="80"/>
  <c r="A7118" i="80"/>
  <c r="A7117" i="80"/>
  <c r="A7116" i="80"/>
  <c r="A7114" i="80"/>
  <c r="A7113" i="80"/>
  <c r="A7112" i="80"/>
  <c r="A7111" i="80"/>
  <c r="A7110" i="80"/>
  <c r="A7109" i="80"/>
  <c r="A7108" i="80"/>
  <c r="A7107" i="80"/>
  <c r="A7105" i="80"/>
  <c r="A7104" i="80"/>
  <c r="A7103" i="80"/>
  <c r="A7102" i="80"/>
  <c r="A7101" i="80"/>
  <c r="A7100" i="80"/>
  <c r="A7099" i="80"/>
  <c r="A7097" i="80"/>
  <c r="A7096" i="80"/>
  <c r="A7095" i="80"/>
  <c r="A7094" i="80"/>
  <c r="A7093" i="80"/>
  <c r="A7091" i="80"/>
  <c r="A7090" i="80"/>
  <c r="A7089" i="80"/>
  <c r="A7088" i="80"/>
  <c r="A7087" i="80"/>
  <c r="A7085" i="80"/>
  <c r="A7084" i="80"/>
  <c r="A7083" i="80"/>
  <c r="A7082" i="80"/>
  <c r="A7081" i="80"/>
  <c r="A7079" i="80"/>
  <c r="A7078" i="80"/>
  <c r="A7077" i="80"/>
  <c r="A7076" i="80"/>
  <c r="A7075" i="80"/>
  <c r="A7073" i="80"/>
  <c r="A7072" i="80"/>
  <c r="A7071" i="80"/>
  <c r="A7070" i="80"/>
  <c r="A7069" i="80"/>
  <c r="A7067" i="80"/>
  <c r="A7066" i="80"/>
  <c r="A7065" i="80"/>
  <c r="A7064" i="80"/>
  <c r="A7063" i="80"/>
  <c r="A7061" i="80"/>
  <c r="A7060" i="80"/>
  <c r="A7059" i="80"/>
  <c r="A7058" i="80"/>
  <c r="A7057" i="80"/>
  <c r="A7055" i="80"/>
  <c r="A7054" i="80"/>
  <c r="A7053" i="80"/>
  <c r="A7052" i="80"/>
  <c r="A7051" i="80"/>
  <c r="A7049" i="80"/>
  <c r="A7048" i="80"/>
  <c r="A7047" i="80"/>
  <c r="A7046" i="80"/>
  <c r="A7045" i="80"/>
  <c r="A7043" i="80"/>
  <c r="A7042" i="80"/>
  <c r="A7041" i="80"/>
  <c r="A7040" i="80"/>
  <c r="A7039" i="80"/>
  <c r="H7039" i="79"/>
  <c r="A7038" i="80"/>
  <c r="A7037" i="80"/>
  <c r="A7036" i="80"/>
  <c r="A7035" i="80"/>
  <c r="A7034" i="80"/>
  <c r="A7033" i="80"/>
  <c r="H7033" i="79"/>
  <c r="A7032" i="80"/>
  <c r="A7031" i="80"/>
  <c r="A7030" i="80"/>
  <c r="A7029" i="80"/>
  <c r="A7028" i="80"/>
  <c r="A7027" i="80"/>
  <c r="A7025" i="80"/>
  <c r="A7024" i="80"/>
  <c r="A7023" i="80"/>
  <c r="A7022" i="80"/>
  <c r="A7021" i="80"/>
  <c r="A7019" i="80"/>
  <c r="A7018" i="80"/>
  <c r="A7017" i="80"/>
  <c r="A7016" i="80"/>
  <c r="A7015" i="80"/>
  <c r="A7013" i="80"/>
  <c r="A7012" i="80"/>
  <c r="A7011" i="80"/>
  <c r="A7010" i="80"/>
  <c r="A7009" i="80"/>
  <c r="A7007" i="80"/>
  <c r="A7006" i="80"/>
  <c r="A7005" i="80"/>
  <c r="A7004" i="80"/>
  <c r="A7003" i="80"/>
  <c r="A7001" i="80"/>
  <c r="A7000" i="80"/>
  <c r="A6999" i="80"/>
  <c r="A6998" i="80"/>
  <c r="A6997" i="80"/>
  <c r="A6995" i="80"/>
  <c r="A6994" i="80"/>
  <c r="A6993" i="80"/>
  <c r="A6992" i="80"/>
  <c r="A6991" i="80"/>
  <c r="A6989" i="80"/>
  <c r="A6988" i="80"/>
  <c r="A6987" i="80"/>
  <c r="A6986" i="80"/>
  <c r="A6985" i="80"/>
  <c r="A6983" i="80"/>
  <c r="A6982" i="80"/>
  <c r="A6981" i="80"/>
  <c r="A6980" i="80"/>
  <c r="A6979" i="80"/>
  <c r="A6977" i="80"/>
  <c r="A6976" i="80"/>
  <c r="A6975" i="80"/>
  <c r="A6974" i="80"/>
  <c r="A6973" i="80"/>
  <c r="A6971" i="80"/>
  <c r="A6970" i="80"/>
  <c r="A6969" i="80"/>
  <c r="A6968" i="80"/>
  <c r="A6967" i="80"/>
  <c r="A6965" i="80"/>
  <c r="A6964" i="80"/>
  <c r="A6963" i="80"/>
  <c r="A6962" i="80"/>
  <c r="A6961" i="80"/>
  <c r="A6959" i="80"/>
  <c r="A6958" i="80"/>
  <c r="A6957" i="80"/>
  <c r="A6956" i="80"/>
  <c r="A6955" i="80"/>
  <c r="A6953" i="80"/>
  <c r="A6952" i="80"/>
  <c r="A6951" i="80"/>
  <c r="A6950" i="80"/>
  <c r="A6949" i="80"/>
  <c r="H6949" i="79"/>
  <c r="A6948" i="80"/>
  <c r="A6947" i="80"/>
  <c r="A6946" i="80"/>
  <c r="A6945" i="80"/>
  <c r="A6944" i="80"/>
  <c r="A6943" i="80"/>
  <c r="A6941" i="80"/>
  <c r="A6940" i="80"/>
  <c r="A6939" i="80"/>
  <c r="A6938" i="80"/>
  <c r="A6937" i="80"/>
  <c r="A6935" i="80"/>
  <c r="A6934" i="80"/>
  <c r="A6933" i="80"/>
  <c r="A6932" i="80"/>
  <c r="A6931" i="80"/>
  <c r="A6929" i="80"/>
  <c r="A6928" i="80"/>
  <c r="A6927" i="80"/>
  <c r="A6926" i="80"/>
  <c r="A6925" i="80"/>
  <c r="H6925" i="79"/>
  <c r="A6924" i="80"/>
  <c r="A6923" i="80"/>
  <c r="A6922" i="80"/>
  <c r="A6921" i="80"/>
  <c r="A6920" i="80"/>
  <c r="A6919" i="80"/>
  <c r="A6917" i="80"/>
  <c r="A6916" i="80"/>
  <c r="A6915" i="80"/>
  <c r="A6914" i="80"/>
  <c r="A6913" i="80"/>
  <c r="A6911" i="80"/>
  <c r="A6910" i="80"/>
  <c r="A6909" i="80"/>
  <c r="A6908" i="80"/>
  <c r="A6907" i="80"/>
  <c r="A6905" i="80"/>
  <c r="A6904" i="80"/>
  <c r="A6903" i="80"/>
  <c r="A6902" i="80"/>
  <c r="A6901" i="80"/>
  <c r="A6899" i="80"/>
  <c r="A6898" i="80"/>
  <c r="A6897" i="80"/>
  <c r="A6896" i="80"/>
  <c r="A6895" i="80"/>
  <c r="H6895" i="79"/>
  <c r="A6894" i="80"/>
  <c r="A6893" i="80"/>
  <c r="A6892" i="80"/>
  <c r="A6891" i="80"/>
  <c r="A6890" i="80"/>
  <c r="A6889" i="80"/>
  <c r="A6887" i="80"/>
  <c r="A6886" i="80"/>
  <c r="A6885" i="80"/>
  <c r="A6884" i="80"/>
  <c r="A6883" i="80"/>
  <c r="A6881" i="80"/>
  <c r="A6880" i="80"/>
  <c r="A6879" i="80"/>
  <c r="A6878" i="80"/>
  <c r="A6877" i="80"/>
  <c r="A6875" i="80"/>
  <c r="A6874" i="80"/>
  <c r="A6873" i="80"/>
  <c r="A6872" i="80"/>
  <c r="A6871" i="80"/>
  <c r="H6871" i="79"/>
  <c r="A6870" i="80"/>
  <c r="A6869" i="80"/>
  <c r="A6868" i="80"/>
  <c r="A6867" i="80"/>
  <c r="A6866" i="80"/>
  <c r="A6865" i="80"/>
  <c r="A6863" i="80"/>
  <c r="A6862" i="80"/>
  <c r="A6861" i="80"/>
  <c r="A6860" i="80"/>
  <c r="A6859" i="80"/>
  <c r="A6857" i="80"/>
  <c r="A6856" i="80"/>
  <c r="A6855" i="80"/>
  <c r="A6854" i="80"/>
  <c r="A6853" i="80"/>
  <c r="A6851" i="80"/>
  <c r="A6850" i="80"/>
  <c r="A6849" i="80"/>
  <c r="A6848" i="80"/>
  <c r="A6847" i="80"/>
  <c r="A6845" i="80"/>
  <c r="A6844" i="80"/>
  <c r="A6843" i="80"/>
  <c r="A6842" i="80"/>
  <c r="A6841" i="80"/>
  <c r="A6839" i="80"/>
  <c r="A6838" i="80"/>
  <c r="A6837" i="80"/>
  <c r="A6836" i="80"/>
  <c r="A6835" i="80"/>
  <c r="A6833" i="80"/>
  <c r="A6832" i="80"/>
  <c r="A6831" i="80"/>
  <c r="A6830" i="80"/>
  <c r="A6829" i="80"/>
  <c r="A6827" i="80"/>
  <c r="A6826" i="80"/>
  <c r="A6825" i="80"/>
  <c r="A6824" i="80"/>
  <c r="A6823" i="80"/>
  <c r="A6821" i="80"/>
  <c r="A6820" i="80"/>
  <c r="A6819" i="80"/>
  <c r="A6818" i="80"/>
  <c r="A6817" i="80"/>
  <c r="A6815" i="80"/>
  <c r="A6814" i="80"/>
  <c r="A6813" i="80"/>
  <c r="A6812" i="80"/>
  <c r="A6811" i="80"/>
  <c r="A6809" i="80"/>
  <c r="A6808" i="80"/>
  <c r="A6807" i="80"/>
  <c r="A6806" i="80"/>
  <c r="A6805" i="80"/>
  <c r="A6803" i="80"/>
  <c r="A6802" i="80"/>
  <c r="A6801" i="80"/>
  <c r="A6800" i="80"/>
  <c r="A6799" i="80"/>
  <c r="A6797" i="80"/>
  <c r="A6796" i="80"/>
  <c r="A6795" i="80"/>
  <c r="A6794" i="80"/>
  <c r="A6793" i="80"/>
  <c r="A6791" i="80"/>
  <c r="A6790" i="80"/>
  <c r="A6789" i="80"/>
  <c r="A6788" i="80"/>
  <c r="A6787" i="80"/>
  <c r="H6787" i="79"/>
  <c r="A6786" i="80"/>
  <c r="A6785" i="80"/>
  <c r="A6784" i="80"/>
  <c r="A6783" i="80"/>
  <c r="A6782" i="80"/>
  <c r="A6781" i="80"/>
  <c r="A6779" i="80"/>
  <c r="A6778" i="80"/>
  <c r="A6777" i="80"/>
  <c r="A6776" i="80"/>
  <c r="A6775" i="80"/>
  <c r="A6773" i="80"/>
  <c r="A6772" i="80"/>
  <c r="A6771" i="80"/>
  <c r="A6770" i="80"/>
  <c r="A6769" i="80"/>
  <c r="A6767" i="80"/>
  <c r="A6766" i="80"/>
  <c r="A6765" i="80"/>
  <c r="A6764" i="80"/>
  <c r="A6763" i="80"/>
  <c r="H6763" i="79"/>
  <c r="A6762" i="80"/>
  <c r="A6761" i="80"/>
  <c r="A6760" i="80"/>
  <c r="A6759" i="80"/>
  <c r="A6758" i="80"/>
  <c r="A6757" i="80"/>
  <c r="A6755" i="80"/>
  <c r="A6754" i="80"/>
  <c r="A6753" i="80"/>
  <c r="A6752" i="80"/>
  <c r="A6751" i="80"/>
  <c r="A6749" i="80"/>
  <c r="A6748" i="80"/>
  <c r="A6747" i="80"/>
  <c r="A6746" i="80"/>
  <c r="A6745" i="80"/>
  <c r="A6743" i="80"/>
  <c r="A6742" i="80"/>
  <c r="A6741" i="80"/>
  <c r="A6740" i="80"/>
  <c r="A6739" i="80"/>
  <c r="A6737" i="80"/>
  <c r="A6736" i="80"/>
  <c r="A6735" i="80"/>
  <c r="A6734" i="80"/>
  <c r="A6733" i="80"/>
  <c r="H6733" i="79"/>
  <c r="A6732" i="80"/>
  <c r="A6731" i="80"/>
  <c r="A6730" i="80"/>
  <c r="A6729" i="80"/>
  <c r="A6728" i="80"/>
  <c r="A6727" i="80"/>
  <c r="A6725" i="80"/>
  <c r="A6724" i="80"/>
  <c r="A6723" i="80"/>
  <c r="A6722" i="80"/>
  <c r="A6721" i="80"/>
  <c r="A6719" i="80"/>
  <c r="A6718" i="80"/>
  <c r="A6717" i="80"/>
  <c r="A6716" i="80"/>
  <c r="A6715" i="80"/>
  <c r="A6713" i="80"/>
  <c r="A6712" i="80"/>
  <c r="A6711" i="80"/>
  <c r="A6710" i="80"/>
  <c r="A6709" i="80"/>
  <c r="A6707" i="80"/>
  <c r="A6706" i="80"/>
  <c r="A6705" i="80"/>
  <c r="A6704" i="80"/>
  <c r="A6703" i="80"/>
  <c r="A6701" i="80"/>
  <c r="A6700" i="80"/>
  <c r="A6699" i="80"/>
  <c r="A6698" i="80"/>
  <c r="A6697" i="80"/>
  <c r="A6695" i="80"/>
  <c r="A6694" i="80"/>
  <c r="A6693" i="80"/>
  <c r="A6692" i="80"/>
  <c r="A6691" i="80"/>
  <c r="A6689" i="80"/>
  <c r="A6688" i="80"/>
  <c r="A6687" i="80"/>
  <c r="A6686" i="80"/>
  <c r="A6685" i="80"/>
  <c r="A6683" i="80"/>
  <c r="A6682" i="80"/>
  <c r="A6681" i="80"/>
  <c r="A6680" i="80"/>
  <c r="A6679" i="80"/>
  <c r="A6677" i="80"/>
  <c r="A6676" i="80"/>
  <c r="A6675" i="80"/>
  <c r="A6674" i="80"/>
  <c r="A6673" i="80"/>
  <c r="A6671" i="80"/>
  <c r="A6670" i="80"/>
  <c r="A6669" i="80"/>
  <c r="A6668" i="80"/>
  <c r="A6667" i="80"/>
  <c r="A6666" i="80"/>
  <c r="A6665" i="80"/>
  <c r="A6664" i="80"/>
  <c r="A6663" i="80"/>
  <c r="A6662" i="80"/>
  <c r="A6661" i="80"/>
  <c r="A6660" i="80"/>
  <c r="A6658" i="80"/>
  <c r="A6657" i="80"/>
  <c r="A6656" i="80"/>
  <c r="A6655" i="80"/>
  <c r="A6654" i="80"/>
  <c r="A6652" i="80"/>
  <c r="A6651" i="80"/>
  <c r="A6650" i="80"/>
  <c r="A6649" i="80"/>
  <c r="A6648" i="80"/>
  <c r="A6646" i="80"/>
  <c r="A6645" i="80"/>
  <c r="A6644" i="80"/>
  <c r="A6643" i="80"/>
  <c r="A6642" i="80"/>
  <c r="A6640" i="80"/>
  <c r="A6639" i="80"/>
  <c r="A6638" i="80"/>
  <c r="A6637" i="80"/>
  <c r="A6636" i="80"/>
  <c r="A6634" i="80"/>
  <c r="A6633" i="80"/>
  <c r="A6632" i="80"/>
  <c r="A6631" i="80"/>
  <c r="A6630" i="80"/>
  <c r="A6628" i="80"/>
  <c r="A6627" i="80"/>
  <c r="A6626" i="80"/>
  <c r="A6625" i="80"/>
  <c r="A6624" i="80"/>
  <c r="A6622" i="80"/>
  <c r="A6621" i="80"/>
  <c r="A6620" i="80"/>
  <c r="A6619" i="80"/>
  <c r="A6618" i="80"/>
  <c r="A6616" i="80"/>
  <c r="A6615" i="80"/>
  <c r="A6614" i="80"/>
  <c r="A6613" i="80"/>
  <c r="A6612" i="80"/>
  <c r="A6610" i="80"/>
  <c r="A6609" i="80"/>
  <c r="A6608" i="80"/>
  <c r="A6607" i="80"/>
  <c r="A6606" i="80"/>
  <c r="A6604" i="80"/>
  <c r="A6603" i="80"/>
  <c r="A6602" i="80"/>
  <c r="A6601" i="80"/>
  <c r="A6600" i="80"/>
  <c r="A6598" i="80"/>
  <c r="A6597" i="80"/>
  <c r="A6596" i="80"/>
  <c r="A6595" i="80"/>
  <c r="A6594" i="80"/>
  <c r="A6592" i="80"/>
  <c r="A6591" i="80"/>
  <c r="A6590" i="80"/>
  <c r="A6589" i="80"/>
  <c r="A6588" i="80"/>
  <c r="A6586" i="80"/>
  <c r="A6585" i="80"/>
  <c r="A6584" i="80"/>
  <c r="A6583" i="80"/>
  <c r="A6582" i="80"/>
  <c r="A6580" i="80"/>
  <c r="A6579" i="80"/>
  <c r="A6578" i="80"/>
  <c r="A6577" i="80"/>
  <c r="A6576" i="80"/>
  <c r="A6574" i="80"/>
  <c r="A6573" i="80"/>
  <c r="A6572" i="80"/>
  <c r="A6571" i="80"/>
  <c r="A6570" i="80"/>
  <c r="A6568" i="80"/>
  <c r="A6567" i="80"/>
  <c r="A6566" i="80"/>
  <c r="A6565" i="80"/>
  <c r="A6564" i="80"/>
  <c r="A6562" i="80"/>
  <c r="A6561" i="80"/>
  <c r="A6560" i="80"/>
  <c r="A6559" i="80"/>
  <c r="A6558" i="80"/>
  <c r="A6556" i="80"/>
  <c r="A6555" i="80"/>
  <c r="A6554" i="80"/>
  <c r="A6553" i="80"/>
  <c r="A6552" i="80"/>
  <c r="A6550" i="80"/>
  <c r="A6549" i="80"/>
  <c r="A6548" i="80"/>
  <c r="A6547" i="80"/>
  <c r="A6546" i="80"/>
  <c r="A6544" i="80"/>
  <c r="A6543" i="80"/>
  <c r="A6542" i="80"/>
  <c r="A6541" i="80"/>
  <c r="A6540" i="80"/>
  <c r="A6538" i="80"/>
  <c r="A6537" i="80"/>
  <c r="A6536" i="80"/>
  <c r="A6535" i="80"/>
  <c r="A6534" i="80"/>
  <c r="A6532" i="80"/>
  <c r="A6531" i="80"/>
  <c r="A6530" i="80"/>
  <c r="A6529" i="80"/>
  <c r="A6528" i="80"/>
  <c r="A6526" i="80"/>
  <c r="A6525" i="80"/>
  <c r="A6524" i="80"/>
  <c r="A6523" i="80"/>
  <c r="A6522" i="80"/>
  <c r="A6520" i="80"/>
  <c r="A6519" i="80"/>
  <c r="A6518" i="80"/>
  <c r="A6517" i="80"/>
  <c r="A6516" i="80"/>
  <c r="A6514" i="80"/>
  <c r="A6513" i="80"/>
  <c r="A6512" i="80"/>
  <c r="A6511" i="80"/>
  <c r="A6510" i="80"/>
  <c r="A6508" i="80"/>
  <c r="A6507" i="80"/>
  <c r="A6506" i="80"/>
  <c r="A6505" i="80"/>
  <c r="A6504" i="80"/>
  <c r="A6502" i="80"/>
  <c r="A6501" i="80"/>
  <c r="A6500" i="80"/>
  <c r="A6499" i="80"/>
  <c r="A6498" i="80"/>
  <c r="A6496" i="80"/>
  <c r="A6495" i="80"/>
  <c r="A6494" i="80"/>
  <c r="A6493" i="80"/>
  <c r="A6492" i="80"/>
  <c r="A6490" i="80"/>
  <c r="A6489" i="80"/>
  <c r="A6488" i="80"/>
  <c r="A6487" i="80"/>
  <c r="A6486" i="80"/>
  <c r="A6484" i="80"/>
  <c r="A6483" i="80"/>
  <c r="A6482" i="80"/>
  <c r="A6481" i="80"/>
  <c r="A6480" i="80"/>
  <c r="A6478" i="80"/>
  <c r="A6477" i="80"/>
  <c r="A6476" i="80"/>
  <c r="A6475" i="80"/>
  <c r="A6474" i="80"/>
  <c r="A6472" i="80"/>
  <c r="A6471" i="80"/>
  <c r="A6470" i="80"/>
  <c r="A6469" i="80"/>
  <c r="A6468" i="80"/>
  <c r="A6466" i="80"/>
  <c r="A6465" i="80"/>
  <c r="A6464" i="80"/>
  <c r="A6463" i="80"/>
  <c r="A6462" i="80"/>
  <c r="A6460" i="80"/>
  <c r="A6459" i="80"/>
  <c r="A6458" i="80"/>
  <c r="A6457" i="80"/>
  <c r="A6456" i="80"/>
  <c r="A6454" i="80"/>
  <c r="A6453" i="80"/>
  <c r="A6452" i="80"/>
  <c r="A6451" i="80"/>
  <c r="A6450" i="80"/>
  <c r="A6448" i="80"/>
  <c r="A6447" i="80"/>
  <c r="A6446" i="80"/>
  <c r="A6445" i="80"/>
  <c r="A6444" i="80"/>
  <c r="A6442" i="80"/>
  <c r="A6441" i="80"/>
  <c r="A6440" i="80"/>
  <c r="A6439" i="80"/>
  <c r="A6438" i="80"/>
  <c r="A6436" i="80"/>
  <c r="A6435" i="80"/>
  <c r="A6434" i="80"/>
  <c r="A6433" i="80"/>
  <c r="A6432" i="80"/>
  <c r="A6430" i="80"/>
  <c r="A6429" i="80"/>
  <c r="A6428" i="80"/>
  <c r="A6427" i="80"/>
  <c r="A6426" i="80"/>
  <c r="A6424" i="80"/>
  <c r="A6423" i="80"/>
  <c r="A6422" i="80"/>
  <c r="A6421" i="80"/>
  <c r="A6420" i="80"/>
  <c r="A6418" i="80"/>
  <c r="A6417" i="80"/>
  <c r="A6416" i="80"/>
  <c r="A6415" i="80"/>
  <c r="A6414" i="80"/>
  <c r="A6412" i="80"/>
  <c r="A6411" i="80"/>
  <c r="A6410" i="80"/>
  <c r="A6409" i="80"/>
  <c r="A6408" i="80"/>
  <c r="A6406" i="80"/>
  <c r="A6405" i="80"/>
  <c r="A6404" i="80"/>
  <c r="A6403" i="80"/>
  <c r="A6402" i="80"/>
  <c r="A6400" i="80"/>
  <c r="A6399" i="80"/>
  <c r="A6398" i="80"/>
  <c r="A6397" i="80"/>
  <c r="A6396" i="80"/>
  <c r="A6394" i="80"/>
  <c r="A6393" i="80"/>
  <c r="A6392" i="80"/>
  <c r="A6391" i="80"/>
  <c r="A6390" i="80"/>
  <c r="A6388" i="80"/>
  <c r="A6387" i="80"/>
  <c r="A6386" i="80"/>
  <c r="A6385" i="80"/>
  <c r="A6384" i="80"/>
  <c r="A6382" i="80"/>
  <c r="A6381" i="80"/>
  <c r="A6380" i="80"/>
  <c r="A6379" i="80"/>
  <c r="A6378" i="80"/>
  <c r="A6376" i="80"/>
  <c r="A6375" i="80"/>
  <c r="A6374" i="80"/>
  <c r="A6373" i="80"/>
  <c r="A6372" i="80"/>
  <c r="A6370" i="80"/>
  <c r="A6369" i="80"/>
  <c r="A6368" i="80"/>
  <c r="A6367" i="80"/>
  <c r="A6366" i="80"/>
  <c r="A6364" i="80"/>
  <c r="A6363" i="80"/>
  <c r="A6362" i="80"/>
  <c r="A6361" i="80"/>
  <c r="A6360" i="80"/>
  <c r="A6358" i="80"/>
  <c r="A6357" i="80"/>
  <c r="A6356" i="80"/>
  <c r="A6355" i="80"/>
  <c r="A6354" i="80"/>
  <c r="A6352" i="80"/>
  <c r="A6351" i="80"/>
  <c r="A6350" i="80"/>
  <c r="A6349" i="80"/>
  <c r="A6348" i="80"/>
  <c r="A6347" i="80"/>
  <c r="E14" i="47"/>
  <c r="H6347" i="79"/>
  <c r="A6346" i="80"/>
  <c r="A6345" i="80"/>
  <c r="A6344" i="80"/>
  <c r="A6343" i="80"/>
  <c r="A6342" i="80"/>
  <c r="H6342" i="79"/>
  <c r="A6341" i="80"/>
  <c r="A6340" i="80"/>
  <c r="A6339" i="80"/>
  <c r="A6338" i="80"/>
  <c r="A6337" i="80"/>
  <c r="H6337" i="79"/>
  <c r="A6336" i="80"/>
  <c r="A6335" i="80"/>
  <c r="A6334" i="80"/>
  <c r="A6333" i="80"/>
  <c r="A6332" i="80"/>
  <c r="H6332" i="79"/>
  <c r="A6331" i="80"/>
  <c r="A6330" i="80"/>
  <c r="A6329" i="80"/>
  <c r="A6328" i="80"/>
  <c r="A6326" i="80"/>
  <c r="A6325" i="80"/>
  <c r="A6324" i="80"/>
  <c r="A6323" i="80"/>
  <c r="A6322" i="80"/>
  <c r="A6320" i="80"/>
  <c r="A6319" i="80"/>
  <c r="A6318" i="80"/>
  <c r="A6317" i="80"/>
  <c r="A6316" i="80"/>
  <c r="A6314" i="80"/>
  <c r="A6313" i="80"/>
  <c r="A6312" i="80"/>
  <c r="A6311" i="80"/>
  <c r="A6310" i="80"/>
  <c r="A6308" i="80"/>
  <c r="A6307" i="80"/>
  <c r="A6306" i="80"/>
  <c r="A6305" i="80"/>
  <c r="A6304" i="80"/>
  <c r="A6302" i="80"/>
  <c r="A6301" i="80"/>
  <c r="A6300" i="80"/>
  <c r="A6299" i="80"/>
  <c r="A6298" i="80"/>
  <c r="A6296" i="80"/>
  <c r="A6295" i="80"/>
  <c r="A6294" i="80"/>
  <c r="A6293" i="80"/>
  <c r="A6292" i="80"/>
  <c r="A6290" i="80"/>
  <c r="A6289" i="80"/>
  <c r="A6288" i="80"/>
  <c r="A6287" i="80"/>
  <c r="A6286" i="80"/>
  <c r="A6284" i="80"/>
  <c r="A6283" i="80"/>
  <c r="A6282" i="80"/>
  <c r="A6281" i="80"/>
  <c r="A6280" i="80"/>
  <c r="A6278" i="80"/>
  <c r="A6277" i="80"/>
  <c r="A6276" i="80"/>
  <c r="A6275" i="80"/>
  <c r="A6274" i="80"/>
  <c r="A6272" i="80"/>
  <c r="A6271" i="80"/>
  <c r="A6270" i="80"/>
  <c r="A6269" i="80"/>
  <c r="A6268" i="80"/>
  <c r="A6266" i="80"/>
  <c r="A6265" i="80"/>
  <c r="A6264" i="80"/>
  <c r="A6263" i="80"/>
  <c r="A6262" i="80"/>
  <c r="A6260" i="80"/>
  <c r="A6259" i="80"/>
  <c r="A6258" i="80"/>
  <c r="A6257" i="80"/>
  <c r="A6256" i="80"/>
  <c r="A6254" i="80"/>
  <c r="A6253" i="80"/>
  <c r="A6252" i="80"/>
  <c r="A6251" i="80"/>
  <c r="A6250" i="80"/>
  <c r="A6248" i="80"/>
  <c r="A6247" i="80"/>
  <c r="A6246" i="80"/>
  <c r="A6245" i="80"/>
  <c r="A6244" i="80"/>
  <c r="A6242" i="80"/>
  <c r="A6241" i="80"/>
  <c r="A6240" i="80"/>
  <c r="A6239" i="80"/>
  <c r="A6238" i="80"/>
  <c r="A6236" i="80"/>
  <c r="A6235" i="80"/>
  <c r="A6234" i="80"/>
  <c r="A6233" i="80"/>
  <c r="A6232" i="80"/>
  <c r="A6231" i="80"/>
  <c r="A6230" i="80"/>
  <c r="A6229" i="80"/>
  <c r="A6228" i="80"/>
  <c r="A6227" i="80"/>
  <c r="A6225" i="80"/>
  <c r="A6224" i="80"/>
  <c r="A6223" i="80"/>
  <c r="A6222" i="80"/>
  <c r="A6221" i="80"/>
  <c r="A6220" i="80"/>
  <c r="A6219" i="80"/>
  <c r="A6218" i="80"/>
  <c r="H6218" i="79"/>
  <c r="A6217" i="80"/>
  <c r="A6216" i="80"/>
  <c r="A6215" i="80"/>
  <c r="A6214" i="80"/>
  <c r="A6213" i="80"/>
  <c r="H6213" i="79"/>
  <c r="A6212" i="80"/>
  <c r="A6211" i="80"/>
  <c r="A6210" i="80"/>
  <c r="A6209" i="80"/>
  <c r="A6208" i="80"/>
  <c r="H6208" i="79"/>
  <c r="A6207" i="80"/>
  <c r="A6206" i="80"/>
  <c r="A6205" i="80"/>
  <c r="A6204" i="80"/>
  <c r="A6203" i="80"/>
  <c r="H6203" i="79"/>
  <c r="A6202" i="80"/>
  <c r="A6201" i="80"/>
  <c r="A6200" i="80"/>
  <c r="A6199" i="80"/>
  <c r="A6198" i="80"/>
  <c r="H6198" i="79"/>
  <c r="A6197" i="80"/>
  <c r="A6196" i="80"/>
  <c r="A6195" i="80"/>
  <c r="A6194" i="80"/>
  <c r="A6193" i="80"/>
  <c r="H6193" i="79"/>
  <c r="A6192" i="80"/>
  <c r="A6191" i="80"/>
  <c r="A6190" i="80"/>
  <c r="A6189" i="80"/>
  <c r="A6188" i="80"/>
  <c r="H6188" i="79"/>
  <c r="A6187" i="80"/>
  <c r="A6186" i="80"/>
  <c r="A6185" i="80"/>
  <c r="A6184" i="80"/>
  <c r="A6183" i="80"/>
  <c r="H6183" i="79"/>
  <c r="A6182" i="80"/>
  <c r="A6181" i="80"/>
  <c r="A6180" i="80"/>
  <c r="A6179" i="80"/>
  <c r="A6178" i="80"/>
  <c r="H6178" i="79"/>
  <c r="A6177" i="80"/>
  <c r="A6176" i="80"/>
  <c r="A6175" i="80"/>
  <c r="A6174" i="80"/>
  <c r="A6173" i="80"/>
  <c r="H6173" i="79"/>
  <c r="A6172" i="80"/>
  <c r="A6171" i="80"/>
  <c r="A6170" i="80"/>
  <c r="A6169" i="80"/>
  <c r="A6168" i="80"/>
  <c r="H6168" i="79"/>
  <c r="A6167" i="80"/>
  <c r="A6166" i="80"/>
  <c r="A6165" i="80"/>
  <c r="A6164" i="80"/>
  <c r="A6163" i="80"/>
  <c r="H6163" i="79"/>
  <c r="A6162" i="80"/>
  <c r="A6161" i="80"/>
  <c r="A6160" i="80"/>
  <c r="A6159" i="80"/>
  <c r="A6158" i="80"/>
  <c r="H6158" i="79"/>
  <c r="A6157" i="80"/>
  <c r="A6156" i="80"/>
  <c r="A6155" i="80"/>
  <c r="A6154" i="80"/>
  <c r="A6153" i="80"/>
  <c r="H6153" i="79"/>
  <c r="A6152" i="80"/>
  <c r="A6151" i="80"/>
  <c r="A6150" i="80"/>
  <c r="A6149" i="80"/>
  <c r="A6148" i="80"/>
  <c r="H6148" i="79"/>
  <c r="A6147" i="80"/>
  <c r="A6146" i="80"/>
  <c r="A6145" i="80"/>
  <c r="A6144" i="80"/>
  <c r="A6143" i="80"/>
  <c r="H6143" i="79"/>
  <c r="A6142" i="80"/>
  <c r="A6141" i="80"/>
  <c r="A6140" i="80"/>
  <c r="A6139" i="80"/>
  <c r="A6138" i="80"/>
  <c r="H6138" i="79"/>
  <c r="A6137" i="80"/>
  <c r="A6136" i="80"/>
  <c r="A6135" i="80"/>
  <c r="A6134" i="80"/>
  <c r="A6133" i="80"/>
  <c r="H6133" i="79"/>
  <c r="A6132" i="80"/>
  <c r="A6131" i="80"/>
  <c r="A6130" i="80"/>
  <c r="A6129" i="80"/>
  <c r="A6128" i="80"/>
  <c r="H6128" i="79"/>
  <c r="A6127" i="80"/>
  <c r="A6126" i="80"/>
  <c r="A6125" i="80"/>
  <c r="A6124" i="80"/>
  <c r="A6123" i="80"/>
  <c r="H6123" i="79"/>
  <c r="A6122" i="80"/>
  <c r="A6121" i="80"/>
  <c r="A6120" i="80"/>
  <c r="A6119" i="80"/>
  <c r="A6118" i="80"/>
  <c r="H6118" i="79"/>
  <c r="A6117" i="80"/>
  <c r="A6116" i="80"/>
  <c r="A6115" i="80"/>
  <c r="A6114" i="80"/>
  <c r="A6113" i="80"/>
  <c r="H6113" i="79"/>
  <c r="A6112" i="80"/>
  <c r="A6111" i="80"/>
  <c r="A6110" i="80"/>
  <c r="A6109" i="80"/>
  <c r="A6108" i="80"/>
  <c r="H6108" i="79"/>
  <c r="A6107" i="80"/>
  <c r="A6106" i="80"/>
  <c r="A6105" i="80"/>
  <c r="A6104" i="80"/>
  <c r="A6103" i="80"/>
  <c r="H6103" i="79"/>
  <c r="A6102" i="80"/>
  <c r="A6101" i="80"/>
  <c r="A6100" i="80"/>
  <c r="A6099" i="80"/>
  <c r="A6098" i="80"/>
  <c r="H6098" i="79"/>
  <c r="A6097" i="80"/>
  <c r="A6096" i="80"/>
  <c r="A6095" i="80"/>
  <c r="A6094" i="80"/>
  <c r="A6093" i="80"/>
  <c r="H6093" i="79"/>
  <c r="A6092" i="80"/>
  <c r="A6091" i="80"/>
  <c r="A6090" i="80"/>
  <c r="A6089" i="80"/>
  <c r="A6088" i="80"/>
  <c r="H6088" i="79"/>
  <c r="A6087" i="80"/>
  <c r="A6086" i="80"/>
  <c r="A6085" i="80"/>
  <c r="A6084" i="80"/>
  <c r="A6083" i="80"/>
  <c r="H6083" i="79"/>
  <c r="A6082" i="80"/>
  <c r="A6081" i="80"/>
  <c r="A6080" i="80"/>
  <c r="A6079" i="80"/>
  <c r="A6078" i="80"/>
  <c r="H6078" i="79"/>
  <c r="A6077" i="80"/>
  <c r="A6076" i="80"/>
  <c r="A6075" i="80"/>
  <c r="A6074" i="80"/>
  <c r="A6073" i="80"/>
  <c r="H6073" i="79"/>
  <c r="A6072" i="80"/>
  <c r="A6071" i="80"/>
  <c r="A6070" i="80"/>
  <c r="A6069" i="80"/>
  <c r="A6068" i="80"/>
  <c r="H6068" i="79"/>
  <c r="A6067" i="80"/>
  <c r="A6066" i="80"/>
  <c r="A6065" i="80"/>
  <c r="A6064" i="80"/>
  <c r="A6063" i="80"/>
  <c r="H6063" i="79"/>
  <c r="A6062" i="80"/>
  <c r="A6061" i="80"/>
  <c r="A6060" i="80"/>
  <c r="A6059" i="80"/>
  <c r="A6058" i="80"/>
  <c r="H6058" i="79"/>
  <c r="A6057" i="80"/>
  <c r="A6056" i="80"/>
  <c r="A6055" i="80"/>
  <c r="A6054" i="80"/>
  <c r="A6053" i="80"/>
  <c r="H6053" i="79"/>
  <c r="A6052" i="80"/>
  <c r="A6051" i="80"/>
  <c r="A6050" i="80"/>
  <c r="A6049" i="80"/>
  <c r="A6048" i="80"/>
  <c r="H6048" i="79"/>
  <c r="A6047" i="80"/>
  <c r="A6046" i="80"/>
  <c r="A6045" i="80"/>
  <c r="A6044" i="80"/>
  <c r="A6043" i="80"/>
  <c r="H6043" i="79"/>
  <c r="A6042" i="80"/>
  <c r="A6041" i="80"/>
  <c r="A6040" i="80"/>
  <c r="A6039" i="80"/>
  <c r="A6038" i="80"/>
  <c r="H6038" i="79"/>
  <c r="A6037" i="80"/>
  <c r="A6036" i="80"/>
  <c r="A6035" i="80"/>
  <c r="A6034" i="80"/>
  <c r="A6033" i="80"/>
  <c r="H6033" i="79"/>
  <c r="A6032" i="80"/>
  <c r="A6031" i="80"/>
  <c r="A6030" i="80"/>
  <c r="A6029" i="80"/>
  <c r="A6028" i="80"/>
  <c r="H6028" i="79"/>
  <c r="A6027" i="80"/>
  <c r="A6026" i="80"/>
  <c r="A6025" i="80"/>
  <c r="A6024" i="80"/>
  <c r="A6023" i="80"/>
  <c r="H6023" i="79"/>
  <c r="A6022" i="80"/>
  <c r="A6021" i="80"/>
  <c r="A6020" i="80"/>
  <c r="A6019" i="80"/>
  <c r="A6018" i="80"/>
  <c r="H6018" i="79"/>
  <c r="A6017" i="80"/>
  <c r="A6016" i="80"/>
  <c r="A6015" i="80"/>
  <c r="A6014" i="80"/>
  <c r="A6013" i="80"/>
  <c r="H6013" i="79"/>
  <c r="A6012" i="80"/>
  <c r="A6011" i="80"/>
  <c r="A6010" i="80"/>
  <c r="A6009" i="80"/>
  <c r="A6008" i="80"/>
  <c r="H6008" i="79"/>
  <c r="A6007" i="80"/>
  <c r="A6006" i="80"/>
  <c r="A6005" i="80"/>
  <c r="A6004" i="80"/>
  <c r="A6003" i="80"/>
  <c r="H6003" i="79"/>
  <c r="A6002" i="80"/>
  <c r="A6001" i="80"/>
  <c r="A6000" i="80"/>
  <c r="A5999" i="80"/>
  <c r="A5998" i="80"/>
  <c r="H5998" i="79"/>
  <c r="A5997" i="80"/>
  <c r="A5996" i="80"/>
  <c r="A5995" i="80"/>
  <c r="A5994" i="80"/>
  <c r="A5993" i="80"/>
  <c r="H5993" i="79"/>
  <c r="A5992" i="80"/>
  <c r="A5991" i="80"/>
  <c r="A5990" i="80"/>
  <c r="A5989" i="80"/>
  <c r="A5988" i="80"/>
  <c r="H5988" i="79"/>
  <c r="A5987" i="80"/>
  <c r="A5986" i="80"/>
  <c r="A5985" i="80"/>
  <c r="A5984" i="80"/>
  <c r="A5983" i="80"/>
  <c r="H5983" i="79"/>
  <c r="A5982" i="80"/>
  <c r="A5981" i="80"/>
  <c r="A5980" i="80"/>
  <c r="A5979" i="80"/>
  <c r="A5978" i="80"/>
  <c r="H5978" i="79"/>
  <c r="A5977" i="80"/>
  <c r="A5976" i="80"/>
  <c r="A5975" i="80"/>
  <c r="A5974" i="80"/>
  <c r="A5973" i="80"/>
  <c r="H5973" i="79"/>
  <c r="A5972" i="80"/>
  <c r="A5971" i="80"/>
  <c r="A5970" i="80"/>
  <c r="A5969" i="80"/>
  <c r="A5968" i="80"/>
  <c r="H5968" i="79"/>
  <c r="A5967" i="80"/>
  <c r="A5966" i="80"/>
  <c r="A5965" i="80"/>
  <c r="A5964" i="80"/>
  <c r="A5963" i="80"/>
  <c r="H5963" i="79"/>
  <c r="A5962" i="80"/>
  <c r="A5961" i="80"/>
  <c r="A5960" i="80"/>
  <c r="A5959" i="80"/>
  <c r="A5958" i="80"/>
  <c r="H5958" i="79"/>
  <c r="A5957" i="80"/>
  <c r="A5956" i="80"/>
  <c r="A5955" i="80"/>
  <c r="A5954" i="80"/>
  <c r="A5953" i="80"/>
  <c r="H5953" i="79"/>
  <c r="A5952" i="80"/>
  <c r="A5951" i="80"/>
  <c r="A5950" i="80"/>
  <c r="A5949" i="80"/>
  <c r="A5948" i="80"/>
  <c r="H5948" i="79"/>
  <c r="A5947" i="80"/>
  <c r="A5946" i="80"/>
  <c r="A5945" i="80"/>
  <c r="A5944" i="80"/>
  <c r="A5943" i="80"/>
  <c r="H5943" i="79"/>
  <c r="A5942" i="80"/>
  <c r="A5941" i="80"/>
  <c r="A5940" i="80"/>
  <c r="A5939" i="80"/>
  <c r="A5938" i="80"/>
  <c r="H5938" i="79"/>
  <c r="A5937" i="80"/>
  <c r="A5936" i="80"/>
  <c r="A5935" i="80"/>
  <c r="A5934" i="80"/>
  <c r="A5933" i="80"/>
  <c r="H5933" i="79"/>
  <c r="A5932" i="80"/>
  <c r="A5931" i="80"/>
  <c r="A5930" i="80"/>
  <c r="A5929" i="80"/>
  <c r="A5928" i="80"/>
  <c r="H5928" i="79"/>
  <c r="A5927" i="80"/>
  <c r="A5926" i="80"/>
  <c r="A5925" i="80"/>
  <c r="A5924" i="80"/>
  <c r="A5923" i="80"/>
  <c r="H5923" i="79"/>
  <c r="A5922" i="80"/>
  <c r="A5921" i="80"/>
  <c r="A5920" i="80"/>
  <c r="A5919" i="80"/>
  <c r="A5918" i="80"/>
  <c r="H5918" i="79"/>
  <c r="A5917" i="80"/>
  <c r="A5916" i="80"/>
  <c r="A5915" i="80"/>
  <c r="A5914" i="80"/>
  <c r="A5913" i="80"/>
  <c r="H5913" i="79"/>
  <c r="A5912" i="80"/>
  <c r="A5911" i="80"/>
  <c r="A5910" i="80"/>
  <c r="A5909" i="80"/>
  <c r="A5908" i="80"/>
  <c r="H5908" i="79"/>
  <c r="A5907" i="80"/>
  <c r="A5906" i="80"/>
  <c r="A5905" i="80"/>
  <c r="A5904" i="80"/>
  <c r="A5903" i="80"/>
  <c r="H5903" i="79"/>
  <c r="A5902" i="80"/>
  <c r="A5901" i="80"/>
  <c r="A5900" i="80"/>
  <c r="A5899" i="80"/>
  <c r="A5898" i="80"/>
  <c r="H5898" i="79"/>
  <c r="A5897" i="80"/>
  <c r="A5896" i="80"/>
  <c r="A5895" i="80"/>
  <c r="A5894" i="80"/>
  <c r="A5893" i="80"/>
  <c r="H5893" i="79"/>
  <c r="A5892" i="80"/>
  <c r="A5891" i="80"/>
  <c r="A5890" i="80"/>
  <c r="A5889" i="80"/>
  <c r="A5888" i="80"/>
  <c r="A5887" i="80"/>
  <c r="A5886" i="80"/>
  <c r="A5885" i="80"/>
  <c r="A5884" i="80"/>
  <c r="A5882" i="80"/>
  <c r="A5881" i="80"/>
  <c r="A5880" i="80"/>
  <c r="A5879" i="80"/>
  <c r="A5878" i="80"/>
  <c r="A5877" i="80"/>
  <c r="A5876" i="80"/>
  <c r="A5874" i="80"/>
  <c r="A5873" i="80"/>
  <c r="A5872" i="80"/>
  <c r="A5871" i="80"/>
  <c r="A5870" i="80"/>
  <c r="A5868" i="80"/>
  <c r="A5867" i="80"/>
  <c r="A5866" i="80"/>
  <c r="A5865" i="80"/>
  <c r="A5864" i="80"/>
  <c r="A5862" i="80"/>
  <c r="A5861" i="80"/>
  <c r="A5860" i="80"/>
  <c r="A5859" i="80"/>
  <c r="A5858" i="80"/>
  <c r="A5856" i="80"/>
  <c r="A5855" i="80"/>
  <c r="A5854" i="80"/>
  <c r="A5853" i="80"/>
  <c r="A5852" i="80"/>
  <c r="A5850" i="80"/>
  <c r="A5849" i="80"/>
  <c r="A5848" i="80"/>
  <c r="A5847" i="80"/>
  <c r="A5846" i="80"/>
  <c r="H5846" i="79"/>
  <c r="A5845" i="80"/>
  <c r="A5844" i="80"/>
  <c r="A5843" i="80"/>
  <c r="A5842" i="80"/>
  <c r="A5841" i="80"/>
  <c r="A5840" i="80"/>
  <c r="A5838" i="80"/>
  <c r="A5837" i="80"/>
  <c r="A5836" i="80"/>
  <c r="A5835" i="80"/>
  <c r="A5834" i="80"/>
  <c r="A5832" i="80"/>
  <c r="A5831" i="80"/>
  <c r="A5830" i="80"/>
  <c r="A5829" i="80"/>
  <c r="A5828" i="80"/>
  <c r="A5826" i="80"/>
  <c r="A5825" i="80"/>
  <c r="A5824" i="80"/>
  <c r="A5823" i="80"/>
  <c r="A5822" i="80"/>
  <c r="A5820" i="80"/>
  <c r="A5819" i="80"/>
  <c r="A5818" i="80"/>
  <c r="A5817" i="80"/>
  <c r="A5816" i="80"/>
  <c r="A5814" i="80"/>
  <c r="A5813" i="80"/>
  <c r="A5812" i="80"/>
  <c r="A5811" i="80"/>
  <c r="A5810" i="80"/>
  <c r="H5810" i="79"/>
  <c r="A5809" i="80"/>
  <c r="A5808" i="80"/>
  <c r="A5807" i="80"/>
  <c r="A5806" i="80"/>
  <c r="A5805" i="80"/>
  <c r="A5804" i="80"/>
  <c r="A5802" i="80"/>
  <c r="A5801" i="80"/>
  <c r="A5800" i="80"/>
  <c r="A5799" i="80"/>
  <c r="A5798" i="80"/>
  <c r="A5796" i="80"/>
  <c r="A5795" i="80"/>
  <c r="A5794" i="80"/>
  <c r="A5793" i="80"/>
  <c r="A5792" i="80"/>
  <c r="A5790" i="80"/>
  <c r="A5789" i="80"/>
  <c r="A5788" i="80"/>
  <c r="A5787" i="80"/>
  <c r="A5786" i="80"/>
  <c r="H5786" i="79"/>
  <c r="A5785" i="80"/>
  <c r="A5784" i="80"/>
  <c r="A5783" i="80"/>
  <c r="A5782" i="80"/>
  <c r="A5781" i="80"/>
  <c r="A5780" i="80"/>
  <c r="A5778" i="80"/>
  <c r="A5777" i="80"/>
  <c r="A5776" i="80"/>
  <c r="A5775" i="80"/>
  <c r="A5774" i="80"/>
  <c r="A5772" i="80"/>
  <c r="A5771" i="80"/>
  <c r="A5770" i="80"/>
  <c r="A5769" i="80"/>
  <c r="A5768" i="80"/>
  <c r="A5766" i="80"/>
  <c r="A5765" i="80"/>
  <c r="A5764" i="80"/>
  <c r="A5763" i="80"/>
  <c r="A5762" i="80"/>
  <c r="H5762" i="79"/>
  <c r="A5761" i="80"/>
  <c r="A5760" i="80"/>
  <c r="A5759" i="80"/>
  <c r="A5758" i="80"/>
  <c r="A5757" i="80"/>
  <c r="A5756" i="80"/>
  <c r="A5754" i="80"/>
  <c r="A5753" i="80"/>
  <c r="A5752" i="80"/>
  <c r="A5751" i="80"/>
  <c r="A5750" i="80"/>
  <c r="A5748" i="80"/>
  <c r="A5747" i="80"/>
  <c r="A5746" i="80"/>
  <c r="A5745" i="80"/>
  <c r="A5744" i="80"/>
  <c r="A5742" i="80"/>
  <c r="A5741" i="80"/>
  <c r="A5740" i="80"/>
  <c r="A5739" i="80"/>
  <c r="A5738" i="80"/>
  <c r="A5736" i="80"/>
  <c r="A5735" i="80"/>
  <c r="A5734" i="80"/>
  <c r="A5733" i="80"/>
  <c r="A5732" i="80"/>
  <c r="H5732" i="79"/>
  <c r="A5731" i="80"/>
  <c r="A5730" i="80"/>
  <c r="A5729" i="80"/>
  <c r="A5728" i="80"/>
  <c r="A5727" i="80"/>
  <c r="A5726" i="80"/>
  <c r="A5724" i="80"/>
  <c r="A5723" i="80"/>
  <c r="A5722" i="80"/>
  <c r="A5721" i="80"/>
  <c r="A5720" i="80"/>
  <c r="A5718" i="80"/>
  <c r="A5717" i="80"/>
  <c r="A5716" i="80"/>
  <c r="A5715" i="80"/>
  <c r="A5714" i="80"/>
  <c r="A5712" i="80"/>
  <c r="A5711" i="80"/>
  <c r="A5710" i="80"/>
  <c r="A5709" i="80"/>
  <c r="A5708" i="80"/>
  <c r="A5706" i="80"/>
  <c r="A5705" i="80"/>
  <c r="A5704" i="80"/>
  <c r="A5703" i="80"/>
  <c r="A5702" i="80"/>
  <c r="A5700" i="80"/>
  <c r="A5699" i="80"/>
  <c r="A5698" i="80"/>
  <c r="A5697" i="80"/>
  <c r="A5696" i="80"/>
  <c r="A5694" i="80"/>
  <c r="A5693" i="80"/>
  <c r="A5692" i="80"/>
  <c r="A5691" i="80"/>
  <c r="A5690" i="80"/>
  <c r="A5688" i="80"/>
  <c r="A5687" i="80"/>
  <c r="A5686" i="80"/>
  <c r="A5685" i="80"/>
  <c r="A5684" i="80"/>
  <c r="H5684" i="79"/>
  <c r="A5683" i="80"/>
  <c r="A5682" i="80"/>
  <c r="A5681" i="80"/>
  <c r="A5680" i="80"/>
  <c r="A5679" i="80"/>
  <c r="A5678" i="80"/>
  <c r="A5676" i="80"/>
  <c r="A5675" i="80"/>
  <c r="A5674" i="80"/>
  <c r="A5673" i="80"/>
  <c r="A5672" i="80"/>
  <c r="A5670" i="80"/>
  <c r="A5669" i="80"/>
  <c r="A5668" i="80"/>
  <c r="A5667" i="80"/>
  <c r="A5666" i="80"/>
  <c r="A5664" i="80"/>
  <c r="A5663" i="80"/>
  <c r="A5662" i="80"/>
  <c r="A5661" i="80"/>
  <c r="A5660" i="80"/>
  <c r="A5658" i="80"/>
  <c r="A5657" i="80"/>
  <c r="A5656" i="80"/>
  <c r="A5655" i="80"/>
  <c r="A5654" i="80"/>
  <c r="H5654" i="79"/>
  <c r="A5653" i="80"/>
  <c r="A5652" i="80"/>
  <c r="A5651" i="80"/>
  <c r="A5650" i="80"/>
  <c r="A5649" i="80"/>
  <c r="A5648" i="80"/>
  <c r="A5646" i="80"/>
  <c r="A5645" i="80"/>
  <c r="A5644" i="80"/>
  <c r="A5643" i="80"/>
  <c r="A5642" i="80"/>
  <c r="A5640" i="80"/>
  <c r="A5639" i="80"/>
  <c r="A5638" i="80"/>
  <c r="A5637" i="80"/>
  <c r="A5636" i="80"/>
  <c r="A5634" i="80"/>
  <c r="A5633" i="80"/>
  <c r="A5632" i="80"/>
  <c r="A5631" i="80"/>
  <c r="A5630" i="80"/>
  <c r="A5628" i="80"/>
  <c r="A5627" i="80"/>
  <c r="A5626" i="80"/>
  <c r="A5625" i="80"/>
  <c r="A5624" i="80"/>
  <c r="A5622" i="80"/>
  <c r="A5621" i="80"/>
  <c r="A5620" i="80"/>
  <c r="A5619" i="80"/>
  <c r="A5618" i="80"/>
  <c r="H5618" i="79"/>
  <c r="A5617" i="80"/>
  <c r="A5616" i="80"/>
  <c r="A5615" i="80"/>
  <c r="A5614" i="80"/>
  <c r="A5613" i="80"/>
  <c r="A5612" i="80"/>
  <c r="A5610" i="80"/>
  <c r="A5609" i="80"/>
  <c r="A5608" i="80"/>
  <c r="A5607" i="80"/>
  <c r="A5606" i="80"/>
  <c r="A5604" i="80"/>
  <c r="A5603" i="80"/>
  <c r="A5602" i="80"/>
  <c r="A5601" i="80"/>
  <c r="A5600" i="80"/>
  <c r="A5598" i="80"/>
  <c r="A5597" i="80"/>
  <c r="A5596" i="80"/>
  <c r="A5595" i="80"/>
  <c r="A5594" i="80"/>
  <c r="H5594" i="79"/>
  <c r="A5593" i="80"/>
  <c r="A5592" i="80"/>
  <c r="A5591" i="80"/>
  <c r="A5590" i="80"/>
  <c r="A5589" i="80"/>
  <c r="A5588" i="80"/>
  <c r="A5586" i="80"/>
  <c r="A5585" i="80"/>
  <c r="A5584" i="80"/>
  <c r="A5583" i="80"/>
  <c r="A5582" i="80"/>
  <c r="A5580" i="80"/>
  <c r="A5579" i="80"/>
  <c r="A5578" i="80"/>
  <c r="A5577" i="80"/>
  <c r="A5576" i="80"/>
  <c r="A5574" i="80"/>
  <c r="A5573" i="80"/>
  <c r="A5572" i="80"/>
  <c r="A5571" i="80"/>
  <c r="A5570" i="80"/>
  <c r="A5568" i="80"/>
  <c r="A5567" i="80"/>
  <c r="A5566" i="80"/>
  <c r="A5565" i="80"/>
  <c r="A5564" i="80"/>
  <c r="H5564" i="79"/>
  <c r="A5563" i="80"/>
  <c r="A5562" i="80"/>
  <c r="A5561" i="80"/>
  <c r="A5560" i="80"/>
  <c r="A5559" i="80"/>
  <c r="A5558" i="80"/>
  <c r="A5556" i="80"/>
  <c r="A5555" i="80"/>
  <c r="A5554" i="80"/>
  <c r="A5553" i="80"/>
  <c r="A5552" i="80"/>
  <c r="A5550" i="80"/>
  <c r="A5549" i="80"/>
  <c r="A5548" i="80"/>
  <c r="A5547" i="80"/>
  <c r="A5546" i="80"/>
  <c r="A5544" i="80"/>
  <c r="A5543" i="80"/>
  <c r="A5542" i="80"/>
  <c r="A5541" i="80"/>
  <c r="A5540" i="80"/>
  <c r="A5538" i="80"/>
  <c r="A5537" i="80"/>
  <c r="A5536" i="80"/>
  <c r="A5535" i="80"/>
  <c r="A5534" i="80"/>
  <c r="A5532" i="80"/>
  <c r="A5531" i="80"/>
  <c r="A5530" i="80"/>
  <c r="A5529" i="80"/>
  <c r="A5528" i="80"/>
  <c r="H5528" i="79"/>
  <c r="A5527" i="80"/>
  <c r="A5526" i="80"/>
  <c r="A5525" i="80"/>
  <c r="A5524" i="80"/>
  <c r="A5523" i="80"/>
  <c r="A5522" i="80"/>
  <c r="A5520" i="80"/>
  <c r="A5519" i="80"/>
  <c r="A5518" i="80"/>
  <c r="A5517" i="80"/>
  <c r="A5516" i="80"/>
  <c r="A5514" i="80"/>
  <c r="A5513" i="80"/>
  <c r="A5512" i="80"/>
  <c r="A5511" i="80"/>
  <c r="A5510" i="80"/>
  <c r="A5508" i="80"/>
  <c r="A5507" i="80"/>
  <c r="A5506" i="80"/>
  <c r="A5505" i="80"/>
  <c r="A5504" i="80"/>
  <c r="A5502" i="80"/>
  <c r="A5501" i="80"/>
  <c r="A5500" i="80"/>
  <c r="A5499" i="80"/>
  <c r="A5498" i="80"/>
  <c r="H5498" i="79"/>
  <c r="A5497" i="80"/>
  <c r="A5496" i="80"/>
  <c r="A5495" i="80"/>
  <c r="A5494" i="80"/>
  <c r="A5493" i="80"/>
  <c r="A5492" i="80"/>
  <c r="A5490" i="80"/>
  <c r="A5489" i="80"/>
  <c r="A5488" i="80"/>
  <c r="A5487" i="80"/>
  <c r="A5486" i="80"/>
  <c r="A5484" i="80"/>
  <c r="A5483" i="80"/>
  <c r="A5482" i="80"/>
  <c r="A5481" i="80"/>
  <c r="A5480" i="80"/>
  <c r="A5478" i="80"/>
  <c r="A5477" i="80"/>
  <c r="A5476" i="80"/>
  <c r="A5475" i="80"/>
  <c r="A5474" i="80"/>
  <c r="A5472" i="80"/>
  <c r="A5471" i="80"/>
  <c r="A5470" i="80"/>
  <c r="A5469" i="80"/>
  <c r="A5468" i="80"/>
  <c r="A5466" i="80"/>
  <c r="A5465" i="80"/>
  <c r="A5464" i="80"/>
  <c r="A5463" i="80"/>
  <c r="A5462" i="80"/>
  <c r="A5460" i="80"/>
  <c r="A5459" i="80"/>
  <c r="A5458" i="80"/>
  <c r="A5457" i="80"/>
  <c r="A5456" i="80"/>
  <c r="H5456" i="79"/>
  <c r="A5455" i="80"/>
  <c r="A5454" i="80"/>
  <c r="A5453" i="80"/>
  <c r="A5452" i="80"/>
  <c r="A5451" i="80"/>
  <c r="A5450" i="80"/>
  <c r="A5448" i="80"/>
  <c r="A5447" i="80"/>
  <c r="A5446" i="80"/>
  <c r="A5445" i="80"/>
  <c r="A5444" i="80"/>
  <c r="H5444" i="79"/>
  <c r="A5443" i="80"/>
  <c r="A5442" i="80"/>
  <c r="A5441" i="80"/>
  <c r="A5440" i="80"/>
  <c r="A5439" i="80"/>
  <c r="A5438" i="80"/>
  <c r="A5436" i="80"/>
  <c r="A5435" i="80"/>
  <c r="A5434" i="80"/>
  <c r="A5433" i="80"/>
  <c r="A5432" i="80"/>
  <c r="A5430" i="80"/>
  <c r="A5429" i="80"/>
  <c r="A5428" i="80"/>
  <c r="A5427" i="80"/>
  <c r="A5426" i="80"/>
  <c r="A5424" i="80"/>
  <c r="A5423" i="80"/>
  <c r="A5422" i="80"/>
  <c r="A5421" i="80"/>
  <c r="A5420" i="80"/>
  <c r="A5418" i="80"/>
  <c r="A5417" i="80"/>
  <c r="A5416" i="80"/>
  <c r="A5415" i="80"/>
  <c r="A5414" i="80"/>
  <c r="A5412" i="80"/>
  <c r="A5411" i="80"/>
  <c r="A5410" i="80"/>
  <c r="A5409" i="80"/>
  <c r="A5408" i="80"/>
  <c r="A5406" i="80"/>
  <c r="A5405" i="80"/>
  <c r="A5404" i="80"/>
  <c r="A5403" i="80"/>
  <c r="A5402" i="80"/>
  <c r="A5400" i="80"/>
  <c r="A5399" i="80"/>
  <c r="A5398" i="80"/>
  <c r="A5397" i="80"/>
  <c r="A5396" i="80"/>
  <c r="A5394" i="80"/>
  <c r="A5393" i="80"/>
  <c r="A5392" i="80"/>
  <c r="A5391" i="80"/>
  <c r="A5390" i="80"/>
  <c r="H5390" i="79"/>
  <c r="A5389" i="80"/>
  <c r="A5388" i="80"/>
  <c r="A5387" i="80"/>
  <c r="A5386" i="80"/>
  <c r="A5385" i="80"/>
  <c r="A5384" i="80"/>
  <c r="A5382" i="80"/>
  <c r="A5381" i="80"/>
  <c r="A5380" i="80"/>
  <c r="A5379" i="80"/>
  <c r="A5378" i="80"/>
  <c r="A5376" i="80"/>
  <c r="A5375" i="80"/>
  <c r="A5374" i="80"/>
  <c r="A5373" i="80"/>
  <c r="A5372" i="80"/>
  <c r="A5370" i="80"/>
  <c r="A5369" i="80"/>
  <c r="A5368" i="80"/>
  <c r="A5367" i="80"/>
  <c r="A5366" i="80"/>
  <c r="H5366" i="79"/>
  <c r="A5365" i="80"/>
  <c r="A5364" i="80"/>
  <c r="A5363" i="80"/>
  <c r="A5362" i="80"/>
  <c r="A5361" i="80"/>
  <c r="A5360" i="80"/>
  <c r="A5358" i="80"/>
  <c r="A5357" i="80"/>
  <c r="A5356" i="80"/>
  <c r="A5355" i="80"/>
  <c r="A5354" i="80"/>
  <c r="A5352" i="80"/>
  <c r="A5351" i="80"/>
  <c r="A5350" i="80"/>
  <c r="A5349" i="80"/>
  <c r="A5348" i="80"/>
  <c r="A5346" i="80"/>
  <c r="A5345" i="80"/>
  <c r="A5344" i="80"/>
  <c r="A5343" i="80"/>
  <c r="A5342" i="80"/>
  <c r="A5340" i="80"/>
  <c r="A5339" i="80"/>
  <c r="A5338" i="80"/>
  <c r="A5337" i="80"/>
  <c r="A5336" i="80"/>
  <c r="A5334" i="80"/>
  <c r="A5333" i="80"/>
  <c r="A5332" i="80"/>
  <c r="A5331" i="80"/>
  <c r="A5330" i="80"/>
  <c r="A5328" i="80"/>
  <c r="A5327" i="80"/>
  <c r="A5326" i="80"/>
  <c r="A5325" i="80"/>
  <c r="A5324" i="80"/>
  <c r="H5324" i="79"/>
  <c r="A5323" i="80"/>
  <c r="A5322" i="80"/>
  <c r="A5321" i="80"/>
  <c r="A5320" i="80"/>
  <c r="A5319" i="80"/>
  <c r="A5318" i="80"/>
  <c r="A5316" i="80"/>
  <c r="A5315" i="80"/>
  <c r="A5314" i="80"/>
  <c r="A5313" i="80"/>
  <c r="A5312" i="80"/>
  <c r="A5310" i="80"/>
  <c r="A5309" i="80"/>
  <c r="A5308" i="80"/>
  <c r="A5307" i="80"/>
  <c r="A5306" i="80"/>
  <c r="A5304" i="80"/>
  <c r="A5303" i="80"/>
  <c r="A5302" i="80"/>
  <c r="A5301" i="80"/>
  <c r="A5300" i="80"/>
  <c r="A5298" i="80"/>
  <c r="A5297" i="80"/>
  <c r="A5296" i="80"/>
  <c r="A5295" i="80"/>
  <c r="A5294" i="80"/>
  <c r="H5294" i="79"/>
  <c r="A5293" i="80"/>
  <c r="A5292" i="80"/>
  <c r="A5291" i="80"/>
  <c r="A5290" i="80"/>
  <c r="A5289" i="80"/>
  <c r="A5288" i="80"/>
  <c r="A5286" i="80"/>
  <c r="A5285" i="80"/>
  <c r="A5284" i="80"/>
  <c r="A5283" i="80"/>
  <c r="A5282" i="80"/>
  <c r="A5280" i="80"/>
  <c r="A5279" i="80"/>
  <c r="A5278" i="80"/>
  <c r="A5277" i="80"/>
  <c r="A5276" i="80"/>
  <c r="A5274" i="80"/>
  <c r="A5273" i="80"/>
  <c r="A5272" i="80"/>
  <c r="A5271" i="80"/>
  <c r="A5270" i="80"/>
  <c r="A5268" i="80"/>
  <c r="A5267" i="80"/>
  <c r="A5266" i="80"/>
  <c r="A5265" i="80"/>
  <c r="A5264" i="80"/>
  <c r="A5262" i="80"/>
  <c r="A5261" i="80"/>
  <c r="A5260" i="80"/>
  <c r="A5259" i="80"/>
  <c r="A5258" i="80"/>
  <c r="A5256" i="80"/>
  <c r="A5255" i="80"/>
  <c r="A5254" i="80"/>
  <c r="A5253" i="80"/>
  <c r="A5252" i="80"/>
  <c r="A5250" i="80"/>
  <c r="A5249" i="80"/>
  <c r="A5248" i="80"/>
  <c r="A5247" i="80"/>
  <c r="A5246" i="80"/>
  <c r="A5244" i="80"/>
  <c r="A5243" i="80"/>
  <c r="A5242" i="80"/>
  <c r="A5241" i="80"/>
  <c r="A5240" i="80"/>
  <c r="A5238" i="80"/>
  <c r="A5237" i="80"/>
  <c r="A5236" i="80"/>
  <c r="A5235" i="80"/>
  <c r="A5234" i="80"/>
  <c r="H5234" i="79"/>
  <c r="A5233" i="80"/>
  <c r="A5232" i="80"/>
  <c r="A5231" i="80"/>
  <c r="A5230" i="80"/>
  <c r="A5229" i="80"/>
  <c r="A5228" i="80"/>
  <c r="A5226" i="80"/>
  <c r="A5225" i="80"/>
  <c r="A5224" i="80"/>
  <c r="A5223" i="80"/>
  <c r="A5222" i="80"/>
  <c r="A5220" i="80"/>
  <c r="A5219" i="80"/>
  <c r="A5218" i="80"/>
  <c r="A5217" i="80"/>
  <c r="A5216" i="80"/>
  <c r="A5214" i="80"/>
  <c r="A5213" i="80"/>
  <c r="A5212" i="80"/>
  <c r="A5211" i="80"/>
  <c r="A5210" i="80"/>
  <c r="A5208" i="80"/>
  <c r="A5207" i="80"/>
  <c r="A5206" i="80"/>
  <c r="A5205" i="80"/>
  <c r="A5204" i="80"/>
  <c r="A5202" i="80"/>
  <c r="A5201" i="80"/>
  <c r="A5200" i="80"/>
  <c r="A5199" i="80"/>
  <c r="A5198" i="80"/>
  <c r="A5196" i="80"/>
  <c r="A5195" i="80"/>
  <c r="A5194" i="80"/>
  <c r="A5193" i="80"/>
  <c r="A5192" i="80"/>
  <c r="A5190" i="80"/>
  <c r="A5189" i="80"/>
  <c r="A5188" i="80"/>
  <c r="A5187" i="80"/>
  <c r="A5186" i="80"/>
  <c r="H5186" i="79"/>
  <c r="A5185" i="80"/>
  <c r="A5184" i="80"/>
  <c r="A5183" i="80"/>
  <c r="A5182" i="80"/>
  <c r="A5181" i="80"/>
  <c r="A5180" i="80"/>
  <c r="A5178" i="80"/>
  <c r="A5177" i="80"/>
  <c r="A5176" i="80"/>
  <c r="A5175" i="80"/>
  <c r="A5174" i="80"/>
  <c r="A5172" i="80"/>
  <c r="A5171" i="80"/>
  <c r="A5170" i="80"/>
  <c r="A5169" i="80"/>
  <c r="A5168" i="80"/>
  <c r="A5166" i="80"/>
  <c r="A5165" i="80"/>
  <c r="A5164" i="80"/>
  <c r="A5163" i="80"/>
  <c r="A5162" i="80"/>
  <c r="H5162" i="79"/>
  <c r="A5161" i="80"/>
  <c r="A5160" i="80"/>
  <c r="A5159" i="80"/>
  <c r="A5158" i="80"/>
  <c r="A5157" i="80"/>
  <c r="A5156" i="80"/>
  <c r="A5154" i="80"/>
  <c r="A5153" i="80"/>
  <c r="A5152" i="80"/>
  <c r="A5151" i="80"/>
  <c r="A5150" i="80"/>
  <c r="A5148" i="80"/>
  <c r="A5147" i="80"/>
  <c r="A5146" i="80"/>
  <c r="A5145" i="80"/>
  <c r="A5144" i="80"/>
  <c r="H5144" i="79"/>
  <c r="A5143" i="80"/>
  <c r="A5142" i="80"/>
  <c r="A5141" i="80"/>
  <c r="A5140" i="80"/>
  <c r="A5139" i="80"/>
  <c r="A5138" i="80"/>
  <c r="A5136" i="80"/>
  <c r="A5135" i="80"/>
  <c r="A5134" i="80"/>
  <c r="A5133" i="80"/>
  <c r="A5132" i="80"/>
  <c r="A5130" i="80"/>
  <c r="A5129" i="80"/>
  <c r="A5128" i="80"/>
  <c r="A5127" i="80"/>
  <c r="A5126" i="80"/>
  <c r="A5124" i="80"/>
  <c r="A5123" i="80"/>
  <c r="A5122" i="80"/>
  <c r="A5121" i="80"/>
  <c r="A5120" i="80"/>
  <c r="A5118" i="80"/>
  <c r="A5117" i="80"/>
  <c r="A5116" i="80"/>
  <c r="A5115" i="80"/>
  <c r="A5114" i="80"/>
  <c r="A5112" i="80"/>
  <c r="A5111" i="80"/>
  <c r="A5110" i="80"/>
  <c r="A5109" i="80"/>
  <c r="A5108" i="80"/>
  <c r="A5106" i="80"/>
  <c r="A5105" i="80"/>
  <c r="A5104" i="80"/>
  <c r="A5103" i="80"/>
  <c r="A5102" i="80"/>
  <c r="H5102" i="79"/>
  <c r="A5101" i="80"/>
  <c r="A5100" i="80"/>
  <c r="A5099" i="80"/>
  <c r="A5098" i="80"/>
  <c r="A5097" i="80"/>
  <c r="A5096" i="80"/>
  <c r="A5094" i="80"/>
  <c r="A5093" i="80"/>
  <c r="A5092" i="80"/>
  <c r="A5091" i="80"/>
  <c r="A5090" i="80"/>
  <c r="A5088" i="80"/>
  <c r="A5087" i="80"/>
  <c r="A5086" i="80"/>
  <c r="A5085" i="80"/>
  <c r="A5084" i="80"/>
  <c r="A5082" i="80"/>
  <c r="A5081" i="80"/>
  <c r="A5080" i="80"/>
  <c r="A5079" i="80"/>
  <c r="A5078" i="80"/>
  <c r="A5076" i="80"/>
  <c r="A5075" i="80"/>
  <c r="A5074" i="80"/>
  <c r="A5073" i="80"/>
  <c r="A5072" i="80"/>
  <c r="A5070" i="80"/>
  <c r="A5069" i="80"/>
  <c r="A5068" i="80"/>
  <c r="A5067" i="80"/>
  <c r="A5066" i="80"/>
  <c r="A5064" i="80"/>
  <c r="A5063" i="80"/>
  <c r="A5062" i="80"/>
  <c r="A5061" i="80"/>
  <c r="A5060" i="80"/>
  <c r="A5058" i="80"/>
  <c r="A5057" i="80"/>
  <c r="A5056" i="80"/>
  <c r="A5055" i="80"/>
  <c r="A5054" i="80"/>
  <c r="A5052" i="80"/>
  <c r="A5051" i="80"/>
  <c r="A5050" i="80"/>
  <c r="A5049" i="80"/>
  <c r="A5048" i="80"/>
  <c r="A5046" i="80"/>
  <c r="A5045" i="80"/>
  <c r="A5044" i="80"/>
  <c r="A5043" i="80"/>
  <c r="A5042" i="80"/>
  <c r="A5040" i="80"/>
  <c r="A5039" i="80"/>
  <c r="A5038" i="80"/>
  <c r="A5037" i="80"/>
  <c r="A5036" i="80"/>
  <c r="A5034" i="80"/>
  <c r="A5033" i="80"/>
  <c r="A5032" i="80"/>
  <c r="A5031" i="80"/>
  <c r="A5030" i="80"/>
  <c r="H5030" i="79"/>
  <c r="A5029" i="80"/>
  <c r="A5028" i="80"/>
  <c r="A5027" i="80"/>
  <c r="A5026" i="80"/>
  <c r="A5025" i="80"/>
  <c r="A5024" i="80"/>
  <c r="A5022" i="80"/>
  <c r="A5021" i="80"/>
  <c r="A5020" i="80"/>
  <c r="A5019" i="80"/>
  <c r="A5018" i="80"/>
  <c r="A5016" i="80"/>
  <c r="A5015" i="80"/>
  <c r="A5014" i="80"/>
  <c r="A5013" i="80"/>
  <c r="A5012" i="80"/>
  <c r="A5010" i="80"/>
  <c r="A5009" i="80"/>
  <c r="A5008" i="80"/>
  <c r="A5007" i="80"/>
  <c r="A5006" i="80"/>
  <c r="A5004" i="80"/>
  <c r="A5003" i="80"/>
  <c r="A5002" i="80"/>
  <c r="A5001" i="80"/>
  <c r="A5000" i="80"/>
  <c r="A4998" i="80"/>
  <c r="A4997" i="80"/>
  <c r="A4996" i="80"/>
  <c r="A4995" i="80"/>
  <c r="A4994" i="80"/>
  <c r="A4992" i="80"/>
  <c r="A4991" i="80"/>
  <c r="A4990" i="80"/>
  <c r="A4989" i="80"/>
  <c r="A4988" i="80"/>
  <c r="A4986" i="80"/>
  <c r="A4985" i="80"/>
  <c r="A4984" i="80"/>
  <c r="A4983" i="80"/>
  <c r="A4982" i="80"/>
  <c r="H4982" i="79"/>
  <c r="A4981" i="80"/>
  <c r="A4980" i="80"/>
  <c r="A4979" i="80"/>
  <c r="A4978" i="80"/>
  <c r="A4977" i="80"/>
  <c r="A4976" i="80"/>
  <c r="A4974" i="80"/>
  <c r="A4973" i="80"/>
  <c r="A4972" i="80"/>
  <c r="A4971" i="80"/>
  <c r="A4970" i="80"/>
  <c r="A4968" i="80"/>
  <c r="A4967" i="80"/>
  <c r="A4966" i="80"/>
  <c r="A4965" i="80"/>
  <c r="A4964" i="80"/>
  <c r="A4962" i="80"/>
  <c r="A4961" i="80"/>
  <c r="A4960" i="80"/>
  <c r="A4959" i="80"/>
  <c r="A4958" i="80"/>
  <c r="H4958" i="79"/>
  <c r="A4957" i="80"/>
  <c r="A4956" i="80"/>
  <c r="A4955" i="80"/>
  <c r="A4954" i="80"/>
  <c r="A4953" i="80"/>
  <c r="A4952" i="80"/>
  <c r="A4951" i="80"/>
  <c r="A4950" i="80"/>
  <c r="A4949" i="80"/>
  <c r="A4948" i="80"/>
  <c r="A4947" i="80"/>
  <c r="A4946" i="80"/>
  <c r="A4945" i="80"/>
  <c r="A4943" i="80"/>
  <c r="A4942" i="80"/>
  <c r="A4941" i="80"/>
  <c r="A4940" i="80"/>
  <c r="A4939" i="80"/>
  <c r="H4939" i="79"/>
  <c r="A4938" i="80"/>
  <c r="A4937" i="80"/>
  <c r="A4936" i="80"/>
  <c r="A4935" i="80"/>
  <c r="A4934" i="80"/>
  <c r="A4933" i="80"/>
  <c r="A4931" i="80"/>
  <c r="A4930" i="80"/>
  <c r="A4929" i="80"/>
  <c r="A4928" i="80"/>
  <c r="A4927" i="80"/>
  <c r="A4925" i="80"/>
  <c r="A4924" i="80"/>
  <c r="A4923" i="80"/>
  <c r="A4922" i="80"/>
  <c r="A4921" i="80"/>
  <c r="A4919" i="80"/>
  <c r="A4918" i="80"/>
  <c r="A4917" i="80"/>
  <c r="A4916" i="80"/>
  <c r="A4915" i="80"/>
  <c r="A4913" i="80"/>
  <c r="A4912" i="80"/>
  <c r="A4911" i="80"/>
  <c r="A4910" i="80"/>
  <c r="A4909" i="80"/>
  <c r="A4907" i="80"/>
  <c r="A4906" i="80"/>
  <c r="A4905" i="80"/>
  <c r="A4904" i="80"/>
  <c r="A4903" i="80"/>
  <c r="A4901" i="80"/>
  <c r="A4900" i="80"/>
  <c r="A4899" i="80"/>
  <c r="A4898" i="80"/>
  <c r="A4897" i="80"/>
  <c r="A4895" i="80"/>
  <c r="A4894" i="80"/>
  <c r="A4893" i="80"/>
  <c r="A4892" i="80"/>
  <c r="A4891" i="80"/>
  <c r="A4889" i="80"/>
  <c r="A4888" i="80"/>
  <c r="A4887" i="80"/>
  <c r="A4886" i="80"/>
  <c r="A4885" i="80"/>
  <c r="A4883" i="80"/>
  <c r="A4882" i="80"/>
  <c r="A4881" i="80"/>
  <c r="A4880" i="80"/>
  <c r="A4879" i="80"/>
  <c r="A4877" i="80"/>
  <c r="A4876" i="80"/>
  <c r="A4875" i="80"/>
  <c r="A4874" i="80"/>
  <c r="A4873" i="80"/>
  <c r="A4871" i="80"/>
  <c r="A4870" i="80"/>
  <c r="A4869" i="80"/>
  <c r="A4868" i="80"/>
  <c r="A4867" i="80"/>
  <c r="H4867" i="79"/>
  <c r="A4866" i="80"/>
  <c r="A4865" i="80"/>
  <c r="A4864" i="80"/>
  <c r="A4863" i="80"/>
  <c r="A4862" i="80"/>
  <c r="A4861" i="80"/>
  <c r="A4859" i="80"/>
  <c r="A4858" i="80"/>
  <c r="A4857" i="80"/>
  <c r="A4856" i="80"/>
  <c r="A4855" i="80"/>
  <c r="E47" i="7"/>
  <c r="H4855" i="79"/>
  <c r="A4854" i="80"/>
  <c r="A4853" i="80"/>
  <c r="A4852" i="80"/>
  <c r="A4851" i="80"/>
  <c r="A4850" i="80"/>
  <c r="A4849" i="80"/>
  <c r="A4847" i="80"/>
  <c r="A4846" i="80"/>
  <c r="A4845" i="80"/>
  <c r="A4844" i="80"/>
  <c r="A4843" i="80"/>
  <c r="A4841" i="80"/>
  <c r="A4840" i="80"/>
  <c r="A4839" i="80"/>
  <c r="A4838" i="80"/>
  <c r="A4837" i="80"/>
  <c r="A4835" i="80"/>
  <c r="A4834" i="80"/>
  <c r="A4833" i="80"/>
  <c r="A4832" i="80"/>
  <c r="A4831" i="80"/>
  <c r="A4829" i="80"/>
  <c r="A4828" i="80"/>
  <c r="A4827" i="80"/>
  <c r="A4826" i="80"/>
  <c r="A4825" i="80"/>
  <c r="A4823" i="80"/>
  <c r="A4822" i="80"/>
  <c r="A4821" i="80"/>
  <c r="A4820" i="80"/>
  <c r="A4819" i="80"/>
  <c r="A4817" i="80"/>
  <c r="A4816" i="80"/>
  <c r="A4815" i="80"/>
  <c r="A4814" i="80"/>
  <c r="A4813" i="80"/>
  <c r="A4811" i="80"/>
  <c r="A4810" i="80"/>
  <c r="A4809" i="80"/>
  <c r="A4808" i="80"/>
  <c r="A4807" i="80"/>
  <c r="A4805" i="80"/>
  <c r="A4804" i="80"/>
  <c r="A4803" i="80"/>
  <c r="A4802" i="80"/>
  <c r="A4801" i="80"/>
  <c r="A4799" i="80"/>
  <c r="A4798" i="80"/>
  <c r="A4797" i="80"/>
  <c r="A4796" i="80"/>
  <c r="A4795" i="80"/>
  <c r="A4793" i="80"/>
  <c r="A4792" i="80"/>
  <c r="A4791" i="80"/>
  <c r="A4790" i="80"/>
  <c r="A4789" i="80"/>
  <c r="A4787" i="80"/>
  <c r="A4786" i="80"/>
  <c r="A4785" i="80"/>
  <c r="A4784" i="80"/>
  <c r="A4783" i="80"/>
  <c r="H4783" i="79"/>
  <c r="A4782" i="80"/>
  <c r="A4781" i="80"/>
  <c r="A4780" i="80"/>
  <c r="A4779" i="80"/>
  <c r="A4778" i="80"/>
  <c r="A4777" i="80"/>
  <c r="A4775" i="80"/>
  <c r="A4774" i="80"/>
  <c r="A4773" i="80"/>
  <c r="A4772" i="80"/>
  <c r="A4771" i="80"/>
  <c r="A4769" i="80"/>
  <c r="A4768" i="80"/>
  <c r="A4767" i="80"/>
  <c r="A4766" i="80"/>
  <c r="A4765" i="80"/>
  <c r="A4763" i="80"/>
  <c r="A4762" i="80"/>
  <c r="A4761" i="80"/>
  <c r="A4760" i="80"/>
  <c r="A4759" i="80"/>
  <c r="A4757" i="80"/>
  <c r="A4756" i="80"/>
  <c r="A4755" i="80"/>
  <c r="A4754" i="80"/>
  <c r="A4753" i="80"/>
  <c r="A4751" i="80"/>
  <c r="A4750" i="80"/>
  <c r="A4749" i="80"/>
  <c r="A4748" i="80"/>
  <c r="A4747" i="80"/>
  <c r="A4745" i="80"/>
  <c r="A4744" i="80"/>
  <c r="A4743" i="80"/>
  <c r="A4742" i="80"/>
  <c r="A4741" i="80"/>
  <c r="A4739" i="80"/>
  <c r="A4738" i="80"/>
  <c r="A4737" i="80"/>
  <c r="A4736" i="80"/>
  <c r="A4735" i="80"/>
  <c r="A4733" i="80"/>
  <c r="A4732" i="80"/>
  <c r="A4731" i="80"/>
  <c r="A4730" i="80"/>
  <c r="A4729" i="80"/>
  <c r="A4727" i="80"/>
  <c r="A4726" i="80"/>
  <c r="A4725" i="80"/>
  <c r="A4724" i="80"/>
  <c r="A4723" i="80"/>
  <c r="A4721" i="80"/>
  <c r="A4720" i="80"/>
  <c r="A4719" i="80"/>
  <c r="A4718" i="80"/>
  <c r="A4717" i="80"/>
  <c r="A4715" i="80"/>
  <c r="A4714" i="80"/>
  <c r="A4713" i="80"/>
  <c r="A4712" i="80"/>
  <c r="A4711" i="80"/>
  <c r="A4709" i="80"/>
  <c r="A4708" i="80"/>
  <c r="A4707" i="80"/>
  <c r="A4706" i="80"/>
  <c r="A4705" i="80"/>
  <c r="A4703" i="80"/>
  <c r="A4702" i="80"/>
  <c r="A4701" i="80"/>
  <c r="A4700" i="80"/>
  <c r="A4699" i="80"/>
  <c r="A4697" i="80"/>
  <c r="A4696" i="80"/>
  <c r="A4695" i="80"/>
  <c r="A4694" i="80"/>
  <c r="A4693" i="80"/>
  <c r="A4691" i="80"/>
  <c r="A4690" i="80"/>
  <c r="A4689" i="80"/>
  <c r="A4688" i="80"/>
  <c r="A4687" i="80"/>
  <c r="A4685" i="80"/>
  <c r="A4684" i="80"/>
  <c r="A4683" i="80"/>
  <c r="A4682" i="80"/>
  <c r="A4681" i="80"/>
  <c r="A4679" i="80"/>
  <c r="A4678" i="80"/>
  <c r="A4677" i="80"/>
  <c r="A4676" i="80"/>
  <c r="A4675" i="80"/>
  <c r="A4673" i="80"/>
  <c r="A4672" i="80"/>
  <c r="A4671" i="80"/>
  <c r="A4670" i="80"/>
  <c r="A4669" i="80"/>
  <c r="A4667" i="80"/>
  <c r="A4666" i="80"/>
  <c r="A4665" i="80"/>
  <c r="A4664" i="80"/>
  <c r="A4663" i="80"/>
  <c r="A4661" i="80"/>
  <c r="A4660" i="80"/>
  <c r="A4659" i="80"/>
  <c r="A4658" i="80"/>
  <c r="A4657" i="80"/>
  <c r="A4655" i="80"/>
  <c r="A4654" i="80"/>
  <c r="A4653" i="80"/>
  <c r="A4652" i="80"/>
  <c r="A4651" i="80"/>
  <c r="A4649" i="80"/>
  <c r="A4648" i="80"/>
  <c r="A4647" i="80"/>
  <c r="A4646" i="80"/>
  <c r="A4645" i="80"/>
  <c r="A4643" i="80"/>
  <c r="A4642" i="80"/>
  <c r="A4641" i="80"/>
  <c r="A4640" i="80"/>
  <c r="A4639" i="80"/>
  <c r="A4637" i="80"/>
  <c r="A4636" i="80"/>
  <c r="A4635" i="80"/>
  <c r="A4634" i="80"/>
  <c r="A4633" i="80"/>
  <c r="A4631" i="80"/>
  <c r="A4630" i="80"/>
  <c r="A4629" i="80"/>
  <c r="A4628" i="80"/>
  <c r="A4627" i="80"/>
  <c r="A4625" i="80"/>
  <c r="A4624" i="80"/>
  <c r="A4623" i="80"/>
  <c r="A4622" i="80"/>
  <c r="A4621" i="80"/>
  <c r="A4619" i="80"/>
  <c r="A4618" i="80"/>
  <c r="A4617" i="80"/>
  <c r="A4616" i="80"/>
  <c r="A4615" i="80"/>
  <c r="A4613" i="80"/>
  <c r="A4612" i="80"/>
  <c r="A4611" i="80"/>
  <c r="A4610" i="80"/>
  <c r="A4609" i="80"/>
  <c r="A4607" i="80"/>
  <c r="A4606" i="80"/>
  <c r="A4605" i="80"/>
  <c r="A4604" i="80"/>
  <c r="A4603" i="80"/>
  <c r="A4601" i="80"/>
  <c r="A4600" i="80"/>
  <c r="A4599" i="80"/>
  <c r="A4598" i="80"/>
  <c r="A4597" i="80"/>
  <c r="A4595" i="80"/>
  <c r="A4594" i="80"/>
  <c r="A4593" i="80"/>
  <c r="A4592" i="80"/>
  <c r="A4591" i="80"/>
  <c r="A4589" i="80"/>
  <c r="A4588" i="80"/>
  <c r="A4587" i="80"/>
  <c r="A4586" i="80"/>
  <c r="A4585" i="80"/>
  <c r="A4583" i="80"/>
  <c r="A4582" i="80"/>
  <c r="A4581" i="80"/>
  <c r="A4580" i="80"/>
  <c r="A4579" i="80"/>
  <c r="A4577" i="80"/>
  <c r="A4576" i="80"/>
  <c r="A4575" i="80"/>
  <c r="A4574" i="80"/>
  <c r="A4573" i="80"/>
  <c r="A4571" i="80"/>
  <c r="A4570" i="80"/>
  <c r="A4569" i="80"/>
  <c r="A4568" i="80"/>
  <c r="A4567" i="80"/>
  <c r="A4565" i="80"/>
  <c r="A4564" i="80"/>
  <c r="A4563" i="80"/>
  <c r="A4562" i="80"/>
  <c r="A4561" i="80"/>
  <c r="A4559" i="80"/>
  <c r="A4558" i="80"/>
  <c r="A4557" i="80"/>
  <c r="A4556" i="80"/>
  <c r="A4555" i="80"/>
  <c r="A4553" i="80"/>
  <c r="A4552" i="80"/>
  <c r="A4551" i="80"/>
  <c r="A4550" i="80"/>
  <c r="A4549" i="80"/>
  <c r="A4547" i="80"/>
  <c r="A4546" i="80"/>
  <c r="A4545" i="80"/>
  <c r="A4544" i="80"/>
  <c r="A4543" i="80"/>
  <c r="A4541" i="80"/>
  <c r="A4540" i="80"/>
  <c r="A4539" i="80"/>
  <c r="A4538" i="80"/>
  <c r="A4537" i="80"/>
  <c r="A4535" i="80"/>
  <c r="A4534" i="80"/>
  <c r="A4533" i="80"/>
  <c r="A4532" i="80"/>
  <c r="A4531" i="80"/>
  <c r="A4529" i="80"/>
  <c r="A4528" i="80"/>
  <c r="A4527" i="80"/>
  <c r="A4526" i="80"/>
  <c r="A4525" i="80"/>
  <c r="A4523" i="80"/>
  <c r="A4522" i="80"/>
  <c r="A4521" i="80"/>
  <c r="A4520" i="80"/>
  <c r="A4519" i="80"/>
  <c r="A4517" i="80"/>
  <c r="A4516" i="80"/>
  <c r="A4515" i="80"/>
  <c r="A4514" i="80"/>
  <c r="A4513" i="80"/>
  <c r="A4511" i="80"/>
  <c r="A4510" i="80"/>
  <c r="A4509" i="80"/>
  <c r="A4508" i="80"/>
  <c r="A4507" i="80"/>
  <c r="A4505" i="80"/>
  <c r="A4504" i="80"/>
  <c r="A4503" i="80"/>
  <c r="A4502" i="80"/>
  <c r="A4501" i="80"/>
  <c r="A4499" i="80"/>
  <c r="A4498" i="80"/>
  <c r="A4497" i="80"/>
  <c r="A4496" i="80"/>
  <c r="A4495" i="80"/>
  <c r="A4493" i="80"/>
  <c r="A4492" i="80"/>
  <c r="A4491" i="80"/>
  <c r="A4490" i="80"/>
  <c r="A4489" i="80"/>
  <c r="A4487" i="80"/>
  <c r="A4486" i="80"/>
  <c r="A4485" i="80"/>
  <c r="A4484" i="80"/>
  <c r="A4483" i="80"/>
  <c r="A4481" i="80"/>
  <c r="A4480" i="80"/>
  <c r="A4479" i="80"/>
  <c r="A4478" i="80"/>
  <c r="A4477" i="80"/>
  <c r="A4476" i="80"/>
  <c r="A4475" i="80"/>
  <c r="A4474" i="80"/>
  <c r="A4473" i="80"/>
  <c r="A4472" i="80"/>
  <c r="A4471" i="80"/>
  <c r="A4470" i="80"/>
  <c r="H4470" i="79"/>
  <c r="A4469" i="80"/>
  <c r="A4468" i="80"/>
  <c r="A4467" i="80"/>
  <c r="A4466" i="80"/>
  <c r="A4465" i="80"/>
  <c r="A4464" i="80"/>
  <c r="A4462" i="80"/>
  <c r="A4461" i="80"/>
  <c r="A4460" i="80"/>
  <c r="A4459" i="80"/>
  <c r="A4458" i="80"/>
  <c r="A4456" i="80"/>
  <c r="A4455" i="80"/>
  <c r="A4454" i="80"/>
  <c r="A4453" i="80"/>
  <c r="A4452" i="80"/>
  <c r="A4450" i="80"/>
  <c r="A4449" i="80"/>
  <c r="A4448" i="80"/>
  <c r="A4447" i="80"/>
  <c r="A4446" i="80"/>
  <c r="A4444" i="80"/>
  <c r="A4443" i="80"/>
  <c r="A4442" i="80"/>
  <c r="A4441" i="80"/>
  <c r="A4440" i="80"/>
  <c r="A4438" i="80"/>
  <c r="A4437" i="80"/>
  <c r="A4436" i="80"/>
  <c r="A4435" i="80"/>
  <c r="A4434" i="80"/>
  <c r="A4432" i="80"/>
  <c r="A4431" i="80"/>
  <c r="A4430" i="80"/>
  <c r="A4429" i="80"/>
  <c r="A4428" i="80"/>
  <c r="A4426" i="80"/>
  <c r="A4425" i="80"/>
  <c r="A4424" i="80"/>
  <c r="A4423" i="80"/>
  <c r="A4422" i="80"/>
  <c r="A4420" i="80"/>
  <c r="A4419" i="80"/>
  <c r="A4418" i="80"/>
  <c r="A4417" i="80"/>
  <c r="A4416" i="80"/>
  <c r="H4416" i="79"/>
  <c r="A4415" i="80"/>
  <c r="A4414" i="80"/>
  <c r="A4413" i="80"/>
  <c r="A4412" i="80"/>
  <c r="A4411" i="80"/>
  <c r="A4410" i="80"/>
  <c r="H20" i="24"/>
  <c r="H4410" i="79"/>
  <c r="A4409" i="80"/>
  <c r="A4408" i="80"/>
  <c r="A4407" i="80"/>
  <c r="A4406" i="80"/>
  <c r="A4405" i="80"/>
  <c r="A4404" i="80"/>
  <c r="H4404" i="79"/>
  <c r="A4403" i="80"/>
  <c r="A4402" i="80"/>
  <c r="A4401" i="80"/>
  <c r="A4400" i="80"/>
  <c r="A4399" i="80"/>
  <c r="A4398" i="80"/>
  <c r="H4398" i="79"/>
  <c r="A4397" i="80"/>
  <c r="A4396" i="80"/>
  <c r="A4395" i="80"/>
  <c r="A4394" i="80"/>
  <c r="A4393" i="80"/>
  <c r="A4392" i="80"/>
  <c r="H4392" i="79"/>
  <c r="A4391" i="80"/>
  <c r="A4390" i="80"/>
  <c r="A4389" i="80"/>
  <c r="A4388" i="80"/>
  <c r="A4387" i="80"/>
  <c r="A4386" i="80"/>
  <c r="H4386" i="79"/>
  <c r="A4385" i="80"/>
  <c r="A4384" i="80"/>
  <c r="A4383" i="80"/>
  <c r="A4382" i="80"/>
  <c r="A4381" i="80"/>
  <c r="A4380" i="80"/>
  <c r="H4380" i="79"/>
  <c r="A4379" i="80"/>
  <c r="A4378" i="80"/>
  <c r="A4377" i="80"/>
  <c r="A4376" i="80"/>
  <c r="A4375" i="80"/>
  <c r="A4374" i="80"/>
  <c r="H4374" i="79"/>
  <c r="A4373" i="80"/>
  <c r="A4372" i="80"/>
  <c r="A4371" i="80"/>
  <c r="A4370" i="80"/>
  <c r="A4369" i="80"/>
  <c r="A4368" i="80"/>
  <c r="H4368" i="79"/>
  <c r="A4367" i="80"/>
  <c r="A4366" i="80"/>
  <c r="A4365" i="80"/>
  <c r="A4364" i="80"/>
  <c r="A4363" i="80"/>
  <c r="A4362" i="80"/>
  <c r="H4362" i="79"/>
  <c r="A4361" i="80"/>
  <c r="A4360" i="80"/>
  <c r="A4359" i="80"/>
  <c r="A4358" i="80"/>
  <c r="A4357" i="80"/>
  <c r="A4356" i="80"/>
  <c r="G20" i="24"/>
  <c r="H4356" i="79"/>
  <c r="A4355" i="80"/>
  <c r="A4354" i="80"/>
  <c r="A4353" i="80"/>
  <c r="A4352" i="80"/>
  <c r="A4351" i="80"/>
  <c r="A4350" i="80"/>
  <c r="H4350" i="79"/>
  <c r="A4349" i="80"/>
  <c r="A4348" i="80"/>
  <c r="A4347" i="80"/>
  <c r="A4346" i="80"/>
  <c r="A4345" i="80"/>
  <c r="A4344" i="80"/>
  <c r="H4344" i="79"/>
  <c r="A4343" i="80"/>
  <c r="A4342" i="80"/>
  <c r="A4341" i="80"/>
  <c r="A4340" i="80"/>
  <c r="A4339" i="80"/>
  <c r="A4338" i="80"/>
  <c r="H4338" i="79"/>
  <c r="A4337" i="80"/>
  <c r="A4336" i="80"/>
  <c r="A4335" i="80"/>
  <c r="A4334" i="80"/>
  <c r="A4333" i="80"/>
  <c r="A4332" i="80"/>
  <c r="H4332" i="79"/>
  <c r="A4331" i="80"/>
  <c r="A4330" i="80"/>
  <c r="A4329" i="80"/>
  <c r="A4328" i="80"/>
  <c r="A4327" i="80"/>
  <c r="A4326" i="80"/>
  <c r="H4326" i="79"/>
  <c r="A4325" i="80"/>
  <c r="A4324" i="80"/>
  <c r="A4323" i="80"/>
  <c r="A4322" i="80"/>
  <c r="A4321" i="80"/>
  <c r="A4320" i="80"/>
  <c r="H4320" i="79"/>
  <c r="A4319" i="80"/>
  <c r="A4318" i="80"/>
  <c r="A4317" i="80"/>
  <c r="A4316" i="80"/>
  <c r="A4315" i="80"/>
  <c r="A4314" i="80"/>
  <c r="H4314" i="79"/>
  <c r="A4313" i="80"/>
  <c r="A4312" i="80"/>
  <c r="A4311" i="80"/>
  <c r="A4310" i="80"/>
  <c r="A4309" i="80"/>
  <c r="A4308" i="80"/>
  <c r="H4308" i="79"/>
  <c r="A4307" i="80"/>
  <c r="A4306" i="80"/>
  <c r="A4305" i="80"/>
  <c r="A4304" i="80"/>
  <c r="A4303" i="80"/>
  <c r="A4302" i="80"/>
  <c r="A4300" i="80"/>
  <c r="A4299" i="80"/>
  <c r="A4298" i="80"/>
  <c r="A4297" i="80"/>
  <c r="A4296" i="80"/>
  <c r="A4294" i="80"/>
  <c r="A4293" i="80"/>
  <c r="A4292" i="80"/>
  <c r="A4291" i="80"/>
  <c r="A4290" i="80"/>
  <c r="A4288" i="80"/>
  <c r="A4287" i="80"/>
  <c r="A4286" i="80"/>
  <c r="A4285" i="80"/>
  <c r="A4284" i="80"/>
  <c r="H4284" i="79"/>
  <c r="A4283" i="80"/>
  <c r="A4282" i="80"/>
  <c r="A4281" i="80"/>
  <c r="A4280" i="80"/>
  <c r="A4279" i="80"/>
  <c r="A4278" i="80"/>
  <c r="A4276" i="80"/>
  <c r="A4275" i="80"/>
  <c r="A4274" i="80"/>
  <c r="A4273" i="80"/>
  <c r="A4272" i="80"/>
  <c r="A4270" i="80"/>
  <c r="A4269" i="80"/>
  <c r="A4268" i="80"/>
  <c r="A4267" i="80"/>
  <c r="A4266" i="80"/>
  <c r="A4264" i="80"/>
  <c r="A4263" i="80"/>
  <c r="A4262" i="80"/>
  <c r="A4261" i="80"/>
  <c r="A4260" i="80"/>
  <c r="A4258" i="80"/>
  <c r="A4257" i="80"/>
  <c r="A4256" i="80"/>
  <c r="A4255" i="80"/>
  <c r="A4254" i="80"/>
  <c r="H4254" i="79"/>
  <c r="A4253" i="80"/>
  <c r="A4252" i="80"/>
  <c r="A4251" i="80"/>
  <c r="A4250" i="80"/>
  <c r="A4249" i="80"/>
  <c r="A4248" i="80"/>
  <c r="E20" i="24"/>
  <c r="H4248" i="79"/>
  <c r="A4247" i="80"/>
  <c r="A4246" i="80"/>
  <c r="A4245" i="80"/>
  <c r="A4244" i="80"/>
  <c r="A4243" i="80"/>
  <c r="A4242" i="80"/>
  <c r="H4242" i="79"/>
  <c r="A4241" i="80"/>
  <c r="A4240" i="80"/>
  <c r="A4239" i="80"/>
  <c r="A4238" i="80"/>
  <c r="A4237" i="80"/>
  <c r="A4236" i="80"/>
  <c r="H4236" i="79"/>
  <c r="A4235" i="80"/>
  <c r="A4234" i="80"/>
  <c r="A4233" i="80"/>
  <c r="A4232" i="80"/>
  <c r="A4231" i="80"/>
  <c r="A4230" i="80"/>
  <c r="H4230" i="79"/>
  <c r="A4229" i="80"/>
  <c r="A4228" i="80"/>
  <c r="A4227" i="80"/>
  <c r="A4226" i="80"/>
  <c r="A4225" i="80"/>
  <c r="A4224" i="80"/>
  <c r="H4224" i="79"/>
  <c r="A4223" i="80"/>
  <c r="A4222" i="80"/>
  <c r="A4221" i="80"/>
  <c r="A4220" i="80"/>
  <c r="A4219" i="80"/>
  <c r="A4218" i="80"/>
  <c r="H4218" i="79"/>
  <c r="A4217" i="80"/>
  <c r="A4216" i="80"/>
  <c r="A4215" i="80"/>
  <c r="A4214" i="80"/>
  <c r="A4213" i="80"/>
  <c r="A4212" i="80"/>
  <c r="H4212" i="79"/>
  <c r="A4211" i="80"/>
  <c r="A4210" i="80"/>
  <c r="A4209" i="80"/>
  <c r="A4208" i="80"/>
  <c r="A4207" i="80"/>
  <c r="A4206" i="80"/>
  <c r="H4206" i="79"/>
  <c r="A4205" i="80"/>
  <c r="A4204" i="80"/>
  <c r="A4203" i="80"/>
  <c r="A4202" i="80"/>
  <c r="A4201" i="80"/>
  <c r="A4200" i="80"/>
  <c r="H4200" i="79"/>
  <c r="A4199" i="80"/>
  <c r="A4198" i="80"/>
  <c r="A4197" i="80"/>
  <c r="A4196" i="80"/>
  <c r="A4195" i="80"/>
  <c r="A4194" i="80"/>
  <c r="D20" i="24"/>
  <c r="H4194" i="79"/>
  <c r="A4193" i="80"/>
  <c r="A4192" i="80"/>
  <c r="A4191" i="80"/>
  <c r="A4190" i="80"/>
  <c r="A4189" i="80"/>
  <c r="A4188" i="80"/>
  <c r="H4188" i="79"/>
  <c r="A4187" i="80"/>
  <c r="A4186" i="80"/>
  <c r="A4185" i="80"/>
  <c r="A4184" i="80"/>
  <c r="A4183" i="80"/>
  <c r="A4182" i="80"/>
  <c r="H4182" i="79"/>
  <c r="A4181" i="80"/>
  <c r="A4180" i="80"/>
  <c r="A4179" i="80"/>
  <c r="A4178" i="80"/>
  <c r="A4177" i="80"/>
  <c r="A4176" i="80"/>
  <c r="H4176" i="79"/>
  <c r="A4175" i="80"/>
  <c r="A4174" i="80"/>
  <c r="A4173" i="80"/>
  <c r="A4172" i="80"/>
  <c r="A4171" i="80"/>
  <c r="A4170" i="80"/>
  <c r="H4170" i="79"/>
  <c r="A4169" i="80"/>
  <c r="A4168" i="80"/>
  <c r="A4167" i="80"/>
  <c r="A4166" i="80"/>
  <c r="A4165" i="80"/>
  <c r="A4164" i="80"/>
  <c r="H4164" i="79"/>
  <c r="A4163" i="80"/>
  <c r="A4162" i="80"/>
  <c r="A4161" i="80"/>
  <c r="A4160" i="80"/>
  <c r="A4159" i="80"/>
  <c r="A4158" i="80"/>
  <c r="H4158" i="79"/>
  <c r="A4157" i="80"/>
  <c r="A4156" i="80"/>
  <c r="A4155" i="80"/>
  <c r="A4154" i="80"/>
  <c r="A4153" i="80"/>
  <c r="A4152" i="80"/>
  <c r="H4152" i="79"/>
  <c r="A4151" i="80"/>
  <c r="A4150" i="80"/>
  <c r="A4149" i="80"/>
  <c r="A4148" i="80"/>
  <c r="A4147" i="80"/>
  <c r="A4146" i="80"/>
  <c r="H4146" i="79"/>
  <c r="A4145" i="80"/>
  <c r="A4144" i="80"/>
  <c r="A4143" i="80"/>
  <c r="A4142" i="80"/>
  <c r="A4141" i="80"/>
  <c r="A4140" i="80"/>
  <c r="A4138" i="80"/>
  <c r="A4137" i="80"/>
  <c r="A4136" i="80"/>
  <c r="A4135" i="80"/>
  <c r="A4134" i="80"/>
  <c r="A4132" i="80"/>
  <c r="A4131" i="80"/>
  <c r="A4130" i="80"/>
  <c r="A4129" i="80"/>
  <c r="A4128" i="80"/>
  <c r="A4126" i="80"/>
  <c r="A4125" i="80"/>
  <c r="A4124" i="80"/>
  <c r="A4123" i="80"/>
  <c r="A4122" i="80"/>
  <c r="A4120" i="80"/>
  <c r="A4119" i="80"/>
  <c r="A4118" i="80"/>
  <c r="A4117" i="80"/>
  <c r="A4116" i="80"/>
  <c r="A4114" i="80"/>
  <c r="A4113" i="80"/>
  <c r="A4112" i="80"/>
  <c r="A4111" i="80"/>
  <c r="A4110" i="80"/>
  <c r="A4108" i="80"/>
  <c r="A4107" i="80"/>
  <c r="A4106" i="80"/>
  <c r="A4105" i="80"/>
  <c r="A4104" i="80"/>
  <c r="A4102" i="80"/>
  <c r="A4101" i="80"/>
  <c r="A4100" i="80"/>
  <c r="A4099" i="80"/>
  <c r="A4098" i="80"/>
  <c r="A4096" i="80"/>
  <c r="A4095" i="80"/>
  <c r="A4094" i="80"/>
  <c r="A4093" i="80"/>
  <c r="A4092" i="80"/>
  <c r="H4092" i="79"/>
  <c r="A4091" i="80"/>
  <c r="A4090" i="80"/>
  <c r="A4089" i="80"/>
  <c r="A4088" i="80"/>
  <c r="A4087" i="80"/>
  <c r="A4086" i="80"/>
  <c r="A4084" i="80"/>
  <c r="A4083" i="80"/>
  <c r="A4082" i="80"/>
  <c r="A4081" i="80"/>
  <c r="A4080" i="80"/>
  <c r="A4078" i="80"/>
  <c r="A4077" i="80"/>
  <c r="A4076" i="80"/>
  <c r="A4075" i="80"/>
  <c r="A4074" i="80"/>
  <c r="A4072" i="80"/>
  <c r="A4071" i="80"/>
  <c r="A4070" i="80"/>
  <c r="A4069" i="80"/>
  <c r="A4068" i="80"/>
  <c r="A4066" i="80"/>
  <c r="A4065" i="80"/>
  <c r="A4064" i="80"/>
  <c r="A4063" i="80"/>
  <c r="A4062" i="80"/>
  <c r="A4060" i="80"/>
  <c r="A4059" i="80"/>
  <c r="A4058" i="80"/>
  <c r="A4057" i="80"/>
  <c r="A4056" i="80"/>
  <c r="A4054" i="80"/>
  <c r="A4053" i="80"/>
  <c r="A4052" i="80"/>
  <c r="A4051" i="80"/>
  <c r="A4050" i="80"/>
  <c r="A4048" i="80"/>
  <c r="A4047" i="80"/>
  <c r="A4046" i="80"/>
  <c r="A4045" i="80"/>
  <c r="A4044" i="80"/>
  <c r="A4042" i="80"/>
  <c r="A4041" i="80"/>
  <c r="A4040" i="80"/>
  <c r="A4039" i="80"/>
  <c r="A4038" i="80"/>
  <c r="A4036" i="80"/>
  <c r="A4035" i="80"/>
  <c r="A4034" i="80"/>
  <c r="A4033" i="80"/>
  <c r="A4032" i="80"/>
  <c r="A4030" i="80"/>
  <c r="A4029" i="80"/>
  <c r="A4028" i="80"/>
  <c r="A4027" i="80"/>
  <c r="A4026" i="80"/>
  <c r="A4024" i="80"/>
  <c r="A4023" i="80"/>
  <c r="A4022" i="80"/>
  <c r="A4021" i="80"/>
  <c r="A4020" i="80"/>
  <c r="A4018" i="80"/>
  <c r="A4017" i="80"/>
  <c r="A4016" i="80"/>
  <c r="A4015" i="80"/>
  <c r="A4014" i="80"/>
  <c r="A4012" i="80"/>
  <c r="A4011" i="80"/>
  <c r="A4010" i="80"/>
  <c r="A4009" i="80"/>
  <c r="A4008" i="80"/>
  <c r="A4006" i="80"/>
  <c r="A4005" i="80"/>
  <c r="A4004" i="80"/>
  <c r="A4003" i="80"/>
  <c r="A4002" i="80"/>
  <c r="H4002" i="79"/>
  <c r="A4001" i="80"/>
  <c r="A4000" i="80"/>
  <c r="A3999" i="80"/>
  <c r="A3998" i="80"/>
  <c r="A3997" i="80"/>
  <c r="A3996" i="80"/>
  <c r="H3996" i="79"/>
  <c r="A3995" i="80"/>
  <c r="A3994" i="80"/>
  <c r="A3993" i="80"/>
  <c r="A3992" i="80"/>
  <c r="A3991" i="80"/>
  <c r="A3990" i="80"/>
  <c r="H3990" i="79"/>
  <c r="A3989" i="80"/>
  <c r="A3988" i="80"/>
  <c r="A3987" i="80"/>
  <c r="A3986" i="80"/>
  <c r="A3985" i="80"/>
  <c r="A3984" i="80"/>
  <c r="H3984" i="79"/>
  <c r="A3983" i="80"/>
  <c r="A3982" i="80"/>
  <c r="A3981" i="80"/>
  <c r="A3980" i="80"/>
  <c r="A3979" i="80"/>
  <c r="A3978" i="80"/>
  <c r="G14" i="24"/>
  <c r="H3978" i="79"/>
  <c r="A3977" i="80"/>
  <c r="A3976" i="80"/>
  <c r="A3975" i="80"/>
  <c r="A3974" i="80"/>
  <c r="A3973" i="80"/>
  <c r="A3972" i="80"/>
  <c r="H3972" i="79"/>
  <c r="A3971" i="80"/>
  <c r="A3970" i="80"/>
  <c r="A3969" i="80"/>
  <c r="A3968" i="80"/>
  <c r="A3967" i="80"/>
  <c r="A3966" i="80"/>
  <c r="H3966" i="79"/>
  <c r="A3965" i="80"/>
  <c r="A3964" i="80"/>
  <c r="A3963" i="80"/>
  <c r="A3962" i="80"/>
  <c r="A3961" i="80"/>
  <c r="A3960" i="80"/>
  <c r="H3960" i="79"/>
  <c r="A3959" i="80"/>
  <c r="A3958" i="80"/>
  <c r="A3957" i="80"/>
  <c r="A3956" i="80"/>
  <c r="A3955" i="80"/>
  <c r="A3954" i="80"/>
  <c r="H3954" i="79"/>
  <c r="A3953" i="80"/>
  <c r="A3952" i="80"/>
  <c r="A3951" i="80"/>
  <c r="A3950" i="80"/>
  <c r="A3949" i="80"/>
  <c r="A3948" i="80"/>
  <c r="A3946" i="80"/>
  <c r="A3945" i="80"/>
  <c r="A3944" i="80"/>
  <c r="A3943" i="80"/>
  <c r="A3942" i="80"/>
  <c r="A3940" i="80"/>
  <c r="A3939" i="80"/>
  <c r="A3938" i="80"/>
  <c r="A3937" i="80"/>
  <c r="A3936" i="80"/>
  <c r="A3934" i="80"/>
  <c r="A3933" i="80"/>
  <c r="A3932" i="80"/>
  <c r="A3931" i="80"/>
  <c r="A3930" i="80"/>
  <c r="A3928" i="80"/>
  <c r="A3927" i="80"/>
  <c r="A3926" i="80"/>
  <c r="A3925" i="80"/>
  <c r="A3924" i="80"/>
  <c r="A3922" i="80"/>
  <c r="A3921" i="80"/>
  <c r="A3920" i="80"/>
  <c r="A3919" i="80"/>
  <c r="A3918" i="80"/>
  <c r="A3916" i="80"/>
  <c r="A3915" i="80"/>
  <c r="A3914" i="80"/>
  <c r="A3913" i="80"/>
  <c r="A3912" i="80"/>
  <c r="H3912" i="79"/>
  <c r="A3911" i="80"/>
  <c r="A3910" i="80"/>
  <c r="A3909" i="80"/>
  <c r="A3908" i="80"/>
  <c r="A3907" i="80"/>
  <c r="A3906" i="80"/>
  <c r="H3906" i="79"/>
  <c r="A3905" i="80"/>
  <c r="A3904" i="80"/>
  <c r="A3903" i="80"/>
  <c r="A3902" i="80"/>
  <c r="A3901" i="80"/>
  <c r="A3900" i="80"/>
  <c r="H3900" i="79"/>
  <c r="A3899" i="80"/>
  <c r="A3898" i="80"/>
  <c r="A3897" i="80"/>
  <c r="A3896" i="80"/>
  <c r="A3895" i="80"/>
  <c r="A3894" i="80"/>
  <c r="H3894" i="79"/>
  <c r="A3893" i="80"/>
  <c r="A3892" i="80"/>
  <c r="A3891" i="80"/>
  <c r="A3890" i="80"/>
  <c r="A3889" i="80"/>
  <c r="A3888" i="80"/>
  <c r="A3886" i="80"/>
  <c r="A3885" i="80"/>
  <c r="A3884" i="80"/>
  <c r="A3883" i="80"/>
  <c r="A3882" i="80"/>
  <c r="H3882" i="79"/>
  <c r="A3881" i="80"/>
  <c r="A3880" i="80"/>
  <c r="A3879" i="80"/>
  <c r="A3878" i="80"/>
  <c r="A3877" i="80"/>
  <c r="A3876" i="80"/>
  <c r="H3876" i="79"/>
  <c r="A3875" i="80"/>
  <c r="A3874" i="80"/>
  <c r="A3873" i="80"/>
  <c r="A3872" i="80"/>
  <c r="A3871" i="80"/>
  <c r="A3870" i="80"/>
  <c r="H3870" i="79"/>
  <c r="A3869" i="80"/>
  <c r="A3868" i="80"/>
  <c r="A3867" i="80"/>
  <c r="A3866" i="80"/>
  <c r="A3865" i="80"/>
  <c r="A3864" i="80"/>
  <c r="H3864" i="79"/>
  <c r="A3863" i="80"/>
  <c r="A3862" i="80"/>
  <c r="A3861" i="80"/>
  <c r="A3860" i="80"/>
  <c r="A3859" i="80"/>
  <c r="A3858" i="80"/>
  <c r="A3856" i="80"/>
  <c r="A3855" i="80"/>
  <c r="A3854" i="80"/>
  <c r="A3853" i="80"/>
  <c r="A3852" i="80"/>
  <c r="A3850" i="80"/>
  <c r="A3849" i="80"/>
  <c r="A3848" i="80"/>
  <c r="A3847" i="80"/>
  <c r="A3846" i="80"/>
  <c r="A3844" i="80"/>
  <c r="A3843" i="80"/>
  <c r="A3842" i="80"/>
  <c r="A3841" i="80"/>
  <c r="A3840" i="80"/>
  <c r="A3838" i="80"/>
  <c r="A3837" i="80"/>
  <c r="A3836" i="80"/>
  <c r="A3835" i="80"/>
  <c r="A3834" i="80"/>
  <c r="A3832" i="80"/>
  <c r="A3831" i="80"/>
  <c r="A3830" i="80"/>
  <c r="A3829" i="80"/>
  <c r="A3828" i="80"/>
  <c r="A3826" i="80"/>
  <c r="A3825" i="80"/>
  <c r="A3824" i="80"/>
  <c r="A3823" i="80"/>
  <c r="A3822" i="80"/>
  <c r="A3820" i="80"/>
  <c r="A3819" i="80"/>
  <c r="A3818" i="80"/>
  <c r="A3817" i="80"/>
  <c r="A3816" i="80"/>
  <c r="A3814" i="80"/>
  <c r="A3813" i="80"/>
  <c r="A3812" i="80"/>
  <c r="A3811" i="80"/>
  <c r="A3810" i="80"/>
  <c r="A3808" i="80"/>
  <c r="A3807" i="80"/>
  <c r="A3806" i="80"/>
  <c r="A3805" i="80"/>
  <c r="A3804" i="80"/>
  <c r="A3802" i="80"/>
  <c r="A3801" i="80"/>
  <c r="A3800" i="80"/>
  <c r="A3799" i="80"/>
  <c r="A3798" i="80"/>
  <c r="A3797" i="80"/>
  <c r="A3795" i="80"/>
  <c r="A3794" i="80"/>
  <c r="A3793" i="80"/>
  <c r="A3792" i="80"/>
  <c r="H3792" i="79"/>
  <c r="A3791" i="80"/>
  <c r="A3790" i="80"/>
  <c r="A3789" i="80"/>
  <c r="A3788" i="80"/>
  <c r="A3787" i="80"/>
  <c r="H3787" i="79"/>
  <c r="A3786" i="80"/>
  <c r="A3785" i="80"/>
  <c r="A3784" i="80"/>
  <c r="A3783" i="80"/>
  <c r="A3782" i="80"/>
  <c r="A3780" i="80"/>
  <c r="A3779" i="80"/>
  <c r="A3778" i="80"/>
  <c r="A3777" i="80"/>
  <c r="H3777" i="79"/>
  <c r="A3776" i="80"/>
  <c r="A3775" i="80"/>
  <c r="A3774" i="80"/>
  <c r="A3773" i="80"/>
  <c r="A3772" i="80"/>
  <c r="H3772" i="79"/>
  <c r="A3771" i="80"/>
  <c r="A3770" i="80"/>
  <c r="A3769" i="80"/>
  <c r="A3768" i="80"/>
  <c r="A3767" i="80"/>
  <c r="H3767" i="79"/>
  <c r="A3766" i="80"/>
  <c r="A3765" i="80"/>
  <c r="A3764" i="80"/>
  <c r="A3763" i="80"/>
  <c r="A3762" i="80"/>
  <c r="H3762" i="79"/>
  <c r="A3761" i="80"/>
  <c r="A3760" i="80"/>
  <c r="A3759" i="80"/>
  <c r="A3758" i="80"/>
  <c r="A3756" i="80"/>
  <c r="A3755" i="80"/>
  <c r="A3754" i="80"/>
  <c r="A3753" i="80"/>
  <c r="A3752" i="80"/>
  <c r="A3750" i="80"/>
  <c r="A3749" i="80"/>
  <c r="A3748" i="80"/>
  <c r="A3747" i="80"/>
  <c r="A3746" i="80"/>
  <c r="A3744" i="80"/>
  <c r="A3743" i="80"/>
  <c r="A3742" i="80"/>
  <c r="A3741" i="80"/>
  <c r="A3740" i="80"/>
  <c r="A3738" i="80"/>
  <c r="A3737" i="80"/>
  <c r="A3736" i="80"/>
  <c r="A3735" i="80"/>
  <c r="A3734" i="80"/>
  <c r="H9" i="24"/>
  <c r="H3734" i="79"/>
  <c r="A3733" i="80"/>
  <c r="A3732" i="80"/>
  <c r="A3731" i="80"/>
  <c r="A3730" i="80"/>
  <c r="A3729" i="80"/>
  <c r="A3728" i="80"/>
  <c r="H3728" i="79"/>
  <c r="A3727" i="80"/>
  <c r="A3726" i="80"/>
  <c r="A3725" i="80"/>
  <c r="A3724" i="80"/>
  <c r="A3723" i="80"/>
  <c r="A3722" i="80"/>
  <c r="H3722" i="79"/>
  <c r="A3721" i="80"/>
  <c r="A3720" i="80"/>
  <c r="A3719" i="80"/>
  <c r="A3718" i="80"/>
  <c r="A3717" i="80"/>
  <c r="A3716" i="80"/>
  <c r="H3716" i="79"/>
  <c r="A3715" i="80"/>
  <c r="A3714" i="80"/>
  <c r="A3713" i="80"/>
  <c r="A3712" i="80"/>
  <c r="A3711" i="80"/>
  <c r="A3710" i="80"/>
  <c r="G9" i="24"/>
  <c r="H3710" i="79"/>
  <c r="A3709" i="80"/>
  <c r="A3708" i="80"/>
  <c r="A3707" i="80"/>
  <c r="A3706" i="80"/>
  <c r="A3705" i="80"/>
  <c r="A3704" i="80"/>
  <c r="H3704" i="79"/>
  <c r="A3703" i="80"/>
  <c r="A3702" i="80"/>
  <c r="A3701" i="80"/>
  <c r="A3700" i="80"/>
  <c r="A3699" i="80"/>
  <c r="A3698" i="80"/>
  <c r="H3698" i="79"/>
  <c r="A3697" i="80"/>
  <c r="A3696" i="80"/>
  <c r="A3695" i="80"/>
  <c r="A3694" i="80"/>
  <c r="A3693" i="80"/>
  <c r="A3692" i="80"/>
  <c r="H3692" i="79"/>
  <c r="A3691" i="80"/>
  <c r="A3690" i="80"/>
  <c r="A3689" i="80"/>
  <c r="A3688" i="80"/>
  <c r="A3687" i="80"/>
  <c r="A3686" i="80"/>
  <c r="A3684" i="80"/>
  <c r="A3683" i="80"/>
  <c r="A3682" i="80"/>
  <c r="A3681" i="80"/>
  <c r="A3680" i="80"/>
  <c r="A3678" i="80"/>
  <c r="A3677" i="80"/>
  <c r="A3676" i="80"/>
  <c r="A3675" i="80"/>
  <c r="A3674" i="80"/>
  <c r="A3672" i="80"/>
  <c r="A3671" i="80"/>
  <c r="A3670" i="80"/>
  <c r="A3669" i="80"/>
  <c r="A3668" i="80"/>
  <c r="A3666" i="80"/>
  <c r="A3665" i="80"/>
  <c r="A3664" i="80"/>
  <c r="A3663" i="80"/>
  <c r="A3662" i="80"/>
  <c r="E9" i="24"/>
  <c r="H3662" i="79"/>
  <c r="A3661" i="80"/>
  <c r="A3660" i="80"/>
  <c r="A3659" i="80"/>
  <c r="A3658" i="80"/>
  <c r="A3657" i="80"/>
  <c r="A3656" i="80"/>
  <c r="H3656" i="79"/>
  <c r="A3655" i="80"/>
  <c r="A3654" i="80"/>
  <c r="A3653" i="80"/>
  <c r="A3652" i="80"/>
  <c r="A3651" i="80"/>
  <c r="A3650" i="80"/>
  <c r="H3650" i="79"/>
  <c r="A3649" i="80"/>
  <c r="A3648" i="80"/>
  <c r="A3647" i="80"/>
  <c r="A3646" i="80"/>
  <c r="A3645" i="80"/>
  <c r="A3644" i="80"/>
  <c r="H3644" i="79"/>
  <c r="A3643" i="80"/>
  <c r="A3642" i="80"/>
  <c r="A3641" i="80"/>
  <c r="A3640" i="80"/>
  <c r="A3639" i="80"/>
  <c r="A3638" i="80"/>
  <c r="D9" i="24"/>
  <c r="H3638" i="79"/>
  <c r="A3637" i="80"/>
  <c r="A3636" i="80"/>
  <c r="A3635" i="80"/>
  <c r="A3634" i="80"/>
  <c r="A3633" i="80"/>
  <c r="A3632" i="80"/>
  <c r="H3632" i="79"/>
  <c r="A3631" i="80"/>
  <c r="A3630" i="80"/>
  <c r="A3629" i="80"/>
  <c r="A3628" i="80"/>
  <c r="A3627" i="80"/>
  <c r="A3626" i="80"/>
  <c r="H3626" i="79"/>
  <c r="A3625" i="80"/>
  <c r="A3624" i="80"/>
  <c r="A3623" i="80"/>
  <c r="A3622" i="80"/>
  <c r="A3621" i="80"/>
  <c r="A3620" i="80"/>
  <c r="H3620" i="79"/>
  <c r="A3619" i="80"/>
  <c r="A3618" i="80"/>
  <c r="A3617" i="80"/>
  <c r="A3616" i="80"/>
  <c r="A3615" i="80"/>
  <c r="A3614" i="80"/>
  <c r="A3612" i="80"/>
  <c r="A3611" i="80"/>
  <c r="A3610" i="80"/>
  <c r="A3609" i="80"/>
  <c r="A3608" i="80"/>
  <c r="A3606" i="80"/>
  <c r="A3605" i="80"/>
  <c r="A3604" i="80"/>
  <c r="A3603" i="80"/>
  <c r="A3602" i="80"/>
  <c r="A3600" i="80"/>
  <c r="A3599" i="80"/>
  <c r="A3598" i="80"/>
  <c r="A3597" i="80"/>
  <c r="A3596" i="80"/>
  <c r="A3594" i="80"/>
  <c r="A3593" i="80"/>
  <c r="A3592" i="80"/>
  <c r="A3591" i="80"/>
  <c r="A3590" i="80"/>
  <c r="A3588" i="80"/>
  <c r="A3587" i="80"/>
  <c r="A3586" i="80"/>
  <c r="A3585" i="80"/>
  <c r="A3584" i="80"/>
  <c r="A3582" i="80"/>
  <c r="A3581" i="80"/>
  <c r="A3580" i="80"/>
  <c r="A3579" i="80"/>
  <c r="A3578" i="80"/>
  <c r="A3576" i="80"/>
  <c r="A3575" i="80"/>
  <c r="A3574" i="80"/>
  <c r="A3573" i="80"/>
  <c r="A3572" i="80"/>
  <c r="A3570" i="80"/>
  <c r="A3569" i="80"/>
  <c r="A3568" i="80"/>
  <c r="A3567" i="80"/>
  <c r="A3566" i="80"/>
  <c r="A3565" i="80"/>
  <c r="A3564" i="80"/>
  <c r="A3563" i="80"/>
  <c r="A3562" i="80"/>
  <c r="A3561" i="80"/>
  <c r="A3560" i="80"/>
  <c r="A3559" i="80"/>
  <c r="A3557" i="80"/>
  <c r="A3556" i="80"/>
  <c r="A3555" i="80"/>
  <c r="A3554" i="80"/>
  <c r="A3553" i="80"/>
  <c r="A3551" i="80"/>
  <c r="A3550" i="80"/>
  <c r="A3549" i="80"/>
  <c r="A3548" i="80"/>
  <c r="A3547" i="80"/>
  <c r="A3545" i="80"/>
  <c r="A3544" i="80"/>
  <c r="A3543" i="80"/>
  <c r="A3542" i="80"/>
  <c r="A3541" i="80"/>
  <c r="A3539" i="80"/>
  <c r="A3538" i="80"/>
  <c r="A3537" i="80"/>
  <c r="A3536" i="80"/>
  <c r="A3535" i="80"/>
  <c r="A3533" i="80"/>
  <c r="A3532" i="80"/>
  <c r="A3531" i="80"/>
  <c r="A3530" i="80"/>
  <c r="A3529" i="80"/>
  <c r="A3527" i="80"/>
  <c r="A3526" i="80"/>
  <c r="A3525" i="80"/>
  <c r="A3524" i="80"/>
  <c r="A3523" i="80"/>
  <c r="A3521" i="80"/>
  <c r="A3520" i="80"/>
  <c r="A3519" i="80"/>
  <c r="A3518" i="80"/>
  <c r="A3517" i="80"/>
  <c r="A3515" i="80"/>
  <c r="A3514" i="80"/>
  <c r="A3513" i="80"/>
  <c r="A3512" i="80"/>
  <c r="A3511" i="80"/>
  <c r="A3509" i="80"/>
  <c r="A3508" i="80"/>
  <c r="A3507" i="80"/>
  <c r="A3506" i="80"/>
  <c r="A3505" i="80"/>
  <c r="A3503" i="80"/>
  <c r="A3502" i="80"/>
  <c r="A3501" i="80"/>
  <c r="A3500" i="80"/>
  <c r="A3499" i="80"/>
  <c r="A3497" i="80"/>
  <c r="A3496" i="80"/>
  <c r="A3495" i="80"/>
  <c r="A3494" i="80"/>
  <c r="A3493" i="80"/>
  <c r="A3491" i="80"/>
  <c r="A3490" i="80"/>
  <c r="A3489" i="80"/>
  <c r="A3488" i="80"/>
  <c r="A3487" i="80"/>
  <c r="A3485" i="80"/>
  <c r="A3484" i="80"/>
  <c r="A3483" i="80"/>
  <c r="A3482" i="80"/>
  <c r="A3481" i="80"/>
  <c r="A3479" i="80"/>
  <c r="A3478" i="80"/>
  <c r="A3477" i="80"/>
  <c r="A3476" i="80"/>
  <c r="A3475" i="80"/>
  <c r="A3473" i="80"/>
  <c r="A3472" i="80"/>
  <c r="A3471" i="80"/>
  <c r="A3470" i="80"/>
  <c r="A3469" i="80"/>
  <c r="A3467" i="80"/>
  <c r="A3466" i="80"/>
  <c r="A3465" i="80"/>
  <c r="A3464" i="80"/>
  <c r="A3463" i="80"/>
  <c r="A3461" i="80"/>
  <c r="A3460" i="80"/>
  <c r="A3459" i="80"/>
  <c r="A3458" i="80"/>
  <c r="A3457" i="80"/>
  <c r="A3455" i="80"/>
  <c r="A3454" i="80"/>
  <c r="A3453" i="80"/>
  <c r="A3452" i="80"/>
  <c r="A3451" i="80"/>
  <c r="A3449" i="80"/>
  <c r="A3448" i="80"/>
  <c r="A3447" i="80"/>
  <c r="A3446" i="80"/>
  <c r="A3445" i="80"/>
  <c r="A3443" i="80"/>
  <c r="A3442" i="80"/>
  <c r="A3441" i="80"/>
  <c r="A3440" i="80"/>
  <c r="A3439" i="80"/>
  <c r="A3437" i="80"/>
  <c r="A3436" i="80"/>
  <c r="A3435" i="80"/>
  <c r="A3434" i="80"/>
  <c r="A3433" i="80"/>
  <c r="A3431" i="80"/>
  <c r="A3430" i="80"/>
  <c r="A3429" i="80"/>
  <c r="A3428" i="80"/>
  <c r="A3427" i="80"/>
  <c r="A3425" i="80"/>
  <c r="A3424" i="80"/>
  <c r="A3423" i="80"/>
  <c r="A3422" i="80"/>
  <c r="A3421" i="80"/>
  <c r="A3419" i="80"/>
  <c r="A3418" i="80"/>
  <c r="A3417" i="80"/>
  <c r="A3416" i="80"/>
  <c r="A3415" i="80"/>
  <c r="A3413" i="80"/>
  <c r="A3412" i="80"/>
  <c r="A3411" i="80"/>
  <c r="A3410" i="80"/>
  <c r="A3409" i="80"/>
  <c r="A3407" i="80"/>
  <c r="A3406" i="80"/>
  <c r="A3405" i="80"/>
  <c r="A3404" i="80"/>
  <c r="A3403" i="80"/>
  <c r="A3401" i="80"/>
  <c r="A3400" i="80"/>
  <c r="A3399" i="80"/>
  <c r="A3398" i="80"/>
  <c r="A3397" i="80"/>
  <c r="A3395" i="80"/>
  <c r="A3394" i="80"/>
  <c r="A3393" i="80"/>
  <c r="A3392" i="80"/>
  <c r="A3391" i="80"/>
  <c r="A3390" i="80"/>
  <c r="A3388" i="80"/>
  <c r="A3387" i="80"/>
  <c r="A3386" i="80"/>
  <c r="A3385" i="80"/>
  <c r="A3383" i="80"/>
  <c r="A3382" i="80"/>
  <c r="A3381" i="80"/>
  <c r="A3380" i="80"/>
  <c r="A3378" i="80"/>
  <c r="A3377" i="80"/>
  <c r="A3376" i="80"/>
  <c r="A3375" i="80"/>
  <c r="A3373" i="80"/>
  <c r="A3372" i="80"/>
  <c r="A3371" i="80"/>
  <c r="A3370" i="80"/>
  <c r="A3368" i="80"/>
  <c r="A3367" i="80"/>
  <c r="A3366" i="80"/>
  <c r="A3365" i="80"/>
  <c r="A3363" i="80"/>
  <c r="A3362" i="80"/>
  <c r="A3361" i="80"/>
  <c r="A3360" i="80"/>
  <c r="A3358" i="80"/>
  <c r="A3357" i="80"/>
  <c r="A3356" i="80"/>
  <c r="A3355" i="80"/>
  <c r="A3353" i="80"/>
  <c r="A3352" i="80"/>
  <c r="A3351" i="80"/>
  <c r="A3350" i="80"/>
  <c r="A3348" i="80"/>
  <c r="A3347" i="80"/>
  <c r="A3346" i="80"/>
  <c r="A3345" i="80"/>
  <c r="A3343" i="80"/>
  <c r="A3342" i="80"/>
  <c r="A3341" i="80"/>
  <c r="A3340" i="80"/>
  <c r="A3338" i="80"/>
  <c r="A3337" i="80"/>
  <c r="A3336" i="80"/>
  <c r="A3335" i="80"/>
  <c r="A3333" i="80"/>
  <c r="A3332" i="80"/>
  <c r="A3331" i="80"/>
  <c r="A3330" i="80"/>
  <c r="A3328" i="80"/>
  <c r="A3327" i="80"/>
  <c r="A3326" i="80"/>
  <c r="A3325" i="80"/>
  <c r="A3323" i="80"/>
  <c r="A3322" i="80"/>
  <c r="A3321" i="80"/>
  <c r="A3320" i="80"/>
  <c r="A3318" i="80"/>
  <c r="A3317" i="80"/>
  <c r="A3316" i="80"/>
  <c r="A3315" i="80"/>
  <c r="A3313" i="80"/>
  <c r="A3312" i="80"/>
  <c r="A3311" i="80"/>
  <c r="A3310" i="80"/>
  <c r="A3308" i="80"/>
  <c r="A3307" i="80"/>
  <c r="A3306" i="80"/>
  <c r="A3305" i="80"/>
  <c r="A3303" i="80"/>
  <c r="A3302" i="80"/>
  <c r="A3301" i="80"/>
  <c r="A3300" i="80"/>
  <c r="A3298" i="80"/>
  <c r="A3297" i="80"/>
  <c r="A3296" i="80"/>
  <c r="A3295" i="80"/>
  <c r="A3293" i="80"/>
  <c r="A3292" i="80"/>
  <c r="A3291" i="80"/>
  <c r="A3290" i="80"/>
  <c r="A3288" i="80"/>
  <c r="A3287" i="80"/>
  <c r="A3286" i="80"/>
  <c r="A3285" i="80"/>
  <c r="A3283" i="80"/>
  <c r="A3282" i="80"/>
  <c r="A3281" i="80"/>
  <c r="A3280" i="80"/>
  <c r="A3278" i="80"/>
  <c r="A3277" i="80"/>
  <c r="A3276" i="80"/>
  <c r="A3275" i="80"/>
  <c r="A3273" i="80"/>
  <c r="A3272" i="80"/>
  <c r="A3271" i="80"/>
  <c r="A3270" i="80"/>
  <c r="A3268" i="80"/>
  <c r="A3267" i="80"/>
  <c r="A3266" i="80"/>
  <c r="A3265" i="80"/>
  <c r="A3263" i="80"/>
  <c r="A3262" i="80"/>
  <c r="A3261" i="80"/>
  <c r="A3260" i="80"/>
  <c r="A3258" i="80"/>
  <c r="A3257" i="80"/>
  <c r="A3256" i="80"/>
  <c r="A3255" i="80"/>
  <c r="A3253" i="80"/>
  <c r="A3252" i="80"/>
  <c r="A3251" i="80"/>
  <c r="A3250" i="80"/>
  <c r="A3248" i="80"/>
  <c r="A3247" i="80"/>
  <c r="A3246" i="80"/>
  <c r="A3245" i="80"/>
  <c r="A3243" i="80"/>
  <c r="A3242" i="80"/>
  <c r="A3241" i="80"/>
  <c r="A3240" i="80"/>
  <c r="A3238" i="80"/>
  <c r="A3237" i="80"/>
  <c r="A3236" i="80"/>
  <c r="A3235" i="80"/>
  <c r="A3233" i="80"/>
  <c r="A3232" i="80"/>
  <c r="A3231" i="80"/>
  <c r="A3230" i="80"/>
  <c r="A3228" i="80"/>
  <c r="A3227" i="80"/>
  <c r="A3226" i="80"/>
  <c r="A3225" i="80"/>
  <c r="A3223" i="80"/>
  <c r="A3222" i="80"/>
  <c r="A3221" i="80"/>
  <c r="A3220" i="80"/>
  <c r="A3218" i="80"/>
  <c r="A3217" i="80"/>
  <c r="A3216" i="80"/>
  <c r="A3215" i="80"/>
  <c r="A3213" i="80"/>
  <c r="A3212" i="80"/>
  <c r="A3211" i="80"/>
  <c r="A3210" i="80"/>
  <c r="A3208" i="80"/>
  <c r="A3207" i="80"/>
  <c r="A3206" i="80"/>
  <c r="A3205" i="80"/>
  <c r="A3203" i="80"/>
  <c r="A3202" i="80"/>
  <c r="A3201" i="80"/>
  <c r="A3200" i="80"/>
  <c r="A3198" i="80"/>
  <c r="A3197" i="80"/>
  <c r="A3196" i="80"/>
  <c r="A3195" i="80"/>
  <c r="A3193" i="80"/>
  <c r="A3192" i="80"/>
  <c r="A3191" i="80"/>
  <c r="A3190" i="80"/>
  <c r="A3188" i="80"/>
  <c r="A3187" i="80"/>
  <c r="A3186" i="80"/>
  <c r="A3185" i="80"/>
  <c r="A3183" i="80"/>
  <c r="A3182" i="80"/>
  <c r="A3181" i="80"/>
  <c r="A3180" i="80"/>
  <c r="A3178" i="80"/>
  <c r="A3177" i="80"/>
  <c r="A3176" i="80"/>
  <c r="A3175" i="80"/>
  <c r="A3173" i="80"/>
  <c r="A3172" i="80"/>
  <c r="A3171" i="80"/>
  <c r="A3170" i="80"/>
  <c r="A3168" i="80"/>
  <c r="A3167" i="80"/>
  <c r="A3166" i="80"/>
  <c r="A3165" i="80"/>
  <c r="A3163" i="80"/>
  <c r="A3162" i="80"/>
  <c r="A3161" i="80"/>
  <c r="A3160" i="80"/>
  <c r="A3158" i="80"/>
  <c r="A3157" i="80"/>
  <c r="A3156" i="80"/>
  <c r="A3155" i="80"/>
  <c r="A3153" i="80"/>
  <c r="A3152" i="80"/>
  <c r="A3151" i="80"/>
  <c r="A3150" i="80"/>
  <c r="A3148" i="80"/>
  <c r="A3147" i="80"/>
  <c r="A3146" i="80"/>
  <c r="A3145" i="80"/>
  <c r="A3143" i="80"/>
  <c r="A3142" i="80"/>
  <c r="A3141" i="80"/>
  <c r="A3140" i="80"/>
  <c r="A3138" i="80"/>
  <c r="A3137" i="80"/>
  <c r="A3136" i="80"/>
  <c r="A3135" i="80"/>
  <c r="A3133" i="80"/>
  <c r="A3132" i="80"/>
  <c r="A3131" i="80"/>
  <c r="A3130" i="80"/>
  <c r="A3128" i="80"/>
  <c r="A3127" i="80"/>
  <c r="A3126" i="80"/>
  <c r="A3125" i="80"/>
  <c r="A3123" i="80"/>
  <c r="A3122" i="80"/>
  <c r="A3121" i="80"/>
  <c r="A3120" i="80"/>
  <c r="A3118" i="80"/>
  <c r="A3117" i="80"/>
  <c r="A3116" i="80"/>
  <c r="A3115" i="80"/>
  <c r="A3113" i="80"/>
  <c r="A3112" i="80"/>
  <c r="A3111" i="80"/>
  <c r="A3110" i="80"/>
  <c r="A3108" i="80"/>
  <c r="A3107" i="80"/>
  <c r="A3106" i="80"/>
  <c r="A3105" i="80"/>
  <c r="A3103" i="80"/>
  <c r="A3102" i="80"/>
  <c r="A3101" i="80"/>
  <c r="A3100" i="80"/>
  <c r="A3098" i="80"/>
  <c r="A3097" i="80"/>
  <c r="A3096" i="80"/>
  <c r="A3095" i="80"/>
  <c r="A3093" i="80"/>
  <c r="A3092" i="80"/>
  <c r="A3091" i="80"/>
  <c r="A3090" i="80"/>
  <c r="A3088" i="80"/>
  <c r="A3087" i="80"/>
  <c r="A3086" i="80"/>
  <c r="A3085" i="80"/>
  <c r="A3083" i="80"/>
  <c r="A3082" i="80"/>
  <c r="A3081" i="80"/>
  <c r="A3080" i="80"/>
  <c r="A3078" i="80"/>
  <c r="A3077" i="80"/>
  <c r="A3076" i="80"/>
  <c r="A3075" i="80"/>
  <c r="A3073" i="80"/>
  <c r="A3072" i="80"/>
  <c r="A3071" i="80"/>
  <c r="A3070" i="80"/>
  <c r="A3068" i="80"/>
  <c r="A3067" i="80"/>
  <c r="A3066" i="80"/>
  <c r="A3065" i="80"/>
  <c r="A3063" i="80"/>
  <c r="A3062" i="80"/>
  <c r="A3061" i="80"/>
  <c r="A3060" i="80"/>
  <c r="A3058" i="80"/>
  <c r="A3057" i="80"/>
  <c r="A3056" i="80"/>
  <c r="A3055" i="80"/>
  <c r="A3053" i="80"/>
  <c r="A3052" i="80"/>
  <c r="A3051" i="80"/>
  <c r="A3050" i="80"/>
  <c r="A3048" i="80"/>
  <c r="A3047" i="80"/>
  <c r="A3046" i="80"/>
  <c r="A3045" i="80"/>
  <c r="A3043" i="80"/>
  <c r="A3042" i="80"/>
  <c r="A3041" i="80"/>
  <c r="A3040" i="80"/>
  <c r="A3038" i="80"/>
  <c r="A3037" i="80"/>
  <c r="A3036" i="80"/>
  <c r="A3035" i="80"/>
  <c r="A3033" i="80"/>
  <c r="A3032" i="80"/>
  <c r="A3031" i="80"/>
  <c r="A3029" i="80"/>
  <c r="A3028" i="80"/>
  <c r="A3027" i="80"/>
  <c r="A3026" i="80"/>
  <c r="A3025" i="80"/>
  <c r="A3023" i="80"/>
  <c r="A3022" i="80"/>
  <c r="A3021" i="80"/>
  <c r="A3020" i="80"/>
  <c r="A3019" i="80"/>
  <c r="A3017" i="80"/>
  <c r="A3016" i="80"/>
  <c r="A3015" i="80"/>
  <c r="A3014" i="80"/>
  <c r="A3013" i="80"/>
  <c r="A3011" i="80"/>
  <c r="A3010" i="80"/>
  <c r="A3009" i="80"/>
  <c r="A3008" i="80"/>
  <c r="A3007" i="80"/>
  <c r="A3006" i="80"/>
  <c r="A3005" i="80"/>
  <c r="A3004" i="80"/>
  <c r="A3003" i="80"/>
  <c r="A3002" i="80"/>
  <c r="A3001" i="80"/>
  <c r="A3000" i="80"/>
  <c r="A2998" i="80"/>
  <c r="A2997" i="80"/>
  <c r="A2996" i="80"/>
  <c r="A2995" i="80"/>
  <c r="A2994" i="80"/>
  <c r="A2992" i="80"/>
  <c r="A2991" i="80"/>
  <c r="A2990" i="80"/>
  <c r="A2989" i="80"/>
  <c r="A2988" i="80"/>
  <c r="A2986" i="80"/>
  <c r="A2985" i="80"/>
  <c r="A2984" i="80"/>
  <c r="A2983" i="80"/>
  <c r="A2982" i="80"/>
  <c r="A2980" i="80"/>
  <c r="A2979" i="80"/>
  <c r="A2978" i="80"/>
  <c r="A2977" i="80"/>
  <c r="A2976" i="80"/>
  <c r="A2974" i="80"/>
  <c r="A2973" i="80"/>
  <c r="A2972" i="80"/>
  <c r="A2971" i="80"/>
  <c r="A2970" i="80"/>
  <c r="A2968" i="80"/>
  <c r="A2967" i="80"/>
  <c r="A2966" i="80"/>
  <c r="A2965" i="80"/>
  <c r="A2964" i="80"/>
  <c r="A2962" i="80"/>
  <c r="A2961" i="80"/>
  <c r="A2960" i="80"/>
  <c r="A2959" i="80"/>
  <c r="A2958" i="80"/>
  <c r="A2956" i="80"/>
  <c r="A2955" i="80"/>
  <c r="A2954" i="80"/>
  <c r="A2953" i="80"/>
  <c r="A2952" i="80"/>
  <c r="A2950" i="80"/>
  <c r="A2949" i="80"/>
  <c r="A2948" i="80"/>
  <c r="A2947" i="80"/>
  <c r="A2946" i="80"/>
  <c r="A2944" i="80"/>
  <c r="A2943" i="80"/>
  <c r="A2942" i="80"/>
  <c r="A2941" i="80"/>
  <c r="A2940" i="80"/>
  <c r="A2938" i="80"/>
  <c r="A2937" i="80"/>
  <c r="A2936" i="80"/>
  <c r="A2935" i="80"/>
  <c r="A2934" i="80"/>
  <c r="A2932" i="80"/>
  <c r="A2931" i="80"/>
  <c r="A2930" i="80"/>
  <c r="A2929" i="80"/>
  <c r="A2928" i="80"/>
  <c r="A2926" i="80"/>
  <c r="A2925" i="80"/>
  <c r="A2924" i="80"/>
  <c r="A2923" i="80"/>
  <c r="A2922" i="80"/>
  <c r="A2920" i="80"/>
  <c r="A2919" i="80"/>
  <c r="A2918" i="80"/>
  <c r="A2917" i="80"/>
  <c r="A2916" i="80"/>
  <c r="A2914" i="80"/>
  <c r="A2913" i="80"/>
  <c r="A2912" i="80"/>
  <c r="A2911" i="80"/>
  <c r="A2910" i="80"/>
  <c r="A2908" i="80"/>
  <c r="A2907" i="80"/>
  <c r="A2906" i="80"/>
  <c r="A2905" i="80"/>
  <c r="A2904" i="80"/>
  <c r="A2902" i="80"/>
  <c r="A2901" i="80"/>
  <c r="A2900" i="80"/>
  <c r="A2899" i="80"/>
  <c r="A2898" i="80"/>
  <c r="A2896" i="80"/>
  <c r="A2895" i="80"/>
  <c r="A2894" i="80"/>
  <c r="A2893" i="80"/>
  <c r="A2892" i="80"/>
  <c r="A2890" i="80"/>
  <c r="A2889" i="80"/>
  <c r="A2888" i="80"/>
  <c r="A2887" i="80"/>
  <c r="A2886" i="80"/>
  <c r="A2884" i="80"/>
  <c r="A2883" i="80"/>
  <c r="A2882" i="80"/>
  <c r="A2881" i="80"/>
  <c r="A2880" i="80"/>
  <c r="A2878" i="80"/>
  <c r="A2877" i="80"/>
  <c r="A2876" i="80"/>
  <c r="A2875" i="80"/>
  <c r="A2874" i="80"/>
  <c r="A2872" i="80"/>
  <c r="A2871" i="80"/>
  <c r="A2870" i="80"/>
  <c r="A2869" i="80"/>
  <c r="A2868" i="80"/>
  <c r="A2866" i="80"/>
  <c r="A2865" i="80"/>
  <c r="A2864" i="80"/>
  <c r="A2863" i="80"/>
  <c r="A2862" i="80"/>
  <c r="A2860" i="80"/>
  <c r="A2859" i="80"/>
  <c r="A2858" i="80"/>
  <c r="A2857" i="80"/>
  <c r="A2856" i="80"/>
  <c r="A2854" i="80"/>
  <c r="A2853" i="80"/>
  <c r="A2852" i="80"/>
  <c r="A2851" i="80"/>
  <c r="A2850" i="80"/>
  <c r="A2848" i="80"/>
  <c r="A2847" i="80"/>
  <c r="A2846" i="80"/>
  <c r="A2845" i="80"/>
  <c r="A2844" i="80"/>
  <c r="A2842" i="80"/>
  <c r="A2841" i="80"/>
  <c r="A2840" i="80"/>
  <c r="A2839" i="80"/>
  <c r="A2838" i="80"/>
  <c r="A2836" i="80"/>
  <c r="A2835" i="80"/>
  <c r="A2834" i="80"/>
  <c r="A2833" i="80"/>
  <c r="A2832" i="80"/>
  <c r="A2830" i="80"/>
  <c r="A2829" i="80"/>
  <c r="A2828" i="80"/>
  <c r="A2827" i="80"/>
  <c r="A2826" i="80"/>
  <c r="A2824" i="80"/>
  <c r="A2823" i="80"/>
  <c r="A2822" i="80"/>
  <c r="A2821" i="80"/>
  <c r="A2820" i="80"/>
  <c r="A2818" i="80"/>
  <c r="A2817" i="80"/>
  <c r="A2816" i="80"/>
  <c r="A2815" i="80"/>
  <c r="A2814" i="80"/>
  <c r="A2812" i="80"/>
  <c r="A2811" i="80"/>
  <c r="A2810" i="80"/>
  <c r="A2809" i="80"/>
  <c r="A2808" i="80"/>
  <c r="A2806" i="80"/>
  <c r="A2805" i="80"/>
  <c r="A2804" i="80"/>
  <c r="A2803" i="80"/>
  <c r="A2802" i="80"/>
  <c r="A2800" i="80"/>
  <c r="A2799" i="80"/>
  <c r="A2798" i="80"/>
  <c r="A2797" i="80"/>
  <c r="A2796" i="80"/>
  <c r="A2794" i="80"/>
  <c r="A2793" i="80"/>
  <c r="A2792" i="80"/>
  <c r="A2791" i="80"/>
  <c r="A2790" i="80"/>
  <c r="A2788" i="80"/>
  <c r="A2787" i="80"/>
  <c r="A2786" i="80"/>
  <c r="A2785" i="80"/>
  <c r="A2784" i="80"/>
  <c r="A2782" i="80"/>
  <c r="A2781" i="80"/>
  <c r="A2780" i="80"/>
  <c r="A2779" i="80"/>
  <c r="A2778" i="80"/>
  <c r="A2776" i="80"/>
  <c r="A2775" i="80"/>
  <c r="A2774" i="80"/>
  <c r="A2773" i="80"/>
  <c r="A2772" i="80"/>
  <c r="A2770" i="80"/>
  <c r="A2769" i="80"/>
  <c r="A2768" i="80"/>
  <c r="A2767" i="80"/>
  <c r="A2766" i="80"/>
  <c r="A2764" i="80"/>
  <c r="A2763" i="80"/>
  <c r="A2762" i="80"/>
  <c r="A2761" i="80"/>
  <c r="A2760" i="80"/>
  <c r="A2758" i="80"/>
  <c r="A2757" i="80"/>
  <c r="A2756" i="80"/>
  <c r="A2755" i="80"/>
  <c r="A2754" i="80"/>
  <c r="A2752" i="80"/>
  <c r="A2751" i="80"/>
  <c r="A2750" i="80"/>
  <c r="A2749" i="80"/>
  <c r="A2748" i="80"/>
  <c r="A2746" i="80"/>
  <c r="A2745" i="80"/>
  <c r="A2744" i="80"/>
  <c r="A2743" i="80"/>
  <c r="A2742" i="80"/>
  <c r="A2740" i="80"/>
  <c r="A2739" i="80"/>
  <c r="A2738" i="80"/>
  <c r="A2737" i="80"/>
  <c r="A2736" i="80"/>
  <c r="A2734" i="80"/>
  <c r="A2733" i="80"/>
  <c r="A2732" i="80"/>
  <c r="A2731" i="80"/>
  <c r="A2730" i="80"/>
  <c r="A2728" i="80"/>
  <c r="A2727" i="80"/>
  <c r="A2726" i="80"/>
  <c r="A2725" i="80"/>
  <c r="A2724" i="80"/>
  <c r="A2722" i="80"/>
  <c r="A2721" i="80"/>
  <c r="A2720" i="80"/>
  <c r="A2719" i="80"/>
  <c r="A2718" i="80"/>
  <c r="A2716" i="80"/>
  <c r="A2715" i="80"/>
  <c r="A2714" i="80"/>
  <c r="A2713" i="80"/>
  <c r="A2712" i="80"/>
  <c r="A2710" i="80"/>
  <c r="A2709" i="80"/>
  <c r="A2708" i="80"/>
  <c r="A2707" i="80"/>
  <c r="A2706" i="80"/>
  <c r="A2704" i="80"/>
  <c r="A2703" i="80"/>
  <c r="A2702" i="80"/>
  <c r="A2701" i="80"/>
  <c r="A2700" i="80"/>
  <c r="A2698" i="80"/>
  <c r="A2697" i="80"/>
  <c r="A2696" i="80"/>
  <c r="A2695" i="80"/>
  <c r="A2694" i="80"/>
  <c r="A2692" i="80"/>
  <c r="A2691" i="80"/>
  <c r="A2690" i="80"/>
  <c r="A2689" i="80"/>
  <c r="A2688" i="80"/>
  <c r="A2686" i="80"/>
  <c r="A2685" i="80"/>
  <c r="A2684" i="80"/>
  <c r="A2683" i="80"/>
  <c r="A2682" i="80"/>
  <c r="A2680" i="80"/>
  <c r="A2679" i="80"/>
  <c r="A2678" i="80"/>
  <c r="A2677" i="80"/>
  <c r="A2676" i="80"/>
  <c r="A2674" i="80"/>
  <c r="A2673" i="80"/>
  <c r="A2672" i="80"/>
  <c r="A2671" i="80"/>
  <c r="A2670" i="80"/>
  <c r="A2668" i="80"/>
  <c r="A2667" i="80"/>
  <c r="A2666" i="80"/>
  <c r="A2665" i="80"/>
  <c r="A2664" i="80"/>
  <c r="A2662" i="80"/>
  <c r="A2661" i="80"/>
  <c r="A2660" i="80"/>
  <c r="A2659" i="80"/>
  <c r="A2658" i="80"/>
  <c r="A2656" i="80"/>
  <c r="A2655" i="80"/>
  <c r="A2654" i="80"/>
  <c r="A2653" i="80"/>
  <c r="A2652" i="80"/>
  <c r="A2650" i="80"/>
  <c r="A2649" i="80"/>
  <c r="A2648" i="80"/>
  <c r="A2647" i="80"/>
  <c r="A2646" i="80"/>
  <c r="A2644" i="80"/>
  <c r="A2643" i="80"/>
  <c r="A2642" i="80"/>
  <c r="A2641" i="80"/>
  <c r="A2640" i="80"/>
  <c r="A2638" i="80"/>
  <c r="A2637" i="80"/>
  <c r="A2636" i="80"/>
  <c r="A2635" i="80"/>
  <c r="A2634" i="80"/>
  <c r="A2632" i="80"/>
  <c r="A2631" i="80"/>
  <c r="A2630" i="80"/>
  <c r="A2629" i="80"/>
  <c r="A2628" i="80"/>
  <c r="A2626" i="80"/>
  <c r="A2625" i="80"/>
  <c r="A2624" i="80"/>
  <c r="A2623" i="80"/>
  <c r="A2622" i="80"/>
  <c r="A2620" i="80"/>
  <c r="A2619" i="80"/>
  <c r="A2618" i="80"/>
  <c r="A2617" i="80"/>
  <c r="A2616" i="80"/>
  <c r="A2614" i="80"/>
  <c r="A2613" i="80"/>
  <c r="A2612" i="80"/>
  <c r="A2611" i="80"/>
  <c r="A2610" i="80"/>
  <c r="A2608" i="80"/>
  <c r="A2607" i="80"/>
  <c r="A2606" i="80"/>
  <c r="A2605" i="80"/>
  <c r="A2604" i="80"/>
  <c r="A2602" i="80"/>
  <c r="A2601" i="80"/>
  <c r="A2600" i="80"/>
  <c r="A2599" i="80"/>
  <c r="A2598" i="80"/>
  <c r="A2596" i="80"/>
  <c r="A2595" i="80"/>
  <c r="A2594" i="80"/>
  <c r="A2593" i="80"/>
  <c r="A2592" i="80"/>
  <c r="A2590" i="80"/>
  <c r="A2589" i="80"/>
  <c r="A2588" i="80"/>
  <c r="A2587" i="80"/>
  <c r="A2586" i="80"/>
  <c r="A2584" i="80"/>
  <c r="A2583" i="80"/>
  <c r="A2582" i="80"/>
  <c r="A2581" i="80"/>
  <c r="A2580" i="80"/>
  <c r="A2578" i="80"/>
  <c r="A2577" i="80"/>
  <c r="A2576" i="80"/>
  <c r="A2575" i="80"/>
  <c r="A2574" i="80"/>
  <c r="A2572" i="80"/>
  <c r="A2571" i="80"/>
  <c r="A2570" i="80"/>
  <c r="A2569" i="80"/>
  <c r="A2568" i="80"/>
  <c r="A2566" i="80"/>
  <c r="A2565" i="80"/>
  <c r="A2564" i="80"/>
  <c r="A2563" i="80"/>
  <c r="A2562" i="80"/>
  <c r="A2560" i="80"/>
  <c r="A2559" i="80"/>
  <c r="A2558" i="80"/>
  <c r="A2557" i="80"/>
  <c r="A2556" i="80"/>
  <c r="A2554" i="80"/>
  <c r="A2553" i="80"/>
  <c r="A2552" i="80"/>
  <c r="A2551" i="80"/>
  <c r="A2550" i="80"/>
  <c r="A2548" i="80"/>
  <c r="A2547" i="80"/>
  <c r="A2546" i="80"/>
  <c r="A2545" i="80"/>
  <c r="A2544" i="80"/>
  <c r="A2542" i="80"/>
  <c r="A2541" i="80"/>
  <c r="A2540" i="80"/>
  <c r="A2539" i="80"/>
  <c r="A2538" i="80"/>
  <c r="A2536" i="80"/>
  <c r="A2535" i="80"/>
  <c r="A2534" i="80"/>
  <c r="A2533" i="80"/>
  <c r="A2532" i="80"/>
  <c r="A2530" i="80"/>
  <c r="A2529" i="80"/>
  <c r="A2528" i="80"/>
  <c r="A2527" i="80"/>
  <c r="A2526" i="80"/>
  <c r="A2524" i="80"/>
  <c r="A2523" i="80"/>
  <c r="A2522" i="80"/>
  <c r="A2521" i="80"/>
  <c r="A2520" i="80"/>
  <c r="A2518" i="80"/>
  <c r="A2517" i="80"/>
  <c r="A2516" i="80"/>
  <c r="A2515" i="80"/>
  <c r="A2514" i="80"/>
  <c r="A2512" i="80"/>
  <c r="A2511" i="80"/>
  <c r="A2510" i="80"/>
  <c r="A2509" i="80"/>
  <c r="A2508" i="80"/>
  <c r="A2506" i="80"/>
  <c r="A2505" i="80"/>
  <c r="A2504" i="80"/>
  <c r="A2503" i="80"/>
  <c r="A2502" i="80"/>
  <c r="A2500" i="80"/>
  <c r="A2499" i="80"/>
  <c r="A2498" i="80"/>
  <c r="A2497" i="80"/>
  <c r="A2496" i="80"/>
  <c r="A2494" i="80"/>
  <c r="A2493" i="80"/>
  <c r="A2492" i="80"/>
  <c r="A2491" i="80"/>
  <c r="A2490" i="80"/>
  <c r="A2488" i="80"/>
  <c r="A2487" i="80"/>
  <c r="A2486" i="80"/>
  <c r="A2485" i="80"/>
  <c r="A2484" i="80"/>
  <c r="A2482" i="80"/>
  <c r="A2481" i="80"/>
  <c r="A2480" i="80"/>
  <c r="A2479" i="80"/>
  <c r="A2478" i="80"/>
  <c r="A2476" i="80"/>
  <c r="A2475" i="80"/>
  <c r="A2474" i="80"/>
  <c r="A2473" i="80"/>
  <c r="A2472" i="80"/>
  <c r="A2470" i="80"/>
  <c r="A2469" i="80"/>
  <c r="A2468" i="80"/>
  <c r="A2467" i="80"/>
  <c r="A2466" i="80"/>
  <c r="A2464" i="80"/>
  <c r="A2463" i="80"/>
  <c r="A2462" i="80"/>
  <c r="A2461" i="80"/>
  <c r="A2460" i="80"/>
  <c r="A2458" i="80"/>
  <c r="A2457" i="80"/>
  <c r="A2456" i="80"/>
  <c r="A2455" i="80"/>
  <c r="A2454" i="80"/>
  <c r="A2452" i="80"/>
  <c r="A2451" i="80"/>
  <c r="A2450" i="80"/>
  <c r="A2449" i="80"/>
  <c r="A2448" i="80"/>
  <c r="A2446" i="80"/>
  <c r="A2445" i="80"/>
  <c r="A2444" i="80"/>
  <c r="A2443" i="80"/>
  <c r="A2442" i="80"/>
  <c r="A2440" i="80"/>
  <c r="A2439" i="80"/>
  <c r="A2438" i="80"/>
  <c r="A2437" i="80"/>
  <c r="A2436" i="80"/>
  <c r="A2434" i="80"/>
  <c r="A2433" i="80"/>
  <c r="A2432" i="80"/>
  <c r="A2431" i="80"/>
  <c r="A2430" i="80"/>
  <c r="A2428" i="80"/>
  <c r="A2427" i="80"/>
  <c r="A2426" i="80"/>
  <c r="A2425" i="80"/>
  <c r="A2424" i="80"/>
  <c r="A2422" i="80"/>
  <c r="A2421" i="80"/>
  <c r="A2420" i="80"/>
  <c r="A2419" i="80"/>
  <c r="A2418" i="80"/>
  <c r="A2416" i="80"/>
  <c r="A2415" i="80"/>
  <c r="A2414" i="80"/>
  <c r="A2413" i="80"/>
  <c r="A2412" i="80"/>
  <c r="A2410" i="80"/>
  <c r="A2409" i="80"/>
  <c r="A2408" i="80"/>
  <c r="A2407" i="80"/>
  <c r="A2406" i="80"/>
  <c r="A2404" i="80"/>
  <c r="A2403" i="80"/>
  <c r="A2402" i="80"/>
  <c r="A2401" i="80"/>
  <c r="A2400" i="80"/>
  <c r="A2398" i="80"/>
  <c r="A2397" i="80"/>
  <c r="A2396" i="80"/>
  <c r="A2395" i="80"/>
  <c r="A2394" i="80"/>
  <c r="A2392" i="80"/>
  <c r="A2391" i="80"/>
  <c r="A2390" i="80"/>
  <c r="A2389" i="80"/>
  <c r="A2388" i="80"/>
  <c r="A2386" i="80"/>
  <c r="A2385" i="80"/>
  <c r="A2384" i="80"/>
  <c r="A2383" i="80"/>
  <c r="A2382" i="80"/>
  <c r="A2380" i="80"/>
  <c r="A2379" i="80"/>
  <c r="A2378" i="80"/>
  <c r="A2377" i="80"/>
  <c r="A2376" i="80"/>
  <c r="A2374" i="80"/>
  <c r="A2373" i="80"/>
  <c r="A2372" i="80"/>
  <c r="A2371" i="80"/>
  <c r="A2370" i="80"/>
  <c r="A2368" i="80"/>
  <c r="A2367" i="80"/>
  <c r="A2366" i="80"/>
  <c r="A2365" i="80"/>
  <c r="A2364" i="80"/>
  <c r="A2362" i="80"/>
  <c r="A2361" i="80"/>
  <c r="A2360" i="80"/>
  <c r="A2359" i="80"/>
  <c r="A2358" i="80"/>
  <c r="A2356" i="80"/>
  <c r="A2355" i="80"/>
  <c r="A2354" i="80"/>
  <c r="A2353" i="80"/>
  <c r="A2352" i="80"/>
  <c r="A2350" i="80"/>
  <c r="A2349" i="80"/>
  <c r="A2348" i="80"/>
  <c r="A2347" i="80"/>
  <c r="A2346" i="80"/>
  <c r="A2344" i="80"/>
  <c r="A2343" i="80"/>
  <c r="A2342" i="80"/>
  <c r="A2341" i="80"/>
  <c r="A2340" i="80"/>
  <c r="A2338" i="80"/>
  <c r="A2337" i="80"/>
  <c r="A2336" i="80"/>
  <c r="A2335" i="80"/>
  <c r="A2334" i="80"/>
  <c r="A2332" i="80"/>
  <c r="A2331" i="80"/>
  <c r="A2330" i="80"/>
  <c r="A2329" i="80"/>
  <c r="A2328" i="80"/>
  <c r="A2326" i="80"/>
  <c r="A2325" i="80"/>
  <c r="A2324" i="80"/>
  <c r="A2323" i="80"/>
  <c r="A2322" i="80"/>
  <c r="A2320" i="80"/>
  <c r="A2319" i="80"/>
  <c r="A2318" i="80"/>
  <c r="A2317" i="80"/>
  <c r="A2316" i="80"/>
  <c r="A2314" i="80"/>
  <c r="A2313" i="80"/>
  <c r="A2312" i="80"/>
  <c r="A2311" i="80"/>
  <c r="A2310" i="80"/>
  <c r="A2308" i="80"/>
  <c r="A2307" i="80"/>
  <c r="A2306" i="80"/>
  <c r="A2305" i="80"/>
  <c r="A2304" i="80"/>
  <c r="A2302" i="80"/>
  <c r="A2301" i="80"/>
  <c r="A2300" i="80"/>
  <c r="A2299" i="80"/>
  <c r="A2298" i="80"/>
  <c r="A2296" i="80"/>
  <c r="A2295" i="80"/>
  <c r="A2294" i="80"/>
  <c r="A2293" i="80"/>
  <c r="A2292" i="80"/>
  <c r="A2290" i="80"/>
  <c r="A2289" i="80"/>
  <c r="A2288" i="80"/>
  <c r="A2287" i="80"/>
  <c r="A2286" i="80"/>
  <c r="A2284" i="80"/>
  <c r="A2283" i="80"/>
  <c r="A2282" i="80"/>
  <c r="A2281" i="80"/>
  <c r="A2280" i="80"/>
  <c r="A2278" i="80"/>
  <c r="A2277" i="80"/>
  <c r="A2276" i="80"/>
  <c r="A2275" i="80"/>
  <c r="A2274" i="80"/>
  <c r="A2272" i="80"/>
  <c r="A2271" i="80"/>
  <c r="A2270" i="80"/>
  <c r="A2269" i="80"/>
  <c r="A2268" i="80"/>
  <c r="A2266" i="80"/>
  <c r="A2265" i="80"/>
  <c r="A2264" i="80"/>
  <c r="A2263" i="80"/>
  <c r="A2262" i="80"/>
  <c r="A2260" i="80"/>
  <c r="A2259" i="80"/>
  <c r="A2258" i="80"/>
  <c r="A2257" i="80"/>
  <c r="A2256" i="80"/>
  <c r="A2254" i="80"/>
  <c r="A2253" i="80"/>
  <c r="A2252" i="80"/>
  <c r="A2251" i="80"/>
  <c r="A2250" i="80"/>
  <c r="A2248" i="80"/>
  <c r="A2247" i="80"/>
  <c r="A2246" i="80"/>
  <c r="A2245" i="80"/>
  <c r="A2244" i="80"/>
  <c r="A2242" i="80"/>
  <c r="A2241" i="80"/>
  <c r="A2240" i="80"/>
  <c r="A2239" i="80"/>
  <c r="A2238" i="80"/>
  <c r="A2236" i="80"/>
  <c r="A2235" i="80"/>
  <c r="A2234" i="80"/>
  <c r="A2233" i="80"/>
  <c r="A2232" i="80"/>
  <c r="A2230" i="80"/>
  <c r="A2229" i="80"/>
  <c r="A2228" i="80"/>
  <c r="A2227" i="80"/>
  <c r="A2226" i="80"/>
  <c r="A2224" i="80"/>
  <c r="A2223" i="80"/>
  <c r="A2222" i="80"/>
  <c r="A2221" i="80"/>
  <c r="A2220" i="80"/>
  <c r="A2218" i="80"/>
  <c r="A2217" i="80"/>
  <c r="A2216" i="80"/>
  <c r="A2215" i="80"/>
  <c r="A2214" i="80"/>
  <c r="A2212" i="80"/>
  <c r="A2211" i="80"/>
  <c r="A2210" i="80"/>
  <c r="A2209" i="80"/>
  <c r="A2208" i="80"/>
  <c r="A2206" i="80"/>
  <c r="A2205" i="80"/>
  <c r="A2204" i="80"/>
  <c r="A2203" i="80"/>
  <c r="A2202" i="80"/>
  <c r="A2200" i="80"/>
  <c r="A2199" i="80"/>
  <c r="A2198" i="80"/>
  <c r="A2197" i="80"/>
  <c r="A2196" i="80"/>
  <c r="A2194" i="80"/>
  <c r="A2193" i="80"/>
  <c r="A2192" i="80"/>
  <c r="A2191" i="80"/>
  <c r="A2190" i="80"/>
  <c r="A2188" i="80"/>
  <c r="A2187" i="80"/>
  <c r="A2186" i="80"/>
  <c r="A2185" i="80"/>
  <c r="A2184" i="80"/>
  <c r="A2182" i="80"/>
  <c r="A2181" i="80"/>
  <c r="A2180" i="80"/>
  <c r="A2179" i="80"/>
  <c r="A2178" i="80"/>
  <c r="A2176" i="80"/>
  <c r="A2175" i="80"/>
  <c r="A2174" i="80"/>
  <c r="A2173" i="80"/>
  <c r="A2172" i="80"/>
  <c r="A2170" i="80"/>
  <c r="A2169" i="80"/>
  <c r="A2168" i="80"/>
  <c r="A2167" i="80"/>
  <c r="A2166" i="80"/>
  <c r="A2164" i="80"/>
  <c r="A2163" i="80"/>
  <c r="A2162" i="80"/>
  <c r="A2161" i="80"/>
  <c r="A2160" i="80"/>
  <c r="A2158" i="80"/>
  <c r="A2157" i="80"/>
  <c r="A2156" i="80"/>
  <c r="A2155" i="80"/>
  <c r="A2154" i="80"/>
  <c r="A2152" i="80"/>
  <c r="A2151" i="80"/>
  <c r="A2150" i="80"/>
  <c r="A2149" i="80"/>
  <c r="A2148" i="80"/>
  <c r="A2146" i="80"/>
  <c r="A2145" i="80"/>
  <c r="A2144" i="80"/>
  <c r="A2143" i="80"/>
  <c r="A2142" i="80"/>
  <c r="A2140" i="80"/>
  <c r="A2139" i="80"/>
  <c r="A2138" i="80"/>
  <c r="A2137" i="80"/>
  <c r="A2136" i="80"/>
  <c r="A2134" i="80"/>
  <c r="A2133" i="80"/>
  <c r="A2132" i="80"/>
  <c r="A2131" i="80"/>
  <c r="A2130" i="80"/>
  <c r="A2128" i="80"/>
  <c r="A2127" i="80"/>
  <c r="A2126" i="80"/>
  <c r="A2125" i="80"/>
  <c r="A2124" i="80"/>
  <c r="A2122" i="80"/>
  <c r="A2121" i="80"/>
  <c r="A2120" i="80"/>
  <c r="A2119" i="80"/>
  <c r="A2118" i="80"/>
  <c r="A2116" i="80"/>
  <c r="A2115" i="80"/>
  <c r="A2114" i="80"/>
  <c r="A2113" i="80"/>
  <c r="A2112" i="80"/>
  <c r="A2110" i="80"/>
  <c r="A2109" i="80"/>
  <c r="A2108" i="80"/>
  <c r="A2107" i="80"/>
  <c r="A2106" i="80"/>
  <c r="A2104" i="80"/>
  <c r="A2103" i="80"/>
  <c r="A2102" i="80"/>
  <c r="A2101" i="80"/>
  <c r="A2100" i="80"/>
  <c r="A2098" i="80"/>
  <c r="A2097" i="80"/>
  <c r="A2096" i="80"/>
  <c r="A2095" i="80"/>
  <c r="A2094" i="80"/>
  <c r="A2092" i="80"/>
  <c r="A2091" i="80"/>
  <c r="A2090" i="80"/>
  <c r="A2089" i="80"/>
  <c r="A2088" i="80"/>
  <c r="A2086" i="80"/>
  <c r="A2085" i="80"/>
  <c r="A2084" i="80"/>
  <c r="A2083" i="80"/>
  <c r="A2082" i="80"/>
  <c r="A2080" i="80"/>
  <c r="A2079" i="80"/>
  <c r="A2078" i="80"/>
  <c r="A2077" i="80"/>
  <c r="A2076" i="80"/>
  <c r="A2074" i="80"/>
  <c r="A2073" i="80"/>
  <c r="A2072" i="80"/>
  <c r="A2071" i="80"/>
  <c r="A2070" i="80"/>
  <c r="A2068" i="80"/>
  <c r="A2067" i="80"/>
  <c r="A2066" i="80"/>
  <c r="A2065" i="80"/>
  <c r="A2064" i="80"/>
  <c r="A2062" i="80"/>
  <c r="A2061" i="80"/>
  <c r="A2060" i="80"/>
  <c r="A2059" i="80"/>
  <c r="A2058" i="80"/>
  <c r="A2056" i="80"/>
  <c r="A2055" i="80"/>
  <c r="A2054" i="80"/>
  <c r="A2053" i="80"/>
  <c r="A2052" i="80"/>
  <c r="A2050" i="80"/>
  <c r="A2049" i="80"/>
  <c r="A2048" i="80"/>
  <c r="A2047" i="80"/>
  <c r="A2046" i="80"/>
  <c r="A2044" i="80"/>
  <c r="A2043" i="80"/>
  <c r="A2042" i="80"/>
  <c r="A2041" i="80"/>
  <c r="A2040" i="80"/>
  <c r="A2038" i="80"/>
  <c r="A2037" i="80"/>
  <c r="A2036" i="80"/>
  <c r="A2035" i="80"/>
  <c r="A2034" i="80"/>
  <c r="A2032" i="80"/>
  <c r="A2031" i="80"/>
  <c r="A2030" i="80"/>
  <c r="A2029" i="80"/>
  <c r="A2028" i="80"/>
  <c r="A2026" i="80"/>
  <c r="A2025" i="80"/>
  <c r="A2024" i="80"/>
  <c r="A2023" i="80"/>
  <c r="A2022" i="80"/>
  <c r="A2020" i="80"/>
  <c r="A2019" i="80"/>
  <c r="A2018" i="80"/>
  <c r="A2017" i="80"/>
  <c r="A2016" i="80"/>
  <c r="A2014" i="80"/>
  <c r="A2013" i="80"/>
  <c r="A2012" i="80"/>
  <c r="A2011" i="80"/>
  <c r="A2010" i="80"/>
  <c r="A2008" i="80"/>
  <c r="A2007" i="80"/>
  <c r="A2006" i="80"/>
  <c r="A2005" i="80"/>
  <c r="A2004" i="80"/>
  <c r="A2002" i="80"/>
  <c r="A2001" i="80"/>
  <c r="A2000" i="80"/>
  <c r="A1999" i="80"/>
  <c r="A1998" i="80"/>
  <c r="A1996" i="80"/>
  <c r="A1995" i="80"/>
  <c r="A1994" i="80"/>
  <c r="A1993" i="80"/>
  <c r="A1992" i="80"/>
  <c r="A1990" i="80"/>
  <c r="A1989" i="80"/>
  <c r="A1988" i="80"/>
  <c r="A1987" i="80"/>
  <c r="A1986" i="80"/>
  <c r="A1984" i="80"/>
  <c r="A1983" i="80"/>
  <c r="A1982" i="80"/>
  <c r="A1981" i="80"/>
  <c r="A1980" i="80"/>
  <c r="A1978" i="80"/>
  <c r="A1977" i="80"/>
  <c r="A1976" i="80"/>
  <c r="A1975" i="80"/>
  <c r="A1974" i="80"/>
  <c r="A1972" i="80"/>
  <c r="A1971" i="80"/>
  <c r="A1970" i="80"/>
  <c r="A1969" i="80"/>
  <c r="A1968" i="80"/>
  <c r="A1966" i="80"/>
  <c r="A1965" i="80"/>
  <c r="A1964" i="80"/>
  <c r="A1963" i="80"/>
  <c r="A1962" i="80"/>
  <c r="A1960" i="80"/>
  <c r="A1959" i="80"/>
  <c r="A1958" i="80"/>
  <c r="A1957" i="80"/>
  <c r="A1956" i="80"/>
  <c r="A1954" i="80"/>
  <c r="A1953" i="80"/>
  <c r="A1952" i="80"/>
  <c r="A1951" i="80"/>
  <c r="A1950" i="80"/>
  <c r="A1948" i="80"/>
  <c r="A1947" i="80"/>
  <c r="A1946" i="80"/>
  <c r="A1945" i="80"/>
  <c r="A1944" i="80"/>
  <c r="A1942" i="80"/>
  <c r="A1941" i="80"/>
  <c r="A1940" i="80"/>
  <c r="A1939" i="80"/>
  <c r="A1938" i="80"/>
  <c r="A1936" i="80"/>
  <c r="A1935" i="80"/>
  <c r="A1934" i="80"/>
  <c r="A1933" i="80"/>
  <c r="A1932" i="80"/>
  <c r="A1930" i="80"/>
  <c r="A1929" i="80"/>
  <c r="A1928" i="80"/>
  <c r="A1927" i="80"/>
  <c r="A1926" i="80"/>
  <c r="A1924" i="80"/>
  <c r="A1923" i="80"/>
  <c r="A1922" i="80"/>
  <c r="A1921" i="80"/>
  <c r="A1920" i="80"/>
  <c r="A1918" i="80"/>
  <c r="A1917" i="80"/>
  <c r="A1916" i="80"/>
  <c r="A1915" i="80"/>
  <c r="A1914" i="80"/>
  <c r="A1912" i="80"/>
  <c r="A1911" i="80"/>
  <c r="A1910" i="80"/>
  <c r="A1909" i="80"/>
  <c r="A1908" i="80"/>
  <c r="H1908" i="79"/>
  <c r="A1907" i="80"/>
  <c r="A1906" i="80"/>
  <c r="A1905" i="80"/>
  <c r="A1904" i="80"/>
  <c r="A1903" i="80"/>
  <c r="A1902" i="80"/>
  <c r="A1900" i="80"/>
  <c r="A1899" i="80"/>
  <c r="A1898" i="80"/>
  <c r="A1897" i="80"/>
  <c r="A1896" i="80"/>
  <c r="A1894" i="80"/>
  <c r="A1893" i="80"/>
  <c r="A1892" i="80"/>
  <c r="A1891" i="80"/>
  <c r="A1890" i="80"/>
  <c r="A1888" i="80"/>
  <c r="A1887" i="80"/>
  <c r="A1886" i="80"/>
  <c r="A1885" i="80"/>
  <c r="A1884" i="80"/>
  <c r="A1882" i="80"/>
  <c r="A1881" i="80"/>
  <c r="A1880" i="80"/>
  <c r="A1879" i="80"/>
  <c r="A1878" i="80"/>
  <c r="A1876" i="80"/>
  <c r="A1875" i="80"/>
  <c r="A1874" i="80"/>
  <c r="A1873" i="80"/>
  <c r="A1872" i="80"/>
  <c r="A1870" i="80"/>
  <c r="A1869" i="80"/>
  <c r="A1868" i="80"/>
  <c r="A1867" i="80"/>
  <c r="A1866" i="80"/>
  <c r="A1864" i="80"/>
  <c r="A1863" i="80"/>
  <c r="A1862" i="80"/>
  <c r="A1861" i="80"/>
  <c r="A1860" i="80"/>
  <c r="A1858" i="80"/>
  <c r="A1857" i="80"/>
  <c r="A1856" i="80"/>
  <c r="A1855" i="80"/>
  <c r="A1854" i="80"/>
  <c r="A1852" i="80"/>
  <c r="A1851" i="80"/>
  <c r="A1850" i="80"/>
  <c r="A1849" i="80"/>
  <c r="A1848" i="80"/>
  <c r="A1846" i="80"/>
  <c r="A1845" i="80"/>
  <c r="A1844" i="80"/>
  <c r="A1843" i="80"/>
  <c r="A1842" i="80"/>
  <c r="A1840" i="80"/>
  <c r="A1839" i="80"/>
  <c r="A1838" i="80"/>
  <c r="A1837" i="80"/>
  <c r="A1836" i="80"/>
  <c r="A1834" i="80"/>
  <c r="A1833" i="80"/>
  <c r="A1832" i="80"/>
  <c r="A1831" i="80"/>
  <c r="A1830" i="80"/>
  <c r="A1828" i="80"/>
  <c r="A1827" i="80"/>
  <c r="A1826" i="80"/>
  <c r="A1825" i="80"/>
  <c r="A1824" i="80"/>
  <c r="A1822" i="80"/>
  <c r="A1821" i="80"/>
  <c r="A1820" i="80"/>
  <c r="A1819" i="80"/>
  <c r="A1818" i="80"/>
  <c r="A1816" i="80"/>
  <c r="A1815" i="80"/>
  <c r="A1814" i="80"/>
  <c r="A1813" i="80"/>
  <c r="A1812" i="80"/>
  <c r="A1810" i="80"/>
  <c r="A1809" i="80"/>
  <c r="A1808" i="80"/>
  <c r="A1807" i="80"/>
  <c r="A1806" i="80"/>
  <c r="A1804" i="80"/>
  <c r="A1803" i="80"/>
  <c r="A1802" i="80"/>
  <c r="A1801" i="80"/>
  <c r="A1800" i="80"/>
  <c r="A1798" i="80"/>
  <c r="A1797" i="80"/>
  <c r="A1796" i="80"/>
  <c r="A1795" i="80"/>
  <c r="A1794" i="80"/>
  <c r="A1792" i="80"/>
  <c r="A1791" i="80"/>
  <c r="A1790" i="80"/>
  <c r="A1789" i="80"/>
  <c r="A1788" i="80"/>
  <c r="A1786" i="80"/>
  <c r="A1785" i="80"/>
  <c r="A1784" i="80"/>
  <c r="A1783" i="80"/>
  <c r="A1782" i="80"/>
  <c r="A1780" i="80"/>
  <c r="A1779" i="80"/>
  <c r="A1778" i="80"/>
  <c r="A1777" i="80"/>
  <c r="A1776" i="80"/>
  <c r="A1774" i="80"/>
  <c r="A1773" i="80"/>
  <c r="A1772" i="80"/>
  <c r="A1771" i="80"/>
  <c r="A1770" i="80"/>
  <c r="A1768" i="80"/>
  <c r="A1767" i="80"/>
  <c r="A1766" i="80"/>
  <c r="A1765" i="80"/>
  <c r="A1764" i="80"/>
  <c r="A1762" i="80"/>
  <c r="A1761" i="80"/>
  <c r="A1760" i="80"/>
  <c r="A1759" i="80"/>
  <c r="A1758" i="80"/>
  <c r="A1756" i="80"/>
  <c r="A1755" i="80"/>
  <c r="A1754" i="80"/>
  <c r="A1753" i="80"/>
  <c r="A1752" i="80"/>
  <c r="A1750" i="80"/>
  <c r="A1749" i="80"/>
  <c r="A1748" i="80"/>
  <c r="A1747" i="80"/>
  <c r="A1746" i="80"/>
  <c r="A1744" i="80"/>
  <c r="A1743" i="80"/>
  <c r="A1742" i="80"/>
  <c r="A1741" i="80"/>
  <c r="A1740" i="80"/>
  <c r="A1738" i="80"/>
  <c r="A1737" i="80"/>
  <c r="A1736" i="80"/>
  <c r="A1735" i="80"/>
  <c r="A1734" i="80"/>
  <c r="A1732" i="80"/>
  <c r="A1731" i="80"/>
  <c r="A1730" i="80"/>
  <c r="A1729" i="80"/>
  <c r="A1728" i="80"/>
  <c r="A1727" i="80"/>
  <c r="A1726" i="80"/>
  <c r="A1725" i="80"/>
  <c r="A1724" i="80"/>
  <c r="A1723" i="80"/>
  <c r="A1722" i="80"/>
  <c r="A1721" i="80"/>
  <c r="A1719" i="80"/>
  <c r="A1718" i="80"/>
  <c r="A1717" i="80"/>
  <c r="A1716" i="80"/>
  <c r="A1715" i="80"/>
  <c r="A1713" i="80"/>
  <c r="A1712" i="80"/>
  <c r="A1711" i="80"/>
  <c r="A1710" i="80"/>
  <c r="A1709" i="80"/>
  <c r="A1707" i="80"/>
  <c r="A1706" i="80"/>
  <c r="A1705" i="80"/>
  <c r="A1704" i="80"/>
  <c r="A1703" i="80"/>
  <c r="A1701" i="80"/>
  <c r="A1700" i="80"/>
  <c r="A1699" i="80"/>
  <c r="A1698" i="80"/>
  <c r="A1697" i="80"/>
  <c r="A1695" i="80"/>
  <c r="A1694" i="80"/>
  <c r="A1693" i="80"/>
  <c r="A1692" i="80"/>
  <c r="A1691" i="80"/>
  <c r="A1689" i="80"/>
  <c r="A1688" i="80"/>
  <c r="A1687" i="80"/>
  <c r="A1686" i="80"/>
  <c r="A1685" i="80"/>
  <c r="A1683" i="80"/>
  <c r="A1682" i="80"/>
  <c r="A1681" i="80"/>
  <c r="A1680" i="80"/>
  <c r="A1679" i="80"/>
  <c r="A1677" i="80"/>
  <c r="A1676" i="80"/>
  <c r="A1675" i="80"/>
  <c r="A1674" i="80"/>
  <c r="A1673" i="80"/>
  <c r="A1671" i="80"/>
  <c r="A1670" i="80"/>
  <c r="A1669" i="80"/>
  <c r="A1668" i="80"/>
  <c r="A1667" i="80"/>
  <c r="A1665" i="80"/>
  <c r="A1664" i="80"/>
  <c r="A1663" i="80"/>
  <c r="A1662" i="80"/>
  <c r="A1661" i="80"/>
  <c r="A1659" i="80"/>
  <c r="A1658" i="80"/>
  <c r="A1657" i="80"/>
  <c r="A1656" i="80"/>
  <c r="A1655" i="80"/>
  <c r="A1653" i="80"/>
  <c r="A1652" i="80"/>
  <c r="A1651" i="80"/>
  <c r="A1650" i="80"/>
  <c r="A1649" i="80"/>
  <c r="A1647" i="80"/>
  <c r="A1646" i="80"/>
  <c r="A1645" i="80"/>
  <c r="A1644" i="80"/>
  <c r="A1643" i="80"/>
  <c r="A1641" i="80"/>
  <c r="A1640" i="80"/>
  <c r="A1639" i="80"/>
  <c r="A1638" i="80"/>
  <c r="A1637" i="80"/>
  <c r="A1635" i="80"/>
  <c r="A1634" i="80"/>
  <c r="A1633" i="80"/>
  <c r="A1632" i="80"/>
  <c r="A1631" i="80"/>
  <c r="A1629" i="80"/>
  <c r="A1628" i="80"/>
  <c r="A1627" i="80"/>
  <c r="A1626" i="80"/>
  <c r="A1625" i="80"/>
  <c r="A1623" i="80"/>
  <c r="A1622" i="80"/>
  <c r="A1621" i="80"/>
  <c r="A1620" i="80"/>
  <c r="A1619" i="80"/>
  <c r="A1617" i="80"/>
  <c r="A1616" i="80"/>
  <c r="A1615" i="80"/>
  <c r="A1614" i="80"/>
  <c r="A1613" i="80"/>
  <c r="A1611" i="80"/>
  <c r="A1610" i="80"/>
  <c r="A1609" i="80"/>
  <c r="A1608" i="80"/>
  <c r="A1607" i="80"/>
  <c r="A1605" i="80"/>
  <c r="A1604" i="80"/>
  <c r="A1603" i="80"/>
  <c r="A1602" i="80"/>
  <c r="A1601" i="80"/>
  <c r="A1599" i="80"/>
  <c r="A1598" i="80"/>
  <c r="A1597" i="80"/>
  <c r="A1596" i="80"/>
  <c r="A1595" i="80"/>
  <c r="A1593" i="80"/>
  <c r="A1592" i="80"/>
  <c r="A1591" i="80"/>
  <c r="A1590" i="80"/>
  <c r="A1589" i="80"/>
  <c r="A1587" i="80"/>
  <c r="A1586" i="80"/>
  <c r="A1585" i="80"/>
  <c r="A1584" i="80"/>
  <c r="A1583" i="80"/>
  <c r="A1581" i="80"/>
  <c r="A1580" i="80"/>
  <c r="A1579" i="80"/>
  <c r="A1578" i="80"/>
  <c r="A1577" i="80"/>
  <c r="A1575" i="80"/>
  <c r="A1574" i="80"/>
  <c r="A1573" i="80"/>
  <c r="A1572" i="80"/>
  <c r="A1571" i="80"/>
  <c r="A1569" i="80"/>
  <c r="A1568" i="80"/>
  <c r="A1567" i="80"/>
  <c r="A1566" i="80"/>
  <c r="A1565" i="80"/>
  <c r="A1563" i="80"/>
  <c r="A1562" i="80"/>
  <c r="A1561" i="80"/>
  <c r="A1560" i="80"/>
  <c r="A1559" i="80"/>
  <c r="A1557" i="80"/>
  <c r="A1556" i="80"/>
  <c r="A1555" i="80"/>
  <c r="A1554" i="80"/>
  <c r="A1553" i="80"/>
  <c r="A1551" i="80"/>
  <c r="A1550" i="80"/>
  <c r="A1549" i="80"/>
  <c r="A1548" i="80"/>
  <c r="A1547" i="80"/>
  <c r="A1545" i="80"/>
  <c r="A1544" i="80"/>
  <c r="A1543" i="80"/>
  <c r="A1542" i="80"/>
  <c r="A1541" i="80"/>
  <c r="A1539" i="80"/>
  <c r="A1538" i="80"/>
  <c r="A1537" i="80"/>
  <c r="A1536" i="80"/>
  <c r="A1535" i="80"/>
  <c r="A1533" i="80"/>
  <c r="A1532" i="80"/>
  <c r="A1531" i="80"/>
  <c r="A1530" i="80"/>
  <c r="A1529" i="80"/>
  <c r="A1527" i="80"/>
  <c r="A1526" i="80"/>
  <c r="A1525" i="80"/>
  <c r="A1524" i="80"/>
  <c r="A1523" i="80"/>
  <c r="A1521" i="80"/>
  <c r="A1520" i="80"/>
  <c r="A1519" i="80"/>
  <c r="A1518" i="80"/>
  <c r="A1517" i="80"/>
  <c r="A1515" i="80"/>
  <c r="A1514" i="80"/>
  <c r="A1513" i="80"/>
  <c r="A1512" i="80"/>
  <c r="A1511" i="80"/>
  <c r="A1509" i="80"/>
  <c r="A1508" i="80"/>
  <c r="A1507" i="80"/>
  <c r="A1506" i="80"/>
  <c r="A1505" i="80"/>
  <c r="A1503" i="80"/>
  <c r="A1502" i="80"/>
  <c r="A1501" i="80"/>
  <c r="A1500" i="80"/>
  <c r="A1499" i="80"/>
  <c r="A1497" i="80"/>
  <c r="A1496" i="80"/>
  <c r="A1495" i="80"/>
  <c r="A1494" i="80"/>
  <c r="A1493" i="80"/>
  <c r="A1491" i="80"/>
  <c r="A1490" i="80"/>
  <c r="A1489" i="80"/>
  <c r="A1488" i="80"/>
  <c r="A1487" i="80"/>
  <c r="A1485" i="80"/>
  <c r="A1484" i="80"/>
  <c r="A1483" i="80"/>
  <c r="A1482" i="80"/>
  <c r="A1481" i="80"/>
  <c r="A1479" i="80"/>
  <c r="A1478" i="80"/>
  <c r="A1477" i="80"/>
  <c r="A1476" i="80"/>
  <c r="A1475" i="80"/>
  <c r="A1473" i="80"/>
  <c r="A1472" i="80"/>
  <c r="A1471" i="80"/>
  <c r="A1470" i="80"/>
  <c r="A1469" i="80"/>
  <c r="A1467" i="80"/>
  <c r="A1466" i="80"/>
  <c r="A1465" i="80"/>
  <c r="A1464" i="80"/>
  <c r="A1463" i="80"/>
  <c r="A1461" i="80"/>
  <c r="A1460" i="80"/>
  <c r="A1459" i="80"/>
  <c r="A1458" i="80"/>
  <c r="A1457" i="80"/>
  <c r="A1455" i="80"/>
  <c r="A1454" i="80"/>
  <c r="A1453" i="80"/>
  <c r="A1452" i="80"/>
  <c r="A1451" i="80"/>
  <c r="A1449" i="80"/>
  <c r="A1448" i="80"/>
  <c r="A1447" i="80"/>
  <c r="A1446" i="80"/>
  <c r="A1445" i="80"/>
  <c r="A1443" i="80"/>
  <c r="A1442" i="80"/>
  <c r="A1441" i="80"/>
  <c r="A1440" i="80"/>
  <c r="A1439" i="80"/>
  <c r="A1437" i="80"/>
  <c r="A1436" i="80"/>
  <c r="A1435" i="80"/>
  <c r="A1434" i="80"/>
  <c r="A1433" i="80"/>
  <c r="A1432" i="80"/>
  <c r="H1432" i="79"/>
  <c r="A1431" i="80"/>
  <c r="A1430" i="80"/>
  <c r="A1429" i="80"/>
  <c r="A1428" i="80"/>
  <c r="A1427" i="80"/>
  <c r="H1427" i="79"/>
  <c r="A1426" i="80"/>
  <c r="A1425" i="80"/>
  <c r="A1424" i="80"/>
  <c r="A1423" i="80"/>
  <c r="A1422" i="80"/>
  <c r="H1422" i="79"/>
  <c r="A1421" i="80"/>
  <c r="A1420" i="80"/>
  <c r="A1419" i="80"/>
  <c r="A1418" i="80"/>
  <c r="A1416" i="80"/>
  <c r="A1415" i="80"/>
  <c r="A1414" i="80"/>
  <c r="A1413" i="80"/>
  <c r="A1412" i="80"/>
  <c r="A1410" i="80"/>
  <c r="A1409" i="80"/>
  <c r="A1408" i="80"/>
  <c r="A1407" i="80"/>
  <c r="A1406" i="80"/>
  <c r="A1404" i="80"/>
  <c r="A1403" i="80"/>
  <c r="A1402" i="80"/>
  <c r="A1401" i="80"/>
  <c r="A1400" i="80"/>
  <c r="A1398" i="80"/>
  <c r="A1397" i="80"/>
  <c r="A1396" i="80"/>
  <c r="A1395" i="80"/>
  <c r="A1394" i="80"/>
  <c r="A1392" i="80"/>
  <c r="A1391" i="80"/>
  <c r="A1390" i="80"/>
  <c r="A1389" i="80"/>
  <c r="A1388" i="80"/>
  <c r="A1386" i="80"/>
  <c r="A1385" i="80"/>
  <c r="A1384" i="80"/>
  <c r="A1383" i="80"/>
  <c r="A1382" i="80"/>
  <c r="A1381" i="80"/>
  <c r="H1381" i="79"/>
  <c r="A1380" i="80"/>
  <c r="A1379" i="80"/>
  <c r="A1378" i="80"/>
  <c r="A1377" i="80"/>
  <c r="A1376" i="80"/>
  <c r="H1376" i="79"/>
  <c r="A1375" i="80"/>
  <c r="A1374" i="80"/>
  <c r="A1373" i="80"/>
  <c r="A1372" i="80"/>
  <c r="A1371" i="80"/>
  <c r="H1371" i="79"/>
  <c r="A1370" i="80"/>
  <c r="A1369" i="80"/>
  <c r="A1368" i="80"/>
  <c r="A1367" i="80"/>
  <c r="A1365" i="80"/>
  <c r="A1364" i="80"/>
  <c r="A1363" i="80"/>
  <c r="A1362" i="80"/>
  <c r="A1361" i="80"/>
  <c r="A1359" i="80"/>
  <c r="A1358" i="80"/>
  <c r="A1357" i="80"/>
  <c r="A1356" i="80"/>
  <c r="A1355" i="80"/>
  <c r="A1353" i="80"/>
  <c r="A1352" i="80"/>
  <c r="A1351" i="80"/>
  <c r="A1350" i="80"/>
  <c r="A1349" i="80"/>
  <c r="A1347" i="80"/>
  <c r="A1346" i="80"/>
  <c r="A1345" i="80"/>
  <c r="A1344" i="80"/>
  <c r="A1343" i="80"/>
  <c r="A1341" i="80"/>
  <c r="A1340" i="80"/>
  <c r="A1339" i="80"/>
  <c r="A1338" i="80"/>
  <c r="A1337" i="80"/>
  <c r="A1335" i="80"/>
  <c r="A1334" i="80"/>
  <c r="A1333" i="80"/>
  <c r="A1332" i="80"/>
  <c r="A1331" i="80"/>
  <c r="A1329" i="80"/>
  <c r="A1328" i="80"/>
  <c r="A1327" i="80"/>
  <c r="A1326" i="80"/>
  <c r="A1325" i="80"/>
  <c r="A1323" i="80"/>
  <c r="A1322" i="80"/>
  <c r="A1321" i="80"/>
  <c r="A1320" i="80"/>
  <c r="A1319" i="80"/>
  <c r="A1317" i="80"/>
  <c r="A1316" i="80"/>
  <c r="A1315" i="80"/>
  <c r="A1314" i="80"/>
  <c r="A1313" i="80"/>
  <c r="A1311" i="80"/>
  <c r="A1310" i="80"/>
  <c r="A1309" i="80"/>
  <c r="A1308" i="80"/>
  <c r="A1307" i="80"/>
  <c r="A1305" i="80"/>
  <c r="A1304" i="80"/>
  <c r="A1303" i="80"/>
  <c r="A1302" i="80"/>
  <c r="A1301" i="80"/>
  <c r="A1299" i="80"/>
  <c r="A1298" i="80"/>
  <c r="A1297" i="80"/>
  <c r="A1296" i="80"/>
  <c r="A1295" i="80"/>
  <c r="A1293" i="80"/>
  <c r="A1292" i="80"/>
  <c r="A1291" i="80"/>
  <c r="A1290" i="80"/>
  <c r="A1289" i="80"/>
  <c r="A1287" i="80"/>
  <c r="A1286" i="80"/>
  <c r="A1285" i="80"/>
  <c r="A1284" i="80"/>
  <c r="A1283" i="80"/>
  <c r="H1283" i="79"/>
  <c r="A1282" i="80"/>
  <c r="A1281" i="80"/>
  <c r="A1280" i="80"/>
  <c r="A1279" i="80"/>
  <c r="A1278" i="80"/>
  <c r="A1277" i="80"/>
  <c r="A1275" i="80"/>
  <c r="A1274" i="80"/>
  <c r="A1273" i="80"/>
  <c r="A1272" i="80"/>
  <c r="A1271" i="80"/>
  <c r="A1269" i="80"/>
  <c r="A1268" i="80"/>
  <c r="A1267" i="80"/>
  <c r="A1266" i="80"/>
  <c r="A1265" i="80"/>
  <c r="A1263" i="80"/>
  <c r="A1262" i="80"/>
  <c r="A1261" i="80"/>
  <c r="A1260" i="80"/>
  <c r="A1259" i="80"/>
  <c r="A1257" i="80"/>
  <c r="A1256" i="80"/>
  <c r="A1255" i="80"/>
  <c r="A1254" i="80"/>
  <c r="A1253" i="80"/>
  <c r="A1251" i="80"/>
  <c r="A1250" i="80"/>
  <c r="A1249" i="80"/>
  <c r="A1248" i="80"/>
  <c r="A1247" i="80"/>
  <c r="H1247" i="79"/>
  <c r="A1246" i="80"/>
  <c r="A1245" i="80"/>
  <c r="A1244" i="80"/>
  <c r="A1243" i="80"/>
  <c r="A1242" i="80"/>
  <c r="A1241" i="80"/>
  <c r="A1239" i="80"/>
  <c r="A1238" i="80"/>
  <c r="A1237" i="80"/>
  <c r="A1236" i="80"/>
  <c r="A1235" i="80"/>
  <c r="A1233" i="80"/>
  <c r="A1232" i="80"/>
  <c r="A1231" i="80"/>
  <c r="A1230" i="80"/>
  <c r="A1229" i="80"/>
  <c r="A1227" i="80"/>
  <c r="A1226" i="80"/>
  <c r="A1225" i="80"/>
  <c r="A1224" i="80"/>
  <c r="A1223" i="80"/>
  <c r="A1221" i="80"/>
  <c r="A1220" i="80"/>
  <c r="A1219" i="80"/>
  <c r="A1218" i="80"/>
  <c r="A1217" i="80"/>
  <c r="A1215" i="80"/>
  <c r="A1214" i="80"/>
  <c r="A1213" i="80"/>
  <c r="A1212" i="80"/>
  <c r="A1211" i="80"/>
  <c r="A1209" i="80"/>
  <c r="A1208" i="80"/>
  <c r="A1207" i="80"/>
  <c r="A1206" i="80"/>
  <c r="A1205" i="80"/>
  <c r="A1203" i="80"/>
  <c r="A1202" i="80"/>
  <c r="A1201" i="80"/>
  <c r="A1200" i="80"/>
  <c r="A1199" i="80"/>
  <c r="A1198" i="80"/>
  <c r="A1197" i="80"/>
  <c r="A1196" i="80"/>
  <c r="A1195" i="80"/>
  <c r="A1194" i="80"/>
  <c r="A1193" i="80"/>
  <c r="A1192" i="80"/>
  <c r="A1190" i="80"/>
  <c r="A1189" i="80"/>
  <c r="A1188" i="80"/>
  <c r="A1187" i="80"/>
  <c r="A1186" i="80"/>
  <c r="A1184" i="80"/>
  <c r="A1183" i="80"/>
  <c r="A1182" i="80"/>
  <c r="A1181" i="80"/>
  <c r="A1180" i="80"/>
  <c r="A1178" i="80"/>
  <c r="A1177" i="80"/>
  <c r="A1176" i="80"/>
  <c r="A1175" i="80"/>
  <c r="A1174" i="80"/>
  <c r="A1172" i="80"/>
  <c r="A1171" i="80"/>
  <c r="A1170" i="80"/>
  <c r="A1169" i="80"/>
  <c r="A1168" i="80"/>
  <c r="A1166" i="80"/>
  <c r="A1165" i="80"/>
  <c r="A1164" i="80"/>
  <c r="A1163" i="80"/>
  <c r="A1162" i="80"/>
  <c r="A1160" i="80"/>
  <c r="A1159" i="80"/>
  <c r="A1158" i="80"/>
  <c r="A1157" i="80"/>
  <c r="A1156" i="80"/>
  <c r="A1154" i="80"/>
  <c r="A1153" i="80"/>
  <c r="A1152" i="80"/>
  <c r="A1151" i="80"/>
  <c r="A1150" i="80"/>
  <c r="A1148" i="80"/>
  <c r="A1147" i="80"/>
  <c r="A1146" i="80"/>
  <c r="A1145" i="80"/>
  <c r="A1144" i="80"/>
  <c r="A1142" i="80"/>
  <c r="A1141" i="80"/>
  <c r="A1140" i="80"/>
  <c r="A1139" i="80"/>
  <c r="A1138" i="80"/>
  <c r="A1136" i="80"/>
  <c r="A1135" i="80"/>
  <c r="A1134" i="80"/>
  <c r="A1133" i="80"/>
  <c r="A1132" i="80"/>
  <c r="A1130" i="80"/>
  <c r="A1129" i="80"/>
  <c r="A1128" i="80"/>
  <c r="A1127" i="80"/>
  <c r="A1126" i="80"/>
  <c r="A1124" i="80"/>
  <c r="A1123" i="80"/>
  <c r="A1122" i="80"/>
  <c r="A1121" i="80"/>
  <c r="A1120" i="80"/>
  <c r="A1118" i="80"/>
  <c r="A1117" i="80"/>
  <c r="A1116" i="80"/>
  <c r="A1115" i="80"/>
  <c r="A1114" i="80"/>
  <c r="A1112" i="80"/>
  <c r="A1111" i="80"/>
  <c r="A1110" i="80"/>
  <c r="A1109" i="80"/>
  <c r="A1108" i="80"/>
  <c r="A1106" i="80"/>
  <c r="A1105" i="80"/>
  <c r="A1104" i="80"/>
  <c r="A1103" i="80"/>
  <c r="A1102" i="80"/>
  <c r="A1100" i="80"/>
  <c r="A1099" i="80"/>
  <c r="A1098" i="80"/>
  <c r="A1097" i="80"/>
  <c r="A1096" i="80"/>
  <c r="A1094" i="80"/>
  <c r="A1093" i="80"/>
  <c r="A1092" i="80"/>
  <c r="A1091" i="80"/>
  <c r="A1090" i="80"/>
  <c r="A1088" i="80"/>
  <c r="A1087" i="80"/>
  <c r="A1086" i="80"/>
  <c r="A1085" i="80"/>
  <c r="A1084" i="80"/>
  <c r="A1082" i="80"/>
  <c r="A1081" i="80"/>
  <c r="A1080" i="80"/>
  <c r="A1079" i="80"/>
  <c r="A1078" i="80"/>
  <c r="A1076" i="80"/>
  <c r="A1075" i="80"/>
  <c r="A1074" i="80"/>
  <c r="A1073" i="80"/>
  <c r="A1072" i="80"/>
  <c r="A1070" i="80"/>
  <c r="A1069" i="80"/>
  <c r="A1068" i="80"/>
  <c r="A1067" i="80"/>
  <c r="A1066" i="80"/>
  <c r="A1064" i="80"/>
  <c r="A1063" i="80"/>
  <c r="A1062" i="80"/>
  <c r="A1061" i="80"/>
  <c r="A1060" i="80"/>
  <c r="A1058" i="80"/>
  <c r="A1057" i="80"/>
  <c r="A1056" i="80"/>
  <c r="A1055" i="80"/>
  <c r="A1054" i="80"/>
  <c r="A1052" i="80"/>
  <c r="A1051" i="80"/>
  <c r="A1050" i="80"/>
  <c r="A1049" i="80"/>
  <c r="A1048" i="80"/>
  <c r="A1046" i="80"/>
  <c r="A1045" i="80"/>
  <c r="A1044" i="80"/>
  <c r="A1043" i="80"/>
  <c r="A1042" i="80"/>
  <c r="A1040" i="80"/>
  <c r="A1039" i="80"/>
  <c r="A1038" i="80"/>
  <c r="A1037" i="80"/>
  <c r="A1036" i="80"/>
  <c r="A1034" i="80"/>
  <c r="A1033" i="80"/>
  <c r="A1032" i="80"/>
  <c r="A1031" i="80"/>
  <c r="A1030" i="80"/>
  <c r="A1028" i="80"/>
  <c r="A1027" i="80"/>
  <c r="A1026" i="80"/>
  <c r="A1025" i="80"/>
  <c r="A1024" i="80"/>
  <c r="A1022" i="80"/>
  <c r="A1021" i="80"/>
  <c r="A1020" i="80"/>
  <c r="A1019" i="80"/>
  <c r="A1018" i="80"/>
  <c r="A1016" i="80"/>
  <c r="A1015" i="80"/>
  <c r="A1014" i="80"/>
  <c r="A1013" i="80"/>
  <c r="A1012" i="80"/>
  <c r="H1012" i="79"/>
  <c r="A1011" i="80"/>
  <c r="A1010" i="80"/>
  <c r="A1009" i="80"/>
  <c r="A1008" i="80"/>
  <c r="A1007" i="80"/>
  <c r="A1006" i="80"/>
  <c r="A1004" i="80"/>
  <c r="A1003" i="80"/>
  <c r="A1002" i="80"/>
  <c r="A1001" i="80"/>
  <c r="A1000" i="80"/>
  <c r="A998" i="80"/>
  <c r="A997" i="80"/>
  <c r="A996" i="80"/>
  <c r="A995" i="80"/>
  <c r="A994" i="80"/>
  <c r="A992" i="80"/>
  <c r="A991" i="80"/>
  <c r="A990" i="80"/>
  <c r="A989" i="80"/>
  <c r="A988" i="80"/>
  <c r="A986" i="80"/>
  <c r="A985" i="80"/>
  <c r="A984" i="80"/>
  <c r="A983" i="80"/>
  <c r="A982" i="80"/>
  <c r="A980" i="80"/>
  <c r="A979" i="80"/>
  <c r="A978" i="80"/>
  <c r="A977" i="80"/>
  <c r="A976" i="80"/>
  <c r="A974" i="80"/>
  <c r="A973" i="80"/>
  <c r="A972" i="80"/>
  <c r="A971" i="80"/>
  <c r="A970" i="80"/>
  <c r="A968" i="80"/>
  <c r="A967" i="80"/>
  <c r="A966" i="80"/>
  <c r="A965" i="80"/>
  <c r="A964" i="80"/>
  <c r="A962" i="80"/>
  <c r="A961" i="80"/>
  <c r="A960" i="80"/>
  <c r="A959" i="80"/>
  <c r="A958" i="80"/>
  <c r="A956" i="80"/>
  <c r="A955" i="80"/>
  <c r="A954" i="80"/>
  <c r="A953" i="80"/>
  <c r="A952" i="80"/>
  <c r="A950" i="80"/>
  <c r="A949" i="80"/>
  <c r="A948" i="80"/>
  <c r="A947" i="80"/>
  <c r="A946" i="80"/>
  <c r="A944" i="80"/>
  <c r="A943" i="80"/>
  <c r="A942" i="80"/>
  <c r="A941" i="80"/>
  <c r="A940" i="80"/>
  <c r="A938" i="80"/>
  <c r="A937" i="80"/>
  <c r="A936" i="80"/>
  <c r="A935" i="80"/>
  <c r="A934" i="80"/>
  <c r="A932" i="80"/>
  <c r="A931" i="80"/>
  <c r="A930" i="80"/>
  <c r="A929" i="80"/>
  <c r="A928" i="80"/>
  <c r="A926" i="80"/>
  <c r="A925" i="80"/>
  <c r="A924" i="80"/>
  <c r="A923" i="80"/>
  <c r="A922" i="80"/>
  <c r="A920" i="80"/>
  <c r="A919" i="80"/>
  <c r="A918" i="80"/>
  <c r="A917" i="80"/>
  <c r="A916" i="80"/>
  <c r="A914" i="80"/>
  <c r="A913" i="80"/>
  <c r="A912" i="80"/>
  <c r="A911" i="80"/>
  <c r="A910" i="80"/>
  <c r="A908" i="80"/>
  <c r="A907" i="80"/>
  <c r="A906" i="80"/>
  <c r="A905" i="80"/>
  <c r="A904" i="80"/>
  <c r="A902" i="80"/>
  <c r="A901" i="80"/>
  <c r="A900" i="80"/>
  <c r="A899" i="80"/>
  <c r="A898" i="80"/>
  <c r="A896" i="80"/>
  <c r="A895" i="80"/>
  <c r="A894" i="80"/>
  <c r="A893" i="80"/>
  <c r="A892" i="80"/>
  <c r="A890" i="80"/>
  <c r="A889" i="80"/>
  <c r="A888" i="80"/>
  <c r="A887" i="80"/>
  <c r="A886" i="80"/>
  <c r="A884" i="80"/>
  <c r="A883" i="80"/>
  <c r="A882" i="80"/>
  <c r="A881" i="80"/>
  <c r="A880" i="80"/>
  <c r="A878" i="80"/>
  <c r="A877" i="80"/>
  <c r="A876" i="80"/>
  <c r="A875" i="80"/>
  <c r="A874" i="80"/>
  <c r="A872" i="80"/>
  <c r="A871" i="80"/>
  <c r="A870" i="80"/>
  <c r="A869" i="80"/>
  <c r="A868" i="80"/>
  <c r="A866" i="80"/>
  <c r="A865" i="80"/>
  <c r="A864" i="80"/>
  <c r="A863" i="80"/>
  <c r="A862" i="80"/>
  <c r="A860" i="80"/>
  <c r="A859" i="80"/>
  <c r="A858" i="80"/>
  <c r="A857" i="80"/>
  <c r="A856" i="80"/>
  <c r="A854" i="80"/>
  <c r="A853" i="80"/>
  <c r="A852" i="80"/>
  <c r="A851" i="80"/>
  <c r="A850" i="80"/>
  <c r="A848" i="80"/>
  <c r="A847" i="80"/>
  <c r="A846" i="80"/>
  <c r="A845" i="80"/>
  <c r="A844" i="80"/>
  <c r="A842" i="80"/>
  <c r="A841" i="80"/>
  <c r="A840" i="80"/>
  <c r="A839" i="80"/>
  <c r="A838" i="80"/>
  <c r="A836" i="80"/>
  <c r="A835" i="80"/>
  <c r="A834" i="80"/>
  <c r="A833" i="80"/>
  <c r="A832" i="80"/>
  <c r="A830" i="80"/>
  <c r="A829" i="80"/>
  <c r="A828" i="80"/>
  <c r="A827" i="80"/>
  <c r="A826" i="80"/>
  <c r="A824" i="80"/>
  <c r="A823" i="80"/>
  <c r="A822" i="80"/>
  <c r="A821" i="80"/>
  <c r="A820" i="80"/>
  <c r="A818" i="80"/>
  <c r="A817" i="80"/>
  <c r="A816" i="80"/>
  <c r="A815" i="80"/>
  <c r="A814" i="80"/>
  <c r="A812" i="80"/>
  <c r="A811" i="80"/>
  <c r="A810" i="80"/>
  <c r="A809" i="80"/>
  <c r="A808" i="80"/>
  <c r="A806" i="80"/>
  <c r="A805" i="80"/>
  <c r="A804" i="80"/>
  <c r="A803" i="80"/>
  <c r="A802" i="80"/>
  <c r="A800" i="80"/>
  <c r="A799" i="80"/>
  <c r="A798" i="80"/>
  <c r="A797" i="80"/>
  <c r="A796" i="80"/>
  <c r="A794" i="80"/>
  <c r="A793" i="80"/>
  <c r="A792" i="80"/>
  <c r="A791" i="80"/>
  <c r="A790" i="80"/>
  <c r="A788" i="80"/>
  <c r="A787" i="80"/>
  <c r="A786" i="80"/>
  <c r="A785" i="80"/>
  <c r="A784" i="80"/>
  <c r="A782" i="80"/>
  <c r="A781" i="80"/>
  <c r="A780" i="80"/>
  <c r="A779" i="80"/>
  <c r="A778" i="80"/>
  <c r="A776" i="80"/>
  <c r="A775" i="80"/>
  <c r="A774" i="80"/>
  <c r="A773" i="80"/>
  <c r="A772" i="80"/>
  <c r="A770" i="80"/>
  <c r="A769" i="80"/>
  <c r="A768" i="80"/>
  <c r="A767" i="80"/>
  <c r="A766" i="80"/>
  <c r="A764" i="80"/>
  <c r="A763" i="80"/>
  <c r="A762" i="80"/>
  <c r="A761" i="80"/>
  <c r="A760" i="80"/>
  <c r="A758" i="80"/>
  <c r="A757" i="80"/>
  <c r="A756" i="80"/>
  <c r="A755" i="80"/>
  <c r="A754" i="80"/>
  <c r="A752" i="80"/>
  <c r="A751" i="80"/>
  <c r="A750" i="80"/>
  <c r="A749" i="80"/>
  <c r="A748" i="80"/>
  <c r="A746" i="80"/>
  <c r="A745" i="80"/>
  <c r="A744" i="80"/>
  <c r="A743" i="80"/>
  <c r="A742" i="80"/>
  <c r="A740" i="80"/>
  <c r="A739" i="80"/>
  <c r="A738" i="80"/>
  <c r="A737" i="80"/>
  <c r="A736" i="80"/>
  <c r="A734" i="80"/>
  <c r="A733" i="80"/>
  <c r="A732" i="80"/>
  <c r="A731" i="80"/>
  <c r="A730" i="80"/>
  <c r="A728" i="80"/>
  <c r="A727" i="80"/>
  <c r="A726" i="80"/>
  <c r="A725" i="80"/>
  <c r="A724" i="80"/>
  <c r="A722" i="80"/>
  <c r="A721" i="80"/>
  <c r="A720" i="80"/>
  <c r="A719" i="80"/>
  <c r="A718" i="80"/>
  <c r="A716" i="80"/>
  <c r="A715" i="80"/>
  <c r="A714" i="80"/>
  <c r="A713" i="80"/>
  <c r="A712" i="80"/>
  <c r="A710" i="80"/>
  <c r="A709" i="80"/>
  <c r="A708" i="80"/>
  <c r="A707" i="80"/>
  <c r="A706" i="80"/>
  <c r="A704" i="80"/>
  <c r="A703" i="80"/>
  <c r="A702" i="80"/>
  <c r="A701" i="80"/>
  <c r="A700" i="80"/>
  <c r="A698" i="80"/>
  <c r="A697" i="80"/>
  <c r="A696" i="80"/>
  <c r="A695" i="80"/>
  <c r="A694" i="80"/>
  <c r="A692" i="80"/>
  <c r="A691" i="80"/>
  <c r="A690" i="80"/>
  <c r="A689" i="80"/>
  <c r="A688" i="80"/>
  <c r="A686" i="80"/>
  <c r="A685" i="80"/>
  <c r="A684" i="80"/>
  <c r="A683" i="80"/>
  <c r="A682" i="80"/>
  <c r="A680" i="80"/>
  <c r="A679" i="80"/>
  <c r="A678" i="80"/>
  <c r="A677" i="80"/>
  <c r="A676" i="80"/>
  <c r="A674" i="80"/>
  <c r="A673" i="80"/>
  <c r="A672" i="80"/>
  <c r="A671" i="80"/>
  <c r="A670" i="80"/>
  <c r="A668" i="80"/>
  <c r="A667" i="80"/>
  <c r="A666" i="80"/>
  <c r="A665" i="80"/>
  <c r="A664" i="80"/>
  <c r="A662" i="80"/>
  <c r="A661" i="80"/>
  <c r="A660" i="80"/>
  <c r="A659" i="80"/>
  <c r="A658" i="80"/>
  <c r="A656" i="80"/>
  <c r="A655" i="80"/>
  <c r="A654" i="80"/>
  <c r="A653" i="80"/>
  <c r="A652" i="80"/>
  <c r="A650" i="80"/>
  <c r="A649" i="80"/>
  <c r="A648" i="80"/>
  <c r="A647" i="80"/>
  <c r="A646" i="80"/>
  <c r="A644" i="80"/>
  <c r="A643" i="80"/>
  <c r="A642" i="80"/>
  <c r="A641" i="80"/>
  <c r="A640" i="80"/>
  <c r="A638" i="80"/>
  <c r="A637" i="80"/>
  <c r="A636" i="80"/>
  <c r="A635" i="80"/>
  <c r="A634" i="80"/>
  <c r="A632" i="80"/>
  <c r="A631" i="80"/>
  <c r="A630" i="80"/>
  <c r="A629" i="80"/>
  <c r="A628" i="80"/>
  <c r="A626" i="80"/>
  <c r="A625" i="80"/>
  <c r="A624" i="80"/>
  <c r="A623" i="80"/>
  <c r="A622" i="80"/>
  <c r="A620" i="80"/>
  <c r="A619" i="80"/>
  <c r="A618" i="80"/>
  <c r="A617" i="80"/>
  <c r="A616" i="80"/>
  <c r="A614" i="80"/>
  <c r="A613" i="80"/>
  <c r="A612" i="80"/>
  <c r="A611" i="80"/>
  <c r="A610" i="80"/>
  <c r="A608" i="80"/>
  <c r="A607" i="80"/>
  <c r="A606" i="80"/>
  <c r="A605" i="80"/>
  <c r="A604" i="80"/>
  <c r="A602" i="80"/>
  <c r="A601" i="80"/>
  <c r="A600" i="80"/>
  <c r="A599" i="80"/>
  <c r="A598" i="80"/>
  <c r="A596" i="80"/>
  <c r="A595" i="80"/>
  <c r="A594" i="80"/>
  <c r="A593" i="80"/>
  <c r="A592" i="80"/>
  <c r="A590" i="80"/>
  <c r="A589" i="80"/>
  <c r="A588" i="80"/>
  <c r="A587" i="80"/>
  <c r="A586" i="80"/>
  <c r="A584" i="80"/>
  <c r="A583" i="80"/>
  <c r="A582" i="80"/>
  <c r="A581" i="80"/>
  <c r="A580" i="80"/>
  <c r="H580" i="79"/>
  <c r="A579" i="80"/>
  <c r="A578" i="80"/>
  <c r="A577" i="80"/>
  <c r="A576" i="80"/>
  <c r="A575" i="80"/>
  <c r="A574" i="80"/>
  <c r="H574" i="79"/>
  <c r="A573" i="80"/>
  <c r="A572" i="80"/>
  <c r="A571" i="80"/>
  <c r="A570" i="80"/>
  <c r="A569" i="80"/>
  <c r="A568" i="80"/>
  <c r="H568" i="79"/>
  <c r="A567" i="80"/>
  <c r="A566" i="80"/>
  <c r="A565" i="80"/>
  <c r="A564" i="80"/>
  <c r="A563" i="80"/>
  <c r="A562" i="80"/>
  <c r="A560" i="80"/>
  <c r="A559" i="80"/>
  <c r="A558" i="80"/>
  <c r="A557" i="80"/>
  <c r="A556" i="80"/>
  <c r="A554" i="80"/>
  <c r="A553" i="80"/>
  <c r="A552" i="80"/>
  <c r="A551" i="80"/>
  <c r="A550" i="80"/>
  <c r="A548" i="80"/>
  <c r="A547" i="80"/>
  <c r="A546" i="80"/>
  <c r="A545" i="80"/>
  <c r="A544" i="80"/>
  <c r="A542" i="80"/>
  <c r="A541" i="80"/>
  <c r="A540" i="80"/>
  <c r="A539" i="80"/>
  <c r="A538" i="80"/>
  <c r="A536" i="80"/>
  <c r="A535" i="80"/>
  <c r="A534" i="80"/>
  <c r="A533" i="80"/>
  <c r="A532" i="80"/>
  <c r="A530" i="80"/>
  <c r="A529" i="80"/>
  <c r="A528" i="80"/>
  <c r="A527" i="80"/>
  <c r="A526" i="80"/>
  <c r="A524" i="80"/>
  <c r="A523" i="80"/>
  <c r="A522" i="80"/>
  <c r="A521" i="80"/>
  <c r="A520" i="80"/>
  <c r="A518" i="80"/>
  <c r="A517" i="80"/>
  <c r="A516" i="80"/>
  <c r="A515" i="80"/>
  <c r="A514" i="80"/>
  <c r="A512" i="80"/>
  <c r="A511" i="80"/>
  <c r="A510" i="80"/>
  <c r="A509" i="80"/>
  <c r="A508" i="80"/>
  <c r="A506" i="80"/>
  <c r="A505" i="80"/>
  <c r="A504" i="80"/>
  <c r="A503" i="80"/>
  <c r="A502" i="80"/>
  <c r="A500" i="80"/>
  <c r="A499" i="80"/>
  <c r="A498" i="80"/>
  <c r="A497" i="80"/>
  <c r="A496" i="80"/>
  <c r="A494" i="80"/>
  <c r="A493" i="80"/>
  <c r="A492" i="80"/>
  <c r="A491" i="80"/>
  <c r="A490" i="80"/>
  <c r="A488" i="80"/>
  <c r="A487" i="80"/>
  <c r="A486" i="80"/>
  <c r="A485" i="80"/>
  <c r="A484" i="80"/>
  <c r="A482" i="80"/>
  <c r="A481" i="80"/>
  <c r="A480" i="80"/>
  <c r="A479" i="80"/>
  <c r="A478" i="80"/>
  <c r="A476" i="80"/>
  <c r="A475" i="80"/>
  <c r="A474" i="80"/>
  <c r="A473" i="80"/>
  <c r="A472" i="80"/>
  <c r="A470" i="80"/>
  <c r="A469" i="80"/>
  <c r="A468" i="80"/>
  <c r="A467" i="80"/>
  <c r="A466" i="80"/>
  <c r="A464" i="80"/>
  <c r="A463" i="80"/>
  <c r="A462" i="80"/>
  <c r="A461" i="80"/>
  <c r="A460" i="80"/>
  <c r="A458" i="80"/>
  <c r="A457" i="80"/>
  <c r="A456" i="80"/>
  <c r="A455" i="80"/>
  <c r="A454" i="80"/>
  <c r="A452" i="80"/>
  <c r="A451" i="80"/>
  <c r="A450" i="80"/>
  <c r="A449" i="80"/>
  <c r="A448" i="80"/>
  <c r="A446" i="80"/>
  <c r="A445" i="80"/>
  <c r="A444" i="80"/>
  <c r="A443" i="80"/>
  <c r="A442" i="80"/>
  <c r="A440" i="80"/>
  <c r="A439" i="80"/>
  <c r="A438" i="80"/>
  <c r="A437" i="80"/>
  <c r="A436" i="80"/>
  <c r="A434" i="80"/>
  <c r="A433" i="80"/>
  <c r="A432" i="80"/>
  <c r="A431" i="80"/>
  <c r="A430" i="80"/>
  <c r="A428" i="80"/>
  <c r="A427" i="80"/>
  <c r="A426" i="80"/>
  <c r="A425" i="80"/>
  <c r="A424" i="80"/>
  <c r="A422" i="80"/>
  <c r="A421" i="80"/>
  <c r="A420" i="80"/>
  <c r="A419" i="80"/>
  <c r="A418" i="80"/>
  <c r="A416" i="80"/>
  <c r="A415" i="80"/>
  <c r="A414" i="80"/>
  <c r="A413" i="80"/>
  <c r="A412" i="80"/>
  <c r="A410" i="80"/>
  <c r="A409" i="80"/>
  <c r="A408" i="80"/>
  <c r="A407" i="80"/>
  <c r="A406" i="80"/>
  <c r="A404" i="80"/>
  <c r="A403" i="80"/>
  <c r="A402" i="80"/>
  <c r="A401" i="80"/>
  <c r="A400" i="80"/>
  <c r="A398" i="80"/>
  <c r="A397" i="80"/>
  <c r="A396" i="80"/>
  <c r="A395" i="80"/>
  <c r="A394" i="80"/>
  <c r="A392" i="80"/>
  <c r="A391" i="80"/>
  <c r="A390" i="80"/>
  <c r="A389" i="80"/>
  <c r="A388" i="80"/>
  <c r="A386" i="80"/>
  <c r="A385" i="80"/>
  <c r="A384" i="80"/>
  <c r="A383" i="80"/>
  <c r="A382" i="80"/>
  <c r="A380" i="80"/>
  <c r="A379" i="80"/>
  <c r="A378" i="80"/>
  <c r="A377" i="80"/>
  <c r="A376" i="80"/>
  <c r="A374" i="80"/>
  <c r="A373" i="80"/>
  <c r="A372" i="80"/>
  <c r="A371" i="80"/>
  <c r="A370" i="80"/>
  <c r="A368" i="80"/>
  <c r="A367" i="80"/>
  <c r="A366" i="80"/>
  <c r="A365" i="80"/>
  <c r="A364" i="80"/>
  <c r="A362" i="80"/>
  <c r="A361" i="80"/>
  <c r="A360" i="80"/>
  <c r="A359" i="80"/>
  <c r="A358" i="80"/>
  <c r="A356" i="80"/>
  <c r="A355" i="80"/>
  <c r="A354" i="80"/>
  <c r="A353" i="80"/>
  <c r="A352" i="80"/>
  <c r="A350" i="80"/>
  <c r="A349" i="80"/>
  <c r="A348" i="80"/>
  <c r="A347" i="80"/>
  <c r="A346" i="80"/>
  <c r="A344" i="80"/>
  <c r="A343" i="80"/>
  <c r="A342" i="80"/>
  <c r="A341" i="80"/>
  <c r="A340" i="80"/>
  <c r="A338" i="80"/>
  <c r="A337" i="80"/>
  <c r="A336" i="80"/>
  <c r="A335" i="80"/>
  <c r="A334" i="80"/>
  <c r="A332" i="80"/>
  <c r="A331" i="80"/>
  <c r="A330" i="80"/>
  <c r="A329" i="80"/>
  <c r="A328" i="80"/>
  <c r="A326" i="80"/>
  <c r="A325" i="80"/>
  <c r="A324" i="80"/>
  <c r="A323" i="80"/>
  <c r="A322" i="80"/>
  <c r="A320" i="80"/>
  <c r="A319" i="80"/>
  <c r="A318" i="80"/>
  <c r="A317" i="80"/>
  <c r="A316" i="80"/>
  <c r="A314" i="80"/>
  <c r="A313" i="80"/>
  <c r="A312" i="80"/>
  <c r="A311" i="80"/>
  <c r="A310" i="80"/>
  <c r="A308" i="80"/>
  <c r="A307" i="80"/>
  <c r="A306" i="80"/>
  <c r="A305" i="80"/>
  <c r="A304" i="80"/>
  <c r="A302" i="80"/>
  <c r="A301" i="80"/>
  <c r="A300" i="80"/>
  <c r="A299" i="80"/>
  <c r="A298" i="80"/>
  <c r="A296" i="80"/>
  <c r="A295" i="80"/>
  <c r="A294" i="80"/>
  <c r="A293" i="80"/>
  <c r="A292" i="80"/>
  <c r="A290" i="80"/>
  <c r="A289" i="80"/>
  <c r="A288" i="80"/>
  <c r="A287" i="80"/>
  <c r="A286" i="80"/>
  <c r="A284" i="80"/>
  <c r="A283" i="80"/>
  <c r="A282" i="80"/>
  <c r="A281" i="80"/>
  <c r="A280" i="80"/>
  <c r="A278" i="80"/>
  <c r="A277" i="80"/>
  <c r="A276" i="80"/>
  <c r="A275" i="80"/>
  <c r="A274" i="80"/>
  <c r="A272" i="80"/>
  <c r="A271" i="80"/>
  <c r="A270" i="80"/>
  <c r="A269" i="80"/>
  <c r="A268" i="80"/>
  <c r="A266" i="80"/>
  <c r="A265" i="80"/>
  <c r="A264" i="80"/>
  <c r="A263" i="80"/>
  <c r="A262" i="80"/>
  <c r="A260" i="80"/>
  <c r="A259" i="80"/>
  <c r="A258" i="80"/>
  <c r="A257" i="80"/>
  <c r="A256" i="80"/>
  <c r="A254" i="80"/>
  <c r="A253" i="80"/>
  <c r="A252" i="80"/>
  <c r="A251" i="80"/>
  <c r="A250" i="80"/>
  <c r="A248" i="80"/>
  <c r="A247" i="80"/>
  <c r="A246" i="80"/>
  <c r="A245" i="80"/>
  <c r="A244" i="80"/>
  <c r="A242" i="80"/>
  <c r="A241" i="80"/>
  <c r="A240" i="80"/>
  <c r="A239" i="80"/>
  <c r="A238" i="80"/>
  <c r="A236" i="80"/>
  <c r="A235" i="80"/>
  <c r="A234" i="80"/>
  <c r="A233" i="80"/>
  <c r="A232" i="80"/>
  <c r="A230" i="80"/>
  <c r="A229" i="80"/>
  <c r="A228" i="80"/>
  <c r="A227" i="80"/>
  <c r="A226" i="80"/>
  <c r="A224" i="80"/>
  <c r="A223" i="80"/>
  <c r="A222" i="80"/>
  <c r="A221" i="80"/>
  <c r="A220" i="80"/>
  <c r="A218" i="80"/>
  <c r="A217" i="80"/>
  <c r="A216" i="80"/>
  <c r="A215" i="80"/>
  <c r="A214" i="80"/>
  <c r="A212" i="80"/>
  <c r="A211" i="80"/>
  <c r="A210" i="80"/>
  <c r="A209" i="80"/>
  <c r="A208" i="80"/>
  <c r="A206" i="80"/>
  <c r="A205" i="80"/>
  <c r="A204" i="80"/>
  <c r="A203" i="80"/>
  <c r="A202" i="80"/>
  <c r="A200" i="80"/>
  <c r="A199" i="80"/>
  <c r="A198" i="80"/>
  <c r="A197" i="80"/>
  <c r="A196" i="80"/>
  <c r="A194" i="80"/>
  <c r="A193" i="80"/>
  <c r="A192" i="80"/>
  <c r="A191" i="80"/>
  <c r="A190" i="80"/>
  <c r="A188" i="80"/>
  <c r="A187" i="80"/>
  <c r="A186" i="80"/>
  <c r="A185" i="80"/>
  <c r="A184" i="80"/>
  <c r="A182" i="80"/>
  <c r="A181" i="80"/>
  <c r="A180" i="80"/>
  <c r="A179" i="80"/>
  <c r="A178" i="80"/>
  <c r="A176" i="80"/>
  <c r="A175" i="80"/>
  <c r="A174" i="80"/>
  <c r="A173" i="80"/>
  <c r="A172" i="80"/>
  <c r="A170" i="80"/>
  <c r="A169" i="80"/>
  <c r="A168" i="80"/>
  <c r="A167" i="80"/>
  <c r="A166" i="80"/>
  <c r="A164" i="80"/>
  <c r="A163" i="80"/>
  <c r="A162" i="80"/>
  <c r="A161" i="80"/>
  <c r="A160" i="80"/>
  <c r="A158" i="80"/>
  <c r="A157" i="80"/>
  <c r="A156" i="80"/>
  <c r="A155" i="80"/>
  <c r="A154" i="80"/>
  <c r="A152" i="80"/>
  <c r="A151" i="80"/>
  <c r="A150" i="80"/>
  <c r="A149" i="80"/>
  <c r="A148" i="80"/>
  <c r="A146" i="80"/>
  <c r="A145" i="80"/>
  <c r="A144" i="80"/>
  <c r="A143" i="80"/>
  <c r="A142" i="80"/>
  <c r="A140" i="80"/>
  <c r="A139" i="80"/>
  <c r="A138" i="80"/>
  <c r="A137" i="80"/>
  <c r="A136" i="80"/>
  <c r="A134" i="80"/>
  <c r="A133" i="80"/>
  <c r="A132" i="80"/>
  <c r="A131" i="80"/>
  <c r="A130" i="80"/>
  <c r="A128" i="80"/>
  <c r="A127" i="80"/>
  <c r="A126" i="80"/>
  <c r="A125" i="80"/>
  <c r="A124" i="80"/>
  <c r="A122" i="80"/>
  <c r="A121" i="80"/>
  <c r="A120" i="80"/>
  <c r="A119" i="80"/>
  <c r="A118" i="80"/>
  <c r="A116" i="80"/>
  <c r="A115" i="80"/>
  <c r="A114" i="80"/>
  <c r="A113" i="80"/>
  <c r="A112" i="80"/>
  <c r="A110" i="80"/>
  <c r="A109" i="80"/>
  <c r="A108" i="80"/>
  <c r="A107" i="80"/>
  <c r="A106" i="80"/>
  <c r="A104" i="80"/>
  <c r="A103" i="80"/>
  <c r="A102" i="80"/>
  <c r="A101" i="80"/>
  <c r="A100" i="80"/>
  <c r="A98" i="80"/>
  <c r="A97" i="80"/>
  <c r="A96" i="80"/>
  <c r="A95" i="80"/>
  <c r="A94" i="80"/>
  <c r="A92" i="80"/>
  <c r="A91" i="80"/>
  <c r="A90" i="80"/>
  <c r="A89" i="80"/>
  <c r="A88" i="80"/>
  <c r="A86" i="80"/>
  <c r="A85" i="80"/>
  <c r="A84" i="80"/>
  <c r="A83" i="80"/>
  <c r="A82" i="80"/>
  <c r="A80" i="80"/>
  <c r="A79" i="80"/>
  <c r="A78" i="80"/>
  <c r="A77" i="80"/>
  <c r="A76" i="80"/>
  <c r="A74" i="80"/>
  <c r="A73" i="80"/>
  <c r="A72" i="80"/>
  <c r="A71" i="80"/>
  <c r="A70" i="80"/>
  <c r="A68" i="80"/>
  <c r="A67" i="80"/>
  <c r="A66" i="80"/>
  <c r="A65" i="80"/>
  <c r="A64" i="80"/>
  <c r="A62" i="80"/>
  <c r="A61" i="80"/>
  <c r="A60" i="80"/>
  <c r="A59" i="80"/>
  <c r="A58" i="80"/>
  <c r="A56" i="80"/>
  <c r="A55" i="80"/>
  <c r="A54" i="80"/>
  <c r="A53" i="80"/>
  <c r="A52" i="80"/>
  <c r="A50" i="80"/>
  <c r="A49" i="80"/>
  <c r="A48" i="80"/>
  <c r="A47" i="80"/>
  <c r="A46" i="80"/>
  <c r="A44" i="80"/>
  <c r="A43" i="80"/>
  <c r="A42" i="80"/>
  <c r="A41" i="80"/>
  <c r="A40" i="80"/>
  <c r="A38" i="80"/>
  <c r="A37" i="80"/>
  <c r="A36" i="80"/>
  <c r="A35" i="80"/>
  <c r="A34" i="80"/>
  <c r="A32" i="80"/>
  <c r="A31" i="80"/>
  <c r="A30" i="80"/>
  <c r="A29" i="80"/>
  <c r="A28" i="80"/>
  <c r="A26" i="80"/>
  <c r="A25" i="80"/>
  <c r="A24" i="80"/>
  <c r="A23" i="80"/>
  <c r="A22" i="80"/>
  <c r="A20" i="80"/>
  <c r="A19" i="80"/>
  <c r="A18" i="80"/>
  <c r="A17" i="80"/>
  <c r="A16" i="80"/>
  <c r="A15" i="80"/>
  <c r="A14" i="80"/>
  <c r="A13" i="80"/>
  <c r="A12" i="80"/>
  <c r="A11" i="80"/>
  <c r="A10" i="80"/>
  <c r="A6" i="80"/>
  <c r="A5" i="80"/>
  <c r="A4" i="80"/>
  <c r="A3" i="80"/>
  <c r="A2" i="80"/>
  <c r="E9" i="79"/>
  <c r="A8" i="80" s="1"/>
  <c r="E10" i="79"/>
  <c r="A9" i="80" s="1"/>
  <c r="E15" i="75"/>
  <c r="A3" i="79"/>
  <c r="A4" i="79"/>
  <c r="A5" i="79"/>
  <c r="A6" i="79"/>
  <c r="A7" i="79"/>
  <c r="A8" i="79"/>
  <c r="A9" i="79"/>
  <c r="A10" i="79"/>
  <c r="A11" i="79"/>
  <c r="A12" i="79"/>
  <c r="A13" i="79"/>
  <c r="A14" i="79"/>
  <c r="A15" i="79"/>
  <c r="A16" i="79"/>
  <c r="A17" i="79"/>
  <c r="A18" i="79"/>
  <c r="A19" i="79"/>
  <c r="A20" i="79"/>
  <c r="A21" i="79"/>
  <c r="A22" i="79"/>
  <c r="A23" i="79"/>
  <c r="A24" i="79"/>
  <c r="A25" i="79"/>
  <c r="A26" i="79"/>
  <c r="A27" i="79"/>
  <c r="A28" i="79"/>
  <c r="A29" i="79"/>
  <c r="A30" i="79"/>
  <c r="A31" i="79"/>
  <c r="A32" i="79"/>
  <c r="A33" i="79"/>
  <c r="A34" i="79"/>
  <c r="A35" i="79"/>
  <c r="A36" i="79"/>
  <c r="A37" i="79"/>
  <c r="A38" i="79"/>
  <c r="A39" i="79"/>
  <c r="A40" i="79"/>
  <c r="A41" i="79"/>
  <c r="A42" i="79"/>
  <c r="A43" i="79"/>
  <c r="A44" i="79"/>
  <c r="A45" i="79"/>
  <c r="A46" i="79"/>
  <c r="A47" i="79"/>
  <c r="A48" i="79"/>
  <c r="A49" i="79"/>
  <c r="A50" i="79"/>
  <c r="A51" i="79"/>
  <c r="A52" i="79"/>
  <c r="A53" i="79"/>
  <c r="A54" i="79"/>
  <c r="A55" i="79"/>
  <c r="A56" i="79"/>
  <c r="A57" i="79"/>
  <c r="A58" i="79"/>
  <c r="A59" i="79"/>
  <c r="A60" i="79"/>
  <c r="A61" i="79"/>
  <c r="A62" i="79"/>
  <c r="A63" i="79"/>
  <c r="A64" i="79"/>
  <c r="A65" i="79"/>
  <c r="A66" i="79"/>
  <c r="A67" i="79"/>
  <c r="A68" i="79"/>
  <c r="A69" i="79"/>
  <c r="A70" i="79"/>
  <c r="A71" i="79"/>
  <c r="A72" i="79"/>
  <c r="A73" i="79"/>
  <c r="A74" i="79"/>
  <c r="A75" i="79"/>
  <c r="A76" i="79"/>
  <c r="A77" i="79"/>
  <c r="A78" i="79"/>
  <c r="A79" i="79"/>
  <c r="A80" i="79"/>
  <c r="A81" i="79"/>
  <c r="A82" i="79"/>
  <c r="A83" i="79"/>
  <c r="A84" i="79"/>
  <c r="A85" i="79"/>
  <c r="A86" i="79"/>
  <c r="A87" i="79"/>
  <c r="A88" i="79"/>
  <c r="A89" i="79"/>
  <c r="A90" i="79"/>
  <c r="A91" i="79"/>
  <c r="A92" i="79"/>
  <c r="A93" i="79"/>
  <c r="A94" i="79"/>
  <c r="A95" i="79"/>
  <c r="A96" i="79"/>
  <c r="A97" i="79"/>
  <c r="A98" i="79"/>
  <c r="A99" i="79"/>
  <c r="A100" i="79"/>
  <c r="A101" i="79"/>
  <c r="A102" i="79"/>
  <c r="A103" i="79"/>
  <c r="A104" i="79"/>
  <c r="A105" i="79"/>
  <c r="A106" i="79"/>
  <c r="A107" i="79"/>
  <c r="A108" i="79"/>
  <c r="A109" i="79"/>
  <c r="A110" i="79"/>
  <c r="A111" i="79"/>
  <c r="A112" i="79"/>
  <c r="A113" i="79"/>
  <c r="A114" i="79"/>
  <c r="A115" i="79"/>
  <c r="A116" i="79"/>
  <c r="A117" i="79"/>
  <c r="A118" i="79"/>
  <c r="A119" i="79"/>
  <c r="A120" i="79"/>
  <c r="A121" i="79"/>
  <c r="A122" i="79"/>
  <c r="A123" i="79"/>
  <c r="A124" i="79"/>
  <c r="A125" i="79"/>
  <c r="A126" i="79"/>
  <c r="A127" i="79"/>
  <c r="A128" i="79"/>
  <c r="A129" i="79"/>
  <c r="A130" i="79"/>
  <c r="A131" i="79"/>
  <c r="A132" i="79"/>
  <c r="A133" i="79"/>
  <c r="A134" i="79"/>
  <c r="A135" i="79"/>
  <c r="A136" i="79"/>
  <c r="A137" i="79"/>
  <c r="A138" i="79"/>
  <c r="A139" i="79"/>
  <c r="A140" i="79"/>
  <c r="A141" i="79"/>
  <c r="A142" i="79"/>
  <c r="A143" i="79"/>
  <c r="A144" i="79"/>
  <c r="A145" i="79"/>
  <c r="A146" i="79"/>
  <c r="A147" i="79"/>
  <c r="A148" i="79"/>
  <c r="A149" i="79"/>
  <c r="A150" i="79"/>
  <c r="A151" i="79"/>
  <c r="A152" i="79"/>
  <c r="A153" i="79"/>
  <c r="A154" i="79"/>
  <c r="A155" i="79"/>
  <c r="A156" i="79"/>
  <c r="A157" i="79"/>
  <c r="A158" i="79"/>
  <c r="A159" i="79"/>
  <c r="A160" i="79"/>
  <c r="A161" i="79"/>
  <c r="A162" i="79"/>
  <c r="A163" i="79"/>
  <c r="A164" i="79"/>
  <c r="A165" i="79"/>
  <c r="A166" i="79"/>
  <c r="A167" i="79"/>
  <c r="A168" i="79"/>
  <c r="A169" i="79"/>
  <c r="A170" i="79"/>
  <c r="A171" i="79"/>
  <c r="A172" i="79"/>
  <c r="A173" i="79"/>
  <c r="A174" i="79"/>
  <c r="A175" i="79"/>
  <c r="A176" i="79"/>
  <c r="A177" i="79"/>
  <c r="A178" i="79"/>
  <c r="A179" i="79"/>
  <c r="A180" i="79"/>
  <c r="A181" i="79"/>
  <c r="A182" i="79"/>
  <c r="A183" i="79"/>
  <c r="A184" i="79"/>
  <c r="A185" i="79"/>
  <c r="A186" i="79"/>
  <c r="A187" i="79"/>
  <c r="A188" i="79"/>
  <c r="A189" i="79"/>
  <c r="A190" i="79"/>
  <c r="A191" i="79"/>
  <c r="A192" i="79"/>
  <c r="A193" i="79"/>
  <c r="A194" i="79"/>
  <c r="A195" i="79"/>
  <c r="A196" i="79"/>
  <c r="A197" i="79"/>
  <c r="A198" i="79"/>
  <c r="A199" i="79"/>
  <c r="A200" i="79"/>
  <c r="A201" i="79"/>
  <c r="A202" i="79"/>
  <c r="A203" i="79"/>
  <c r="A204" i="79"/>
  <c r="A205" i="79"/>
  <c r="A206" i="79"/>
  <c r="A207" i="79"/>
  <c r="A208" i="79"/>
  <c r="A209" i="79"/>
  <c r="A210" i="79"/>
  <c r="A211" i="79"/>
  <c r="A212" i="79"/>
  <c r="A213" i="79"/>
  <c r="A214" i="79"/>
  <c r="A215" i="79"/>
  <c r="A216" i="79"/>
  <c r="A217" i="79"/>
  <c r="A218" i="79"/>
  <c r="A219" i="79"/>
  <c r="A220" i="79"/>
  <c r="A221" i="79"/>
  <c r="A222" i="79"/>
  <c r="A223" i="79"/>
  <c r="A224" i="79"/>
  <c r="A225" i="79"/>
  <c r="A226" i="79"/>
  <c r="A227" i="79"/>
  <c r="A228" i="79"/>
  <c r="A229" i="79"/>
  <c r="A230" i="79"/>
  <c r="A231" i="79"/>
  <c r="A232" i="79"/>
  <c r="A233" i="79"/>
  <c r="A234" i="79"/>
  <c r="A235" i="79"/>
  <c r="A236" i="79"/>
  <c r="A237" i="79"/>
  <c r="A238" i="79"/>
  <c r="A239" i="79"/>
  <c r="A240" i="79"/>
  <c r="A241" i="79"/>
  <c r="A242" i="79"/>
  <c r="A243" i="79"/>
  <c r="A244" i="79"/>
  <c r="A245" i="79"/>
  <c r="A246" i="79"/>
  <c r="A247" i="79"/>
  <c r="A248" i="79"/>
  <c r="A249" i="79"/>
  <c r="A250" i="79"/>
  <c r="A251" i="79"/>
  <c r="A252" i="79"/>
  <c r="A253" i="79"/>
  <c r="A254" i="79"/>
  <c r="A255" i="79"/>
  <c r="A256" i="79"/>
  <c r="A257" i="79"/>
  <c r="A258" i="79"/>
  <c r="A259" i="79"/>
  <c r="A260" i="79"/>
  <c r="A261" i="79"/>
  <c r="A262" i="79"/>
  <c r="A263" i="79"/>
  <c r="A264" i="79"/>
  <c r="A265" i="79"/>
  <c r="A266" i="79"/>
  <c r="A267" i="79"/>
  <c r="A268" i="79"/>
  <c r="A269" i="79"/>
  <c r="A270" i="79"/>
  <c r="A271" i="79"/>
  <c r="A272" i="79"/>
  <c r="A273" i="79"/>
  <c r="A274" i="79"/>
  <c r="A275" i="79"/>
  <c r="A276" i="79"/>
  <c r="A277" i="79"/>
  <c r="A278" i="79"/>
  <c r="A279" i="79"/>
  <c r="A280" i="79"/>
  <c r="A281" i="79"/>
  <c r="A282" i="79"/>
  <c r="A283" i="79"/>
  <c r="A284" i="79"/>
  <c r="A285" i="79"/>
  <c r="A286" i="79"/>
  <c r="A287" i="79"/>
  <c r="A288" i="79"/>
  <c r="A289" i="79"/>
  <c r="A290" i="79"/>
  <c r="A291" i="79"/>
  <c r="A292" i="79"/>
  <c r="A293" i="79"/>
  <c r="A294" i="79"/>
  <c r="A295" i="79"/>
  <c r="A296" i="79"/>
  <c r="A297" i="79"/>
  <c r="A298" i="79"/>
  <c r="A299" i="79"/>
  <c r="A300" i="79"/>
  <c r="A301" i="79"/>
  <c r="A302" i="79"/>
  <c r="A303" i="79"/>
  <c r="A304" i="79"/>
  <c r="A305" i="79"/>
  <c r="A306" i="79"/>
  <c r="A307" i="79"/>
  <c r="A308" i="79"/>
  <c r="A309" i="79"/>
  <c r="A310" i="79"/>
  <c r="A311" i="79"/>
  <c r="A312" i="79"/>
  <c r="A313" i="79"/>
  <c r="A314" i="79"/>
  <c r="A315" i="79"/>
  <c r="A316" i="79"/>
  <c r="A317" i="79"/>
  <c r="A318" i="79"/>
  <c r="A319" i="79"/>
  <c r="A320" i="79"/>
  <c r="A321" i="79"/>
  <c r="A322" i="79"/>
  <c r="A323" i="79"/>
  <c r="A324" i="79"/>
  <c r="A325" i="79"/>
  <c r="A326" i="79"/>
  <c r="A327" i="79"/>
  <c r="A328" i="79"/>
  <c r="A329" i="79"/>
  <c r="A330" i="79"/>
  <c r="A331" i="79"/>
  <c r="A332" i="79"/>
  <c r="A333" i="79"/>
  <c r="A334" i="79"/>
  <c r="A335" i="79"/>
  <c r="A336" i="79"/>
  <c r="A337" i="79"/>
  <c r="A338" i="79"/>
  <c r="A339" i="79"/>
  <c r="A340" i="79"/>
  <c r="A341" i="79"/>
  <c r="A342" i="79"/>
  <c r="A343" i="79"/>
  <c r="A344" i="79"/>
  <c r="A345" i="79"/>
  <c r="A346" i="79"/>
  <c r="A347" i="79"/>
  <c r="A348" i="79"/>
  <c r="A349" i="79"/>
  <c r="A350" i="79"/>
  <c r="A351" i="79"/>
  <c r="A352" i="79"/>
  <c r="A353" i="79"/>
  <c r="A354" i="79"/>
  <c r="A355" i="79"/>
  <c r="A356" i="79"/>
  <c r="A357" i="79"/>
  <c r="A358" i="79"/>
  <c r="A359" i="79"/>
  <c r="A360" i="79"/>
  <c r="A361" i="79"/>
  <c r="A362" i="79"/>
  <c r="A363" i="79"/>
  <c r="A364" i="79"/>
  <c r="A365" i="79"/>
  <c r="A366" i="79"/>
  <c r="A367" i="79"/>
  <c r="A368" i="79"/>
  <c r="A369" i="79"/>
  <c r="A370" i="79"/>
  <c r="A371" i="79"/>
  <c r="A372" i="79"/>
  <c r="A373" i="79"/>
  <c r="A374" i="79"/>
  <c r="A375" i="79"/>
  <c r="A376" i="79"/>
  <c r="A377" i="79"/>
  <c r="A378" i="79"/>
  <c r="A379" i="79"/>
  <c r="A380" i="79"/>
  <c r="A381" i="79"/>
  <c r="A382" i="79"/>
  <c r="A383" i="79"/>
  <c r="A384" i="79"/>
  <c r="A385" i="79"/>
  <c r="A386" i="79"/>
  <c r="A387" i="79"/>
  <c r="A388" i="79"/>
  <c r="A389" i="79"/>
  <c r="A390" i="79"/>
  <c r="A391" i="79"/>
  <c r="A392" i="79"/>
  <c r="A393" i="79"/>
  <c r="A394" i="79"/>
  <c r="A395" i="79"/>
  <c r="A396" i="79"/>
  <c r="A397" i="79"/>
  <c r="A398" i="79"/>
  <c r="A399" i="79"/>
  <c r="A400" i="79"/>
  <c r="A401" i="79"/>
  <c r="A402" i="79"/>
  <c r="A403" i="79"/>
  <c r="A404" i="79"/>
  <c r="A405" i="79"/>
  <c r="A406" i="79"/>
  <c r="A407" i="79"/>
  <c r="A408" i="79"/>
  <c r="A409" i="79"/>
  <c r="A410" i="79"/>
  <c r="A411" i="79"/>
  <c r="A412" i="79"/>
  <c r="A413" i="79"/>
  <c r="A414" i="79"/>
  <c r="A415" i="79"/>
  <c r="A416" i="79"/>
  <c r="A417" i="79"/>
  <c r="A418" i="79"/>
  <c r="A419" i="79"/>
  <c r="A420" i="79"/>
  <c r="A421" i="79"/>
  <c r="A422" i="79"/>
  <c r="A423" i="79"/>
  <c r="A424" i="79"/>
  <c r="A425" i="79"/>
  <c r="A426" i="79"/>
  <c r="A427" i="79"/>
  <c r="A428" i="79"/>
  <c r="A429" i="79"/>
  <c r="A430" i="79"/>
  <c r="A431" i="79"/>
  <c r="A432" i="79"/>
  <c r="A433" i="79"/>
  <c r="A434" i="79"/>
  <c r="A435" i="79"/>
  <c r="A436" i="79"/>
  <c r="A437" i="79"/>
  <c r="A438" i="79"/>
  <c r="A439" i="79"/>
  <c r="A440" i="79"/>
  <c r="A441" i="79"/>
  <c r="A442" i="79"/>
  <c r="A443" i="79"/>
  <c r="A444" i="79"/>
  <c r="A445" i="79"/>
  <c r="A446" i="79"/>
  <c r="A447" i="79"/>
  <c r="A448" i="79"/>
  <c r="A449" i="79"/>
  <c r="A450" i="79"/>
  <c r="A451" i="79"/>
  <c r="A452" i="79"/>
  <c r="A453" i="79"/>
  <c r="A454" i="79"/>
  <c r="A455" i="79"/>
  <c r="A456" i="79"/>
  <c r="A457" i="79"/>
  <c r="A458" i="79"/>
  <c r="A459" i="79"/>
  <c r="A460" i="79"/>
  <c r="A461" i="79"/>
  <c r="A462" i="79"/>
  <c r="A463" i="79"/>
  <c r="A464" i="79"/>
  <c r="A465" i="79"/>
  <c r="A466" i="79"/>
  <c r="A467" i="79"/>
  <c r="A468" i="79"/>
  <c r="A469" i="79"/>
  <c r="A470" i="79"/>
  <c r="A471" i="79"/>
  <c r="A472" i="79"/>
  <c r="A473" i="79"/>
  <c r="A474" i="79"/>
  <c r="A475" i="79"/>
  <c r="A476" i="79"/>
  <c r="A477" i="79"/>
  <c r="A478" i="79"/>
  <c r="A479" i="79"/>
  <c r="A480" i="79"/>
  <c r="A481" i="79"/>
  <c r="A482" i="79"/>
  <c r="A483" i="79"/>
  <c r="A484" i="79"/>
  <c r="A485" i="79"/>
  <c r="A486" i="79"/>
  <c r="A487" i="79"/>
  <c r="A488" i="79"/>
  <c r="A489" i="79"/>
  <c r="A490" i="79"/>
  <c r="A491" i="79"/>
  <c r="A492" i="79"/>
  <c r="A493" i="79"/>
  <c r="A494" i="79"/>
  <c r="A495" i="79"/>
  <c r="A496" i="79"/>
  <c r="A497" i="79"/>
  <c r="A498" i="79"/>
  <c r="A499" i="79"/>
  <c r="A500" i="79"/>
  <c r="A501" i="79"/>
  <c r="A502" i="79"/>
  <c r="A503" i="79"/>
  <c r="A504" i="79"/>
  <c r="A505" i="79"/>
  <c r="A506" i="79"/>
  <c r="A507" i="79"/>
  <c r="A508" i="79"/>
  <c r="A509" i="79"/>
  <c r="A510" i="79"/>
  <c r="A511" i="79"/>
  <c r="A512" i="79"/>
  <c r="A513" i="79"/>
  <c r="A514" i="79"/>
  <c r="A515" i="79"/>
  <c r="A516" i="79"/>
  <c r="A517" i="79"/>
  <c r="A518" i="79"/>
  <c r="A519" i="79"/>
  <c r="A520" i="79"/>
  <c r="A521" i="79"/>
  <c r="A522" i="79"/>
  <c r="A523" i="79"/>
  <c r="A524" i="79"/>
  <c r="A525" i="79"/>
  <c r="A526" i="79"/>
  <c r="A527" i="79"/>
  <c r="A528" i="79"/>
  <c r="A529" i="79"/>
  <c r="A530" i="79"/>
  <c r="A531" i="79"/>
  <c r="A532" i="79"/>
  <c r="A533" i="79"/>
  <c r="A534" i="79"/>
  <c r="A535" i="79"/>
  <c r="A536" i="79"/>
  <c r="A537" i="79"/>
  <c r="A538" i="79"/>
  <c r="A539" i="79"/>
  <c r="A540" i="79"/>
  <c r="A541" i="79"/>
  <c r="A542" i="79"/>
  <c r="A543" i="79"/>
  <c r="A544" i="79"/>
  <c r="A545" i="79"/>
  <c r="A546" i="79"/>
  <c r="A547" i="79"/>
  <c r="A548" i="79"/>
  <c r="A549" i="79"/>
  <c r="A550" i="79"/>
  <c r="A551" i="79"/>
  <c r="A552" i="79"/>
  <c r="A553" i="79"/>
  <c r="A554" i="79"/>
  <c r="A555" i="79"/>
  <c r="A556" i="79"/>
  <c r="A557" i="79"/>
  <c r="A558" i="79"/>
  <c r="A559" i="79"/>
  <c r="A560" i="79"/>
  <c r="A561" i="79"/>
  <c r="A562" i="79"/>
  <c r="A563" i="79"/>
  <c r="A564" i="79"/>
  <c r="A565" i="79"/>
  <c r="A566" i="79"/>
  <c r="A567" i="79"/>
  <c r="A568" i="79"/>
  <c r="A569" i="79"/>
  <c r="A570" i="79"/>
  <c r="A571" i="79"/>
  <c r="A572" i="79"/>
  <c r="A573" i="79"/>
  <c r="A574" i="79"/>
  <c r="A575" i="79"/>
  <c r="A576" i="79"/>
  <c r="A577" i="79"/>
  <c r="A578" i="79"/>
  <c r="A579" i="79"/>
  <c r="A580" i="79"/>
  <c r="A581" i="79"/>
  <c r="A582" i="79"/>
  <c r="A583" i="79"/>
  <c r="A584" i="79"/>
  <c r="A585" i="79"/>
  <c r="A586" i="79"/>
  <c r="A587" i="79"/>
  <c r="A588" i="79"/>
  <c r="A589" i="79"/>
  <c r="A590" i="79"/>
  <c r="A591" i="79"/>
  <c r="A592" i="79"/>
  <c r="A593" i="79"/>
  <c r="A594" i="79"/>
  <c r="A595" i="79"/>
  <c r="A596" i="79"/>
  <c r="A597" i="79"/>
  <c r="A598" i="79"/>
  <c r="A599" i="79"/>
  <c r="A600" i="79"/>
  <c r="A601" i="79"/>
  <c r="A602" i="79"/>
  <c r="A603" i="79"/>
  <c r="A604" i="79"/>
  <c r="A605" i="79"/>
  <c r="A606" i="79"/>
  <c r="A607" i="79"/>
  <c r="A608" i="79"/>
  <c r="A609" i="79"/>
  <c r="A610" i="79"/>
  <c r="A611" i="79"/>
  <c r="A612" i="79"/>
  <c r="A613" i="79"/>
  <c r="A614" i="79"/>
  <c r="A615" i="79"/>
  <c r="A616" i="79"/>
  <c r="A617" i="79"/>
  <c r="A618" i="79"/>
  <c r="A619" i="79"/>
  <c r="A620" i="79"/>
  <c r="A621" i="79"/>
  <c r="A622" i="79"/>
  <c r="A623" i="79"/>
  <c r="A624" i="79"/>
  <c r="A625" i="79"/>
  <c r="A626" i="79"/>
  <c r="A627" i="79"/>
  <c r="A628" i="79"/>
  <c r="A629" i="79"/>
  <c r="A630" i="79"/>
  <c r="A631" i="79"/>
  <c r="A632" i="79"/>
  <c r="A633" i="79"/>
  <c r="A634" i="79"/>
  <c r="A635" i="79"/>
  <c r="A636" i="79"/>
  <c r="A637" i="79"/>
  <c r="A638" i="79"/>
  <c r="A639" i="79"/>
  <c r="A640" i="79"/>
  <c r="A641" i="79"/>
  <c r="A642" i="79"/>
  <c r="A643" i="79"/>
  <c r="A644" i="79"/>
  <c r="A645" i="79"/>
  <c r="A646" i="79"/>
  <c r="A647" i="79"/>
  <c r="A648" i="79"/>
  <c r="A649" i="79"/>
  <c r="A650" i="79"/>
  <c r="A651" i="79"/>
  <c r="A652" i="79"/>
  <c r="A653" i="79"/>
  <c r="A654" i="79"/>
  <c r="A655" i="79"/>
  <c r="A656" i="79"/>
  <c r="A657" i="79"/>
  <c r="A658" i="79"/>
  <c r="A659" i="79"/>
  <c r="A660" i="79"/>
  <c r="A661" i="79"/>
  <c r="A662" i="79"/>
  <c r="A663" i="79"/>
  <c r="A664" i="79"/>
  <c r="A665" i="79"/>
  <c r="A666" i="79"/>
  <c r="A667" i="79"/>
  <c r="A668" i="79"/>
  <c r="A669" i="79"/>
  <c r="A670" i="79"/>
  <c r="A671" i="79"/>
  <c r="A672" i="79"/>
  <c r="A673" i="79"/>
  <c r="A674" i="79"/>
  <c r="A675" i="79"/>
  <c r="A676" i="79"/>
  <c r="A677" i="79"/>
  <c r="A678" i="79"/>
  <c r="A679" i="79"/>
  <c r="A680" i="79"/>
  <c r="A681" i="79"/>
  <c r="A682" i="79"/>
  <c r="A683" i="79"/>
  <c r="A684" i="79"/>
  <c r="A685" i="79"/>
  <c r="A686" i="79"/>
  <c r="A687" i="79"/>
  <c r="A688" i="79"/>
  <c r="A689" i="79"/>
  <c r="A690" i="79"/>
  <c r="A691" i="79"/>
  <c r="A692" i="79"/>
  <c r="A693" i="79"/>
  <c r="A694" i="79"/>
  <c r="A695" i="79"/>
  <c r="A696" i="79"/>
  <c r="A697" i="79"/>
  <c r="A698" i="79"/>
  <c r="A699" i="79"/>
  <c r="A700" i="79"/>
  <c r="A701" i="79"/>
  <c r="A702" i="79"/>
  <c r="A703" i="79"/>
  <c r="A704" i="79"/>
  <c r="A705" i="79"/>
  <c r="A706" i="79"/>
  <c r="A707" i="79"/>
  <c r="A708" i="79"/>
  <c r="A709" i="79"/>
  <c r="A710" i="79"/>
  <c r="A711" i="79"/>
  <c r="A712" i="79"/>
  <c r="A713" i="79"/>
  <c r="A714" i="79"/>
  <c r="A715" i="79"/>
  <c r="A716" i="79"/>
  <c r="A717" i="79"/>
  <c r="A718" i="79"/>
  <c r="A719" i="79"/>
  <c r="A720" i="79"/>
  <c r="A721" i="79"/>
  <c r="A722" i="79"/>
  <c r="A723" i="79"/>
  <c r="A724" i="79"/>
  <c r="A725" i="79"/>
  <c r="A726" i="79"/>
  <c r="A727" i="79"/>
  <c r="A728" i="79"/>
  <c r="A729" i="79"/>
  <c r="A730" i="79"/>
  <c r="A731" i="79"/>
  <c r="A732" i="79"/>
  <c r="A733" i="79"/>
  <c r="A734" i="79"/>
  <c r="A735" i="79"/>
  <c r="A736" i="79"/>
  <c r="A737" i="79"/>
  <c r="A738" i="79"/>
  <c r="A739" i="79"/>
  <c r="A740" i="79"/>
  <c r="A741" i="79"/>
  <c r="A742" i="79"/>
  <c r="A743" i="79"/>
  <c r="A744" i="79"/>
  <c r="A745" i="79"/>
  <c r="A746" i="79"/>
  <c r="A747" i="79"/>
  <c r="A748" i="79"/>
  <c r="A749" i="79"/>
  <c r="A750" i="79"/>
  <c r="A751" i="79"/>
  <c r="A752" i="79"/>
  <c r="A753" i="79"/>
  <c r="A754" i="79"/>
  <c r="A755" i="79"/>
  <c r="A756" i="79"/>
  <c r="A757" i="79"/>
  <c r="A758" i="79"/>
  <c r="A759" i="79"/>
  <c r="A760" i="79"/>
  <c r="A761" i="79"/>
  <c r="A762" i="79"/>
  <c r="A763" i="79"/>
  <c r="A764" i="79"/>
  <c r="A765" i="79"/>
  <c r="A766" i="79"/>
  <c r="A767" i="79"/>
  <c r="A768" i="79"/>
  <c r="A769" i="79"/>
  <c r="A770" i="79"/>
  <c r="A771" i="79"/>
  <c r="A772" i="79"/>
  <c r="A773" i="79"/>
  <c r="A774" i="79"/>
  <c r="A775" i="79"/>
  <c r="A776" i="79"/>
  <c r="A777" i="79"/>
  <c r="A778" i="79"/>
  <c r="A779" i="79"/>
  <c r="A780" i="79"/>
  <c r="A781" i="79"/>
  <c r="A782" i="79"/>
  <c r="A783" i="79"/>
  <c r="A784" i="79"/>
  <c r="A785" i="79"/>
  <c r="A786" i="79"/>
  <c r="A787" i="79"/>
  <c r="A788" i="79"/>
  <c r="A789" i="79"/>
  <c r="A790" i="79"/>
  <c r="A791" i="79"/>
  <c r="A792" i="79"/>
  <c r="A793" i="79"/>
  <c r="A794" i="79"/>
  <c r="A795" i="79"/>
  <c r="A796" i="79"/>
  <c r="A797" i="79"/>
  <c r="A798" i="79"/>
  <c r="A799" i="79"/>
  <c r="A800" i="79"/>
  <c r="A801" i="79"/>
  <c r="A802" i="79"/>
  <c r="A803" i="79"/>
  <c r="A804" i="79"/>
  <c r="A805" i="79"/>
  <c r="A806" i="79"/>
  <c r="A807" i="79"/>
  <c r="A808" i="79"/>
  <c r="A809" i="79"/>
  <c r="A810" i="79"/>
  <c r="A811" i="79"/>
  <c r="A812" i="79"/>
  <c r="A813" i="79"/>
  <c r="A814" i="79"/>
  <c r="A815" i="79"/>
  <c r="A816" i="79"/>
  <c r="A817" i="79"/>
  <c r="A818" i="79"/>
  <c r="A819" i="79"/>
  <c r="A820" i="79"/>
  <c r="A821" i="79"/>
  <c r="A822" i="79"/>
  <c r="A823" i="79"/>
  <c r="A824" i="79"/>
  <c r="A825" i="79"/>
  <c r="A826" i="79"/>
  <c r="A827" i="79"/>
  <c r="A828" i="79"/>
  <c r="A829" i="79"/>
  <c r="A830" i="79"/>
  <c r="A831" i="79"/>
  <c r="A832" i="79"/>
  <c r="A833" i="79"/>
  <c r="A834" i="79"/>
  <c r="A835" i="79"/>
  <c r="A836" i="79"/>
  <c r="A837" i="79"/>
  <c r="A838" i="79"/>
  <c r="A839" i="79"/>
  <c r="A840" i="79"/>
  <c r="A841" i="79"/>
  <c r="A842" i="79"/>
  <c r="A843" i="79"/>
  <c r="A844" i="79"/>
  <c r="A845" i="79"/>
  <c r="A846" i="79"/>
  <c r="A847" i="79"/>
  <c r="A848" i="79"/>
  <c r="A849" i="79"/>
  <c r="A850" i="79"/>
  <c r="A851" i="79"/>
  <c r="A852" i="79"/>
  <c r="A853" i="79"/>
  <c r="A854" i="79"/>
  <c r="A855" i="79"/>
  <c r="A856" i="79"/>
  <c r="A857" i="79"/>
  <c r="A858" i="79"/>
  <c r="A859" i="79"/>
  <c r="A860" i="79"/>
  <c r="A861" i="79"/>
  <c r="A862" i="79"/>
  <c r="A863" i="79"/>
  <c r="A864" i="79"/>
  <c r="A865" i="79"/>
  <c r="A866" i="79"/>
  <c r="A867" i="79"/>
  <c r="A868" i="79"/>
  <c r="A869" i="79"/>
  <c r="A870" i="79"/>
  <c r="A871" i="79"/>
  <c r="A872" i="79"/>
  <c r="A873" i="79"/>
  <c r="A874" i="79"/>
  <c r="A875" i="79"/>
  <c r="A876" i="79"/>
  <c r="A877" i="79"/>
  <c r="A878" i="79"/>
  <c r="A879" i="79"/>
  <c r="A880" i="79"/>
  <c r="A881" i="79"/>
  <c r="A882" i="79"/>
  <c r="A883" i="79"/>
  <c r="A884" i="79"/>
  <c r="A885" i="79"/>
  <c r="A886" i="79"/>
  <c r="A887" i="79"/>
  <c r="A888" i="79"/>
  <c r="A889" i="79"/>
  <c r="A890" i="79"/>
  <c r="A891" i="79"/>
  <c r="A892" i="79"/>
  <c r="A893" i="79"/>
  <c r="A894" i="79"/>
  <c r="A895" i="79"/>
  <c r="A896" i="79"/>
  <c r="A897" i="79"/>
  <c r="A898" i="79"/>
  <c r="A899" i="79"/>
  <c r="A900" i="79"/>
  <c r="A901" i="79"/>
  <c r="A902" i="79"/>
  <c r="A903" i="79"/>
  <c r="A904" i="79"/>
  <c r="A905" i="79"/>
  <c r="A906" i="79"/>
  <c r="A907" i="79"/>
  <c r="A908" i="79"/>
  <c r="A909" i="79"/>
  <c r="A910" i="79"/>
  <c r="A911" i="79"/>
  <c r="A912" i="79"/>
  <c r="A913" i="79"/>
  <c r="A914" i="79"/>
  <c r="A915" i="79"/>
  <c r="A916" i="79"/>
  <c r="A917" i="79"/>
  <c r="A918" i="79"/>
  <c r="A919" i="79"/>
  <c r="A920" i="79"/>
  <c r="A921" i="79"/>
  <c r="A922" i="79"/>
  <c r="A923" i="79"/>
  <c r="A924" i="79"/>
  <c r="A925" i="79"/>
  <c r="A926" i="79"/>
  <c r="A927" i="79"/>
  <c r="A928" i="79"/>
  <c r="A929" i="79"/>
  <c r="A930" i="79"/>
  <c r="A931" i="79"/>
  <c r="A932" i="79"/>
  <c r="A933" i="79"/>
  <c r="A934" i="79"/>
  <c r="A935" i="79"/>
  <c r="A936" i="79"/>
  <c r="A937" i="79"/>
  <c r="A938" i="79"/>
  <c r="A939" i="79"/>
  <c r="A940" i="79"/>
  <c r="A941" i="79"/>
  <c r="A942" i="79"/>
  <c r="A943" i="79"/>
  <c r="A944" i="79"/>
  <c r="A945" i="79"/>
  <c r="A946" i="79"/>
  <c r="A947" i="79"/>
  <c r="A948" i="79"/>
  <c r="A949" i="79"/>
  <c r="A950" i="79"/>
  <c r="A951" i="79"/>
  <c r="A952" i="79"/>
  <c r="A953" i="79"/>
  <c r="A954" i="79"/>
  <c r="A955" i="79"/>
  <c r="A956" i="79"/>
  <c r="A957" i="79"/>
  <c r="A958" i="79"/>
  <c r="A959" i="79"/>
  <c r="A960" i="79"/>
  <c r="A961" i="79"/>
  <c r="A962" i="79"/>
  <c r="A963" i="79"/>
  <c r="A964" i="79"/>
  <c r="A965" i="79"/>
  <c r="A966" i="79"/>
  <c r="A967" i="79"/>
  <c r="A968" i="79"/>
  <c r="A969" i="79"/>
  <c r="A970" i="79"/>
  <c r="A971" i="79"/>
  <c r="A972" i="79"/>
  <c r="A973" i="79"/>
  <c r="A974" i="79"/>
  <c r="A975" i="79"/>
  <c r="A976" i="79"/>
  <c r="A977" i="79"/>
  <c r="A978" i="79"/>
  <c r="A979" i="79"/>
  <c r="A980" i="79"/>
  <c r="A981" i="79"/>
  <c r="A982" i="79"/>
  <c r="A983" i="79"/>
  <c r="A984" i="79"/>
  <c r="A985" i="79"/>
  <c r="A986" i="79"/>
  <c r="A987" i="79"/>
  <c r="A988" i="79"/>
  <c r="A989" i="79"/>
  <c r="A990" i="79"/>
  <c r="A991" i="79"/>
  <c r="A992" i="79"/>
  <c r="A993" i="79"/>
  <c r="A994" i="79"/>
  <c r="A995" i="79"/>
  <c r="A996" i="79"/>
  <c r="A997" i="79"/>
  <c r="A998" i="79"/>
  <c r="A999" i="79"/>
  <c r="A1000" i="79"/>
  <c r="A1001" i="79"/>
  <c r="A1002" i="79"/>
  <c r="A1003" i="79"/>
  <c r="A1004" i="79"/>
  <c r="A1005" i="79"/>
  <c r="A1006" i="79"/>
  <c r="A1007" i="79"/>
  <c r="A1008" i="79"/>
  <c r="A1009" i="79"/>
  <c r="A1010" i="79"/>
  <c r="A1011" i="79"/>
  <c r="A1012" i="79"/>
  <c r="A1013" i="79"/>
  <c r="A1014" i="79"/>
  <c r="A1015" i="79"/>
  <c r="A1016" i="79"/>
  <c r="A1017" i="79"/>
  <c r="A1018" i="79"/>
  <c r="A1019" i="79"/>
  <c r="A1020" i="79"/>
  <c r="A1021" i="79"/>
  <c r="A1022" i="79"/>
  <c r="A1023" i="79"/>
  <c r="A1024" i="79"/>
  <c r="A1025" i="79"/>
  <c r="A1026" i="79"/>
  <c r="A1027" i="79"/>
  <c r="A1028" i="79"/>
  <c r="A1029" i="79"/>
  <c r="A1030" i="79"/>
  <c r="A1031" i="79"/>
  <c r="A1032" i="79"/>
  <c r="A1033" i="79"/>
  <c r="A1034" i="79"/>
  <c r="A1035" i="79"/>
  <c r="A1036" i="79"/>
  <c r="A1037" i="79"/>
  <c r="A1038" i="79"/>
  <c r="A1039" i="79"/>
  <c r="A1040" i="79"/>
  <c r="A1041" i="79"/>
  <c r="A1042" i="79"/>
  <c r="A1043" i="79"/>
  <c r="A1044" i="79"/>
  <c r="A1045" i="79"/>
  <c r="A1046" i="79"/>
  <c r="A1047" i="79"/>
  <c r="A1048" i="79"/>
  <c r="A1049" i="79"/>
  <c r="A1050" i="79"/>
  <c r="A1051" i="79"/>
  <c r="A1052" i="79"/>
  <c r="A1053" i="79"/>
  <c r="A1054" i="79"/>
  <c r="A1055" i="79"/>
  <c r="A1056" i="79"/>
  <c r="A1057" i="79"/>
  <c r="A1058" i="79"/>
  <c r="A1059" i="79"/>
  <c r="A1060" i="79"/>
  <c r="A1061" i="79"/>
  <c r="A1062" i="79"/>
  <c r="A1063" i="79"/>
  <c r="A1064" i="79"/>
  <c r="A1065" i="79"/>
  <c r="A1066" i="79"/>
  <c r="A1067" i="79"/>
  <c r="A1068" i="79"/>
  <c r="A1069" i="79"/>
  <c r="A1070" i="79"/>
  <c r="A1071" i="79"/>
  <c r="A1072" i="79"/>
  <c r="A1073" i="79"/>
  <c r="A1074" i="79"/>
  <c r="A1075" i="79"/>
  <c r="A1076" i="79"/>
  <c r="A1077" i="79"/>
  <c r="A1078" i="79"/>
  <c r="A1079" i="79"/>
  <c r="A1080" i="79"/>
  <c r="A1081" i="79"/>
  <c r="A1082" i="79"/>
  <c r="A1083" i="79"/>
  <c r="A1084" i="79"/>
  <c r="A1085" i="79"/>
  <c r="A1086" i="79"/>
  <c r="A1087" i="79"/>
  <c r="A1088" i="79"/>
  <c r="A1089" i="79"/>
  <c r="A1090" i="79"/>
  <c r="A1091" i="79"/>
  <c r="A1092" i="79"/>
  <c r="A1093" i="79"/>
  <c r="A1094" i="79"/>
  <c r="A1095" i="79"/>
  <c r="A1096" i="79"/>
  <c r="A1097" i="79"/>
  <c r="A1098" i="79"/>
  <c r="A1099" i="79"/>
  <c r="A1100" i="79"/>
  <c r="A1101" i="79"/>
  <c r="A1102" i="79"/>
  <c r="A1103" i="79"/>
  <c r="A1104" i="79"/>
  <c r="A1105" i="79"/>
  <c r="A1106" i="79"/>
  <c r="A1107" i="79"/>
  <c r="A1108" i="79"/>
  <c r="A1109" i="79"/>
  <c r="A1110" i="79"/>
  <c r="A1111" i="79"/>
  <c r="A1112" i="79"/>
  <c r="A1113" i="79"/>
  <c r="A1114" i="79"/>
  <c r="A1115" i="79"/>
  <c r="A1116" i="79"/>
  <c r="A1117" i="79"/>
  <c r="A1118" i="79"/>
  <c r="A1119" i="79"/>
  <c r="A1120" i="79"/>
  <c r="A1121" i="79"/>
  <c r="A1122" i="79"/>
  <c r="A1123" i="79"/>
  <c r="A1124" i="79"/>
  <c r="A1125" i="79"/>
  <c r="A1126" i="79"/>
  <c r="A1127" i="79"/>
  <c r="A1128" i="79"/>
  <c r="A1129" i="79"/>
  <c r="A1130" i="79"/>
  <c r="A1131" i="79"/>
  <c r="A1132" i="79"/>
  <c r="A1133" i="79"/>
  <c r="A1134" i="79"/>
  <c r="A1135" i="79"/>
  <c r="A1136" i="79"/>
  <c r="A1137" i="79"/>
  <c r="A1138" i="79"/>
  <c r="A1139" i="79"/>
  <c r="A1140" i="79"/>
  <c r="A1141" i="79"/>
  <c r="A1142" i="79"/>
  <c r="A1143" i="79"/>
  <c r="A1144" i="79"/>
  <c r="A1145" i="79"/>
  <c r="A1146" i="79"/>
  <c r="A1147" i="79"/>
  <c r="A1148" i="79"/>
  <c r="A1149" i="79"/>
  <c r="A1150" i="79"/>
  <c r="A1151" i="79"/>
  <c r="A1152" i="79"/>
  <c r="A1153" i="79"/>
  <c r="A1154" i="79"/>
  <c r="A1155" i="79"/>
  <c r="A1156" i="79"/>
  <c r="A1157" i="79"/>
  <c r="A1158" i="79"/>
  <c r="A1159" i="79"/>
  <c r="A1160" i="79"/>
  <c r="A1161" i="79"/>
  <c r="A1162" i="79"/>
  <c r="A1163" i="79"/>
  <c r="A1164" i="79"/>
  <c r="A1165" i="79"/>
  <c r="A1166" i="79"/>
  <c r="A1167" i="79"/>
  <c r="A1168" i="79"/>
  <c r="A1169" i="79"/>
  <c r="A1170" i="79"/>
  <c r="A1171" i="79"/>
  <c r="A1172" i="79"/>
  <c r="A1173" i="79"/>
  <c r="A1174" i="79"/>
  <c r="A1175" i="79"/>
  <c r="A1176" i="79"/>
  <c r="A1177" i="79"/>
  <c r="A1178" i="79"/>
  <c r="A1179" i="79"/>
  <c r="A1180" i="79"/>
  <c r="A1181" i="79"/>
  <c r="A1182" i="79"/>
  <c r="A1183" i="79"/>
  <c r="A1184" i="79"/>
  <c r="A1185" i="79"/>
  <c r="A1186" i="79"/>
  <c r="A1187" i="79"/>
  <c r="A1188" i="79"/>
  <c r="A1189" i="79"/>
  <c r="A1190" i="79"/>
  <c r="A1191" i="79"/>
  <c r="A1192" i="79"/>
  <c r="A1193" i="79"/>
  <c r="A1194" i="79"/>
  <c r="A1195" i="79"/>
  <c r="A1196" i="79"/>
  <c r="A1197" i="79"/>
  <c r="A1198" i="79"/>
  <c r="A1199" i="79"/>
  <c r="A1200" i="79"/>
  <c r="A1201" i="79"/>
  <c r="A1202" i="79"/>
  <c r="A1203" i="79"/>
  <c r="A1204" i="79"/>
  <c r="A1205" i="79"/>
  <c r="A1206" i="79"/>
  <c r="A1207" i="79"/>
  <c r="A1208" i="79"/>
  <c r="A1209" i="79"/>
  <c r="A1210" i="79"/>
  <c r="A1211" i="79"/>
  <c r="A1212" i="79"/>
  <c r="A1213" i="79"/>
  <c r="A1214" i="79"/>
  <c r="A1215" i="79"/>
  <c r="A1216" i="79"/>
  <c r="A1217" i="79"/>
  <c r="A1218" i="79"/>
  <c r="A1219" i="79"/>
  <c r="A1220" i="79"/>
  <c r="A1221" i="79"/>
  <c r="A1222" i="79"/>
  <c r="A1223" i="79"/>
  <c r="A1224" i="79"/>
  <c r="A1225" i="79"/>
  <c r="A1226" i="79"/>
  <c r="A1227" i="79"/>
  <c r="A1228" i="79"/>
  <c r="A1229" i="79"/>
  <c r="A1230" i="79"/>
  <c r="A1231" i="79"/>
  <c r="A1232" i="79"/>
  <c r="A1233" i="79"/>
  <c r="A1234" i="79"/>
  <c r="A1235" i="79"/>
  <c r="A1236" i="79"/>
  <c r="A1237" i="79"/>
  <c r="A1238" i="79"/>
  <c r="A1239" i="79"/>
  <c r="A1240" i="79"/>
  <c r="A1241" i="79"/>
  <c r="A1242" i="79"/>
  <c r="A1243" i="79"/>
  <c r="A1244" i="79"/>
  <c r="A1245" i="79"/>
  <c r="A1246" i="79"/>
  <c r="A1247" i="79"/>
  <c r="A1248" i="79"/>
  <c r="A1249" i="79"/>
  <c r="A1250" i="79"/>
  <c r="A1251" i="79"/>
  <c r="A1252" i="79"/>
  <c r="A1253" i="79"/>
  <c r="A1254" i="79"/>
  <c r="A1255" i="79"/>
  <c r="A1256" i="79"/>
  <c r="A1257" i="79"/>
  <c r="A1258" i="79"/>
  <c r="A1259" i="79"/>
  <c r="A1260" i="79"/>
  <c r="A1261" i="79"/>
  <c r="A1262" i="79"/>
  <c r="A1263" i="79"/>
  <c r="A1264" i="79"/>
  <c r="A1265" i="79"/>
  <c r="A1266" i="79"/>
  <c r="A1267" i="79"/>
  <c r="A1268" i="79"/>
  <c r="A1269" i="79"/>
  <c r="A1270" i="79"/>
  <c r="A1271" i="79"/>
  <c r="A1272" i="79"/>
  <c r="A1273" i="79"/>
  <c r="A1274" i="79"/>
  <c r="A1275" i="79"/>
  <c r="A1276" i="79"/>
  <c r="A1277" i="79"/>
  <c r="A1278" i="79"/>
  <c r="A1279" i="79"/>
  <c r="A1280" i="79"/>
  <c r="A1281" i="79"/>
  <c r="A1282" i="79"/>
  <c r="A1283" i="79"/>
  <c r="A1284" i="79"/>
  <c r="A1285" i="79"/>
  <c r="A1286" i="79"/>
  <c r="A1287" i="79"/>
  <c r="A1288" i="79"/>
  <c r="A1289" i="79"/>
  <c r="A1290" i="79"/>
  <c r="A1291" i="79"/>
  <c r="A1292" i="79"/>
  <c r="A1293" i="79"/>
  <c r="A1294" i="79"/>
  <c r="A1295" i="79"/>
  <c r="A1296" i="79"/>
  <c r="A1297" i="79"/>
  <c r="A1298" i="79"/>
  <c r="A1299" i="79"/>
  <c r="A1300" i="79"/>
  <c r="A1301" i="79"/>
  <c r="A1302" i="79"/>
  <c r="A1303" i="79"/>
  <c r="A1304" i="79"/>
  <c r="A1305" i="79"/>
  <c r="A1306" i="79"/>
  <c r="A1307" i="79"/>
  <c r="A1308" i="79"/>
  <c r="A1309" i="79"/>
  <c r="A1310" i="79"/>
  <c r="A1311" i="79"/>
  <c r="A1312" i="79"/>
  <c r="A1313" i="79"/>
  <c r="A1314" i="79"/>
  <c r="A1315" i="79"/>
  <c r="A1316" i="79"/>
  <c r="A1317" i="79"/>
  <c r="A1318" i="79"/>
  <c r="A1319" i="79"/>
  <c r="A1320" i="79"/>
  <c r="A1321" i="79"/>
  <c r="A1322" i="79"/>
  <c r="A1323" i="79"/>
  <c r="A1324" i="79"/>
  <c r="A1325" i="79"/>
  <c r="A1326" i="79"/>
  <c r="A1327" i="79"/>
  <c r="A1328" i="79"/>
  <c r="A1329" i="79"/>
  <c r="A1330" i="79"/>
  <c r="A1331" i="79"/>
  <c r="A1332" i="79"/>
  <c r="A1333" i="79"/>
  <c r="A1334" i="79"/>
  <c r="A1335" i="79"/>
  <c r="A1336" i="79"/>
  <c r="A1337" i="79"/>
  <c r="A1338" i="79"/>
  <c r="A1339" i="79"/>
  <c r="A1340" i="79"/>
  <c r="A1341" i="79"/>
  <c r="A1342" i="79"/>
  <c r="A1343" i="79"/>
  <c r="A1344" i="79"/>
  <c r="A1345" i="79"/>
  <c r="A1346" i="79"/>
  <c r="A1347" i="79"/>
  <c r="A1348" i="79"/>
  <c r="A1349" i="79"/>
  <c r="A1350" i="79"/>
  <c r="A1351" i="79"/>
  <c r="A1352" i="79"/>
  <c r="A1353" i="79"/>
  <c r="A1354" i="79"/>
  <c r="A1355" i="79"/>
  <c r="A1356" i="79"/>
  <c r="A1357" i="79"/>
  <c r="A1358" i="79"/>
  <c r="A1359" i="79"/>
  <c r="A1360" i="79"/>
  <c r="A1361" i="79"/>
  <c r="A1362" i="79"/>
  <c r="A1363" i="79"/>
  <c r="A1364" i="79"/>
  <c r="A1365" i="79"/>
  <c r="A1366" i="79"/>
  <c r="A1367" i="79"/>
  <c r="A1368" i="79"/>
  <c r="A1369" i="79"/>
  <c r="A1370" i="79"/>
  <c r="A1371" i="79"/>
  <c r="A1372" i="79"/>
  <c r="A1373" i="79"/>
  <c r="A1374" i="79"/>
  <c r="A1375" i="79"/>
  <c r="A1376" i="79"/>
  <c r="A1377" i="79"/>
  <c r="A1378" i="79"/>
  <c r="A1379" i="79"/>
  <c r="A1380" i="79"/>
  <c r="A1381" i="79"/>
  <c r="A1382" i="79"/>
  <c r="A1383" i="79"/>
  <c r="A1384" i="79"/>
  <c r="A1385" i="79"/>
  <c r="A1386" i="79"/>
  <c r="A1387" i="79"/>
  <c r="A1388" i="79"/>
  <c r="A1389" i="79"/>
  <c r="A1390" i="79"/>
  <c r="A1391" i="79"/>
  <c r="A1392" i="79"/>
  <c r="A1393" i="79"/>
  <c r="A1394" i="79"/>
  <c r="A1395" i="79"/>
  <c r="A1396" i="79"/>
  <c r="A1397" i="79"/>
  <c r="A1398" i="79"/>
  <c r="A1399" i="79"/>
  <c r="A1400" i="79"/>
  <c r="A1401" i="79"/>
  <c r="A1402" i="79"/>
  <c r="A1403" i="79"/>
  <c r="A1404" i="79"/>
  <c r="A1405" i="79"/>
  <c r="A1406" i="79"/>
  <c r="A1407" i="79"/>
  <c r="A1408" i="79"/>
  <c r="A1409" i="79"/>
  <c r="A1410" i="79"/>
  <c r="A1411" i="79"/>
  <c r="A1412" i="79"/>
  <c r="A1413" i="79"/>
  <c r="A1414" i="79"/>
  <c r="A1415" i="79"/>
  <c r="A1416" i="79"/>
  <c r="A1417" i="79"/>
  <c r="A1418" i="79"/>
  <c r="A1419" i="79"/>
  <c r="A1420" i="79"/>
  <c r="A1421" i="79"/>
  <c r="A1422" i="79"/>
  <c r="A1423" i="79"/>
  <c r="A1424" i="79"/>
  <c r="A1425" i="79"/>
  <c r="A1426" i="79"/>
  <c r="A1427" i="79"/>
  <c r="A1428" i="79"/>
  <c r="A1429" i="79"/>
  <c r="A1430" i="79"/>
  <c r="A1431" i="79"/>
  <c r="A1432" i="79"/>
  <c r="A1433" i="79"/>
  <c r="A1434" i="79"/>
  <c r="A1435" i="79"/>
  <c r="A1436" i="79"/>
  <c r="A1437" i="79"/>
  <c r="A1438" i="79"/>
  <c r="A1439" i="79"/>
  <c r="A1440" i="79"/>
  <c r="A1441" i="79"/>
  <c r="A1442" i="79"/>
  <c r="A1443" i="79"/>
  <c r="A1444" i="79"/>
  <c r="A1445" i="79"/>
  <c r="A1446" i="79"/>
  <c r="A1447" i="79"/>
  <c r="A1448" i="79"/>
  <c r="A1449" i="79"/>
  <c r="A1450" i="79"/>
  <c r="A1451" i="79"/>
  <c r="A1452" i="79"/>
  <c r="A1453" i="79"/>
  <c r="A1454" i="79"/>
  <c r="A1455" i="79"/>
  <c r="A1456" i="79"/>
  <c r="A1457" i="79"/>
  <c r="A1458" i="79"/>
  <c r="A1459" i="79"/>
  <c r="A1460" i="79"/>
  <c r="A1461" i="79"/>
  <c r="A1462" i="79"/>
  <c r="A1463" i="79"/>
  <c r="A1464" i="79"/>
  <c r="A1465" i="79"/>
  <c r="A1466" i="79"/>
  <c r="A1467" i="79"/>
  <c r="A1468" i="79"/>
  <c r="A1469" i="79"/>
  <c r="A1470" i="79"/>
  <c r="A1471" i="79"/>
  <c r="A1472" i="79"/>
  <c r="A1473" i="79"/>
  <c r="A1474" i="79"/>
  <c r="A1475" i="79"/>
  <c r="A1476" i="79"/>
  <c r="A1477" i="79"/>
  <c r="A1478" i="79"/>
  <c r="A1479" i="79"/>
  <c r="A1480" i="79"/>
  <c r="A1481" i="79"/>
  <c r="A1482" i="79"/>
  <c r="A1483" i="79"/>
  <c r="A1484" i="79"/>
  <c r="A1485" i="79"/>
  <c r="A1486" i="79"/>
  <c r="A1487" i="79"/>
  <c r="A1488" i="79"/>
  <c r="A1489" i="79"/>
  <c r="A1490" i="79"/>
  <c r="A1491" i="79"/>
  <c r="A1492" i="79"/>
  <c r="A1493" i="79"/>
  <c r="A1494" i="79"/>
  <c r="A1495" i="79"/>
  <c r="A1496" i="79"/>
  <c r="A1497" i="79"/>
  <c r="A1498" i="79"/>
  <c r="A1499" i="79"/>
  <c r="A1500" i="79"/>
  <c r="A1501" i="79"/>
  <c r="A1502" i="79"/>
  <c r="A1503" i="79"/>
  <c r="A1504" i="79"/>
  <c r="A1505" i="79"/>
  <c r="A1506" i="79"/>
  <c r="A1507" i="79"/>
  <c r="A1508" i="79"/>
  <c r="A1509" i="79"/>
  <c r="A1510" i="79"/>
  <c r="A1511" i="79"/>
  <c r="A1512" i="79"/>
  <c r="A1513" i="79"/>
  <c r="A1514" i="79"/>
  <c r="A1515" i="79"/>
  <c r="A1516" i="79"/>
  <c r="A1517" i="79"/>
  <c r="A1518" i="79"/>
  <c r="A1519" i="79"/>
  <c r="A1520" i="79"/>
  <c r="A1521" i="79"/>
  <c r="A1522" i="79"/>
  <c r="A1523" i="79"/>
  <c r="A1524" i="79"/>
  <c r="A1525" i="79"/>
  <c r="A1526" i="79"/>
  <c r="A1527" i="79"/>
  <c r="A1528" i="79"/>
  <c r="A1529" i="79"/>
  <c r="A1530" i="79"/>
  <c r="A1531" i="79"/>
  <c r="A1532" i="79"/>
  <c r="A1533" i="79"/>
  <c r="A1534" i="79"/>
  <c r="A1535" i="79"/>
  <c r="A1536" i="79"/>
  <c r="A1537" i="79"/>
  <c r="A1538" i="79"/>
  <c r="A1539" i="79"/>
  <c r="A1540" i="79"/>
  <c r="A1541" i="79"/>
  <c r="A1542" i="79"/>
  <c r="A1543" i="79"/>
  <c r="A1544" i="79"/>
  <c r="A1545" i="79"/>
  <c r="A1546" i="79"/>
  <c r="A1547" i="79"/>
  <c r="A1548" i="79"/>
  <c r="A1549" i="79"/>
  <c r="A1550" i="79"/>
  <c r="A1551" i="79"/>
  <c r="A1552" i="79"/>
  <c r="A1553" i="79"/>
  <c r="A1554" i="79"/>
  <c r="A1555" i="79"/>
  <c r="A1556" i="79"/>
  <c r="A1557" i="79"/>
  <c r="A1558" i="79"/>
  <c r="A1559" i="79"/>
  <c r="A1560" i="79"/>
  <c r="A1561" i="79"/>
  <c r="A1562" i="79"/>
  <c r="A1563" i="79"/>
  <c r="A1564" i="79"/>
  <c r="A1565" i="79"/>
  <c r="A1566" i="79"/>
  <c r="A1567" i="79"/>
  <c r="A1568" i="79"/>
  <c r="A1569" i="79"/>
  <c r="A1570" i="79"/>
  <c r="A1571" i="79"/>
  <c r="A1572" i="79"/>
  <c r="A1573" i="79"/>
  <c r="A1574" i="79"/>
  <c r="A1575" i="79"/>
  <c r="A1576" i="79"/>
  <c r="A1577" i="79"/>
  <c r="A1578" i="79"/>
  <c r="A1579" i="79"/>
  <c r="A1580" i="79"/>
  <c r="A1581" i="79"/>
  <c r="A1582" i="79"/>
  <c r="A1583" i="79"/>
  <c r="A1584" i="79"/>
  <c r="A1585" i="79"/>
  <c r="A1586" i="79"/>
  <c r="A1587" i="79"/>
  <c r="A1588" i="79"/>
  <c r="A1589" i="79"/>
  <c r="A1590" i="79"/>
  <c r="A1591" i="79"/>
  <c r="A1592" i="79"/>
  <c r="A1593" i="79"/>
  <c r="A1594" i="79"/>
  <c r="A1595" i="79"/>
  <c r="A1596" i="79"/>
  <c r="A1597" i="79"/>
  <c r="A1598" i="79"/>
  <c r="A1599" i="79"/>
  <c r="A1600" i="79"/>
  <c r="A1601" i="79"/>
  <c r="A1602" i="79"/>
  <c r="A1603" i="79"/>
  <c r="A1604" i="79"/>
  <c r="A1605" i="79"/>
  <c r="A1606" i="79"/>
  <c r="A1607" i="79"/>
  <c r="A1608" i="79"/>
  <c r="A1609" i="79"/>
  <c r="A1610" i="79"/>
  <c r="A1611" i="79"/>
  <c r="A1612" i="79"/>
  <c r="A1613" i="79"/>
  <c r="A1614" i="79"/>
  <c r="A1615" i="79"/>
  <c r="A1616" i="79"/>
  <c r="A1617" i="79"/>
  <c r="A1618" i="79"/>
  <c r="A1619" i="79"/>
  <c r="A1620" i="79"/>
  <c r="A1621" i="79"/>
  <c r="A1622" i="79"/>
  <c r="A1623" i="79"/>
  <c r="A1624" i="79"/>
  <c r="A1625" i="79"/>
  <c r="A1626" i="79"/>
  <c r="A1627" i="79"/>
  <c r="A1628" i="79"/>
  <c r="A1629" i="79"/>
  <c r="A1630" i="79"/>
  <c r="A1631" i="79"/>
  <c r="A1632" i="79"/>
  <c r="A1633" i="79"/>
  <c r="A1634" i="79"/>
  <c r="A1635" i="79"/>
  <c r="A1636" i="79"/>
  <c r="A1637" i="79"/>
  <c r="A1638" i="79"/>
  <c r="A1639" i="79"/>
  <c r="A1640" i="79"/>
  <c r="A1641" i="79"/>
  <c r="A1642" i="79"/>
  <c r="A1643" i="79"/>
  <c r="A1644" i="79"/>
  <c r="A1645" i="79"/>
  <c r="A1646" i="79"/>
  <c r="A1647" i="79"/>
  <c r="A1648" i="79"/>
  <c r="A1649" i="79"/>
  <c r="A1650" i="79"/>
  <c r="A1651" i="79"/>
  <c r="A1652" i="79"/>
  <c r="A1653" i="79"/>
  <c r="A1654" i="79"/>
  <c r="A1655" i="79"/>
  <c r="A1656" i="79"/>
  <c r="A1657" i="79"/>
  <c r="A1658" i="79"/>
  <c r="A1659" i="79"/>
  <c r="A1660" i="79"/>
  <c r="A1661" i="79"/>
  <c r="A1662" i="79"/>
  <c r="A1663" i="79"/>
  <c r="A1664" i="79"/>
  <c r="A1665" i="79"/>
  <c r="A1666" i="79"/>
  <c r="A1667" i="79"/>
  <c r="A1668" i="79"/>
  <c r="A1669" i="79"/>
  <c r="A1670" i="79"/>
  <c r="A1671" i="79"/>
  <c r="A1672" i="79"/>
  <c r="A1673" i="79"/>
  <c r="A1674" i="79"/>
  <c r="A1675" i="79"/>
  <c r="A1676" i="79"/>
  <c r="A1677" i="79"/>
  <c r="A1678" i="79"/>
  <c r="A1679" i="79"/>
  <c r="A1680" i="79"/>
  <c r="A1681" i="79"/>
  <c r="A1682" i="79"/>
  <c r="A1683" i="79"/>
  <c r="A1684" i="79"/>
  <c r="A1685" i="79"/>
  <c r="A1686" i="79"/>
  <c r="A1687" i="79"/>
  <c r="A1688" i="79"/>
  <c r="A1689" i="79"/>
  <c r="A1690" i="79"/>
  <c r="A1691" i="79"/>
  <c r="A1692" i="79"/>
  <c r="A1693" i="79"/>
  <c r="A1694" i="79"/>
  <c r="A1695" i="79"/>
  <c r="A1696" i="79"/>
  <c r="A1697" i="79"/>
  <c r="A1698" i="79"/>
  <c r="A1699" i="79"/>
  <c r="A1700" i="79"/>
  <c r="A1701" i="79"/>
  <c r="A1702" i="79"/>
  <c r="A1703" i="79"/>
  <c r="A1704" i="79"/>
  <c r="A1705" i="79"/>
  <c r="A1706" i="79"/>
  <c r="A1707" i="79"/>
  <c r="A1708" i="79"/>
  <c r="A1709" i="79"/>
  <c r="A1710" i="79"/>
  <c r="A1711" i="79"/>
  <c r="A1712" i="79"/>
  <c r="A1713" i="79"/>
  <c r="A1714" i="79"/>
  <c r="A1715" i="79"/>
  <c r="A1716" i="79"/>
  <c r="A1717" i="79"/>
  <c r="A1718" i="79"/>
  <c r="A1719" i="79"/>
  <c r="A1720" i="79"/>
  <c r="A1721" i="79"/>
  <c r="A1722" i="79"/>
  <c r="A1723" i="79"/>
  <c r="A1724" i="79"/>
  <c r="A1725" i="79"/>
  <c r="A1726" i="79"/>
  <c r="A1727" i="79"/>
  <c r="A1728" i="79"/>
  <c r="A1729" i="79"/>
  <c r="A1730" i="79"/>
  <c r="A1731" i="79"/>
  <c r="A1732" i="79"/>
  <c r="A1733" i="79"/>
  <c r="A1734" i="79"/>
  <c r="A1735" i="79"/>
  <c r="A1736" i="79"/>
  <c r="A1737" i="79"/>
  <c r="A1738" i="79"/>
  <c r="A1739" i="79"/>
  <c r="A1740" i="79"/>
  <c r="A1741" i="79"/>
  <c r="A1742" i="79"/>
  <c r="A1743" i="79"/>
  <c r="A1744" i="79"/>
  <c r="A1745" i="79"/>
  <c r="A1746" i="79"/>
  <c r="A1747" i="79"/>
  <c r="A1748" i="79"/>
  <c r="A1749" i="79"/>
  <c r="A1750" i="79"/>
  <c r="A1751" i="79"/>
  <c r="A1752" i="79"/>
  <c r="A1753" i="79"/>
  <c r="A1754" i="79"/>
  <c r="A1755" i="79"/>
  <c r="A1756" i="79"/>
  <c r="A1757" i="79"/>
  <c r="A1758" i="79"/>
  <c r="A1759" i="79"/>
  <c r="A1760" i="79"/>
  <c r="A1761" i="79"/>
  <c r="A1762" i="79"/>
  <c r="A1763" i="79"/>
  <c r="A1764" i="79"/>
  <c r="A1765" i="79"/>
  <c r="A1766" i="79"/>
  <c r="A1767" i="79"/>
  <c r="A1768" i="79"/>
  <c r="A1769" i="79"/>
  <c r="A1770" i="79"/>
  <c r="A1771" i="79"/>
  <c r="A1772" i="79"/>
  <c r="A1773" i="79"/>
  <c r="A1774" i="79"/>
  <c r="A1775" i="79"/>
  <c r="A1776" i="79"/>
  <c r="A1777" i="79"/>
  <c r="A1778" i="79"/>
  <c r="A1779" i="79"/>
  <c r="A1780" i="79"/>
  <c r="A1781" i="79"/>
  <c r="A1782" i="79"/>
  <c r="A1783" i="79"/>
  <c r="A1784" i="79"/>
  <c r="A1785" i="79"/>
  <c r="A1786" i="79"/>
  <c r="A1787" i="79"/>
  <c r="A1788" i="79"/>
  <c r="A1789" i="79"/>
  <c r="A1790" i="79"/>
  <c r="A1791" i="79"/>
  <c r="A1792" i="79"/>
  <c r="A1793" i="79"/>
  <c r="A1794" i="79"/>
  <c r="A1795" i="79"/>
  <c r="A1796" i="79"/>
  <c r="A1797" i="79"/>
  <c r="A1798" i="79"/>
  <c r="A1799" i="79"/>
  <c r="A1800" i="79"/>
  <c r="A1801" i="79"/>
  <c r="A1802" i="79"/>
  <c r="A1803" i="79"/>
  <c r="A1804" i="79"/>
  <c r="A1805" i="79"/>
  <c r="A1806" i="79"/>
  <c r="A1807" i="79"/>
  <c r="A1808" i="79"/>
  <c r="A1809" i="79"/>
  <c r="A1810" i="79"/>
  <c r="A1811" i="79"/>
  <c r="A1812" i="79"/>
  <c r="A1813" i="79"/>
  <c r="A1814" i="79"/>
  <c r="A1815" i="79"/>
  <c r="A1816" i="79"/>
  <c r="A1817" i="79"/>
  <c r="A1818" i="79"/>
  <c r="A1819" i="79"/>
  <c r="A1820" i="79"/>
  <c r="A1821" i="79"/>
  <c r="A1822" i="79"/>
  <c r="A1823" i="79"/>
  <c r="A1824" i="79"/>
  <c r="A1825" i="79"/>
  <c r="A1826" i="79"/>
  <c r="A1827" i="79"/>
  <c r="A1828" i="79"/>
  <c r="A1829" i="79"/>
  <c r="A1830" i="79"/>
  <c r="A1831" i="79"/>
  <c r="A1832" i="79"/>
  <c r="A1833" i="79"/>
  <c r="A1834" i="79"/>
  <c r="A1835" i="79"/>
  <c r="A1836" i="79"/>
  <c r="A1837" i="79"/>
  <c r="A1838" i="79"/>
  <c r="A1839" i="79"/>
  <c r="A1840" i="79"/>
  <c r="A1841" i="79"/>
  <c r="A1842" i="79"/>
  <c r="A1843" i="79"/>
  <c r="A1844" i="79"/>
  <c r="A1845" i="79"/>
  <c r="A1846" i="79"/>
  <c r="A1847" i="79"/>
  <c r="A1848" i="79"/>
  <c r="A1849" i="79"/>
  <c r="A1850" i="79"/>
  <c r="A1851" i="79"/>
  <c r="A1852" i="79"/>
  <c r="A1853" i="79"/>
  <c r="A1854" i="79"/>
  <c r="A1855" i="79"/>
  <c r="A1856" i="79"/>
  <c r="A1857" i="79"/>
  <c r="A1858" i="79"/>
  <c r="A1859" i="79"/>
  <c r="A1860" i="79"/>
  <c r="A1861" i="79"/>
  <c r="A1862" i="79"/>
  <c r="A1863" i="79"/>
  <c r="A1864" i="79"/>
  <c r="A1865" i="79"/>
  <c r="A1866" i="79"/>
  <c r="A1867" i="79"/>
  <c r="A1868" i="79"/>
  <c r="A1869" i="79"/>
  <c r="A1870" i="79"/>
  <c r="A1871" i="79"/>
  <c r="A1872" i="79"/>
  <c r="A1873" i="79"/>
  <c r="A1874" i="79"/>
  <c r="A1875" i="79"/>
  <c r="A1876" i="79"/>
  <c r="A1877" i="79"/>
  <c r="A1878" i="79"/>
  <c r="A1879" i="79"/>
  <c r="A1880" i="79"/>
  <c r="A1881" i="79"/>
  <c r="A1882" i="79"/>
  <c r="A1883" i="79"/>
  <c r="A1884" i="79"/>
  <c r="A1885" i="79"/>
  <c r="A1886" i="79"/>
  <c r="A1887" i="79"/>
  <c r="A1888" i="79"/>
  <c r="A1889" i="79"/>
  <c r="A1890" i="79"/>
  <c r="A1891" i="79"/>
  <c r="A1892" i="79"/>
  <c r="A1893" i="79"/>
  <c r="A1894" i="79"/>
  <c r="A1895" i="79"/>
  <c r="A1896" i="79"/>
  <c r="A1897" i="79"/>
  <c r="A1898" i="79"/>
  <c r="A1899" i="79"/>
  <c r="A1900" i="79"/>
  <c r="A1901" i="79"/>
  <c r="A1902" i="79"/>
  <c r="A1903" i="79"/>
  <c r="A1904" i="79"/>
  <c r="A1905" i="79"/>
  <c r="A1906" i="79"/>
  <c r="A1907" i="79"/>
  <c r="A1908" i="79"/>
  <c r="A1909" i="79"/>
  <c r="A1910" i="79"/>
  <c r="A1911" i="79"/>
  <c r="A1912" i="79"/>
  <c r="A1913" i="79"/>
  <c r="A1914" i="79"/>
  <c r="A1915" i="79"/>
  <c r="A1916" i="79"/>
  <c r="A1917" i="79"/>
  <c r="A1918" i="79"/>
  <c r="A1919" i="79"/>
  <c r="A1920" i="79"/>
  <c r="A1921" i="79"/>
  <c r="A1922" i="79"/>
  <c r="A1923" i="79"/>
  <c r="A1924" i="79"/>
  <c r="A1925" i="79"/>
  <c r="A1926" i="79"/>
  <c r="A1927" i="79"/>
  <c r="A1928" i="79"/>
  <c r="A1929" i="79"/>
  <c r="A1930" i="79"/>
  <c r="A1931" i="79"/>
  <c r="A1932" i="79"/>
  <c r="A1933" i="79"/>
  <c r="A1934" i="79"/>
  <c r="A1935" i="79"/>
  <c r="A1936" i="79"/>
  <c r="A1937" i="79"/>
  <c r="A1938" i="79"/>
  <c r="A1939" i="79"/>
  <c r="A1940" i="79"/>
  <c r="A1941" i="79"/>
  <c r="A1942" i="79"/>
  <c r="A1943" i="79"/>
  <c r="A1944" i="79"/>
  <c r="A1945" i="79"/>
  <c r="A1946" i="79"/>
  <c r="A1947" i="79"/>
  <c r="A1948" i="79"/>
  <c r="A1949" i="79"/>
  <c r="A1950" i="79"/>
  <c r="A1951" i="79"/>
  <c r="A1952" i="79"/>
  <c r="A1953" i="79"/>
  <c r="A1954" i="79"/>
  <c r="A1955" i="79"/>
  <c r="A1956" i="79"/>
  <c r="A1957" i="79"/>
  <c r="A1958" i="79"/>
  <c r="A1959" i="79"/>
  <c r="A1960" i="79"/>
  <c r="A1961" i="79"/>
  <c r="A1962" i="79"/>
  <c r="A1963" i="79"/>
  <c r="A1964" i="79"/>
  <c r="A1965" i="79"/>
  <c r="A1966" i="79"/>
  <c r="A1967" i="79"/>
  <c r="A1968" i="79"/>
  <c r="A1969" i="79"/>
  <c r="A1970" i="79"/>
  <c r="A1971" i="79"/>
  <c r="A1972" i="79"/>
  <c r="A1973" i="79"/>
  <c r="A1974" i="79"/>
  <c r="A1975" i="79"/>
  <c r="A1976" i="79"/>
  <c r="A1977" i="79"/>
  <c r="A1978" i="79"/>
  <c r="A1979" i="79"/>
  <c r="A1980" i="79"/>
  <c r="A1981" i="79"/>
  <c r="A1982" i="79"/>
  <c r="A1983" i="79"/>
  <c r="A1984" i="79"/>
  <c r="A1985" i="79"/>
  <c r="A1986" i="79"/>
  <c r="A1987" i="79"/>
  <c r="A1988" i="79"/>
  <c r="A1989" i="79"/>
  <c r="A1990" i="79"/>
  <c r="A1991" i="79"/>
  <c r="A1992" i="79"/>
  <c r="A1993" i="79"/>
  <c r="A1994" i="79"/>
  <c r="A1995" i="79"/>
  <c r="A1996" i="79"/>
  <c r="A1997" i="79"/>
  <c r="A1998" i="79"/>
  <c r="A1999" i="79"/>
  <c r="A2000" i="79"/>
  <c r="A2001" i="79"/>
  <c r="A2002" i="79"/>
  <c r="A2003" i="79"/>
  <c r="A2004" i="79"/>
  <c r="A2005" i="79"/>
  <c r="A2006" i="79"/>
  <c r="A2007" i="79"/>
  <c r="A2008" i="79"/>
  <c r="A2009" i="79"/>
  <c r="A2010" i="79"/>
  <c r="A2011" i="79"/>
  <c r="A2012" i="79"/>
  <c r="A2013" i="79"/>
  <c r="A2014" i="79"/>
  <c r="A2015" i="79"/>
  <c r="A2016" i="79"/>
  <c r="A2017" i="79"/>
  <c r="A2018" i="79"/>
  <c r="A2019" i="79"/>
  <c r="A2020" i="79"/>
  <c r="A2021" i="79"/>
  <c r="A2022" i="79"/>
  <c r="A2023" i="79"/>
  <c r="A2024" i="79"/>
  <c r="A2025" i="79"/>
  <c r="A2026" i="79"/>
  <c r="A2027" i="79"/>
  <c r="A2028" i="79"/>
  <c r="A2029" i="79"/>
  <c r="A2030" i="79"/>
  <c r="A2031" i="79"/>
  <c r="A2032" i="79"/>
  <c r="A2033" i="79"/>
  <c r="A2034" i="79"/>
  <c r="A2035" i="79"/>
  <c r="A2036" i="79"/>
  <c r="A2037" i="79"/>
  <c r="A2038" i="79"/>
  <c r="A2039" i="79"/>
  <c r="A2040" i="79"/>
  <c r="A2041" i="79"/>
  <c r="A2042" i="79"/>
  <c r="A2043" i="79"/>
  <c r="A2044" i="79"/>
  <c r="A2045" i="79"/>
  <c r="A2046" i="79"/>
  <c r="A2047" i="79"/>
  <c r="A2048" i="79"/>
  <c r="A2049" i="79"/>
  <c r="A2050" i="79"/>
  <c r="A2051" i="79"/>
  <c r="A2052" i="79"/>
  <c r="A2053" i="79"/>
  <c r="A2054" i="79"/>
  <c r="A2055" i="79"/>
  <c r="A2056" i="79"/>
  <c r="A2057" i="79"/>
  <c r="A2058" i="79"/>
  <c r="A2059" i="79"/>
  <c r="A2060" i="79"/>
  <c r="A2061" i="79"/>
  <c r="A2062" i="79"/>
  <c r="A2063" i="79"/>
  <c r="A2064" i="79"/>
  <c r="A2065" i="79"/>
  <c r="A2066" i="79"/>
  <c r="A2067" i="79"/>
  <c r="A2068" i="79"/>
  <c r="A2069" i="79"/>
  <c r="A2070" i="79"/>
  <c r="A2071" i="79"/>
  <c r="A2072" i="79"/>
  <c r="A2073" i="79"/>
  <c r="A2074" i="79"/>
  <c r="A2075" i="79"/>
  <c r="A2076" i="79"/>
  <c r="A2077" i="79"/>
  <c r="A2078" i="79"/>
  <c r="A2079" i="79"/>
  <c r="A2080" i="79"/>
  <c r="A2081" i="79"/>
  <c r="A2082" i="79"/>
  <c r="A2083" i="79"/>
  <c r="A2084" i="79"/>
  <c r="A2085" i="79"/>
  <c r="A2086" i="79"/>
  <c r="A2087" i="79"/>
  <c r="A2088" i="79"/>
  <c r="A2089" i="79"/>
  <c r="A2090" i="79"/>
  <c r="A2091" i="79"/>
  <c r="A2092" i="79"/>
  <c r="A2093" i="79"/>
  <c r="A2094" i="79"/>
  <c r="A2095" i="79"/>
  <c r="A2096" i="79"/>
  <c r="A2097" i="79"/>
  <c r="A2098" i="79"/>
  <c r="A2099" i="79"/>
  <c r="A2100" i="79"/>
  <c r="A2101" i="79"/>
  <c r="A2102" i="79"/>
  <c r="A2103" i="79"/>
  <c r="A2104" i="79"/>
  <c r="A2105" i="79"/>
  <c r="A2106" i="79"/>
  <c r="A2107" i="79"/>
  <c r="A2108" i="79"/>
  <c r="A2109" i="79"/>
  <c r="A2110" i="79"/>
  <c r="A2111" i="79"/>
  <c r="A2112" i="79"/>
  <c r="A2113" i="79"/>
  <c r="A2114" i="79"/>
  <c r="A2115" i="79"/>
  <c r="A2116" i="79"/>
  <c r="A2117" i="79"/>
  <c r="A2118" i="79"/>
  <c r="A2119" i="79"/>
  <c r="A2120" i="79"/>
  <c r="A2121" i="79"/>
  <c r="A2122" i="79"/>
  <c r="A2123" i="79"/>
  <c r="A2124" i="79"/>
  <c r="A2125" i="79"/>
  <c r="A2126" i="79"/>
  <c r="A2127" i="79"/>
  <c r="A2128" i="79"/>
  <c r="A2129" i="79"/>
  <c r="A2130" i="79"/>
  <c r="A2131" i="79"/>
  <c r="A2132" i="79"/>
  <c r="A2133" i="79"/>
  <c r="A2134" i="79"/>
  <c r="A2135" i="79"/>
  <c r="A2136" i="79"/>
  <c r="A2137" i="79"/>
  <c r="A2138" i="79"/>
  <c r="A2139" i="79"/>
  <c r="A2140" i="79"/>
  <c r="A2141" i="79"/>
  <c r="A2142" i="79"/>
  <c r="A2143" i="79"/>
  <c r="A2144" i="79"/>
  <c r="A2145" i="79"/>
  <c r="A2146" i="79"/>
  <c r="A2147" i="79"/>
  <c r="A2148" i="79"/>
  <c r="A2149" i="79"/>
  <c r="A2150" i="79"/>
  <c r="A2151" i="79"/>
  <c r="A2152" i="79"/>
  <c r="A2153" i="79"/>
  <c r="A2154" i="79"/>
  <c r="A2155" i="79"/>
  <c r="A2156" i="79"/>
  <c r="A2157" i="79"/>
  <c r="A2158" i="79"/>
  <c r="A2159" i="79"/>
  <c r="A2160" i="79"/>
  <c r="A2161" i="79"/>
  <c r="A2162" i="79"/>
  <c r="A2163" i="79"/>
  <c r="A2164" i="79"/>
  <c r="A2165" i="79"/>
  <c r="A2166" i="79"/>
  <c r="A2167" i="79"/>
  <c r="A2168" i="79"/>
  <c r="A2169" i="79"/>
  <c r="A2170" i="79"/>
  <c r="A2171" i="79"/>
  <c r="A2172" i="79"/>
  <c r="A2173" i="79"/>
  <c r="A2174" i="79"/>
  <c r="A2175" i="79"/>
  <c r="A2176" i="79"/>
  <c r="A2177" i="79"/>
  <c r="A2178" i="79"/>
  <c r="A2179" i="79"/>
  <c r="A2180" i="79"/>
  <c r="A2181" i="79"/>
  <c r="A2182" i="79"/>
  <c r="A2183" i="79"/>
  <c r="A2184" i="79"/>
  <c r="A2185" i="79"/>
  <c r="A2186" i="79"/>
  <c r="A2187" i="79"/>
  <c r="A2188" i="79"/>
  <c r="A2189" i="79"/>
  <c r="A2190" i="79"/>
  <c r="A2191" i="79"/>
  <c r="A2192" i="79"/>
  <c r="A2193" i="79"/>
  <c r="A2194" i="79"/>
  <c r="A2195" i="79"/>
  <c r="A2196" i="79"/>
  <c r="A2197" i="79"/>
  <c r="A2198" i="79"/>
  <c r="A2199" i="79"/>
  <c r="A2200" i="79"/>
  <c r="A2201" i="79"/>
  <c r="A2202" i="79"/>
  <c r="A2203" i="79"/>
  <c r="A2204" i="79"/>
  <c r="A2205" i="79"/>
  <c r="A2206" i="79"/>
  <c r="A2207" i="79"/>
  <c r="A2208" i="79"/>
  <c r="A2209" i="79"/>
  <c r="A2210" i="79"/>
  <c r="A2211" i="79"/>
  <c r="A2212" i="79"/>
  <c r="A2213" i="79"/>
  <c r="A2214" i="79"/>
  <c r="A2215" i="79"/>
  <c r="A2216" i="79"/>
  <c r="A2217" i="79"/>
  <c r="A2218" i="79"/>
  <c r="A2219" i="79"/>
  <c r="A2220" i="79"/>
  <c r="A2221" i="79"/>
  <c r="A2222" i="79"/>
  <c r="A2223" i="79"/>
  <c r="A2224" i="79"/>
  <c r="A2225" i="79"/>
  <c r="A2226" i="79"/>
  <c r="A2227" i="79"/>
  <c r="A2228" i="79"/>
  <c r="A2229" i="79"/>
  <c r="A2230" i="79"/>
  <c r="A2231" i="79"/>
  <c r="A2232" i="79"/>
  <c r="A2233" i="79"/>
  <c r="A2234" i="79"/>
  <c r="A2235" i="79"/>
  <c r="A2236" i="79"/>
  <c r="A2237" i="79"/>
  <c r="A2238" i="79"/>
  <c r="A2239" i="79"/>
  <c r="A2240" i="79"/>
  <c r="A2241" i="79"/>
  <c r="A2242" i="79"/>
  <c r="A2243" i="79"/>
  <c r="A2244" i="79"/>
  <c r="A2245" i="79"/>
  <c r="A2246" i="79"/>
  <c r="A2247" i="79"/>
  <c r="A2248" i="79"/>
  <c r="A2249" i="79"/>
  <c r="A2250" i="79"/>
  <c r="A2251" i="79"/>
  <c r="A2252" i="79"/>
  <c r="A2253" i="79"/>
  <c r="A2254" i="79"/>
  <c r="A2255" i="79"/>
  <c r="A2256" i="79"/>
  <c r="A2257" i="79"/>
  <c r="A2258" i="79"/>
  <c r="A2259" i="79"/>
  <c r="A2260" i="79"/>
  <c r="A2261" i="79"/>
  <c r="A2262" i="79"/>
  <c r="A2263" i="79"/>
  <c r="A2264" i="79"/>
  <c r="A2265" i="79"/>
  <c r="A2266" i="79"/>
  <c r="A2267" i="79"/>
  <c r="A2268" i="79"/>
  <c r="A2269" i="79"/>
  <c r="A2270" i="79"/>
  <c r="A2271" i="79"/>
  <c r="A2272" i="79"/>
  <c r="A2273" i="79"/>
  <c r="A2274" i="79"/>
  <c r="A2275" i="79"/>
  <c r="A2276" i="79"/>
  <c r="A2277" i="79"/>
  <c r="A2278" i="79"/>
  <c r="A2279" i="79"/>
  <c r="A2280" i="79"/>
  <c r="A2281" i="79"/>
  <c r="A2282" i="79"/>
  <c r="A2283" i="79"/>
  <c r="A2284" i="79"/>
  <c r="A2285" i="79"/>
  <c r="A2286" i="79"/>
  <c r="A2287" i="79"/>
  <c r="A2288" i="79"/>
  <c r="A2289" i="79"/>
  <c r="A2290" i="79"/>
  <c r="A2291" i="79"/>
  <c r="A2292" i="79"/>
  <c r="A2293" i="79"/>
  <c r="A2294" i="79"/>
  <c r="A2295" i="79"/>
  <c r="A2296" i="79"/>
  <c r="A2297" i="79"/>
  <c r="A2298" i="79"/>
  <c r="A2299" i="79"/>
  <c r="A2300" i="79"/>
  <c r="A2301" i="79"/>
  <c r="A2302" i="79"/>
  <c r="A2303" i="79"/>
  <c r="A2304" i="79"/>
  <c r="A2305" i="79"/>
  <c r="A2306" i="79"/>
  <c r="A2307" i="79"/>
  <c r="A2308" i="79"/>
  <c r="A2309" i="79"/>
  <c r="A2310" i="79"/>
  <c r="A2311" i="79"/>
  <c r="A2312" i="79"/>
  <c r="A2313" i="79"/>
  <c r="A2314" i="79"/>
  <c r="A2315" i="79"/>
  <c r="A2316" i="79"/>
  <c r="A2317" i="79"/>
  <c r="A2318" i="79"/>
  <c r="A2319" i="79"/>
  <c r="A2320" i="79"/>
  <c r="A2321" i="79"/>
  <c r="A2322" i="79"/>
  <c r="A2323" i="79"/>
  <c r="A2324" i="79"/>
  <c r="A2325" i="79"/>
  <c r="A2326" i="79"/>
  <c r="A2327" i="79"/>
  <c r="A2328" i="79"/>
  <c r="A2329" i="79"/>
  <c r="A2330" i="79"/>
  <c r="A2331" i="79"/>
  <c r="A2332" i="79"/>
  <c r="A2333" i="79"/>
  <c r="A2334" i="79"/>
  <c r="A2335" i="79"/>
  <c r="A2336" i="79"/>
  <c r="A2337" i="79"/>
  <c r="A2338" i="79"/>
  <c r="A2339" i="79"/>
  <c r="A2340" i="79"/>
  <c r="A2341" i="79"/>
  <c r="A2342" i="79"/>
  <c r="A2343" i="79"/>
  <c r="A2344" i="79"/>
  <c r="A2345" i="79"/>
  <c r="A2346" i="79"/>
  <c r="A2347" i="79"/>
  <c r="A2348" i="79"/>
  <c r="A2349" i="79"/>
  <c r="A2350" i="79"/>
  <c r="A2351" i="79"/>
  <c r="A2352" i="79"/>
  <c r="A2353" i="79"/>
  <c r="A2354" i="79"/>
  <c r="A2355" i="79"/>
  <c r="A2356" i="79"/>
  <c r="A2357" i="79"/>
  <c r="A2358" i="79"/>
  <c r="A2359" i="79"/>
  <c r="A2360" i="79"/>
  <c r="A2361" i="79"/>
  <c r="A2362" i="79"/>
  <c r="A2363" i="79"/>
  <c r="A2364" i="79"/>
  <c r="A2365" i="79"/>
  <c r="A2366" i="79"/>
  <c r="A2367" i="79"/>
  <c r="A2368" i="79"/>
  <c r="A2369" i="79"/>
  <c r="A2370" i="79"/>
  <c r="A2371" i="79"/>
  <c r="A2372" i="79"/>
  <c r="A2373" i="79"/>
  <c r="A2374" i="79"/>
  <c r="A2375" i="79"/>
  <c r="A2376" i="79"/>
  <c r="A2377" i="79"/>
  <c r="A2378" i="79"/>
  <c r="A2379" i="79"/>
  <c r="A2380" i="79"/>
  <c r="A2381" i="79"/>
  <c r="A2382" i="79"/>
  <c r="A2383" i="79"/>
  <c r="A2384" i="79"/>
  <c r="A2385" i="79"/>
  <c r="A2386" i="79"/>
  <c r="A2387" i="79"/>
  <c r="A2388" i="79"/>
  <c r="A2389" i="79"/>
  <c r="A2390" i="79"/>
  <c r="A2391" i="79"/>
  <c r="A2392" i="79"/>
  <c r="A2393" i="79"/>
  <c r="A2394" i="79"/>
  <c r="A2395" i="79"/>
  <c r="A2396" i="79"/>
  <c r="A2397" i="79"/>
  <c r="A2398" i="79"/>
  <c r="A2399" i="79"/>
  <c r="A2400" i="79"/>
  <c r="A2401" i="79"/>
  <c r="A2402" i="79"/>
  <c r="A2403" i="79"/>
  <c r="A2404" i="79"/>
  <c r="A2405" i="79"/>
  <c r="A2406" i="79"/>
  <c r="A2407" i="79"/>
  <c r="A2408" i="79"/>
  <c r="A2409" i="79"/>
  <c r="A2410" i="79"/>
  <c r="A2411" i="79"/>
  <c r="A2412" i="79"/>
  <c r="A2413" i="79"/>
  <c r="A2414" i="79"/>
  <c r="A2415" i="79"/>
  <c r="A2416" i="79"/>
  <c r="A2417" i="79"/>
  <c r="A2418" i="79"/>
  <c r="A2419" i="79"/>
  <c r="A2420" i="79"/>
  <c r="A2421" i="79"/>
  <c r="A2422" i="79"/>
  <c r="A2423" i="79"/>
  <c r="A2424" i="79"/>
  <c r="A2425" i="79"/>
  <c r="A2426" i="79"/>
  <c r="A2427" i="79"/>
  <c r="A2428" i="79"/>
  <c r="A2429" i="79"/>
  <c r="A2430" i="79"/>
  <c r="A2431" i="79"/>
  <c r="A2432" i="79"/>
  <c r="A2433" i="79"/>
  <c r="A2434" i="79"/>
  <c r="A2435" i="79"/>
  <c r="A2436" i="79"/>
  <c r="A2437" i="79"/>
  <c r="A2438" i="79"/>
  <c r="A2439" i="79"/>
  <c r="A2440" i="79"/>
  <c r="A2441" i="79"/>
  <c r="A2442" i="79"/>
  <c r="A2443" i="79"/>
  <c r="A2444" i="79"/>
  <c r="A2445" i="79"/>
  <c r="A2446" i="79"/>
  <c r="A2447" i="79"/>
  <c r="A2448" i="79"/>
  <c r="A2449" i="79"/>
  <c r="A2450" i="79"/>
  <c r="A2451" i="79"/>
  <c r="A2452" i="79"/>
  <c r="A2453" i="79"/>
  <c r="A2454" i="79"/>
  <c r="A2455" i="79"/>
  <c r="A2456" i="79"/>
  <c r="A2457" i="79"/>
  <c r="A2458" i="79"/>
  <c r="A2459" i="79"/>
  <c r="A2460" i="79"/>
  <c r="A2461" i="79"/>
  <c r="A2462" i="79"/>
  <c r="A2463" i="79"/>
  <c r="A2464" i="79"/>
  <c r="A2465" i="79"/>
  <c r="A2466" i="79"/>
  <c r="A2467" i="79"/>
  <c r="A2468" i="79"/>
  <c r="A2469" i="79"/>
  <c r="A2470" i="79"/>
  <c r="A2471" i="79"/>
  <c r="A2472" i="79"/>
  <c r="A2473" i="79"/>
  <c r="A2474" i="79"/>
  <c r="A2475" i="79"/>
  <c r="A2476" i="79"/>
  <c r="A2477" i="79"/>
  <c r="A2478" i="79"/>
  <c r="A2479" i="79"/>
  <c r="A2480" i="79"/>
  <c r="A2481" i="79"/>
  <c r="A2482" i="79"/>
  <c r="A2483" i="79"/>
  <c r="A2484" i="79"/>
  <c r="A2485" i="79"/>
  <c r="A2486" i="79"/>
  <c r="A2487" i="79"/>
  <c r="A2488" i="79"/>
  <c r="A2489" i="79"/>
  <c r="A2490" i="79"/>
  <c r="A2491" i="79"/>
  <c r="A2492" i="79"/>
  <c r="A2493" i="79"/>
  <c r="A2494" i="79"/>
  <c r="A2495" i="79"/>
  <c r="A2496" i="79"/>
  <c r="A2497" i="79"/>
  <c r="A2498" i="79"/>
  <c r="A2499" i="79"/>
  <c r="A2500" i="79"/>
  <c r="A2501" i="79"/>
  <c r="A2502" i="79"/>
  <c r="A2503" i="79"/>
  <c r="A2504" i="79"/>
  <c r="A2505" i="79"/>
  <c r="A2506" i="79"/>
  <c r="A2507" i="79"/>
  <c r="A2508" i="79"/>
  <c r="A2509" i="79"/>
  <c r="A2510" i="79"/>
  <c r="A2511" i="79"/>
  <c r="A2512" i="79"/>
  <c r="A2513" i="79"/>
  <c r="A2514" i="79"/>
  <c r="A2515" i="79"/>
  <c r="A2516" i="79"/>
  <c r="A2517" i="79"/>
  <c r="A2518" i="79"/>
  <c r="A2519" i="79"/>
  <c r="A2520" i="79"/>
  <c r="A2521" i="79"/>
  <c r="A2522" i="79"/>
  <c r="A2523" i="79"/>
  <c r="A2524" i="79"/>
  <c r="A2525" i="79"/>
  <c r="A2526" i="79"/>
  <c r="A2527" i="79"/>
  <c r="A2528" i="79"/>
  <c r="A2529" i="79"/>
  <c r="A2530" i="79"/>
  <c r="A2531" i="79"/>
  <c r="A2532" i="79"/>
  <c r="A2533" i="79"/>
  <c r="A2534" i="79"/>
  <c r="A2535" i="79"/>
  <c r="A2536" i="79"/>
  <c r="A2537" i="79"/>
  <c r="A2538" i="79"/>
  <c r="A2539" i="79"/>
  <c r="A2540" i="79"/>
  <c r="A2541" i="79"/>
  <c r="A2542" i="79"/>
  <c r="A2543" i="79"/>
  <c r="A2544" i="79"/>
  <c r="A2545" i="79"/>
  <c r="A2546" i="79"/>
  <c r="A2547" i="79"/>
  <c r="A2548" i="79"/>
  <c r="A2549" i="79"/>
  <c r="A2550" i="79"/>
  <c r="A2551" i="79"/>
  <c r="A2552" i="79"/>
  <c r="A2553" i="79"/>
  <c r="A2554" i="79"/>
  <c r="A2555" i="79"/>
  <c r="A2556" i="79"/>
  <c r="A2557" i="79"/>
  <c r="A2558" i="79"/>
  <c r="A2559" i="79"/>
  <c r="A2560" i="79"/>
  <c r="A2561" i="79"/>
  <c r="A2562" i="79"/>
  <c r="A2563" i="79"/>
  <c r="A2564" i="79"/>
  <c r="A2565" i="79"/>
  <c r="A2566" i="79"/>
  <c r="A2567" i="79"/>
  <c r="A2568" i="79"/>
  <c r="A2569" i="79"/>
  <c r="A2570" i="79"/>
  <c r="A2571" i="79"/>
  <c r="A2572" i="79"/>
  <c r="A2573" i="79"/>
  <c r="A2574" i="79"/>
  <c r="A2575" i="79"/>
  <c r="A2576" i="79"/>
  <c r="A2577" i="79"/>
  <c r="A2578" i="79"/>
  <c r="A2579" i="79"/>
  <c r="A2580" i="79"/>
  <c r="A2581" i="79"/>
  <c r="A2582" i="79"/>
  <c r="A2583" i="79"/>
  <c r="A2584" i="79"/>
  <c r="A2585" i="79"/>
  <c r="A2586" i="79"/>
  <c r="A2587" i="79"/>
  <c r="A2588" i="79"/>
  <c r="A2589" i="79"/>
  <c r="A2590" i="79"/>
  <c r="A2591" i="79"/>
  <c r="A2592" i="79"/>
  <c r="A2593" i="79"/>
  <c r="A2594" i="79"/>
  <c r="A2595" i="79"/>
  <c r="A2596" i="79"/>
  <c r="A2597" i="79"/>
  <c r="A2598" i="79"/>
  <c r="A2599" i="79"/>
  <c r="A2600" i="79"/>
  <c r="A2601" i="79"/>
  <c r="A2602" i="79"/>
  <c r="A2603" i="79"/>
  <c r="A2604" i="79"/>
  <c r="A2605" i="79"/>
  <c r="A2606" i="79"/>
  <c r="A2607" i="79"/>
  <c r="A2608" i="79"/>
  <c r="A2609" i="79"/>
  <c r="A2610" i="79"/>
  <c r="A2611" i="79"/>
  <c r="A2612" i="79"/>
  <c r="A2613" i="79"/>
  <c r="A2614" i="79"/>
  <c r="A2615" i="79"/>
  <c r="A2616" i="79"/>
  <c r="A2617" i="79"/>
  <c r="A2618" i="79"/>
  <c r="A2619" i="79"/>
  <c r="A2620" i="79"/>
  <c r="A2621" i="79"/>
  <c r="A2622" i="79"/>
  <c r="A2623" i="79"/>
  <c r="A2624" i="79"/>
  <c r="A2625" i="79"/>
  <c r="A2626" i="79"/>
  <c r="A2627" i="79"/>
  <c r="A2628" i="79"/>
  <c r="A2629" i="79"/>
  <c r="A2630" i="79"/>
  <c r="A2631" i="79"/>
  <c r="A2632" i="79"/>
  <c r="A2633" i="79"/>
  <c r="A2634" i="79"/>
  <c r="A2635" i="79"/>
  <c r="A2636" i="79"/>
  <c r="A2637" i="79"/>
  <c r="A2638" i="79"/>
  <c r="A2639" i="79"/>
  <c r="A2640" i="79"/>
  <c r="A2641" i="79"/>
  <c r="A2642" i="79"/>
  <c r="A2643" i="79"/>
  <c r="A2644" i="79"/>
  <c r="A2645" i="79"/>
  <c r="A2646" i="79"/>
  <c r="A2647" i="79"/>
  <c r="A2648" i="79"/>
  <c r="A2649" i="79"/>
  <c r="A2650" i="79"/>
  <c r="A2651" i="79"/>
  <c r="A2652" i="79"/>
  <c r="A2653" i="79"/>
  <c r="A2654" i="79"/>
  <c r="A2655" i="79"/>
  <c r="A2656" i="79"/>
  <c r="A2657" i="79"/>
  <c r="A2658" i="79"/>
  <c r="A2659" i="79"/>
  <c r="A2660" i="79"/>
  <c r="A2661" i="79"/>
  <c r="A2662" i="79"/>
  <c r="A2663" i="79"/>
  <c r="A2664" i="79"/>
  <c r="A2665" i="79"/>
  <c r="A2666" i="79"/>
  <c r="A2667" i="79"/>
  <c r="A2668" i="79"/>
  <c r="A2669" i="79"/>
  <c r="A2670" i="79"/>
  <c r="A2671" i="79"/>
  <c r="A2672" i="79"/>
  <c r="A2673" i="79"/>
  <c r="A2674" i="79"/>
  <c r="A2675" i="79"/>
  <c r="A2676" i="79"/>
  <c r="A2677" i="79"/>
  <c r="A2678" i="79"/>
  <c r="A2679" i="79"/>
  <c r="A2680" i="79"/>
  <c r="A2681" i="79"/>
  <c r="A2682" i="79"/>
  <c r="A2683" i="79"/>
  <c r="A2684" i="79"/>
  <c r="A2685" i="79"/>
  <c r="A2686" i="79"/>
  <c r="A2687" i="79"/>
  <c r="A2688" i="79"/>
  <c r="A2689" i="79"/>
  <c r="A2690" i="79"/>
  <c r="A2691" i="79"/>
  <c r="A2692" i="79"/>
  <c r="A2693" i="79"/>
  <c r="A2694" i="79"/>
  <c r="A2695" i="79"/>
  <c r="A2696" i="79"/>
  <c r="A2697" i="79"/>
  <c r="A2698" i="79"/>
  <c r="A2699" i="79"/>
  <c r="A2700" i="79"/>
  <c r="A2701" i="79"/>
  <c r="A2702" i="79"/>
  <c r="A2703" i="79"/>
  <c r="A2704" i="79"/>
  <c r="A2705" i="79"/>
  <c r="A2706" i="79"/>
  <c r="A2707" i="79"/>
  <c r="A2708" i="79"/>
  <c r="A2709" i="79"/>
  <c r="A2710" i="79"/>
  <c r="A2711" i="79"/>
  <c r="A2712" i="79"/>
  <c r="A2713" i="79"/>
  <c r="A2714" i="79"/>
  <c r="A2715" i="79"/>
  <c r="A2716" i="79"/>
  <c r="A2717" i="79"/>
  <c r="A2718" i="79"/>
  <c r="A2719" i="79"/>
  <c r="A2720" i="79"/>
  <c r="A2721" i="79"/>
  <c r="A2722" i="79"/>
  <c r="A2723" i="79"/>
  <c r="A2724" i="79"/>
  <c r="A2725" i="79"/>
  <c r="A2726" i="79"/>
  <c r="A2727" i="79"/>
  <c r="A2728" i="79"/>
  <c r="A2729" i="79"/>
  <c r="A2730" i="79"/>
  <c r="A2731" i="79"/>
  <c r="A2732" i="79"/>
  <c r="A2733" i="79"/>
  <c r="A2734" i="79"/>
  <c r="A2735" i="79"/>
  <c r="A2736" i="79"/>
  <c r="A2737" i="79"/>
  <c r="A2738" i="79"/>
  <c r="A2739" i="79"/>
  <c r="A2740" i="79"/>
  <c r="A2741" i="79"/>
  <c r="A2742" i="79"/>
  <c r="A2743" i="79"/>
  <c r="A2744" i="79"/>
  <c r="A2745" i="79"/>
  <c r="A2746" i="79"/>
  <c r="A2747" i="79"/>
  <c r="A2748" i="79"/>
  <c r="A2749" i="79"/>
  <c r="A2750" i="79"/>
  <c r="A2751" i="79"/>
  <c r="A2752" i="79"/>
  <c r="A2753" i="79"/>
  <c r="A2754" i="79"/>
  <c r="A2755" i="79"/>
  <c r="A2756" i="79"/>
  <c r="A2757" i="79"/>
  <c r="A2758" i="79"/>
  <c r="A2759" i="79"/>
  <c r="A2760" i="79"/>
  <c r="A2761" i="79"/>
  <c r="A2762" i="79"/>
  <c r="A2763" i="79"/>
  <c r="A2764" i="79"/>
  <c r="A2765" i="79"/>
  <c r="A2766" i="79"/>
  <c r="A2767" i="79"/>
  <c r="A2768" i="79"/>
  <c r="A2769" i="79"/>
  <c r="A2770" i="79"/>
  <c r="A2771" i="79"/>
  <c r="A2772" i="79"/>
  <c r="A2773" i="79"/>
  <c r="A2774" i="79"/>
  <c r="A2775" i="79"/>
  <c r="A2776" i="79"/>
  <c r="A2777" i="79"/>
  <c r="A2778" i="79"/>
  <c r="A2779" i="79"/>
  <c r="A2780" i="79"/>
  <c r="A2781" i="79"/>
  <c r="A2782" i="79"/>
  <c r="A2783" i="79"/>
  <c r="A2784" i="79"/>
  <c r="A2785" i="79"/>
  <c r="A2786" i="79"/>
  <c r="A2787" i="79"/>
  <c r="A2788" i="79"/>
  <c r="A2789" i="79"/>
  <c r="A2790" i="79"/>
  <c r="A2791" i="79"/>
  <c r="A2792" i="79"/>
  <c r="A2793" i="79"/>
  <c r="A2794" i="79"/>
  <c r="A2795" i="79"/>
  <c r="A2796" i="79"/>
  <c r="A2797" i="79"/>
  <c r="A2798" i="79"/>
  <c r="A2799" i="79"/>
  <c r="A2800" i="79"/>
  <c r="A2801" i="79"/>
  <c r="A2802" i="79"/>
  <c r="A2803" i="79"/>
  <c r="A2804" i="79"/>
  <c r="A2805" i="79"/>
  <c r="A2806" i="79"/>
  <c r="A2807" i="79"/>
  <c r="A2808" i="79"/>
  <c r="A2809" i="79"/>
  <c r="A2810" i="79"/>
  <c r="A2811" i="79"/>
  <c r="A2812" i="79"/>
  <c r="A2813" i="79"/>
  <c r="A2814" i="79"/>
  <c r="A2815" i="79"/>
  <c r="A2816" i="79"/>
  <c r="A2817" i="79"/>
  <c r="A2818" i="79"/>
  <c r="A2819" i="79"/>
  <c r="A2820" i="79"/>
  <c r="A2821" i="79"/>
  <c r="A2822" i="79"/>
  <c r="A2823" i="79"/>
  <c r="A2824" i="79"/>
  <c r="A2825" i="79"/>
  <c r="A2826" i="79"/>
  <c r="A2827" i="79"/>
  <c r="A2828" i="79"/>
  <c r="A2829" i="79"/>
  <c r="A2830" i="79"/>
  <c r="A2831" i="79"/>
  <c r="A2832" i="79"/>
  <c r="A2833" i="79"/>
  <c r="A2834" i="79"/>
  <c r="A2835" i="79"/>
  <c r="A2836" i="79"/>
  <c r="A2837" i="79"/>
  <c r="A2838" i="79"/>
  <c r="A2839" i="79"/>
  <c r="A2840" i="79"/>
  <c r="A2841" i="79"/>
  <c r="A2842" i="79"/>
  <c r="A2843" i="79"/>
  <c r="A2844" i="79"/>
  <c r="A2845" i="79"/>
  <c r="A2846" i="79"/>
  <c r="A2847" i="79"/>
  <c r="A2848" i="79"/>
  <c r="A2849" i="79"/>
  <c r="A2850" i="79"/>
  <c r="A2851" i="79"/>
  <c r="A2852" i="79"/>
  <c r="A2853" i="79"/>
  <c r="A2854" i="79"/>
  <c r="A2855" i="79"/>
  <c r="A2856" i="79"/>
  <c r="A2857" i="79"/>
  <c r="A2858" i="79"/>
  <c r="A2859" i="79"/>
  <c r="A2860" i="79"/>
  <c r="A2861" i="79"/>
  <c r="A2862" i="79"/>
  <c r="A2863" i="79"/>
  <c r="A2864" i="79"/>
  <c r="A2865" i="79"/>
  <c r="A2866" i="79"/>
  <c r="A2867" i="79"/>
  <c r="A2868" i="79"/>
  <c r="A2869" i="79"/>
  <c r="A2870" i="79"/>
  <c r="A2871" i="79"/>
  <c r="A2872" i="79"/>
  <c r="A2873" i="79"/>
  <c r="A2874" i="79"/>
  <c r="A2875" i="79"/>
  <c r="A2876" i="79"/>
  <c r="A2877" i="79"/>
  <c r="A2878" i="79"/>
  <c r="A2879" i="79"/>
  <c r="A2880" i="79"/>
  <c r="A2881" i="79"/>
  <c r="A2882" i="79"/>
  <c r="A2883" i="79"/>
  <c r="A2884" i="79"/>
  <c r="A2885" i="79"/>
  <c r="A2886" i="79"/>
  <c r="A2887" i="79"/>
  <c r="A2888" i="79"/>
  <c r="A2889" i="79"/>
  <c r="A2890" i="79"/>
  <c r="A2891" i="79"/>
  <c r="A2892" i="79"/>
  <c r="A2893" i="79"/>
  <c r="A2894" i="79"/>
  <c r="A2895" i="79"/>
  <c r="A2896" i="79"/>
  <c r="A2897" i="79"/>
  <c r="A2898" i="79"/>
  <c r="A2899" i="79"/>
  <c r="A2900" i="79"/>
  <c r="A2901" i="79"/>
  <c r="A2902" i="79"/>
  <c r="A2903" i="79"/>
  <c r="A2904" i="79"/>
  <c r="A2905" i="79"/>
  <c r="A2906" i="79"/>
  <c r="A2907" i="79"/>
  <c r="A2908" i="79"/>
  <c r="A2909" i="79"/>
  <c r="A2910" i="79"/>
  <c r="A2911" i="79"/>
  <c r="A2912" i="79"/>
  <c r="A2913" i="79"/>
  <c r="A2914" i="79"/>
  <c r="A2915" i="79"/>
  <c r="A2916" i="79"/>
  <c r="A2917" i="79"/>
  <c r="A2918" i="79"/>
  <c r="A2919" i="79"/>
  <c r="A2920" i="79"/>
  <c r="A2921" i="79"/>
  <c r="A2922" i="79"/>
  <c r="A2923" i="79"/>
  <c r="A2924" i="79"/>
  <c r="A2925" i="79"/>
  <c r="A2926" i="79"/>
  <c r="A2927" i="79"/>
  <c r="A2928" i="79"/>
  <c r="A2929" i="79"/>
  <c r="A2930" i="79"/>
  <c r="A2931" i="79"/>
  <c r="A2932" i="79"/>
  <c r="A2933" i="79"/>
  <c r="A2934" i="79"/>
  <c r="A2935" i="79"/>
  <c r="A2936" i="79"/>
  <c r="A2937" i="79"/>
  <c r="A2938" i="79"/>
  <c r="A2939" i="79"/>
  <c r="A2940" i="79"/>
  <c r="A2941" i="79"/>
  <c r="A2942" i="79"/>
  <c r="A2943" i="79"/>
  <c r="A2944" i="79"/>
  <c r="A2945" i="79"/>
  <c r="A2946" i="79"/>
  <c r="A2947" i="79"/>
  <c r="A2948" i="79"/>
  <c r="A2949" i="79"/>
  <c r="A2950" i="79"/>
  <c r="A2951" i="79"/>
  <c r="A2952" i="79"/>
  <c r="A2953" i="79"/>
  <c r="A2954" i="79"/>
  <c r="A2955" i="79"/>
  <c r="A2956" i="79"/>
  <c r="A2957" i="79"/>
  <c r="A2958" i="79"/>
  <c r="A2959" i="79"/>
  <c r="A2960" i="79"/>
  <c r="A2961" i="79"/>
  <c r="A2962" i="79"/>
  <c r="A2963" i="79"/>
  <c r="A2964" i="79"/>
  <c r="A2965" i="79"/>
  <c r="A2966" i="79"/>
  <c r="A2967" i="79"/>
  <c r="A2968" i="79"/>
  <c r="A2969" i="79"/>
  <c r="A2970" i="79"/>
  <c r="A2971" i="79"/>
  <c r="A2972" i="79"/>
  <c r="A2973" i="79"/>
  <c r="A2974" i="79"/>
  <c r="A2975" i="79"/>
  <c r="A2976" i="79"/>
  <c r="A2977" i="79"/>
  <c r="A2978" i="79"/>
  <c r="A2979" i="79"/>
  <c r="A2980" i="79"/>
  <c r="A2981" i="79"/>
  <c r="A2982" i="79"/>
  <c r="A2983" i="79"/>
  <c r="A2984" i="79"/>
  <c r="A2985" i="79"/>
  <c r="A2986" i="79"/>
  <c r="A2987" i="79"/>
  <c r="A2988" i="79"/>
  <c r="A2989" i="79"/>
  <c r="A2990" i="79"/>
  <c r="A2991" i="79"/>
  <c r="A2992" i="79"/>
  <c r="A2993" i="79"/>
  <c r="A2994" i="79"/>
  <c r="A2995" i="79"/>
  <c r="A2996" i="79"/>
  <c r="A2997" i="79"/>
  <c r="A2998" i="79"/>
  <c r="A2999" i="79"/>
  <c r="A3000" i="79"/>
  <c r="A3001" i="79"/>
  <c r="A3002" i="79"/>
  <c r="A3003" i="79"/>
  <c r="A3004" i="79"/>
  <c r="A3005" i="79"/>
  <c r="A3006" i="79"/>
  <c r="A3007" i="79"/>
  <c r="A3008" i="79"/>
  <c r="A3009" i="79"/>
  <c r="A3010" i="79"/>
  <c r="A3011" i="79"/>
  <c r="A3012" i="79"/>
  <c r="A3013" i="79"/>
  <c r="A3014" i="79"/>
  <c r="A3015" i="79"/>
  <c r="A3016" i="79"/>
  <c r="A3017" i="79"/>
  <c r="A3018" i="79"/>
  <c r="A3019" i="79"/>
  <c r="A3020" i="79"/>
  <c r="A3021" i="79"/>
  <c r="A3022" i="79"/>
  <c r="A3023" i="79"/>
  <c r="A3024" i="79"/>
  <c r="A3025" i="79"/>
  <c r="A3026" i="79"/>
  <c r="A3027" i="79"/>
  <c r="A3028" i="79"/>
  <c r="A3029" i="79"/>
  <c r="A3030" i="79"/>
  <c r="A3031" i="79"/>
  <c r="A3032" i="79"/>
  <c r="A3033" i="79"/>
  <c r="A3034" i="79"/>
  <c r="A3035" i="79"/>
  <c r="A3036" i="79"/>
  <c r="A3037" i="79"/>
  <c r="A3038" i="79"/>
  <c r="A3039" i="79"/>
  <c r="A3040" i="79"/>
  <c r="A3041" i="79"/>
  <c r="A3042" i="79"/>
  <c r="A3043" i="79"/>
  <c r="A3044" i="79"/>
  <c r="A3045" i="79"/>
  <c r="A3046" i="79"/>
  <c r="A3047" i="79"/>
  <c r="A3048" i="79"/>
  <c r="A3049" i="79"/>
  <c r="A3050" i="79"/>
  <c r="A3051" i="79"/>
  <c r="A3052" i="79"/>
  <c r="A3053" i="79"/>
  <c r="A3054" i="79"/>
  <c r="A3055" i="79"/>
  <c r="A3056" i="79"/>
  <c r="A3057" i="79"/>
  <c r="A3058" i="79"/>
  <c r="A3059" i="79"/>
  <c r="A3060" i="79"/>
  <c r="A3061" i="79"/>
  <c r="A3062" i="79"/>
  <c r="A3063" i="79"/>
  <c r="A3064" i="79"/>
  <c r="A3065" i="79"/>
  <c r="A3066" i="79"/>
  <c r="A3067" i="79"/>
  <c r="A3068" i="79"/>
  <c r="A3069" i="79"/>
  <c r="A3070" i="79"/>
  <c r="A3071" i="79"/>
  <c r="A3072" i="79"/>
  <c r="A3073" i="79"/>
  <c r="A3074" i="79"/>
  <c r="A3075" i="79"/>
  <c r="A3076" i="79"/>
  <c r="A3077" i="79"/>
  <c r="A3078" i="79"/>
  <c r="A3079" i="79"/>
  <c r="A3080" i="79"/>
  <c r="A3081" i="79"/>
  <c r="A3082" i="79"/>
  <c r="A3083" i="79"/>
  <c r="A3084" i="79"/>
  <c r="A3085" i="79"/>
  <c r="A3086" i="79"/>
  <c r="A3087" i="79"/>
  <c r="A3088" i="79"/>
  <c r="A3089" i="79"/>
  <c r="A3090" i="79"/>
  <c r="A3091" i="79"/>
  <c r="A3092" i="79"/>
  <c r="A3093" i="79"/>
  <c r="A3094" i="79"/>
  <c r="A3095" i="79"/>
  <c r="A3096" i="79"/>
  <c r="A3097" i="79"/>
  <c r="A3098" i="79"/>
  <c r="A3099" i="79"/>
  <c r="A3100" i="79"/>
  <c r="A3101" i="79"/>
  <c r="A3102" i="79"/>
  <c r="A3103" i="79"/>
  <c r="A3104" i="79"/>
  <c r="A3105" i="79"/>
  <c r="A3106" i="79"/>
  <c r="A3107" i="79"/>
  <c r="A3108" i="79"/>
  <c r="A3109" i="79"/>
  <c r="A3110" i="79"/>
  <c r="A3111" i="79"/>
  <c r="A3112" i="79"/>
  <c r="A3113" i="79"/>
  <c r="A3114" i="79"/>
  <c r="A3115" i="79"/>
  <c r="A3116" i="79"/>
  <c r="A3117" i="79"/>
  <c r="A3118" i="79"/>
  <c r="A3119" i="79"/>
  <c r="A3120" i="79"/>
  <c r="A3121" i="79"/>
  <c r="A3122" i="79"/>
  <c r="A3123" i="79"/>
  <c r="A3124" i="79"/>
  <c r="A3125" i="79"/>
  <c r="A3126" i="79"/>
  <c r="A3127" i="79"/>
  <c r="A3128" i="79"/>
  <c r="A3129" i="79"/>
  <c r="A3130" i="79"/>
  <c r="A3131" i="79"/>
  <c r="A3132" i="79"/>
  <c r="A3133" i="79"/>
  <c r="A3134" i="79"/>
  <c r="A3135" i="79"/>
  <c r="A3136" i="79"/>
  <c r="A3137" i="79"/>
  <c r="A3138" i="79"/>
  <c r="A3139" i="79"/>
  <c r="A3140" i="79"/>
  <c r="A3141" i="79"/>
  <c r="A3142" i="79"/>
  <c r="A3143" i="79"/>
  <c r="A3144" i="79"/>
  <c r="A3145" i="79"/>
  <c r="A3146" i="79"/>
  <c r="A3147" i="79"/>
  <c r="A3148" i="79"/>
  <c r="A3149" i="79"/>
  <c r="A3150" i="79"/>
  <c r="A3151" i="79"/>
  <c r="A3152" i="79"/>
  <c r="A3153" i="79"/>
  <c r="A3154" i="79"/>
  <c r="A3155" i="79"/>
  <c r="A3156" i="79"/>
  <c r="A3157" i="79"/>
  <c r="A3158" i="79"/>
  <c r="A3159" i="79"/>
  <c r="A3160" i="79"/>
  <c r="A3161" i="79"/>
  <c r="A3162" i="79"/>
  <c r="A3163" i="79"/>
  <c r="A3164" i="79"/>
  <c r="A3165" i="79"/>
  <c r="A3166" i="79"/>
  <c r="A3167" i="79"/>
  <c r="A3168" i="79"/>
  <c r="A3169" i="79"/>
  <c r="A3170" i="79"/>
  <c r="A3171" i="79"/>
  <c r="A3172" i="79"/>
  <c r="A3173" i="79"/>
  <c r="A3174" i="79"/>
  <c r="A3175" i="79"/>
  <c r="A3176" i="79"/>
  <c r="A3177" i="79"/>
  <c r="A3178" i="79"/>
  <c r="A3179" i="79"/>
  <c r="A3180" i="79"/>
  <c r="A3181" i="79"/>
  <c r="A3182" i="79"/>
  <c r="A3183" i="79"/>
  <c r="A3184" i="79"/>
  <c r="A3185" i="79"/>
  <c r="A3186" i="79"/>
  <c r="A3187" i="79"/>
  <c r="A3188" i="79"/>
  <c r="A3189" i="79"/>
  <c r="A3190" i="79"/>
  <c r="A3191" i="79"/>
  <c r="A3192" i="79"/>
  <c r="A3193" i="79"/>
  <c r="A3194" i="79"/>
  <c r="A3195" i="79"/>
  <c r="A3196" i="79"/>
  <c r="A3197" i="79"/>
  <c r="A3198" i="79"/>
  <c r="A3199" i="79"/>
  <c r="A3200" i="79"/>
  <c r="A3201" i="79"/>
  <c r="A3202" i="79"/>
  <c r="A3203" i="79"/>
  <c r="A3204" i="79"/>
  <c r="A3205" i="79"/>
  <c r="A3206" i="79"/>
  <c r="A3207" i="79"/>
  <c r="A3208" i="79"/>
  <c r="A3209" i="79"/>
  <c r="A3210" i="79"/>
  <c r="A3211" i="79"/>
  <c r="A3212" i="79"/>
  <c r="A3213" i="79"/>
  <c r="A3214" i="79"/>
  <c r="A3215" i="79"/>
  <c r="A3216" i="79"/>
  <c r="A3217" i="79"/>
  <c r="A3218" i="79"/>
  <c r="A3219" i="79"/>
  <c r="A3220" i="79"/>
  <c r="A3221" i="79"/>
  <c r="A3222" i="79"/>
  <c r="A3223" i="79"/>
  <c r="A3224" i="79"/>
  <c r="A3225" i="79"/>
  <c r="A3226" i="79"/>
  <c r="A3227" i="79"/>
  <c r="A3228" i="79"/>
  <c r="A3229" i="79"/>
  <c r="A3230" i="79"/>
  <c r="A3231" i="79"/>
  <c r="A3232" i="79"/>
  <c r="A3233" i="79"/>
  <c r="A3234" i="79"/>
  <c r="A3235" i="79"/>
  <c r="A3236" i="79"/>
  <c r="A3237" i="79"/>
  <c r="A3238" i="79"/>
  <c r="A3239" i="79"/>
  <c r="A3240" i="79"/>
  <c r="A3241" i="79"/>
  <c r="A3242" i="79"/>
  <c r="A3243" i="79"/>
  <c r="A3244" i="79"/>
  <c r="A3245" i="79"/>
  <c r="A3246" i="79"/>
  <c r="A3247" i="79"/>
  <c r="A3248" i="79"/>
  <c r="A3249" i="79"/>
  <c r="A3250" i="79"/>
  <c r="A3251" i="79"/>
  <c r="A3252" i="79"/>
  <c r="A3253" i="79"/>
  <c r="A3254" i="79"/>
  <c r="A3255" i="79"/>
  <c r="A3256" i="79"/>
  <c r="A3257" i="79"/>
  <c r="A3258" i="79"/>
  <c r="A3259" i="79"/>
  <c r="A3260" i="79"/>
  <c r="A3261" i="79"/>
  <c r="A3262" i="79"/>
  <c r="A3263" i="79"/>
  <c r="A3264" i="79"/>
  <c r="A3265" i="79"/>
  <c r="A3266" i="79"/>
  <c r="A3267" i="79"/>
  <c r="A3268" i="79"/>
  <c r="A3269" i="79"/>
  <c r="A3270" i="79"/>
  <c r="A3271" i="79"/>
  <c r="A3272" i="79"/>
  <c r="A3273" i="79"/>
  <c r="A3274" i="79"/>
  <c r="A3275" i="79"/>
  <c r="A3276" i="79"/>
  <c r="A3277" i="79"/>
  <c r="A3278" i="79"/>
  <c r="A3279" i="79"/>
  <c r="A3280" i="79"/>
  <c r="A3281" i="79"/>
  <c r="A3282" i="79"/>
  <c r="A3283" i="79"/>
  <c r="A3284" i="79"/>
  <c r="A3285" i="79"/>
  <c r="A3286" i="79"/>
  <c r="A3287" i="79"/>
  <c r="A3288" i="79"/>
  <c r="A3289" i="79"/>
  <c r="A3290" i="79"/>
  <c r="A3291" i="79"/>
  <c r="A3292" i="79"/>
  <c r="A3293" i="79"/>
  <c r="A3294" i="79"/>
  <c r="A3295" i="79"/>
  <c r="A3296" i="79"/>
  <c r="A3297" i="79"/>
  <c r="A3298" i="79"/>
  <c r="A3299" i="79"/>
  <c r="A3300" i="79"/>
  <c r="A3301" i="79"/>
  <c r="A3302" i="79"/>
  <c r="A3303" i="79"/>
  <c r="A3304" i="79"/>
  <c r="A3305" i="79"/>
  <c r="A3306" i="79"/>
  <c r="A3307" i="79"/>
  <c r="A3308" i="79"/>
  <c r="A3309" i="79"/>
  <c r="A3310" i="79"/>
  <c r="A3311" i="79"/>
  <c r="A3312" i="79"/>
  <c r="A3313" i="79"/>
  <c r="A3314" i="79"/>
  <c r="A3315" i="79"/>
  <c r="A3316" i="79"/>
  <c r="A3317" i="79"/>
  <c r="A3318" i="79"/>
  <c r="A3319" i="79"/>
  <c r="A3320" i="79"/>
  <c r="A3321" i="79"/>
  <c r="A3322" i="79"/>
  <c r="A3323" i="79"/>
  <c r="A3324" i="79"/>
  <c r="A3325" i="79"/>
  <c r="A3326" i="79"/>
  <c r="A3327" i="79"/>
  <c r="A3328" i="79"/>
  <c r="A3329" i="79"/>
  <c r="A3330" i="79"/>
  <c r="A3331" i="79"/>
  <c r="A3332" i="79"/>
  <c r="A3333" i="79"/>
  <c r="A3334" i="79"/>
  <c r="A3335" i="79"/>
  <c r="A3336" i="79"/>
  <c r="A3337" i="79"/>
  <c r="A3338" i="79"/>
  <c r="A3339" i="79"/>
  <c r="A3340" i="79"/>
  <c r="A3341" i="79"/>
  <c r="A3342" i="79"/>
  <c r="A3343" i="79"/>
  <c r="A3344" i="79"/>
  <c r="A3345" i="79"/>
  <c r="A3346" i="79"/>
  <c r="A3347" i="79"/>
  <c r="A3348" i="79"/>
  <c r="A3349" i="79"/>
  <c r="A3350" i="79"/>
  <c r="A3351" i="79"/>
  <c r="A3352" i="79"/>
  <c r="A3353" i="79"/>
  <c r="A3354" i="79"/>
  <c r="A3355" i="79"/>
  <c r="A3356" i="79"/>
  <c r="A3357" i="79"/>
  <c r="A3358" i="79"/>
  <c r="A3359" i="79"/>
  <c r="A3360" i="79"/>
  <c r="A3361" i="79"/>
  <c r="A3362" i="79"/>
  <c r="A3363" i="79"/>
  <c r="A3364" i="79"/>
  <c r="A3365" i="79"/>
  <c r="A3366" i="79"/>
  <c r="A3367" i="79"/>
  <c r="A3368" i="79"/>
  <c r="A3369" i="79"/>
  <c r="A3370" i="79"/>
  <c r="A3371" i="79"/>
  <c r="A3372" i="79"/>
  <c r="A3373" i="79"/>
  <c r="A3374" i="79"/>
  <c r="A3375" i="79"/>
  <c r="A3376" i="79"/>
  <c r="A3377" i="79"/>
  <c r="A3378" i="79"/>
  <c r="A3379" i="79"/>
  <c r="A3380" i="79"/>
  <c r="A3381" i="79"/>
  <c r="A3382" i="79"/>
  <c r="A3383" i="79"/>
  <c r="A3384" i="79"/>
  <c r="A3385" i="79"/>
  <c r="A3386" i="79"/>
  <c r="A3387" i="79"/>
  <c r="A3388" i="79"/>
  <c r="A3389" i="79"/>
  <c r="A3390" i="79"/>
  <c r="A3391" i="79"/>
  <c r="A3392" i="79"/>
  <c r="A3393" i="79"/>
  <c r="A3394" i="79"/>
  <c r="A3395" i="79"/>
  <c r="A3396" i="79"/>
  <c r="A3397" i="79"/>
  <c r="A3398" i="79"/>
  <c r="A3399" i="79"/>
  <c r="A3400" i="79"/>
  <c r="A3401" i="79"/>
  <c r="A3402" i="79"/>
  <c r="A3403" i="79"/>
  <c r="A3404" i="79"/>
  <c r="A3405" i="79"/>
  <c r="A3406" i="79"/>
  <c r="A3407" i="79"/>
  <c r="A3408" i="79"/>
  <c r="A3409" i="79"/>
  <c r="A3410" i="79"/>
  <c r="A3411" i="79"/>
  <c r="A3412" i="79"/>
  <c r="A3413" i="79"/>
  <c r="A3414" i="79"/>
  <c r="A3415" i="79"/>
  <c r="A3416" i="79"/>
  <c r="A3417" i="79"/>
  <c r="A3418" i="79"/>
  <c r="A3419" i="79"/>
  <c r="A3420" i="79"/>
  <c r="A3421" i="79"/>
  <c r="A3422" i="79"/>
  <c r="A3423" i="79"/>
  <c r="A3424" i="79"/>
  <c r="A3425" i="79"/>
  <c r="A3426" i="79"/>
  <c r="A3427" i="79"/>
  <c r="A3428" i="79"/>
  <c r="A3429" i="79"/>
  <c r="A3430" i="79"/>
  <c r="A3431" i="79"/>
  <c r="A3432" i="79"/>
  <c r="A3433" i="79"/>
  <c r="A3434" i="79"/>
  <c r="A3435" i="79"/>
  <c r="A3436" i="79"/>
  <c r="A3437" i="79"/>
  <c r="A3438" i="79"/>
  <c r="A3439" i="79"/>
  <c r="A3440" i="79"/>
  <c r="A3441" i="79"/>
  <c r="A3442" i="79"/>
  <c r="A3443" i="79"/>
  <c r="A3444" i="79"/>
  <c r="A3445" i="79"/>
  <c r="A3446" i="79"/>
  <c r="A3447" i="79"/>
  <c r="A3448" i="79"/>
  <c r="A3449" i="79"/>
  <c r="A3450" i="79"/>
  <c r="A3451" i="79"/>
  <c r="A3452" i="79"/>
  <c r="A3453" i="79"/>
  <c r="A3454" i="79"/>
  <c r="A3455" i="79"/>
  <c r="A3456" i="79"/>
  <c r="A3457" i="79"/>
  <c r="A3458" i="79"/>
  <c r="A3459" i="79"/>
  <c r="A3460" i="79"/>
  <c r="A3461" i="79"/>
  <c r="A3462" i="79"/>
  <c r="A3463" i="79"/>
  <c r="A3464" i="79"/>
  <c r="A3465" i="79"/>
  <c r="A3466" i="79"/>
  <c r="A3467" i="79"/>
  <c r="A3468" i="79"/>
  <c r="A3469" i="79"/>
  <c r="A3470" i="79"/>
  <c r="A3471" i="79"/>
  <c r="A3472" i="79"/>
  <c r="A3473" i="79"/>
  <c r="A3474" i="79"/>
  <c r="A3475" i="79"/>
  <c r="A3476" i="79"/>
  <c r="A3477" i="79"/>
  <c r="A3478" i="79"/>
  <c r="A3479" i="79"/>
  <c r="A3480" i="79"/>
  <c r="A3481" i="79"/>
  <c r="A3482" i="79"/>
  <c r="A3483" i="79"/>
  <c r="A3484" i="79"/>
  <c r="A3485" i="79"/>
  <c r="A3486" i="79"/>
  <c r="A3487" i="79"/>
  <c r="A3488" i="79"/>
  <c r="A3489" i="79"/>
  <c r="A3490" i="79"/>
  <c r="A3491" i="79"/>
  <c r="A3492" i="79"/>
  <c r="A3493" i="79"/>
  <c r="A3494" i="79"/>
  <c r="A3495" i="79"/>
  <c r="A3496" i="79"/>
  <c r="A3497" i="79"/>
  <c r="A3498" i="79"/>
  <c r="A3499" i="79"/>
  <c r="A3500" i="79"/>
  <c r="A3501" i="79"/>
  <c r="A3502" i="79"/>
  <c r="A3503" i="79"/>
  <c r="A3504" i="79"/>
  <c r="A3505" i="79"/>
  <c r="A3506" i="79"/>
  <c r="A3507" i="79"/>
  <c r="A3508" i="79"/>
  <c r="A3509" i="79"/>
  <c r="A3510" i="79"/>
  <c r="A3511" i="79"/>
  <c r="A3512" i="79"/>
  <c r="A3513" i="79"/>
  <c r="A3514" i="79"/>
  <c r="A3515" i="79"/>
  <c r="A3516" i="79"/>
  <c r="A3517" i="79"/>
  <c r="A3518" i="79"/>
  <c r="A3519" i="79"/>
  <c r="A3520" i="79"/>
  <c r="A3521" i="79"/>
  <c r="A3522" i="79"/>
  <c r="A3523" i="79"/>
  <c r="A3524" i="79"/>
  <c r="A3525" i="79"/>
  <c r="A3526" i="79"/>
  <c r="A3527" i="79"/>
  <c r="A3528" i="79"/>
  <c r="A3529" i="79"/>
  <c r="A3530" i="79"/>
  <c r="A3531" i="79"/>
  <c r="A3532" i="79"/>
  <c r="A3533" i="79"/>
  <c r="A3534" i="79"/>
  <c r="A3535" i="79"/>
  <c r="A3536" i="79"/>
  <c r="A3537" i="79"/>
  <c r="A3538" i="79"/>
  <c r="A3539" i="79"/>
  <c r="A3540" i="79"/>
  <c r="A3541" i="79"/>
  <c r="A3542" i="79"/>
  <c r="A3543" i="79"/>
  <c r="A3544" i="79"/>
  <c r="A3545" i="79"/>
  <c r="A3546" i="79"/>
  <c r="A3547" i="79"/>
  <c r="A3548" i="79"/>
  <c r="A3549" i="79"/>
  <c r="A3550" i="79"/>
  <c r="A3551" i="79"/>
  <c r="A3552" i="79"/>
  <c r="A3553" i="79"/>
  <c r="A3554" i="79"/>
  <c r="A3555" i="79"/>
  <c r="A3556" i="79"/>
  <c r="A3557" i="79"/>
  <c r="A3558" i="79"/>
  <c r="A3559" i="79"/>
  <c r="A3560" i="79"/>
  <c r="A3561" i="79"/>
  <c r="A3562" i="79"/>
  <c r="A3563" i="79"/>
  <c r="A3564" i="79"/>
  <c r="A3565" i="79"/>
  <c r="A3566" i="79"/>
  <c r="A3567" i="79"/>
  <c r="A3568" i="79"/>
  <c r="A3569" i="79"/>
  <c r="A3570" i="79"/>
  <c r="A3571" i="79"/>
  <c r="A3572" i="79"/>
  <c r="A3573" i="79"/>
  <c r="A3574" i="79"/>
  <c r="A3575" i="79"/>
  <c r="A3576" i="79"/>
  <c r="A3577" i="79"/>
  <c r="A3578" i="79"/>
  <c r="A3579" i="79"/>
  <c r="A3580" i="79"/>
  <c r="A3581" i="79"/>
  <c r="A3582" i="79"/>
  <c r="A3583" i="79"/>
  <c r="A3584" i="79"/>
  <c r="A3585" i="79"/>
  <c r="A3586" i="79"/>
  <c r="A3587" i="79"/>
  <c r="A3588" i="79"/>
  <c r="A3589" i="79"/>
  <c r="A3590" i="79"/>
  <c r="A3591" i="79"/>
  <c r="A3592" i="79"/>
  <c r="A3593" i="79"/>
  <c r="A3594" i="79"/>
  <c r="A3595" i="79"/>
  <c r="A3596" i="79"/>
  <c r="A3597" i="79"/>
  <c r="A3598" i="79"/>
  <c r="A3599" i="79"/>
  <c r="A3600" i="79"/>
  <c r="A3601" i="79"/>
  <c r="A3602" i="79"/>
  <c r="A3603" i="79"/>
  <c r="A3604" i="79"/>
  <c r="A3605" i="79"/>
  <c r="A3606" i="79"/>
  <c r="A3607" i="79"/>
  <c r="A3608" i="79"/>
  <c r="A3609" i="79"/>
  <c r="A3610" i="79"/>
  <c r="A3611" i="79"/>
  <c r="A3612" i="79"/>
  <c r="A3613" i="79"/>
  <c r="A3614" i="79"/>
  <c r="A3615" i="79"/>
  <c r="A3616" i="79"/>
  <c r="A3617" i="79"/>
  <c r="A3618" i="79"/>
  <c r="A3619" i="79"/>
  <c r="A3620" i="79"/>
  <c r="A3621" i="79"/>
  <c r="A3622" i="79"/>
  <c r="A3623" i="79"/>
  <c r="A3624" i="79"/>
  <c r="A3625" i="79"/>
  <c r="A3626" i="79"/>
  <c r="A3627" i="79"/>
  <c r="A3628" i="79"/>
  <c r="A3629" i="79"/>
  <c r="A3630" i="79"/>
  <c r="A3631" i="79"/>
  <c r="A3632" i="79"/>
  <c r="A3633" i="79"/>
  <c r="A3634" i="79"/>
  <c r="A3635" i="79"/>
  <c r="A3636" i="79"/>
  <c r="A3637" i="79"/>
  <c r="A3638" i="79"/>
  <c r="A3639" i="79"/>
  <c r="A3640" i="79"/>
  <c r="A3641" i="79"/>
  <c r="A3642" i="79"/>
  <c r="A3643" i="79"/>
  <c r="A3644" i="79"/>
  <c r="A3645" i="79"/>
  <c r="A3646" i="79"/>
  <c r="A3647" i="79"/>
  <c r="A3648" i="79"/>
  <c r="A3649" i="79"/>
  <c r="A3650" i="79"/>
  <c r="A3651" i="79"/>
  <c r="A3652" i="79"/>
  <c r="A3653" i="79"/>
  <c r="A3654" i="79"/>
  <c r="A3655" i="79"/>
  <c r="A3656" i="79"/>
  <c r="A3657" i="79"/>
  <c r="A3658" i="79"/>
  <c r="A3659" i="79"/>
  <c r="A3660" i="79"/>
  <c r="A3661" i="79"/>
  <c r="A3662" i="79"/>
  <c r="A3663" i="79"/>
  <c r="A3664" i="79"/>
  <c r="A3665" i="79"/>
  <c r="A3666" i="79"/>
  <c r="A3667" i="79"/>
  <c r="A3668" i="79"/>
  <c r="A3669" i="79"/>
  <c r="A3670" i="79"/>
  <c r="A3671" i="79"/>
  <c r="A3672" i="79"/>
  <c r="A3673" i="79"/>
  <c r="A3674" i="79"/>
  <c r="A3675" i="79"/>
  <c r="A3676" i="79"/>
  <c r="A3677" i="79"/>
  <c r="A3678" i="79"/>
  <c r="A3679" i="79"/>
  <c r="A3680" i="79"/>
  <c r="A3681" i="79"/>
  <c r="A3682" i="79"/>
  <c r="A3683" i="79"/>
  <c r="A3684" i="79"/>
  <c r="A3685" i="79"/>
  <c r="A3686" i="79"/>
  <c r="A3687" i="79"/>
  <c r="A3688" i="79"/>
  <c r="A3689" i="79"/>
  <c r="A3690" i="79"/>
  <c r="A3691" i="79"/>
  <c r="A3692" i="79"/>
  <c r="A3693" i="79"/>
  <c r="A3694" i="79"/>
  <c r="A3695" i="79"/>
  <c r="A3696" i="79"/>
  <c r="A3697" i="79"/>
  <c r="A3698" i="79"/>
  <c r="A3699" i="79"/>
  <c r="A3700" i="79"/>
  <c r="A3701" i="79"/>
  <c r="A3702" i="79"/>
  <c r="A3703" i="79"/>
  <c r="A3704" i="79"/>
  <c r="A3705" i="79"/>
  <c r="A3706" i="79"/>
  <c r="A3707" i="79"/>
  <c r="A3708" i="79"/>
  <c r="A3709" i="79"/>
  <c r="A3710" i="79"/>
  <c r="A3711" i="79"/>
  <c r="A3712" i="79"/>
  <c r="A3713" i="79"/>
  <c r="A3714" i="79"/>
  <c r="A3715" i="79"/>
  <c r="A3716" i="79"/>
  <c r="A3717" i="79"/>
  <c r="A3718" i="79"/>
  <c r="A3719" i="79"/>
  <c r="A3720" i="79"/>
  <c r="A3721" i="79"/>
  <c r="A3722" i="79"/>
  <c r="A3723" i="79"/>
  <c r="A3724" i="79"/>
  <c r="A3725" i="79"/>
  <c r="A3726" i="79"/>
  <c r="A3727" i="79"/>
  <c r="A3728" i="79"/>
  <c r="A3729" i="79"/>
  <c r="A3730" i="79"/>
  <c r="A3731" i="79"/>
  <c r="A3732" i="79"/>
  <c r="A3733" i="79"/>
  <c r="A3734" i="79"/>
  <c r="A3735" i="79"/>
  <c r="A3736" i="79"/>
  <c r="A3737" i="79"/>
  <c r="A3738" i="79"/>
  <c r="A3739" i="79"/>
  <c r="A3740" i="79"/>
  <c r="A3741" i="79"/>
  <c r="A3742" i="79"/>
  <c r="A3743" i="79"/>
  <c r="A3744" i="79"/>
  <c r="A3745" i="79"/>
  <c r="A3746" i="79"/>
  <c r="A3747" i="79"/>
  <c r="A3748" i="79"/>
  <c r="A3749" i="79"/>
  <c r="A3750" i="79"/>
  <c r="A3751" i="79"/>
  <c r="A3752" i="79"/>
  <c r="A3753" i="79"/>
  <c r="A3754" i="79"/>
  <c r="A3755" i="79"/>
  <c r="A3756" i="79"/>
  <c r="A3757" i="79"/>
  <c r="A3758" i="79"/>
  <c r="A3759" i="79"/>
  <c r="A3760" i="79"/>
  <c r="A3761" i="79"/>
  <c r="A3762" i="79"/>
  <c r="A3763" i="79"/>
  <c r="A3764" i="79"/>
  <c r="A3765" i="79"/>
  <c r="A3766" i="79"/>
  <c r="A3767" i="79"/>
  <c r="A3768" i="79"/>
  <c r="A3769" i="79"/>
  <c r="A3770" i="79"/>
  <c r="A3771" i="79"/>
  <c r="A3772" i="79"/>
  <c r="A3773" i="79"/>
  <c r="A3774" i="79"/>
  <c r="A3775" i="79"/>
  <c r="A3776" i="79"/>
  <c r="A3777" i="79"/>
  <c r="A3778" i="79"/>
  <c r="A3779" i="79"/>
  <c r="A3780" i="79"/>
  <c r="A3781" i="79"/>
  <c r="A3782" i="79"/>
  <c r="A3783" i="79"/>
  <c r="A3784" i="79"/>
  <c r="A3785" i="79"/>
  <c r="A3786" i="79"/>
  <c r="A3787" i="79"/>
  <c r="A3788" i="79"/>
  <c r="A3789" i="79"/>
  <c r="A3790" i="79"/>
  <c r="A3791" i="79"/>
  <c r="A3792" i="79"/>
  <c r="A3793" i="79"/>
  <c r="A3794" i="79"/>
  <c r="A3795" i="79"/>
  <c r="A3796" i="79"/>
  <c r="A3797" i="79"/>
  <c r="A3798" i="79"/>
  <c r="A3799" i="79"/>
  <c r="A3800" i="79"/>
  <c r="A3801" i="79"/>
  <c r="A3802" i="79"/>
  <c r="A3803" i="79"/>
  <c r="A3804" i="79"/>
  <c r="A3805" i="79"/>
  <c r="A3806" i="79"/>
  <c r="A3807" i="79"/>
  <c r="A3808" i="79"/>
  <c r="A3809" i="79"/>
  <c r="A3810" i="79"/>
  <c r="A3811" i="79"/>
  <c r="A3812" i="79"/>
  <c r="A3813" i="79"/>
  <c r="A3814" i="79"/>
  <c r="A3815" i="79"/>
  <c r="A3816" i="79"/>
  <c r="A3817" i="79"/>
  <c r="A3818" i="79"/>
  <c r="A3819" i="79"/>
  <c r="A3820" i="79"/>
  <c r="A3821" i="79"/>
  <c r="A3822" i="79"/>
  <c r="A3823" i="79"/>
  <c r="A3824" i="79"/>
  <c r="A3825" i="79"/>
  <c r="A3826" i="79"/>
  <c r="A3827" i="79"/>
  <c r="A3828" i="79"/>
  <c r="A3829" i="79"/>
  <c r="A3830" i="79"/>
  <c r="A3831" i="79"/>
  <c r="A3832" i="79"/>
  <c r="A3833" i="79"/>
  <c r="A3834" i="79"/>
  <c r="A3835" i="79"/>
  <c r="A3836" i="79"/>
  <c r="A3837" i="79"/>
  <c r="A3838" i="79"/>
  <c r="A3839" i="79"/>
  <c r="A3840" i="79"/>
  <c r="A3841" i="79"/>
  <c r="A3842" i="79"/>
  <c r="A3843" i="79"/>
  <c r="A3844" i="79"/>
  <c r="A3845" i="79"/>
  <c r="A3846" i="79"/>
  <c r="A3847" i="79"/>
  <c r="A3848" i="79"/>
  <c r="A3849" i="79"/>
  <c r="A3850" i="79"/>
  <c r="A3851" i="79"/>
  <c r="A3852" i="79"/>
  <c r="A3853" i="79"/>
  <c r="A3854" i="79"/>
  <c r="A3855" i="79"/>
  <c r="A3856" i="79"/>
  <c r="A3857" i="79"/>
  <c r="A3858" i="79"/>
  <c r="A3859" i="79"/>
  <c r="A3860" i="79"/>
  <c r="A3861" i="79"/>
  <c r="A3862" i="79"/>
  <c r="A3863" i="79"/>
  <c r="A3864" i="79"/>
  <c r="A3865" i="79"/>
  <c r="A3866" i="79"/>
  <c r="A3867" i="79"/>
  <c r="A3868" i="79"/>
  <c r="A3869" i="79"/>
  <c r="A3870" i="79"/>
  <c r="A3871" i="79"/>
  <c r="A3872" i="79"/>
  <c r="A3873" i="79"/>
  <c r="A3874" i="79"/>
  <c r="A3875" i="79"/>
  <c r="A3876" i="79"/>
  <c r="A3877" i="79"/>
  <c r="A3878" i="79"/>
  <c r="A3879" i="79"/>
  <c r="A3880" i="79"/>
  <c r="A3881" i="79"/>
  <c r="A3882" i="79"/>
  <c r="A3883" i="79"/>
  <c r="A3884" i="79"/>
  <c r="A3885" i="79"/>
  <c r="A3886" i="79"/>
  <c r="A3887" i="79"/>
  <c r="A3888" i="79"/>
  <c r="A3889" i="79"/>
  <c r="A3890" i="79"/>
  <c r="A3891" i="79"/>
  <c r="A3892" i="79"/>
  <c r="A3893" i="79"/>
  <c r="A3894" i="79"/>
  <c r="A3895" i="79"/>
  <c r="A3896" i="79"/>
  <c r="A3897" i="79"/>
  <c r="A3898" i="79"/>
  <c r="A3899" i="79"/>
  <c r="A3900" i="79"/>
  <c r="A3901" i="79"/>
  <c r="A3902" i="79"/>
  <c r="A3903" i="79"/>
  <c r="A3904" i="79"/>
  <c r="A3905" i="79"/>
  <c r="A3906" i="79"/>
  <c r="A3907" i="79"/>
  <c r="A3908" i="79"/>
  <c r="A3909" i="79"/>
  <c r="A3910" i="79"/>
  <c r="A3911" i="79"/>
  <c r="A3912" i="79"/>
  <c r="A3913" i="79"/>
  <c r="A3914" i="79"/>
  <c r="A3915" i="79"/>
  <c r="A3916" i="79"/>
  <c r="A3917" i="79"/>
  <c r="A3918" i="79"/>
  <c r="A3919" i="79"/>
  <c r="A3920" i="79"/>
  <c r="A3921" i="79"/>
  <c r="A3922" i="79"/>
  <c r="A3923" i="79"/>
  <c r="A3924" i="79"/>
  <c r="A3925" i="79"/>
  <c r="A3926" i="79"/>
  <c r="A3927" i="79"/>
  <c r="A3928" i="79"/>
  <c r="A3929" i="79"/>
  <c r="A3930" i="79"/>
  <c r="A3931" i="79"/>
  <c r="A3932" i="79"/>
  <c r="A3933" i="79"/>
  <c r="A3934" i="79"/>
  <c r="A3935" i="79"/>
  <c r="A3936" i="79"/>
  <c r="A3937" i="79"/>
  <c r="A3938" i="79"/>
  <c r="A3939" i="79"/>
  <c r="A3940" i="79"/>
  <c r="A3941" i="79"/>
  <c r="A3942" i="79"/>
  <c r="A3943" i="79"/>
  <c r="A3944" i="79"/>
  <c r="A3945" i="79"/>
  <c r="A3946" i="79"/>
  <c r="A3947" i="79"/>
  <c r="A3948" i="79"/>
  <c r="A3949" i="79"/>
  <c r="A3950" i="79"/>
  <c r="A3951" i="79"/>
  <c r="A3952" i="79"/>
  <c r="A3953" i="79"/>
  <c r="A3954" i="79"/>
  <c r="A3955" i="79"/>
  <c r="A3956" i="79"/>
  <c r="A3957" i="79"/>
  <c r="A3958" i="79"/>
  <c r="A3959" i="79"/>
  <c r="A3960" i="79"/>
  <c r="A3961" i="79"/>
  <c r="A3962" i="79"/>
  <c r="A3963" i="79"/>
  <c r="A3964" i="79"/>
  <c r="A3965" i="79"/>
  <c r="A3966" i="79"/>
  <c r="A3967" i="79"/>
  <c r="A3968" i="79"/>
  <c r="A3969" i="79"/>
  <c r="A3970" i="79"/>
  <c r="A3971" i="79"/>
  <c r="A3972" i="79"/>
  <c r="A3973" i="79"/>
  <c r="A3974" i="79"/>
  <c r="A3975" i="79"/>
  <c r="A3976" i="79"/>
  <c r="A3977" i="79"/>
  <c r="A3978" i="79"/>
  <c r="A3979" i="79"/>
  <c r="A3980" i="79"/>
  <c r="A3981" i="79"/>
  <c r="A3982" i="79"/>
  <c r="A3983" i="79"/>
  <c r="A3984" i="79"/>
  <c r="A3985" i="79"/>
  <c r="A3986" i="79"/>
  <c r="A3987" i="79"/>
  <c r="A3988" i="79"/>
  <c r="A3989" i="79"/>
  <c r="A3990" i="79"/>
  <c r="A3991" i="79"/>
  <c r="A3992" i="79"/>
  <c r="A3993" i="79"/>
  <c r="A3994" i="79"/>
  <c r="A3995" i="79"/>
  <c r="A3996" i="79"/>
  <c r="A3997" i="79"/>
  <c r="A3998" i="79"/>
  <c r="A3999" i="79"/>
  <c r="A4000" i="79"/>
  <c r="A4001" i="79"/>
  <c r="A4002" i="79"/>
  <c r="A4003" i="79"/>
  <c r="A4004" i="79"/>
  <c r="A4005" i="79"/>
  <c r="A4006" i="79"/>
  <c r="A4007" i="79"/>
  <c r="A4008" i="79"/>
  <c r="A4009" i="79"/>
  <c r="A4010" i="79"/>
  <c r="A4011" i="79"/>
  <c r="A4012" i="79"/>
  <c r="A4013" i="79"/>
  <c r="A4014" i="79"/>
  <c r="A4015" i="79"/>
  <c r="A4016" i="79"/>
  <c r="A4017" i="79"/>
  <c r="A4018" i="79"/>
  <c r="A4019" i="79"/>
  <c r="A4020" i="79"/>
  <c r="A4021" i="79"/>
  <c r="A4022" i="79"/>
  <c r="A4023" i="79"/>
  <c r="A4024" i="79"/>
  <c r="A4025" i="79"/>
  <c r="A4026" i="79"/>
  <c r="A4027" i="79"/>
  <c r="A4028" i="79"/>
  <c r="A4029" i="79"/>
  <c r="A4030" i="79"/>
  <c r="A4031" i="79"/>
  <c r="A4032" i="79"/>
  <c r="A4033" i="79"/>
  <c r="A4034" i="79"/>
  <c r="A4035" i="79"/>
  <c r="A4036" i="79"/>
  <c r="A4037" i="79"/>
  <c r="A4038" i="79"/>
  <c r="A4039" i="79"/>
  <c r="A4040" i="79"/>
  <c r="A4041" i="79"/>
  <c r="A4042" i="79"/>
  <c r="A4043" i="79"/>
  <c r="A4044" i="79"/>
  <c r="A4045" i="79"/>
  <c r="A4046" i="79"/>
  <c r="A4047" i="79"/>
  <c r="A4048" i="79"/>
  <c r="A4049" i="79"/>
  <c r="A4050" i="79"/>
  <c r="A4051" i="79"/>
  <c r="A4052" i="79"/>
  <c r="A4053" i="79"/>
  <c r="A4054" i="79"/>
  <c r="A4055" i="79"/>
  <c r="A4056" i="79"/>
  <c r="A4057" i="79"/>
  <c r="A4058" i="79"/>
  <c r="A4059" i="79"/>
  <c r="A4060" i="79"/>
  <c r="A4061" i="79"/>
  <c r="A4062" i="79"/>
  <c r="A4063" i="79"/>
  <c r="A4064" i="79"/>
  <c r="A4065" i="79"/>
  <c r="A4066" i="79"/>
  <c r="A4067" i="79"/>
  <c r="A4068" i="79"/>
  <c r="A4069" i="79"/>
  <c r="A4070" i="79"/>
  <c r="A4071" i="79"/>
  <c r="A4072" i="79"/>
  <c r="A4073" i="79"/>
  <c r="A4074" i="79"/>
  <c r="A4075" i="79"/>
  <c r="A4076" i="79"/>
  <c r="A4077" i="79"/>
  <c r="A4078" i="79"/>
  <c r="A4079" i="79"/>
  <c r="A4080" i="79"/>
  <c r="A4081" i="79"/>
  <c r="A4082" i="79"/>
  <c r="A4083" i="79"/>
  <c r="A4084" i="79"/>
  <c r="A4085" i="79"/>
  <c r="A4086" i="79"/>
  <c r="A4087" i="79"/>
  <c r="A4088" i="79"/>
  <c r="A4089" i="79"/>
  <c r="A4090" i="79"/>
  <c r="A4091" i="79"/>
  <c r="A4092" i="79"/>
  <c r="A4093" i="79"/>
  <c r="A4094" i="79"/>
  <c r="A4095" i="79"/>
  <c r="A4096" i="79"/>
  <c r="A4097" i="79"/>
  <c r="A4098" i="79"/>
  <c r="A4099" i="79"/>
  <c r="A4100" i="79"/>
  <c r="A4101" i="79"/>
  <c r="A4102" i="79"/>
  <c r="A4103" i="79"/>
  <c r="A4104" i="79"/>
  <c r="A4105" i="79"/>
  <c r="A4106" i="79"/>
  <c r="A4107" i="79"/>
  <c r="A4108" i="79"/>
  <c r="A4109" i="79"/>
  <c r="A4110" i="79"/>
  <c r="A4111" i="79"/>
  <c r="A4112" i="79"/>
  <c r="A4113" i="79"/>
  <c r="A4114" i="79"/>
  <c r="A4115" i="79"/>
  <c r="A4116" i="79"/>
  <c r="A4117" i="79"/>
  <c r="A4118" i="79"/>
  <c r="A4119" i="79"/>
  <c r="A4120" i="79"/>
  <c r="A4121" i="79"/>
  <c r="A4122" i="79"/>
  <c r="A4123" i="79"/>
  <c r="A4124" i="79"/>
  <c r="A4125" i="79"/>
  <c r="A4126" i="79"/>
  <c r="A4127" i="79"/>
  <c r="A4128" i="79"/>
  <c r="A4129" i="79"/>
  <c r="A4130" i="79"/>
  <c r="A4131" i="79"/>
  <c r="A4132" i="79"/>
  <c r="A4133" i="79"/>
  <c r="A4134" i="79"/>
  <c r="A4135" i="79"/>
  <c r="A4136" i="79"/>
  <c r="A4137" i="79"/>
  <c r="A4138" i="79"/>
  <c r="A4139" i="79"/>
  <c r="A4140" i="79"/>
  <c r="A4141" i="79"/>
  <c r="A4142" i="79"/>
  <c r="A4143" i="79"/>
  <c r="A4144" i="79"/>
  <c r="A4145" i="79"/>
  <c r="A4146" i="79"/>
  <c r="A4147" i="79"/>
  <c r="A4148" i="79"/>
  <c r="A4149" i="79"/>
  <c r="A4150" i="79"/>
  <c r="A4151" i="79"/>
  <c r="A4152" i="79"/>
  <c r="A4153" i="79"/>
  <c r="A4154" i="79"/>
  <c r="A4155" i="79"/>
  <c r="A4156" i="79"/>
  <c r="A4157" i="79"/>
  <c r="A4158" i="79"/>
  <c r="A4159" i="79"/>
  <c r="A4160" i="79"/>
  <c r="A4161" i="79"/>
  <c r="A4162" i="79"/>
  <c r="A4163" i="79"/>
  <c r="A4164" i="79"/>
  <c r="A4165" i="79"/>
  <c r="A4166" i="79"/>
  <c r="A4167" i="79"/>
  <c r="A4168" i="79"/>
  <c r="A4169" i="79"/>
  <c r="A4170" i="79"/>
  <c r="A4171" i="79"/>
  <c r="A4172" i="79"/>
  <c r="A4173" i="79"/>
  <c r="A4174" i="79"/>
  <c r="A4175" i="79"/>
  <c r="A4176" i="79"/>
  <c r="A4177" i="79"/>
  <c r="A4178" i="79"/>
  <c r="A4179" i="79"/>
  <c r="A4180" i="79"/>
  <c r="A4181" i="79"/>
  <c r="A4182" i="79"/>
  <c r="A4183" i="79"/>
  <c r="A4184" i="79"/>
  <c r="A4185" i="79"/>
  <c r="A4186" i="79"/>
  <c r="A4187" i="79"/>
  <c r="A4188" i="79"/>
  <c r="A4189" i="79"/>
  <c r="A4190" i="79"/>
  <c r="A4191" i="79"/>
  <c r="A4192" i="79"/>
  <c r="A4193" i="79"/>
  <c r="A4194" i="79"/>
  <c r="A4195" i="79"/>
  <c r="A4196" i="79"/>
  <c r="A4197" i="79"/>
  <c r="A4198" i="79"/>
  <c r="A4199" i="79"/>
  <c r="A4200" i="79"/>
  <c r="A4201" i="79"/>
  <c r="A4202" i="79"/>
  <c r="A4203" i="79"/>
  <c r="A4204" i="79"/>
  <c r="A4205" i="79"/>
  <c r="A4206" i="79"/>
  <c r="A4207" i="79"/>
  <c r="A4208" i="79"/>
  <c r="A4209" i="79"/>
  <c r="A4210" i="79"/>
  <c r="A4211" i="79"/>
  <c r="A4212" i="79"/>
  <c r="A4213" i="79"/>
  <c r="A4214" i="79"/>
  <c r="A4215" i="79"/>
  <c r="A4216" i="79"/>
  <c r="A4217" i="79"/>
  <c r="A4218" i="79"/>
  <c r="A4219" i="79"/>
  <c r="A4220" i="79"/>
  <c r="A4221" i="79"/>
  <c r="A4222" i="79"/>
  <c r="A4223" i="79"/>
  <c r="A4224" i="79"/>
  <c r="A4225" i="79"/>
  <c r="A4226" i="79"/>
  <c r="A4227" i="79"/>
  <c r="A4228" i="79"/>
  <c r="A4229" i="79"/>
  <c r="A4230" i="79"/>
  <c r="A4231" i="79"/>
  <c r="A4232" i="79"/>
  <c r="A4233" i="79"/>
  <c r="A4234" i="79"/>
  <c r="A4235" i="79"/>
  <c r="A4236" i="79"/>
  <c r="A4237" i="79"/>
  <c r="A4238" i="79"/>
  <c r="A4239" i="79"/>
  <c r="A4240" i="79"/>
  <c r="A4241" i="79"/>
  <c r="A4242" i="79"/>
  <c r="A4243" i="79"/>
  <c r="A4244" i="79"/>
  <c r="A4245" i="79"/>
  <c r="A4246" i="79"/>
  <c r="A4247" i="79"/>
  <c r="A4248" i="79"/>
  <c r="A4249" i="79"/>
  <c r="A4250" i="79"/>
  <c r="A4251" i="79"/>
  <c r="A4252" i="79"/>
  <c r="A4253" i="79"/>
  <c r="A4254" i="79"/>
  <c r="A4255" i="79"/>
  <c r="A4256" i="79"/>
  <c r="A4257" i="79"/>
  <c r="A4258" i="79"/>
  <c r="A4259" i="79"/>
  <c r="A4260" i="79"/>
  <c r="A4261" i="79"/>
  <c r="A4262" i="79"/>
  <c r="A4263" i="79"/>
  <c r="A4264" i="79"/>
  <c r="A4265" i="79"/>
  <c r="A4266" i="79"/>
  <c r="A4267" i="79"/>
  <c r="A4268" i="79"/>
  <c r="A4269" i="79"/>
  <c r="A4270" i="79"/>
  <c r="A4271" i="79"/>
  <c r="A4272" i="79"/>
  <c r="A4273" i="79"/>
  <c r="A4274" i="79"/>
  <c r="A4275" i="79"/>
  <c r="A4276" i="79"/>
  <c r="A4277" i="79"/>
  <c r="A4278" i="79"/>
  <c r="A4279" i="79"/>
  <c r="A4280" i="79"/>
  <c r="A4281" i="79"/>
  <c r="A4282" i="79"/>
  <c r="A4283" i="79"/>
  <c r="A4284" i="79"/>
  <c r="A4285" i="79"/>
  <c r="A4286" i="79"/>
  <c r="A4287" i="79"/>
  <c r="A4288" i="79"/>
  <c r="A4289" i="79"/>
  <c r="A4290" i="79"/>
  <c r="A4291" i="79"/>
  <c r="A4292" i="79"/>
  <c r="A4293" i="79"/>
  <c r="A4294" i="79"/>
  <c r="A4295" i="79"/>
  <c r="A4296" i="79"/>
  <c r="A4297" i="79"/>
  <c r="A4298" i="79"/>
  <c r="A4299" i="79"/>
  <c r="A4300" i="79"/>
  <c r="A4301" i="79"/>
  <c r="A4302" i="79"/>
  <c r="A4303" i="79"/>
  <c r="A4304" i="79"/>
  <c r="A4305" i="79"/>
  <c r="A4306" i="79"/>
  <c r="A4307" i="79"/>
  <c r="A4308" i="79"/>
  <c r="A4309" i="79"/>
  <c r="A4310" i="79"/>
  <c r="A4311" i="79"/>
  <c r="A4312" i="79"/>
  <c r="A4313" i="79"/>
  <c r="A4314" i="79"/>
  <c r="A4315" i="79"/>
  <c r="A4316" i="79"/>
  <c r="A4317" i="79"/>
  <c r="A4318" i="79"/>
  <c r="A4319" i="79"/>
  <c r="A4320" i="79"/>
  <c r="A4321" i="79"/>
  <c r="A4322" i="79"/>
  <c r="A4323" i="79"/>
  <c r="A4324" i="79"/>
  <c r="A4325" i="79"/>
  <c r="A4326" i="79"/>
  <c r="A4327" i="79"/>
  <c r="A4328" i="79"/>
  <c r="A4329" i="79"/>
  <c r="A4330" i="79"/>
  <c r="A4331" i="79"/>
  <c r="A4332" i="79"/>
  <c r="A4333" i="79"/>
  <c r="A4334" i="79"/>
  <c r="A4335" i="79"/>
  <c r="A4336" i="79"/>
  <c r="A4337" i="79"/>
  <c r="A4338" i="79"/>
  <c r="A4339" i="79"/>
  <c r="A4340" i="79"/>
  <c r="A4341" i="79"/>
  <c r="A4342" i="79"/>
  <c r="A4343" i="79"/>
  <c r="A4344" i="79"/>
  <c r="A4345" i="79"/>
  <c r="A4346" i="79"/>
  <c r="A4347" i="79"/>
  <c r="A4348" i="79"/>
  <c r="A4349" i="79"/>
  <c r="A4350" i="79"/>
  <c r="A4351" i="79"/>
  <c r="A4352" i="79"/>
  <c r="A4353" i="79"/>
  <c r="A4354" i="79"/>
  <c r="A4355" i="79"/>
  <c r="A4356" i="79"/>
  <c r="A4357" i="79"/>
  <c r="A4358" i="79"/>
  <c r="A4359" i="79"/>
  <c r="A4360" i="79"/>
  <c r="A4361" i="79"/>
  <c r="A4362" i="79"/>
  <c r="A4363" i="79"/>
  <c r="A4364" i="79"/>
  <c r="A4365" i="79"/>
  <c r="A4366" i="79"/>
  <c r="A4367" i="79"/>
  <c r="A4368" i="79"/>
  <c r="A4369" i="79"/>
  <c r="A4370" i="79"/>
  <c r="A4371" i="79"/>
  <c r="A4372" i="79"/>
  <c r="A4373" i="79"/>
  <c r="A4374" i="79"/>
  <c r="A4375" i="79"/>
  <c r="A4376" i="79"/>
  <c r="A4377" i="79"/>
  <c r="A4378" i="79"/>
  <c r="A4379" i="79"/>
  <c r="A4380" i="79"/>
  <c r="A4381" i="79"/>
  <c r="A4382" i="79"/>
  <c r="A4383" i="79"/>
  <c r="A4384" i="79"/>
  <c r="A4385" i="79"/>
  <c r="A4386" i="79"/>
  <c r="A4387" i="79"/>
  <c r="A4388" i="79"/>
  <c r="A4389" i="79"/>
  <c r="A4390" i="79"/>
  <c r="A4391" i="79"/>
  <c r="A4392" i="79"/>
  <c r="A4393" i="79"/>
  <c r="A4394" i="79"/>
  <c r="A4395" i="79"/>
  <c r="A4396" i="79"/>
  <c r="A4397" i="79"/>
  <c r="A4398" i="79"/>
  <c r="A4399" i="79"/>
  <c r="A4400" i="79"/>
  <c r="A4401" i="79"/>
  <c r="A4402" i="79"/>
  <c r="A4403" i="79"/>
  <c r="A4404" i="79"/>
  <c r="A4405" i="79"/>
  <c r="A4406" i="79"/>
  <c r="A4407" i="79"/>
  <c r="A4408" i="79"/>
  <c r="A4409" i="79"/>
  <c r="A4410" i="79"/>
  <c r="A4411" i="79"/>
  <c r="A4412" i="79"/>
  <c r="A4413" i="79"/>
  <c r="A4414" i="79"/>
  <c r="A4415" i="79"/>
  <c r="A4416" i="79"/>
  <c r="A4417" i="79"/>
  <c r="A4418" i="79"/>
  <c r="A4419" i="79"/>
  <c r="A4420" i="79"/>
  <c r="A4421" i="79"/>
  <c r="A4422" i="79"/>
  <c r="A4423" i="79"/>
  <c r="A4424" i="79"/>
  <c r="A4425" i="79"/>
  <c r="A4426" i="79"/>
  <c r="A4427" i="79"/>
  <c r="A4428" i="79"/>
  <c r="A4429" i="79"/>
  <c r="A4430" i="79"/>
  <c r="A4431" i="79"/>
  <c r="A4432" i="79"/>
  <c r="A4433" i="79"/>
  <c r="A4434" i="79"/>
  <c r="A4435" i="79"/>
  <c r="A4436" i="79"/>
  <c r="A4437" i="79"/>
  <c r="A4438" i="79"/>
  <c r="A4439" i="79"/>
  <c r="A4440" i="79"/>
  <c r="A4441" i="79"/>
  <c r="A4442" i="79"/>
  <c r="A4443" i="79"/>
  <c r="A4444" i="79"/>
  <c r="A4445" i="79"/>
  <c r="A4446" i="79"/>
  <c r="A4447" i="79"/>
  <c r="A4448" i="79"/>
  <c r="A4449" i="79"/>
  <c r="A4450" i="79"/>
  <c r="A4451" i="79"/>
  <c r="A4452" i="79"/>
  <c r="A4453" i="79"/>
  <c r="A4454" i="79"/>
  <c r="A4455" i="79"/>
  <c r="A4456" i="79"/>
  <c r="A4457" i="79"/>
  <c r="A4458" i="79"/>
  <c r="A4459" i="79"/>
  <c r="A4460" i="79"/>
  <c r="A4461" i="79"/>
  <c r="A4462" i="79"/>
  <c r="A4463" i="79"/>
  <c r="A4464" i="79"/>
  <c r="A4465" i="79"/>
  <c r="A4466" i="79"/>
  <c r="A4467" i="79"/>
  <c r="A4468" i="79"/>
  <c r="A4469" i="79"/>
  <c r="A4470" i="79"/>
  <c r="A4471" i="79"/>
  <c r="A4472" i="79"/>
  <c r="A4473" i="79"/>
  <c r="A4474" i="79"/>
  <c r="A4475" i="79"/>
  <c r="A4476" i="79"/>
  <c r="A4477" i="79"/>
  <c r="A4478" i="79"/>
  <c r="A4479" i="79"/>
  <c r="A4480" i="79"/>
  <c r="A4481" i="79"/>
  <c r="A4482" i="79"/>
  <c r="A4483" i="79"/>
  <c r="A4484" i="79"/>
  <c r="A4485" i="79"/>
  <c r="A4486" i="79"/>
  <c r="A4487" i="79"/>
  <c r="A4488" i="79"/>
  <c r="A4489" i="79"/>
  <c r="A4490" i="79"/>
  <c r="A4491" i="79"/>
  <c r="A4492" i="79"/>
  <c r="A4493" i="79"/>
  <c r="A4494" i="79"/>
  <c r="A4495" i="79"/>
  <c r="A4496" i="79"/>
  <c r="A4497" i="79"/>
  <c r="A4498" i="79"/>
  <c r="A4499" i="79"/>
  <c r="A4500" i="79"/>
  <c r="A4501" i="79"/>
  <c r="A4502" i="79"/>
  <c r="A4503" i="79"/>
  <c r="A4504" i="79"/>
  <c r="A4505" i="79"/>
  <c r="A4506" i="79"/>
  <c r="A4507" i="79"/>
  <c r="A4508" i="79"/>
  <c r="A4509" i="79"/>
  <c r="A4510" i="79"/>
  <c r="A4511" i="79"/>
  <c r="A4512" i="79"/>
  <c r="A4513" i="79"/>
  <c r="A4514" i="79"/>
  <c r="A4515" i="79"/>
  <c r="A4516" i="79"/>
  <c r="A4517" i="79"/>
  <c r="A4518" i="79"/>
  <c r="A4519" i="79"/>
  <c r="A4520" i="79"/>
  <c r="A4521" i="79"/>
  <c r="A4522" i="79"/>
  <c r="A4523" i="79"/>
  <c r="A4524" i="79"/>
  <c r="A4525" i="79"/>
  <c r="A4526" i="79"/>
  <c r="A4527" i="79"/>
  <c r="A4528" i="79"/>
  <c r="A4529" i="79"/>
  <c r="A4530" i="79"/>
  <c r="A4531" i="79"/>
  <c r="A4532" i="79"/>
  <c r="A4533" i="79"/>
  <c r="A4534" i="79"/>
  <c r="A4535" i="79"/>
  <c r="A4536" i="79"/>
  <c r="A4537" i="79"/>
  <c r="A4538" i="79"/>
  <c r="A4539" i="79"/>
  <c r="A4540" i="79"/>
  <c r="A4541" i="79"/>
  <c r="A4542" i="79"/>
  <c r="A4543" i="79"/>
  <c r="A4544" i="79"/>
  <c r="A4545" i="79"/>
  <c r="A4546" i="79"/>
  <c r="A4547" i="79"/>
  <c r="A4548" i="79"/>
  <c r="A4549" i="79"/>
  <c r="A4550" i="79"/>
  <c r="A4551" i="79"/>
  <c r="A4552" i="79"/>
  <c r="A4553" i="79"/>
  <c r="A4554" i="79"/>
  <c r="A4555" i="79"/>
  <c r="A4556" i="79"/>
  <c r="A4557" i="79"/>
  <c r="A4558" i="79"/>
  <c r="A4559" i="79"/>
  <c r="A4560" i="79"/>
  <c r="A4561" i="79"/>
  <c r="A4562" i="79"/>
  <c r="A4563" i="79"/>
  <c r="A4564" i="79"/>
  <c r="A4565" i="79"/>
  <c r="A4566" i="79"/>
  <c r="A4567" i="79"/>
  <c r="A4568" i="79"/>
  <c r="A4569" i="79"/>
  <c r="A4570" i="79"/>
  <c r="A4571" i="79"/>
  <c r="A4572" i="79"/>
  <c r="A4573" i="79"/>
  <c r="A4574" i="79"/>
  <c r="A4575" i="79"/>
  <c r="A4576" i="79"/>
  <c r="A4577" i="79"/>
  <c r="A4578" i="79"/>
  <c r="A4579" i="79"/>
  <c r="A4580" i="79"/>
  <c r="A4581" i="79"/>
  <c r="A4582" i="79"/>
  <c r="A4583" i="79"/>
  <c r="A4584" i="79"/>
  <c r="A4585" i="79"/>
  <c r="A4586" i="79"/>
  <c r="A4587" i="79"/>
  <c r="A4588" i="79"/>
  <c r="A4589" i="79"/>
  <c r="A4590" i="79"/>
  <c r="A4591" i="79"/>
  <c r="A4592" i="79"/>
  <c r="A4593" i="79"/>
  <c r="A4594" i="79"/>
  <c r="A4595" i="79"/>
  <c r="A4596" i="79"/>
  <c r="A4597" i="79"/>
  <c r="A4598" i="79"/>
  <c r="A4599" i="79"/>
  <c r="A4600" i="79"/>
  <c r="A4601" i="79"/>
  <c r="A4602" i="79"/>
  <c r="A4603" i="79"/>
  <c r="A4604" i="79"/>
  <c r="A4605" i="79"/>
  <c r="A4606" i="79"/>
  <c r="A4607" i="79"/>
  <c r="A4608" i="79"/>
  <c r="A4609" i="79"/>
  <c r="A4610" i="79"/>
  <c r="A4611" i="79"/>
  <c r="A4612" i="79"/>
  <c r="A4613" i="79"/>
  <c r="A4614" i="79"/>
  <c r="A4615" i="79"/>
  <c r="A4616" i="79"/>
  <c r="A4617" i="79"/>
  <c r="A4618" i="79"/>
  <c r="A4619" i="79"/>
  <c r="A4620" i="79"/>
  <c r="A4621" i="79"/>
  <c r="A4622" i="79"/>
  <c r="A4623" i="79"/>
  <c r="A4624" i="79"/>
  <c r="A4625" i="79"/>
  <c r="A4626" i="79"/>
  <c r="A4627" i="79"/>
  <c r="A4628" i="79"/>
  <c r="A4629" i="79"/>
  <c r="A4630" i="79"/>
  <c r="A4631" i="79"/>
  <c r="A4632" i="79"/>
  <c r="A4633" i="79"/>
  <c r="A4634" i="79"/>
  <c r="A4635" i="79"/>
  <c r="A4636" i="79"/>
  <c r="A4637" i="79"/>
  <c r="A4638" i="79"/>
  <c r="A4639" i="79"/>
  <c r="A4640" i="79"/>
  <c r="A4641" i="79"/>
  <c r="A4642" i="79"/>
  <c r="A4643" i="79"/>
  <c r="A4644" i="79"/>
  <c r="A4645" i="79"/>
  <c r="A4646" i="79"/>
  <c r="A4647" i="79"/>
  <c r="A4648" i="79"/>
  <c r="A4649" i="79"/>
  <c r="A4650" i="79"/>
  <c r="A4651" i="79"/>
  <c r="A4652" i="79"/>
  <c r="A4653" i="79"/>
  <c r="A4654" i="79"/>
  <c r="A4655" i="79"/>
  <c r="A4656" i="79"/>
  <c r="A4657" i="79"/>
  <c r="A4658" i="79"/>
  <c r="A4659" i="79"/>
  <c r="A4660" i="79"/>
  <c r="A4661" i="79"/>
  <c r="A4662" i="79"/>
  <c r="A4663" i="79"/>
  <c r="A4664" i="79"/>
  <c r="A4665" i="79"/>
  <c r="A4666" i="79"/>
  <c r="A4667" i="79"/>
  <c r="A4668" i="79"/>
  <c r="A4669" i="79"/>
  <c r="A4670" i="79"/>
  <c r="A4671" i="79"/>
  <c r="A4672" i="79"/>
  <c r="A4673" i="79"/>
  <c r="A4674" i="79"/>
  <c r="A4675" i="79"/>
  <c r="A4676" i="79"/>
  <c r="A4677" i="79"/>
  <c r="A4678" i="79"/>
  <c r="A4679" i="79"/>
  <c r="A4680" i="79"/>
  <c r="A4681" i="79"/>
  <c r="A4682" i="79"/>
  <c r="A4683" i="79"/>
  <c r="A4684" i="79"/>
  <c r="A4685" i="79"/>
  <c r="A4686" i="79"/>
  <c r="A4687" i="79"/>
  <c r="A4688" i="79"/>
  <c r="A4689" i="79"/>
  <c r="A4690" i="79"/>
  <c r="A4691" i="79"/>
  <c r="A4692" i="79"/>
  <c r="A4693" i="79"/>
  <c r="A4694" i="79"/>
  <c r="A4695" i="79"/>
  <c r="A4696" i="79"/>
  <c r="A4697" i="79"/>
  <c r="A4698" i="79"/>
  <c r="A4699" i="79"/>
  <c r="A4700" i="79"/>
  <c r="A4701" i="79"/>
  <c r="A4702" i="79"/>
  <c r="A4703" i="79"/>
  <c r="A4704" i="79"/>
  <c r="A4705" i="79"/>
  <c r="A4706" i="79"/>
  <c r="A4707" i="79"/>
  <c r="A4708" i="79"/>
  <c r="A4709" i="79"/>
  <c r="A4710" i="79"/>
  <c r="A4711" i="79"/>
  <c r="A4712" i="79"/>
  <c r="A4713" i="79"/>
  <c r="A4714" i="79"/>
  <c r="A4715" i="79"/>
  <c r="A4716" i="79"/>
  <c r="A4717" i="79"/>
  <c r="A4718" i="79"/>
  <c r="A4719" i="79"/>
  <c r="A4720" i="79"/>
  <c r="A4721" i="79"/>
  <c r="A4722" i="79"/>
  <c r="A4723" i="79"/>
  <c r="A4724" i="79"/>
  <c r="A4725" i="79"/>
  <c r="A4726" i="79"/>
  <c r="A4727" i="79"/>
  <c r="A4728" i="79"/>
  <c r="A4729" i="79"/>
  <c r="A4730" i="79"/>
  <c r="A4731" i="79"/>
  <c r="A4732" i="79"/>
  <c r="A4733" i="79"/>
  <c r="A4734" i="79"/>
  <c r="A4735" i="79"/>
  <c r="A4736" i="79"/>
  <c r="A4737" i="79"/>
  <c r="A4738" i="79"/>
  <c r="A4739" i="79"/>
  <c r="A4740" i="79"/>
  <c r="A4741" i="79"/>
  <c r="A4742" i="79"/>
  <c r="A4743" i="79"/>
  <c r="A4744" i="79"/>
  <c r="A4745" i="79"/>
  <c r="A4746" i="79"/>
  <c r="A4747" i="79"/>
  <c r="A4748" i="79"/>
  <c r="A4749" i="79"/>
  <c r="A4750" i="79"/>
  <c r="A4751" i="79"/>
  <c r="A4752" i="79"/>
  <c r="A4753" i="79"/>
  <c r="A4754" i="79"/>
  <c r="A4755" i="79"/>
  <c r="A4756" i="79"/>
  <c r="A4757" i="79"/>
  <c r="A4758" i="79"/>
  <c r="A4759" i="79"/>
  <c r="A4760" i="79"/>
  <c r="A4761" i="79"/>
  <c r="A4762" i="79"/>
  <c r="A4763" i="79"/>
  <c r="A4764" i="79"/>
  <c r="A4765" i="79"/>
  <c r="A4766" i="79"/>
  <c r="A4767" i="79"/>
  <c r="A4768" i="79"/>
  <c r="A4769" i="79"/>
  <c r="A4770" i="79"/>
  <c r="A4771" i="79"/>
  <c r="A4772" i="79"/>
  <c r="A4773" i="79"/>
  <c r="A4774" i="79"/>
  <c r="A4775" i="79"/>
  <c r="A4776" i="79"/>
  <c r="A4777" i="79"/>
  <c r="A4778" i="79"/>
  <c r="A4779" i="79"/>
  <c r="A4780" i="79"/>
  <c r="A4781" i="79"/>
  <c r="A4782" i="79"/>
  <c r="A4783" i="79"/>
  <c r="A4784" i="79"/>
  <c r="A4785" i="79"/>
  <c r="A4786" i="79"/>
  <c r="A4787" i="79"/>
  <c r="A4788" i="79"/>
  <c r="A4789" i="79"/>
  <c r="A4790" i="79"/>
  <c r="A4791" i="79"/>
  <c r="A4792" i="79"/>
  <c r="A4793" i="79"/>
  <c r="A4794" i="79"/>
  <c r="A4795" i="79"/>
  <c r="A4796" i="79"/>
  <c r="A4797" i="79"/>
  <c r="A4798" i="79"/>
  <c r="A4799" i="79"/>
  <c r="A4800" i="79"/>
  <c r="A4801" i="79"/>
  <c r="A4802" i="79"/>
  <c r="A4803" i="79"/>
  <c r="A4804" i="79"/>
  <c r="A4805" i="79"/>
  <c r="A4806" i="79"/>
  <c r="A4807" i="79"/>
  <c r="A4808" i="79"/>
  <c r="A4809" i="79"/>
  <c r="A4810" i="79"/>
  <c r="A4811" i="79"/>
  <c r="A4812" i="79"/>
  <c r="A4813" i="79"/>
  <c r="A4814" i="79"/>
  <c r="A4815" i="79"/>
  <c r="A4816" i="79"/>
  <c r="A4817" i="79"/>
  <c r="A4818" i="79"/>
  <c r="A4819" i="79"/>
  <c r="A4820" i="79"/>
  <c r="A4821" i="79"/>
  <c r="A4822" i="79"/>
  <c r="A4823" i="79"/>
  <c r="A4824" i="79"/>
  <c r="A4825" i="79"/>
  <c r="A4826" i="79"/>
  <c r="A4827" i="79"/>
  <c r="A4828" i="79"/>
  <c r="A4829" i="79"/>
  <c r="A4830" i="79"/>
  <c r="A4831" i="79"/>
  <c r="A4832" i="79"/>
  <c r="A4833" i="79"/>
  <c r="A4834" i="79"/>
  <c r="A4835" i="79"/>
  <c r="A4836" i="79"/>
  <c r="A4837" i="79"/>
  <c r="A4838" i="79"/>
  <c r="A4839" i="79"/>
  <c r="A4840" i="79"/>
  <c r="A4841" i="79"/>
  <c r="A4842" i="79"/>
  <c r="A4843" i="79"/>
  <c r="A4844" i="79"/>
  <c r="A4845" i="79"/>
  <c r="A4846" i="79"/>
  <c r="A4847" i="79"/>
  <c r="A4848" i="79"/>
  <c r="A4849" i="79"/>
  <c r="A4850" i="79"/>
  <c r="A4851" i="79"/>
  <c r="A4852" i="79"/>
  <c r="A4853" i="79"/>
  <c r="A4854" i="79"/>
  <c r="A4855" i="79"/>
  <c r="A4856" i="79"/>
  <c r="A4857" i="79"/>
  <c r="A4858" i="79"/>
  <c r="A4859" i="79"/>
  <c r="A4860" i="79"/>
  <c r="A4861" i="79"/>
  <c r="A4862" i="79"/>
  <c r="A4863" i="79"/>
  <c r="A4864" i="79"/>
  <c r="A4865" i="79"/>
  <c r="A4866" i="79"/>
  <c r="A4867" i="79"/>
  <c r="A4868" i="79"/>
  <c r="A4869" i="79"/>
  <c r="A4870" i="79"/>
  <c r="A4871" i="79"/>
  <c r="A4872" i="79"/>
  <c r="A4873" i="79"/>
  <c r="A4874" i="79"/>
  <c r="A4875" i="79"/>
  <c r="A4876" i="79"/>
  <c r="A4877" i="79"/>
  <c r="A4878" i="79"/>
  <c r="A4879" i="79"/>
  <c r="A4880" i="79"/>
  <c r="A4881" i="79"/>
  <c r="A4882" i="79"/>
  <c r="A4883" i="79"/>
  <c r="A4884" i="79"/>
  <c r="A4885" i="79"/>
  <c r="A4886" i="79"/>
  <c r="A4887" i="79"/>
  <c r="A4888" i="79"/>
  <c r="A4889" i="79"/>
  <c r="A4890" i="79"/>
  <c r="A4891" i="79"/>
  <c r="A4892" i="79"/>
  <c r="A4893" i="79"/>
  <c r="A4894" i="79"/>
  <c r="A4895" i="79"/>
  <c r="A4896" i="79"/>
  <c r="A4897" i="79"/>
  <c r="A4898" i="79"/>
  <c r="A4899" i="79"/>
  <c r="A4900" i="79"/>
  <c r="A4901" i="79"/>
  <c r="A4902" i="79"/>
  <c r="A4903" i="79"/>
  <c r="A4904" i="79"/>
  <c r="A4905" i="79"/>
  <c r="A4906" i="79"/>
  <c r="A4907" i="79"/>
  <c r="A4908" i="79"/>
  <c r="A4909" i="79"/>
  <c r="A4910" i="79"/>
  <c r="A4911" i="79"/>
  <c r="A4912" i="79"/>
  <c r="A4913" i="79"/>
  <c r="A4914" i="79"/>
  <c r="A4915" i="79"/>
  <c r="A4916" i="79"/>
  <c r="A4917" i="79"/>
  <c r="A4918" i="79"/>
  <c r="A4919" i="79"/>
  <c r="A4920" i="79"/>
  <c r="A4921" i="79"/>
  <c r="A4922" i="79"/>
  <c r="A4923" i="79"/>
  <c r="A4924" i="79"/>
  <c r="A4925" i="79"/>
  <c r="A4926" i="79"/>
  <c r="A4927" i="79"/>
  <c r="A4928" i="79"/>
  <c r="A4929" i="79"/>
  <c r="A4930" i="79"/>
  <c r="A4931" i="79"/>
  <c r="A4932" i="79"/>
  <c r="A4933" i="79"/>
  <c r="A4934" i="79"/>
  <c r="A4935" i="79"/>
  <c r="A4936" i="79"/>
  <c r="A4937" i="79"/>
  <c r="A4938" i="79"/>
  <c r="A4939" i="79"/>
  <c r="A4940" i="79"/>
  <c r="A4941" i="79"/>
  <c r="A4942" i="79"/>
  <c r="A4943" i="79"/>
  <c r="A4944" i="79"/>
  <c r="A4945" i="79"/>
  <c r="A4946" i="79"/>
  <c r="A4947" i="79"/>
  <c r="A4948" i="79"/>
  <c r="A4949" i="79"/>
  <c r="A4950" i="79"/>
  <c r="A4951" i="79"/>
  <c r="A4952" i="79"/>
  <c r="A4953" i="79"/>
  <c r="A4954" i="79"/>
  <c r="A4955" i="79"/>
  <c r="A4956" i="79"/>
  <c r="A4957" i="79"/>
  <c r="A4958" i="79"/>
  <c r="A4959" i="79"/>
  <c r="A4960" i="79"/>
  <c r="A4961" i="79"/>
  <c r="A4962" i="79"/>
  <c r="A4963" i="79"/>
  <c r="A4964" i="79"/>
  <c r="A4965" i="79"/>
  <c r="A4966" i="79"/>
  <c r="A4967" i="79"/>
  <c r="A4968" i="79"/>
  <c r="A4969" i="79"/>
  <c r="A4970" i="79"/>
  <c r="A4971" i="79"/>
  <c r="A4972" i="79"/>
  <c r="A4973" i="79"/>
  <c r="A4974" i="79"/>
  <c r="A4975" i="79"/>
  <c r="A4976" i="79"/>
  <c r="A4977" i="79"/>
  <c r="A4978" i="79"/>
  <c r="A4979" i="79"/>
  <c r="A4980" i="79"/>
  <c r="A4981" i="79"/>
  <c r="A4982" i="79"/>
  <c r="A4983" i="79"/>
  <c r="A4984" i="79"/>
  <c r="A4985" i="79"/>
  <c r="A4986" i="79"/>
  <c r="A4987" i="79"/>
  <c r="A4988" i="79"/>
  <c r="A4989" i="79"/>
  <c r="A4990" i="79"/>
  <c r="A4991" i="79"/>
  <c r="A4992" i="79"/>
  <c r="A4993" i="79"/>
  <c r="A4994" i="79"/>
  <c r="A4995" i="79"/>
  <c r="A4996" i="79"/>
  <c r="A4997" i="79"/>
  <c r="A4998" i="79"/>
  <c r="A4999" i="79"/>
  <c r="A5000" i="79"/>
  <c r="A5001" i="79"/>
  <c r="A5002" i="79"/>
  <c r="A5003" i="79"/>
  <c r="A5004" i="79"/>
  <c r="A5005" i="79"/>
  <c r="A5006" i="79"/>
  <c r="A5007" i="79"/>
  <c r="A5008" i="79"/>
  <c r="A5009" i="79"/>
  <c r="A5010" i="79"/>
  <c r="A5011" i="79"/>
  <c r="A5012" i="79"/>
  <c r="A5013" i="79"/>
  <c r="A5014" i="79"/>
  <c r="A5015" i="79"/>
  <c r="A5016" i="79"/>
  <c r="A5017" i="79"/>
  <c r="A5018" i="79"/>
  <c r="A5019" i="79"/>
  <c r="A5020" i="79"/>
  <c r="A5021" i="79"/>
  <c r="A5022" i="79"/>
  <c r="A5023" i="79"/>
  <c r="A5024" i="79"/>
  <c r="A5025" i="79"/>
  <c r="A5026" i="79"/>
  <c r="A5027" i="79"/>
  <c r="A5028" i="79"/>
  <c r="A5029" i="79"/>
  <c r="A5030" i="79"/>
  <c r="A5031" i="79"/>
  <c r="A5032" i="79"/>
  <c r="A5033" i="79"/>
  <c r="A5034" i="79"/>
  <c r="A5035" i="79"/>
  <c r="A5036" i="79"/>
  <c r="A5037" i="79"/>
  <c r="A5038" i="79"/>
  <c r="A5039" i="79"/>
  <c r="A5040" i="79"/>
  <c r="A5041" i="79"/>
  <c r="A5042" i="79"/>
  <c r="A5043" i="79"/>
  <c r="A5044" i="79"/>
  <c r="A5045" i="79"/>
  <c r="A5046" i="79"/>
  <c r="A5047" i="79"/>
  <c r="A5048" i="79"/>
  <c r="A5049" i="79"/>
  <c r="A5050" i="79"/>
  <c r="A5051" i="79"/>
  <c r="A5052" i="79"/>
  <c r="A5053" i="79"/>
  <c r="A5054" i="79"/>
  <c r="A5055" i="79"/>
  <c r="A5056" i="79"/>
  <c r="A5057" i="79"/>
  <c r="A5058" i="79"/>
  <c r="A5059" i="79"/>
  <c r="A5060" i="79"/>
  <c r="A5061" i="79"/>
  <c r="A5062" i="79"/>
  <c r="A5063" i="79"/>
  <c r="A5064" i="79"/>
  <c r="A5065" i="79"/>
  <c r="A5066" i="79"/>
  <c r="A5067" i="79"/>
  <c r="A5068" i="79"/>
  <c r="A5069" i="79"/>
  <c r="A5070" i="79"/>
  <c r="A5071" i="79"/>
  <c r="A5072" i="79"/>
  <c r="A5073" i="79"/>
  <c r="A5074" i="79"/>
  <c r="A5075" i="79"/>
  <c r="A5076" i="79"/>
  <c r="A5077" i="79"/>
  <c r="A5078" i="79"/>
  <c r="A5079" i="79"/>
  <c r="A5080" i="79"/>
  <c r="A5081" i="79"/>
  <c r="A5082" i="79"/>
  <c r="A5083" i="79"/>
  <c r="A5084" i="79"/>
  <c r="A5085" i="79"/>
  <c r="A5086" i="79"/>
  <c r="A5087" i="79"/>
  <c r="A5088" i="79"/>
  <c r="A5089" i="79"/>
  <c r="A5090" i="79"/>
  <c r="A5091" i="79"/>
  <c r="A5092" i="79"/>
  <c r="A5093" i="79"/>
  <c r="A5094" i="79"/>
  <c r="A5095" i="79"/>
  <c r="A5096" i="79"/>
  <c r="A5097" i="79"/>
  <c r="A5098" i="79"/>
  <c r="A5099" i="79"/>
  <c r="A5100" i="79"/>
  <c r="A5101" i="79"/>
  <c r="A5102" i="79"/>
  <c r="A5103" i="79"/>
  <c r="A5104" i="79"/>
  <c r="A5105" i="79"/>
  <c r="A5106" i="79"/>
  <c r="A5107" i="79"/>
  <c r="A5108" i="79"/>
  <c r="A5109" i="79"/>
  <c r="A5110" i="79"/>
  <c r="A5111" i="79"/>
  <c r="A5112" i="79"/>
  <c r="A5113" i="79"/>
  <c r="A5114" i="79"/>
  <c r="A5115" i="79"/>
  <c r="A5116" i="79"/>
  <c r="A5117" i="79"/>
  <c r="A5118" i="79"/>
  <c r="A5119" i="79"/>
  <c r="A5120" i="79"/>
  <c r="A5121" i="79"/>
  <c r="A5122" i="79"/>
  <c r="A5123" i="79"/>
  <c r="A5124" i="79"/>
  <c r="A5125" i="79"/>
  <c r="A5126" i="79"/>
  <c r="A5127" i="79"/>
  <c r="A5128" i="79"/>
  <c r="A5129" i="79"/>
  <c r="A5130" i="79"/>
  <c r="A5131" i="79"/>
  <c r="A5132" i="79"/>
  <c r="A5133" i="79"/>
  <c r="A5134" i="79"/>
  <c r="A5135" i="79"/>
  <c r="A5136" i="79"/>
  <c r="A5137" i="79"/>
  <c r="A5138" i="79"/>
  <c r="A5139" i="79"/>
  <c r="A5140" i="79"/>
  <c r="A5141" i="79"/>
  <c r="A5142" i="79"/>
  <c r="A5143" i="79"/>
  <c r="A5144" i="79"/>
  <c r="A5145" i="79"/>
  <c r="A5146" i="79"/>
  <c r="A5147" i="79"/>
  <c r="A5148" i="79"/>
  <c r="A5149" i="79"/>
  <c r="A5150" i="79"/>
  <c r="A5151" i="79"/>
  <c r="A5152" i="79"/>
  <c r="A5153" i="79"/>
  <c r="A5154" i="79"/>
  <c r="A5155" i="79"/>
  <c r="A5156" i="79"/>
  <c r="A5157" i="79"/>
  <c r="A5158" i="79"/>
  <c r="A5159" i="79"/>
  <c r="A5160" i="79"/>
  <c r="A5161" i="79"/>
  <c r="A5162" i="79"/>
  <c r="A5163" i="79"/>
  <c r="A5164" i="79"/>
  <c r="A5165" i="79"/>
  <c r="A5166" i="79"/>
  <c r="A5167" i="79"/>
  <c r="A5168" i="79"/>
  <c r="A5169" i="79"/>
  <c r="A5170" i="79"/>
  <c r="A5171" i="79"/>
  <c r="A5172" i="79"/>
  <c r="A5173" i="79"/>
  <c r="A5174" i="79"/>
  <c r="A5175" i="79"/>
  <c r="A5176" i="79"/>
  <c r="A5177" i="79"/>
  <c r="A5178" i="79"/>
  <c r="A5179" i="79"/>
  <c r="A5180" i="79"/>
  <c r="A5181" i="79"/>
  <c r="A5182" i="79"/>
  <c r="A5183" i="79"/>
  <c r="A5184" i="79"/>
  <c r="A5185" i="79"/>
  <c r="A5186" i="79"/>
  <c r="A5187" i="79"/>
  <c r="A5188" i="79"/>
  <c r="A5189" i="79"/>
  <c r="A5190" i="79"/>
  <c r="A5191" i="79"/>
  <c r="A5192" i="79"/>
  <c r="A5193" i="79"/>
  <c r="A5194" i="79"/>
  <c r="A5195" i="79"/>
  <c r="A5196" i="79"/>
  <c r="A5197" i="79"/>
  <c r="A5198" i="79"/>
  <c r="A5199" i="79"/>
  <c r="A5200" i="79"/>
  <c r="A5201" i="79"/>
  <c r="A5202" i="79"/>
  <c r="A5203" i="79"/>
  <c r="A5204" i="79"/>
  <c r="A5205" i="79"/>
  <c r="A5206" i="79"/>
  <c r="A5207" i="79"/>
  <c r="A5208" i="79"/>
  <c r="A5209" i="79"/>
  <c r="A5210" i="79"/>
  <c r="A5211" i="79"/>
  <c r="A5212" i="79"/>
  <c r="A5213" i="79"/>
  <c r="A5214" i="79"/>
  <c r="A5215" i="79"/>
  <c r="A5216" i="79"/>
  <c r="A5217" i="79"/>
  <c r="A5218" i="79"/>
  <c r="A5219" i="79"/>
  <c r="A5220" i="79"/>
  <c r="A5221" i="79"/>
  <c r="A5222" i="79"/>
  <c r="A5223" i="79"/>
  <c r="A5224" i="79"/>
  <c r="A5225" i="79"/>
  <c r="A5226" i="79"/>
  <c r="A5227" i="79"/>
  <c r="A5228" i="79"/>
  <c r="A5229" i="79"/>
  <c r="A5230" i="79"/>
  <c r="A5231" i="79"/>
  <c r="A5232" i="79"/>
  <c r="A5233" i="79"/>
  <c r="A5234" i="79"/>
  <c r="A5235" i="79"/>
  <c r="A5236" i="79"/>
  <c r="A5237" i="79"/>
  <c r="A5238" i="79"/>
  <c r="A5239" i="79"/>
  <c r="A5240" i="79"/>
  <c r="A5241" i="79"/>
  <c r="A5242" i="79"/>
  <c r="A5243" i="79"/>
  <c r="A5244" i="79"/>
  <c r="A5245" i="79"/>
  <c r="A5246" i="79"/>
  <c r="A5247" i="79"/>
  <c r="A5248" i="79"/>
  <c r="A5249" i="79"/>
  <c r="A5250" i="79"/>
  <c r="A5251" i="79"/>
  <c r="A5252" i="79"/>
  <c r="A5253" i="79"/>
  <c r="A5254" i="79"/>
  <c r="A5255" i="79"/>
  <c r="A5256" i="79"/>
  <c r="A5257" i="79"/>
  <c r="A5258" i="79"/>
  <c r="A5259" i="79"/>
  <c r="A5260" i="79"/>
  <c r="A5261" i="79"/>
  <c r="A5262" i="79"/>
  <c r="A5263" i="79"/>
  <c r="A5264" i="79"/>
  <c r="A5265" i="79"/>
  <c r="A5266" i="79"/>
  <c r="A5267" i="79"/>
  <c r="A5268" i="79"/>
  <c r="A5269" i="79"/>
  <c r="A5270" i="79"/>
  <c r="A5271" i="79"/>
  <c r="A5272" i="79"/>
  <c r="A5273" i="79"/>
  <c r="A5274" i="79"/>
  <c r="A5275" i="79"/>
  <c r="A5276" i="79"/>
  <c r="A5277" i="79"/>
  <c r="A5278" i="79"/>
  <c r="A5279" i="79"/>
  <c r="A5280" i="79"/>
  <c r="A5281" i="79"/>
  <c r="A5282" i="79"/>
  <c r="A5283" i="79"/>
  <c r="A5284" i="79"/>
  <c r="A5285" i="79"/>
  <c r="A5286" i="79"/>
  <c r="A5287" i="79"/>
  <c r="A5288" i="79"/>
  <c r="A5289" i="79"/>
  <c r="A5290" i="79"/>
  <c r="A5291" i="79"/>
  <c r="A5292" i="79"/>
  <c r="A5293" i="79"/>
  <c r="A5294" i="79"/>
  <c r="A5295" i="79"/>
  <c r="A5296" i="79"/>
  <c r="A5297" i="79"/>
  <c r="A5298" i="79"/>
  <c r="A5299" i="79"/>
  <c r="A5300" i="79"/>
  <c r="A5301" i="79"/>
  <c r="A5302" i="79"/>
  <c r="A5303" i="79"/>
  <c r="A5304" i="79"/>
  <c r="A5305" i="79"/>
  <c r="A5306" i="79"/>
  <c r="A5307" i="79"/>
  <c r="A5308" i="79"/>
  <c r="A5309" i="79"/>
  <c r="A5310" i="79"/>
  <c r="A5311" i="79"/>
  <c r="A5312" i="79"/>
  <c r="A5313" i="79"/>
  <c r="A5314" i="79"/>
  <c r="A5315" i="79"/>
  <c r="A5316" i="79"/>
  <c r="A5317" i="79"/>
  <c r="A5318" i="79"/>
  <c r="A5319" i="79"/>
  <c r="A5320" i="79"/>
  <c r="A5321" i="79"/>
  <c r="A5322" i="79"/>
  <c r="A5323" i="79"/>
  <c r="A5324" i="79"/>
  <c r="A5325" i="79"/>
  <c r="A5326" i="79"/>
  <c r="A5327" i="79"/>
  <c r="A5328" i="79"/>
  <c r="A5329" i="79"/>
  <c r="A5330" i="79"/>
  <c r="A5331" i="79"/>
  <c r="A5332" i="79"/>
  <c r="A5333" i="79"/>
  <c r="A5334" i="79"/>
  <c r="A5335" i="79"/>
  <c r="A5336" i="79"/>
  <c r="A5337" i="79"/>
  <c r="A5338" i="79"/>
  <c r="A5339" i="79"/>
  <c r="A5340" i="79"/>
  <c r="A5341" i="79"/>
  <c r="A5342" i="79"/>
  <c r="A5343" i="79"/>
  <c r="A5344" i="79"/>
  <c r="A5345" i="79"/>
  <c r="A5346" i="79"/>
  <c r="A5347" i="79"/>
  <c r="A5348" i="79"/>
  <c r="A5349" i="79"/>
  <c r="A5350" i="79"/>
  <c r="A5351" i="79"/>
  <c r="A5352" i="79"/>
  <c r="A5353" i="79"/>
  <c r="A5354" i="79"/>
  <c r="A5355" i="79"/>
  <c r="A5356" i="79"/>
  <c r="A5357" i="79"/>
  <c r="A5358" i="79"/>
  <c r="A5359" i="79"/>
  <c r="A5360" i="79"/>
  <c r="A5361" i="79"/>
  <c r="A5362" i="79"/>
  <c r="A5363" i="79"/>
  <c r="A5364" i="79"/>
  <c r="A5365" i="79"/>
  <c r="A5366" i="79"/>
  <c r="A5367" i="79"/>
  <c r="A5368" i="79"/>
  <c r="A5369" i="79"/>
  <c r="A5370" i="79"/>
  <c r="A5371" i="79"/>
  <c r="A5372" i="79"/>
  <c r="A5373" i="79"/>
  <c r="A5374" i="79"/>
  <c r="A5375" i="79"/>
  <c r="A5376" i="79"/>
  <c r="A5377" i="79"/>
  <c r="A5378" i="79"/>
  <c r="A5379" i="79"/>
  <c r="A5380" i="79"/>
  <c r="A5381" i="79"/>
  <c r="A5382" i="79"/>
  <c r="A5383" i="79"/>
  <c r="A5384" i="79"/>
  <c r="A5385" i="79"/>
  <c r="A5386" i="79"/>
  <c r="A5387" i="79"/>
  <c r="A5388" i="79"/>
  <c r="A5389" i="79"/>
  <c r="A5390" i="79"/>
  <c r="A5391" i="79"/>
  <c r="A5392" i="79"/>
  <c r="A5393" i="79"/>
  <c r="A5394" i="79"/>
  <c r="A5395" i="79"/>
  <c r="A5396" i="79"/>
  <c r="A5397" i="79"/>
  <c r="A5398" i="79"/>
  <c r="A5399" i="79"/>
  <c r="A5400" i="79"/>
  <c r="A5401" i="79"/>
  <c r="A5402" i="79"/>
  <c r="A5403" i="79"/>
  <c r="A5404" i="79"/>
  <c r="A5405" i="79"/>
  <c r="A5406" i="79"/>
  <c r="A5407" i="79"/>
  <c r="A5408" i="79"/>
  <c r="A5409" i="79"/>
  <c r="A5410" i="79"/>
  <c r="A5411" i="79"/>
  <c r="A5412" i="79"/>
  <c r="A5413" i="79"/>
  <c r="A5414" i="79"/>
  <c r="A5415" i="79"/>
  <c r="A5416" i="79"/>
  <c r="A5417" i="79"/>
  <c r="A5418" i="79"/>
  <c r="A5419" i="79"/>
  <c r="A5420" i="79"/>
  <c r="A5421" i="79"/>
  <c r="A5422" i="79"/>
  <c r="A5423" i="79"/>
  <c r="A5424" i="79"/>
  <c r="A5425" i="79"/>
  <c r="A5426" i="79"/>
  <c r="A5427" i="79"/>
  <c r="A5428" i="79"/>
  <c r="A5429" i="79"/>
  <c r="A5430" i="79"/>
  <c r="A5431" i="79"/>
  <c r="A5432" i="79"/>
  <c r="A5433" i="79"/>
  <c r="A5434" i="79"/>
  <c r="A5435" i="79"/>
  <c r="A5436" i="79"/>
  <c r="A5437" i="79"/>
  <c r="A5438" i="79"/>
  <c r="A5439" i="79"/>
  <c r="A5440" i="79"/>
  <c r="A5441" i="79"/>
  <c r="A5442" i="79"/>
  <c r="A5443" i="79"/>
  <c r="A5444" i="79"/>
  <c r="A5445" i="79"/>
  <c r="A5446" i="79"/>
  <c r="A5447" i="79"/>
  <c r="A5448" i="79"/>
  <c r="A5449" i="79"/>
  <c r="A5450" i="79"/>
  <c r="A5451" i="79"/>
  <c r="A5452" i="79"/>
  <c r="A5453" i="79"/>
  <c r="A5454" i="79"/>
  <c r="A5455" i="79"/>
  <c r="A5456" i="79"/>
  <c r="A5457" i="79"/>
  <c r="A5458" i="79"/>
  <c r="A5459" i="79"/>
  <c r="A5460" i="79"/>
  <c r="A5461" i="79"/>
  <c r="A5462" i="79"/>
  <c r="A5463" i="79"/>
  <c r="A5464" i="79"/>
  <c r="A5465" i="79"/>
  <c r="A5466" i="79"/>
  <c r="A5467" i="79"/>
  <c r="A5468" i="79"/>
  <c r="A5469" i="79"/>
  <c r="A5470" i="79"/>
  <c r="A5471" i="79"/>
  <c r="A5472" i="79"/>
  <c r="A5473" i="79"/>
  <c r="A5474" i="79"/>
  <c r="A5475" i="79"/>
  <c r="A5476" i="79"/>
  <c r="A5477" i="79"/>
  <c r="A5478" i="79"/>
  <c r="A5479" i="79"/>
  <c r="A5480" i="79"/>
  <c r="A5481" i="79"/>
  <c r="A5482" i="79"/>
  <c r="A5483" i="79"/>
  <c r="A5484" i="79"/>
  <c r="A5485" i="79"/>
  <c r="A5486" i="79"/>
  <c r="A5487" i="79"/>
  <c r="A5488" i="79"/>
  <c r="A5489" i="79"/>
  <c r="A5490" i="79"/>
  <c r="A5491" i="79"/>
  <c r="A5492" i="79"/>
  <c r="A5493" i="79"/>
  <c r="A5494" i="79"/>
  <c r="A5495" i="79"/>
  <c r="A5496" i="79"/>
  <c r="A5497" i="79"/>
  <c r="A5498" i="79"/>
  <c r="A5499" i="79"/>
  <c r="A5500" i="79"/>
  <c r="A5501" i="79"/>
  <c r="A5502" i="79"/>
  <c r="A5503" i="79"/>
  <c r="A5504" i="79"/>
  <c r="A5505" i="79"/>
  <c r="A5506" i="79"/>
  <c r="A5507" i="79"/>
  <c r="A5508" i="79"/>
  <c r="A5509" i="79"/>
  <c r="A5510" i="79"/>
  <c r="A5511" i="79"/>
  <c r="A5512" i="79"/>
  <c r="A5513" i="79"/>
  <c r="A5514" i="79"/>
  <c r="A5515" i="79"/>
  <c r="A5516" i="79"/>
  <c r="A5517" i="79"/>
  <c r="A5518" i="79"/>
  <c r="A5519" i="79"/>
  <c r="A5520" i="79"/>
  <c r="A5521" i="79"/>
  <c r="A5522" i="79"/>
  <c r="A5523" i="79"/>
  <c r="A5524" i="79"/>
  <c r="A5525" i="79"/>
  <c r="A5526" i="79"/>
  <c r="A5527" i="79"/>
  <c r="A5528" i="79"/>
  <c r="A5529" i="79"/>
  <c r="A5530" i="79"/>
  <c r="A5531" i="79"/>
  <c r="A5532" i="79"/>
  <c r="A5533" i="79"/>
  <c r="A5534" i="79"/>
  <c r="A5535" i="79"/>
  <c r="A5536" i="79"/>
  <c r="A5537" i="79"/>
  <c r="A5538" i="79"/>
  <c r="A5539" i="79"/>
  <c r="A5540" i="79"/>
  <c r="A5541" i="79"/>
  <c r="A5542" i="79"/>
  <c r="A5543" i="79"/>
  <c r="A5544" i="79"/>
  <c r="A5545" i="79"/>
  <c r="A5546" i="79"/>
  <c r="A5547" i="79"/>
  <c r="A5548" i="79"/>
  <c r="A5549" i="79"/>
  <c r="A5550" i="79"/>
  <c r="A5551" i="79"/>
  <c r="A5552" i="79"/>
  <c r="A5553" i="79"/>
  <c r="A5554" i="79"/>
  <c r="A5555" i="79"/>
  <c r="A5556" i="79"/>
  <c r="A5557" i="79"/>
  <c r="A5558" i="79"/>
  <c r="A5559" i="79"/>
  <c r="A5560" i="79"/>
  <c r="A5561" i="79"/>
  <c r="A5562" i="79"/>
  <c r="A5563" i="79"/>
  <c r="A5564" i="79"/>
  <c r="A5565" i="79"/>
  <c r="A5566" i="79"/>
  <c r="A5567" i="79"/>
  <c r="A5568" i="79"/>
  <c r="A5569" i="79"/>
  <c r="A5570" i="79"/>
  <c r="A5571" i="79"/>
  <c r="A5572" i="79"/>
  <c r="A5573" i="79"/>
  <c r="A5574" i="79"/>
  <c r="A5575" i="79"/>
  <c r="A5576" i="79"/>
  <c r="A5577" i="79"/>
  <c r="A5578" i="79"/>
  <c r="A5579" i="79"/>
  <c r="A5580" i="79"/>
  <c r="A5581" i="79"/>
  <c r="A5582" i="79"/>
  <c r="A5583" i="79"/>
  <c r="A5584" i="79"/>
  <c r="A5585" i="79"/>
  <c r="A5586" i="79"/>
  <c r="A5587" i="79"/>
  <c r="A5588" i="79"/>
  <c r="A5589" i="79"/>
  <c r="A5590" i="79"/>
  <c r="A5591" i="79"/>
  <c r="A5592" i="79"/>
  <c r="A5593" i="79"/>
  <c r="A5594" i="79"/>
  <c r="A5595" i="79"/>
  <c r="A5596" i="79"/>
  <c r="A5597" i="79"/>
  <c r="A5598" i="79"/>
  <c r="A5599" i="79"/>
  <c r="A5600" i="79"/>
  <c r="A5601" i="79"/>
  <c r="A5602" i="79"/>
  <c r="A5603" i="79"/>
  <c r="A5604" i="79"/>
  <c r="A5605" i="79"/>
  <c r="A5606" i="79"/>
  <c r="A5607" i="79"/>
  <c r="A5608" i="79"/>
  <c r="A5609" i="79"/>
  <c r="A5610" i="79"/>
  <c r="A5611" i="79"/>
  <c r="A5612" i="79"/>
  <c r="A5613" i="79"/>
  <c r="A5614" i="79"/>
  <c r="A5615" i="79"/>
  <c r="A5616" i="79"/>
  <c r="A5617" i="79"/>
  <c r="A5618" i="79"/>
  <c r="A5619" i="79"/>
  <c r="A5620" i="79"/>
  <c r="A5621" i="79"/>
  <c r="A5622" i="79"/>
  <c r="A5623" i="79"/>
  <c r="A5624" i="79"/>
  <c r="A5625" i="79"/>
  <c r="A5626" i="79"/>
  <c r="A5627" i="79"/>
  <c r="A5628" i="79"/>
  <c r="A5629" i="79"/>
  <c r="A5630" i="79"/>
  <c r="A5631" i="79"/>
  <c r="A5632" i="79"/>
  <c r="A5633" i="79"/>
  <c r="A5634" i="79"/>
  <c r="A5635" i="79"/>
  <c r="A5636" i="79"/>
  <c r="A5637" i="79"/>
  <c r="A5638" i="79"/>
  <c r="A5639" i="79"/>
  <c r="A5640" i="79"/>
  <c r="A5641" i="79"/>
  <c r="A5642" i="79"/>
  <c r="A5643" i="79"/>
  <c r="A5644" i="79"/>
  <c r="A5645" i="79"/>
  <c r="A5646" i="79"/>
  <c r="A5647" i="79"/>
  <c r="A5648" i="79"/>
  <c r="A5649" i="79"/>
  <c r="A5650" i="79"/>
  <c r="A5651" i="79"/>
  <c r="A5652" i="79"/>
  <c r="A5653" i="79"/>
  <c r="A5654" i="79"/>
  <c r="A5655" i="79"/>
  <c r="A5656" i="79"/>
  <c r="A5657" i="79"/>
  <c r="A5658" i="79"/>
  <c r="A5659" i="79"/>
  <c r="A5660" i="79"/>
  <c r="A5661" i="79"/>
  <c r="A5662" i="79"/>
  <c r="A5663" i="79"/>
  <c r="A5664" i="79"/>
  <c r="A5665" i="79"/>
  <c r="A5666" i="79"/>
  <c r="A5667" i="79"/>
  <c r="A5668" i="79"/>
  <c r="A5669" i="79"/>
  <c r="A5670" i="79"/>
  <c r="A5671" i="79"/>
  <c r="A5672" i="79"/>
  <c r="A5673" i="79"/>
  <c r="A5674" i="79"/>
  <c r="A5675" i="79"/>
  <c r="A5676" i="79"/>
  <c r="A5677" i="79"/>
  <c r="A5678" i="79"/>
  <c r="A5679" i="79"/>
  <c r="A5680" i="79"/>
  <c r="A5681" i="79"/>
  <c r="A5682" i="79"/>
  <c r="A5683" i="79"/>
  <c r="A5684" i="79"/>
  <c r="A5685" i="79"/>
  <c r="A5686" i="79"/>
  <c r="A5687" i="79"/>
  <c r="A5688" i="79"/>
  <c r="A5689" i="79"/>
  <c r="A5690" i="79"/>
  <c r="A5691" i="79"/>
  <c r="A5692" i="79"/>
  <c r="A5693" i="79"/>
  <c r="A5694" i="79"/>
  <c r="A5695" i="79"/>
  <c r="A5696" i="79"/>
  <c r="A5697" i="79"/>
  <c r="A5698" i="79"/>
  <c r="A5699" i="79"/>
  <c r="A5700" i="79"/>
  <c r="A5701" i="79"/>
  <c r="A5702" i="79"/>
  <c r="A5703" i="79"/>
  <c r="A5704" i="79"/>
  <c r="A5705" i="79"/>
  <c r="A5706" i="79"/>
  <c r="A5707" i="79"/>
  <c r="A5708" i="79"/>
  <c r="A5709" i="79"/>
  <c r="A5710" i="79"/>
  <c r="A5711" i="79"/>
  <c r="A5712" i="79"/>
  <c r="A5713" i="79"/>
  <c r="A5714" i="79"/>
  <c r="A5715" i="79"/>
  <c r="A5716" i="79"/>
  <c r="A5717" i="79"/>
  <c r="A5718" i="79"/>
  <c r="A5719" i="79"/>
  <c r="A5720" i="79"/>
  <c r="A5721" i="79"/>
  <c r="A5722" i="79"/>
  <c r="A5723" i="79"/>
  <c r="A5724" i="79"/>
  <c r="A5725" i="79"/>
  <c r="A5726" i="79"/>
  <c r="A5727" i="79"/>
  <c r="A5728" i="79"/>
  <c r="A5729" i="79"/>
  <c r="A5730" i="79"/>
  <c r="A5731" i="79"/>
  <c r="A5732" i="79"/>
  <c r="A5733" i="79"/>
  <c r="A5734" i="79"/>
  <c r="A5735" i="79"/>
  <c r="A5736" i="79"/>
  <c r="A5737" i="79"/>
  <c r="A5738" i="79"/>
  <c r="A5739" i="79"/>
  <c r="A5740" i="79"/>
  <c r="A5741" i="79"/>
  <c r="A5742" i="79"/>
  <c r="A5743" i="79"/>
  <c r="A5744" i="79"/>
  <c r="A5745" i="79"/>
  <c r="A5746" i="79"/>
  <c r="A5747" i="79"/>
  <c r="A5748" i="79"/>
  <c r="A5749" i="79"/>
  <c r="A5750" i="79"/>
  <c r="A5751" i="79"/>
  <c r="A5752" i="79"/>
  <c r="A5753" i="79"/>
  <c r="A5754" i="79"/>
  <c r="A5755" i="79"/>
  <c r="A5756" i="79"/>
  <c r="A5757" i="79"/>
  <c r="A5758" i="79"/>
  <c r="A5759" i="79"/>
  <c r="A5760" i="79"/>
  <c r="A5761" i="79"/>
  <c r="A5762" i="79"/>
  <c r="A5763" i="79"/>
  <c r="A5764" i="79"/>
  <c r="A5765" i="79"/>
  <c r="A5766" i="79"/>
  <c r="A5767" i="79"/>
  <c r="A5768" i="79"/>
  <c r="A5769" i="79"/>
  <c r="A5770" i="79"/>
  <c r="A5771" i="79"/>
  <c r="A5772" i="79"/>
  <c r="A5773" i="79"/>
  <c r="A5774" i="79"/>
  <c r="A5775" i="79"/>
  <c r="A5776" i="79"/>
  <c r="A5777" i="79"/>
  <c r="A5778" i="79"/>
  <c r="A5779" i="79"/>
  <c r="A5780" i="79"/>
  <c r="A5781" i="79"/>
  <c r="A5782" i="79"/>
  <c r="A5783" i="79"/>
  <c r="A5784" i="79"/>
  <c r="A5785" i="79"/>
  <c r="A5786" i="79"/>
  <c r="A5787" i="79"/>
  <c r="A5788" i="79"/>
  <c r="A5789" i="79"/>
  <c r="A5790" i="79"/>
  <c r="A5791" i="79"/>
  <c r="A5792" i="79"/>
  <c r="A5793" i="79"/>
  <c r="A5794" i="79"/>
  <c r="A5795" i="79"/>
  <c r="A5796" i="79"/>
  <c r="A5797" i="79"/>
  <c r="A5798" i="79"/>
  <c r="A5799" i="79"/>
  <c r="A5800" i="79"/>
  <c r="A5801" i="79"/>
  <c r="A5802" i="79"/>
  <c r="A5803" i="79"/>
  <c r="A5804" i="79"/>
  <c r="A5805" i="79"/>
  <c r="A5806" i="79"/>
  <c r="A5807" i="79"/>
  <c r="A5808" i="79"/>
  <c r="A5809" i="79"/>
  <c r="A5810" i="79"/>
  <c r="A5811" i="79"/>
  <c r="A5812" i="79"/>
  <c r="A5813" i="79"/>
  <c r="A5814" i="79"/>
  <c r="A5815" i="79"/>
  <c r="A5816" i="79"/>
  <c r="A5817" i="79"/>
  <c r="A5818" i="79"/>
  <c r="A5819" i="79"/>
  <c r="A5820" i="79"/>
  <c r="A5821" i="79"/>
  <c r="A5822" i="79"/>
  <c r="A5823" i="79"/>
  <c r="A5824" i="79"/>
  <c r="A5825" i="79"/>
  <c r="A5826" i="79"/>
  <c r="A5827" i="79"/>
  <c r="A5828" i="79"/>
  <c r="A5829" i="79"/>
  <c r="A5830" i="79"/>
  <c r="A5831" i="79"/>
  <c r="A5832" i="79"/>
  <c r="A5833" i="79"/>
  <c r="A5834" i="79"/>
  <c r="A5835" i="79"/>
  <c r="A5836" i="79"/>
  <c r="A5837" i="79"/>
  <c r="A5838" i="79"/>
  <c r="A5839" i="79"/>
  <c r="A5840" i="79"/>
  <c r="A5841" i="79"/>
  <c r="A5842" i="79"/>
  <c r="A5843" i="79"/>
  <c r="A5844" i="79"/>
  <c r="A5845" i="79"/>
  <c r="A5846" i="79"/>
  <c r="A5847" i="79"/>
  <c r="A5848" i="79"/>
  <c r="A5849" i="79"/>
  <c r="A5850" i="79"/>
  <c r="A5851" i="79"/>
  <c r="A5852" i="79"/>
  <c r="A5853" i="79"/>
  <c r="A5854" i="79"/>
  <c r="A5855" i="79"/>
  <c r="A5856" i="79"/>
  <c r="A5857" i="79"/>
  <c r="A5858" i="79"/>
  <c r="A5859" i="79"/>
  <c r="A5860" i="79"/>
  <c r="A5861" i="79"/>
  <c r="A5862" i="79"/>
  <c r="A5863" i="79"/>
  <c r="A5864" i="79"/>
  <c r="A5865" i="79"/>
  <c r="A5866" i="79"/>
  <c r="A5867" i="79"/>
  <c r="A5868" i="79"/>
  <c r="A5869" i="79"/>
  <c r="A5870" i="79"/>
  <c r="A5871" i="79"/>
  <c r="A5872" i="79"/>
  <c r="A5873" i="79"/>
  <c r="A5874" i="79"/>
  <c r="A5875" i="79"/>
  <c r="A5876" i="79"/>
  <c r="A5877" i="79"/>
  <c r="A5878" i="79"/>
  <c r="A5879" i="79"/>
  <c r="A5880" i="79"/>
  <c r="A5881" i="79"/>
  <c r="A5882" i="79"/>
  <c r="A5883" i="79"/>
  <c r="A5884" i="79"/>
  <c r="A5885" i="79"/>
  <c r="A5886" i="79"/>
  <c r="A5887" i="79"/>
  <c r="A5888" i="79"/>
  <c r="A5889" i="79"/>
  <c r="A5890" i="79"/>
  <c r="A5891" i="79"/>
  <c r="A5892" i="79"/>
  <c r="A5893" i="79"/>
  <c r="A5894" i="79"/>
  <c r="A5895" i="79"/>
  <c r="A5896" i="79"/>
  <c r="A5897" i="79"/>
  <c r="A5898" i="79"/>
  <c r="A5899" i="79"/>
  <c r="A5900" i="79"/>
  <c r="A5901" i="79"/>
  <c r="A5902" i="79"/>
  <c r="A5903" i="79"/>
  <c r="A5904" i="79"/>
  <c r="A5905" i="79"/>
  <c r="A5906" i="79"/>
  <c r="A5907" i="79"/>
  <c r="A5908" i="79"/>
  <c r="A5909" i="79"/>
  <c r="A5910" i="79"/>
  <c r="A5911" i="79"/>
  <c r="A5912" i="79"/>
  <c r="A5913" i="79"/>
  <c r="A5914" i="79"/>
  <c r="A5915" i="79"/>
  <c r="A5916" i="79"/>
  <c r="A5917" i="79"/>
  <c r="A5918" i="79"/>
  <c r="A5919" i="79"/>
  <c r="A5920" i="79"/>
  <c r="A5921" i="79"/>
  <c r="A5922" i="79"/>
  <c r="A5923" i="79"/>
  <c r="A5924" i="79"/>
  <c r="A5925" i="79"/>
  <c r="A5926" i="79"/>
  <c r="A5927" i="79"/>
  <c r="A5928" i="79"/>
  <c r="A5929" i="79"/>
  <c r="A5930" i="79"/>
  <c r="A5931" i="79"/>
  <c r="A5932" i="79"/>
  <c r="A5933" i="79"/>
  <c r="A5934" i="79"/>
  <c r="A5935" i="79"/>
  <c r="A5936" i="79"/>
  <c r="A5937" i="79"/>
  <c r="A5938" i="79"/>
  <c r="A5939" i="79"/>
  <c r="A5940" i="79"/>
  <c r="A5941" i="79"/>
  <c r="A5942" i="79"/>
  <c r="A5943" i="79"/>
  <c r="A5944" i="79"/>
  <c r="A5945" i="79"/>
  <c r="A5946" i="79"/>
  <c r="A5947" i="79"/>
  <c r="A5948" i="79"/>
  <c r="A5949" i="79"/>
  <c r="A5950" i="79"/>
  <c r="A5951" i="79"/>
  <c r="A5952" i="79"/>
  <c r="A5953" i="79"/>
  <c r="A5954" i="79"/>
  <c r="A5955" i="79"/>
  <c r="A5956" i="79"/>
  <c r="A5957" i="79"/>
  <c r="A5958" i="79"/>
  <c r="A5959" i="79"/>
  <c r="A5960" i="79"/>
  <c r="A5961" i="79"/>
  <c r="A5962" i="79"/>
  <c r="A5963" i="79"/>
  <c r="A5964" i="79"/>
  <c r="A5965" i="79"/>
  <c r="A5966" i="79"/>
  <c r="A5967" i="79"/>
  <c r="A5968" i="79"/>
  <c r="A5969" i="79"/>
  <c r="A5970" i="79"/>
  <c r="A5971" i="79"/>
  <c r="A5972" i="79"/>
  <c r="A5973" i="79"/>
  <c r="A5974" i="79"/>
  <c r="A5975" i="79"/>
  <c r="A5976" i="79"/>
  <c r="A5977" i="79"/>
  <c r="A5978" i="79"/>
  <c r="A5979" i="79"/>
  <c r="A5980" i="79"/>
  <c r="A5981" i="79"/>
  <c r="A5982" i="79"/>
  <c r="A5983" i="79"/>
  <c r="A5984" i="79"/>
  <c r="A5985" i="79"/>
  <c r="A5986" i="79"/>
  <c r="A5987" i="79"/>
  <c r="A5988" i="79"/>
  <c r="A5989" i="79"/>
  <c r="A5990" i="79"/>
  <c r="A5991" i="79"/>
  <c r="A5992" i="79"/>
  <c r="A5993" i="79"/>
  <c r="A5994" i="79"/>
  <c r="A5995" i="79"/>
  <c r="A5996" i="79"/>
  <c r="A5997" i="79"/>
  <c r="A5998" i="79"/>
  <c r="A5999" i="79"/>
  <c r="A6000" i="79"/>
  <c r="A6001" i="79"/>
  <c r="A6002" i="79"/>
  <c r="A6003" i="79"/>
  <c r="A6004" i="79"/>
  <c r="A6005" i="79"/>
  <c r="A6006" i="79"/>
  <c r="A6007" i="79"/>
  <c r="A6008" i="79"/>
  <c r="A6009" i="79"/>
  <c r="A6010" i="79"/>
  <c r="A6011" i="79"/>
  <c r="A6012" i="79"/>
  <c r="A6013" i="79"/>
  <c r="A6014" i="79"/>
  <c r="A6015" i="79"/>
  <c r="A6016" i="79"/>
  <c r="A6017" i="79"/>
  <c r="A6018" i="79"/>
  <c r="A6019" i="79"/>
  <c r="A6020" i="79"/>
  <c r="A6021" i="79"/>
  <c r="A6022" i="79"/>
  <c r="A6023" i="79"/>
  <c r="A6024" i="79"/>
  <c r="A6025" i="79"/>
  <c r="A6026" i="79"/>
  <c r="A6027" i="79"/>
  <c r="A6028" i="79"/>
  <c r="A6029" i="79"/>
  <c r="A6030" i="79"/>
  <c r="A6031" i="79"/>
  <c r="A6032" i="79"/>
  <c r="A6033" i="79"/>
  <c r="A6034" i="79"/>
  <c r="A6035" i="79"/>
  <c r="A6036" i="79"/>
  <c r="A6037" i="79"/>
  <c r="A6038" i="79"/>
  <c r="A6039" i="79"/>
  <c r="A6040" i="79"/>
  <c r="A6041" i="79"/>
  <c r="A6042" i="79"/>
  <c r="A6043" i="79"/>
  <c r="A6044" i="79"/>
  <c r="A6045" i="79"/>
  <c r="A6046" i="79"/>
  <c r="A6047" i="79"/>
  <c r="A6048" i="79"/>
  <c r="A6049" i="79"/>
  <c r="A6050" i="79"/>
  <c r="A6051" i="79"/>
  <c r="A6052" i="79"/>
  <c r="A6053" i="79"/>
  <c r="A6054" i="79"/>
  <c r="A6055" i="79"/>
  <c r="A6056" i="79"/>
  <c r="A6057" i="79"/>
  <c r="A6058" i="79"/>
  <c r="A6059" i="79"/>
  <c r="A6060" i="79"/>
  <c r="A6061" i="79"/>
  <c r="A6062" i="79"/>
  <c r="A6063" i="79"/>
  <c r="A6064" i="79"/>
  <c r="A6065" i="79"/>
  <c r="A6066" i="79"/>
  <c r="A6067" i="79"/>
  <c r="A6068" i="79"/>
  <c r="A6069" i="79"/>
  <c r="A6070" i="79"/>
  <c r="A6071" i="79"/>
  <c r="A6072" i="79"/>
  <c r="A6073" i="79"/>
  <c r="A6074" i="79"/>
  <c r="A6075" i="79"/>
  <c r="A6076" i="79"/>
  <c r="A6077" i="79"/>
  <c r="A6078" i="79"/>
  <c r="A6079" i="79"/>
  <c r="A6080" i="79"/>
  <c r="A6081" i="79"/>
  <c r="A6082" i="79"/>
  <c r="A6083" i="79"/>
  <c r="A6084" i="79"/>
  <c r="A6085" i="79"/>
  <c r="A6086" i="79"/>
  <c r="A6087" i="79"/>
  <c r="A6088" i="79"/>
  <c r="A6089" i="79"/>
  <c r="A6090" i="79"/>
  <c r="A6091" i="79"/>
  <c r="A6092" i="79"/>
  <c r="A6093" i="79"/>
  <c r="A6094" i="79"/>
  <c r="A6095" i="79"/>
  <c r="A6096" i="79"/>
  <c r="A6097" i="79"/>
  <c r="A6098" i="79"/>
  <c r="A6099" i="79"/>
  <c r="A6100" i="79"/>
  <c r="A6101" i="79"/>
  <c r="A6102" i="79"/>
  <c r="A6103" i="79"/>
  <c r="A6104" i="79"/>
  <c r="A6105" i="79"/>
  <c r="A6106" i="79"/>
  <c r="A6107" i="79"/>
  <c r="A6108" i="79"/>
  <c r="A6109" i="79"/>
  <c r="A6110" i="79"/>
  <c r="A6111" i="79"/>
  <c r="A6112" i="79"/>
  <c r="A6113" i="79"/>
  <c r="A6114" i="79"/>
  <c r="A6115" i="79"/>
  <c r="A6116" i="79"/>
  <c r="A6117" i="79"/>
  <c r="A6118" i="79"/>
  <c r="A6119" i="79"/>
  <c r="A6120" i="79"/>
  <c r="A6121" i="79"/>
  <c r="A6122" i="79"/>
  <c r="A6123" i="79"/>
  <c r="A6124" i="79"/>
  <c r="A6125" i="79"/>
  <c r="A6126" i="79"/>
  <c r="A6127" i="79"/>
  <c r="A6128" i="79"/>
  <c r="A6129" i="79"/>
  <c r="A6130" i="79"/>
  <c r="A6131" i="79"/>
  <c r="A6132" i="79"/>
  <c r="A6133" i="79"/>
  <c r="A6134" i="79"/>
  <c r="A6135" i="79"/>
  <c r="A6136" i="79"/>
  <c r="A6137" i="79"/>
  <c r="A6138" i="79"/>
  <c r="A6139" i="79"/>
  <c r="A6140" i="79"/>
  <c r="A6141" i="79"/>
  <c r="A6142" i="79"/>
  <c r="A6143" i="79"/>
  <c r="A6144" i="79"/>
  <c r="A6145" i="79"/>
  <c r="A6146" i="79"/>
  <c r="A6147" i="79"/>
  <c r="A6148" i="79"/>
  <c r="A6149" i="79"/>
  <c r="A6150" i="79"/>
  <c r="A6151" i="79"/>
  <c r="A6152" i="79"/>
  <c r="A6153" i="79"/>
  <c r="A6154" i="79"/>
  <c r="A6155" i="79"/>
  <c r="A6156" i="79"/>
  <c r="A6157" i="79"/>
  <c r="A6158" i="79"/>
  <c r="A6159" i="79"/>
  <c r="A6160" i="79"/>
  <c r="A6161" i="79"/>
  <c r="A6162" i="79"/>
  <c r="A6163" i="79"/>
  <c r="A6164" i="79"/>
  <c r="A6165" i="79"/>
  <c r="A6166" i="79"/>
  <c r="A6167" i="79"/>
  <c r="A6168" i="79"/>
  <c r="A6169" i="79"/>
  <c r="A6170" i="79"/>
  <c r="A6171" i="79"/>
  <c r="A6172" i="79"/>
  <c r="A6173" i="79"/>
  <c r="A6174" i="79"/>
  <c r="A6175" i="79"/>
  <c r="A6176" i="79"/>
  <c r="A6177" i="79"/>
  <c r="A6178" i="79"/>
  <c r="A6179" i="79"/>
  <c r="A6180" i="79"/>
  <c r="A6181" i="79"/>
  <c r="A6182" i="79"/>
  <c r="A6183" i="79"/>
  <c r="A6184" i="79"/>
  <c r="A6185" i="79"/>
  <c r="A6186" i="79"/>
  <c r="A6187" i="79"/>
  <c r="A6188" i="79"/>
  <c r="A6189" i="79"/>
  <c r="A6190" i="79"/>
  <c r="A6191" i="79"/>
  <c r="A6192" i="79"/>
  <c r="A6193" i="79"/>
  <c r="A6194" i="79"/>
  <c r="A6195" i="79"/>
  <c r="A6196" i="79"/>
  <c r="A6197" i="79"/>
  <c r="A6198" i="79"/>
  <c r="A6199" i="79"/>
  <c r="A6200" i="79"/>
  <c r="A6201" i="79"/>
  <c r="A6202" i="79"/>
  <c r="A6203" i="79"/>
  <c r="A6204" i="79"/>
  <c r="A6205" i="79"/>
  <c r="A6206" i="79"/>
  <c r="A6207" i="79"/>
  <c r="A6208" i="79"/>
  <c r="A6209" i="79"/>
  <c r="A6210" i="79"/>
  <c r="A6211" i="79"/>
  <c r="A6212" i="79"/>
  <c r="A6213" i="79"/>
  <c r="A6214" i="79"/>
  <c r="A6215" i="79"/>
  <c r="A6216" i="79"/>
  <c r="A6217" i="79"/>
  <c r="A6218" i="79"/>
  <c r="A6219" i="79"/>
  <c r="A6220" i="79"/>
  <c r="A6221" i="79"/>
  <c r="A6222" i="79"/>
  <c r="A6223" i="79"/>
  <c r="A6224" i="79"/>
  <c r="A6225" i="79"/>
  <c r="A6226" i="79"/>
  <c r="A6227" i="79"/>
  <c r="A6228" i="79"/>
  <c r="A6229" i="79"/>
  <c r="A6230" i="79"/>
  <c r="A6231" i="79"/>
  <c r="A6232" i="79"/>
  <c r="A6233" i="79"/>
  <c r="A6234" i="79"/>
  <c r="A6235" i="79"/>
  <c r="A6236" i="79"/>
  <c r="A6237" i="79"/>
  <c r="A6238" i="79"/>
  <c r="A6239" i="79"/>
  <c r="A6240" i="79"/>
  <c r="A6241" i="79"/>
  <c r="A6242" i="79"/>
  <c r="A6243" i="79"/>
  <c r="A6244" i="79"/>
  <c r="A6245" i="79"/>
  <c r="A6246" i="79"/>
  <c r="A6247" i="79"/>
  <c r="A6248" i="79"/>
  <c r="A6249" i="79"/>
  <c r="A6250" i="79"/>
  <c r="A6251" i="79"/>
  <c r="A6252" i="79"/>
  <c r="A6253" i="79"/>
  <c r="A6254" i="79"/>
  <c r="A6255" i="79"/>
  <c r="A6256" i="79"/>
  <c r="A6257" i="79"/>
  <c r="A6258" i="79"/>
  <c r="A6259" i="79"/>
  <c r="A6260" i="79"/>
  <c r="A6261" i="79"/>
  <c r="A6262" i="79"/>
  <c r="A6263" i="79"/>
  <c r="A6264" i="79"/>
  <c r="A6265" i="79"/>
  <c r="A6266" i="79"/>
  <c r="A6267" i="79"/>
  <c r="A6268" i="79"/>
  <c r="A6269" i="79"/>
  <c r="A6270" i="79"/>
  <c r="A6271" i="79"/>
  <c r="A6272" i="79"/>
  <c r="A6273" i="79"/>
  <c r="A6274" i="79"/>
  <c r="A6275" i="79"/>
  <c r="A6276" i="79"/>
  <c r="A6277" i="79"/>
  <c r="A6278" i="79"/>
  <c r="A6279" i="79"/>
  <c r="A6280" i="79"/>
  <c r="A6281" i="79"/>
  <c r="A6282" i="79"/>
  <c r="A6283" i="79"/>
  <c r="A6284" i="79"/>
  <c r="A6285" i="79"/>
  <c r="A6286" i="79"/>
  <c r="A6287" i="79"/>
  <c r="A6288" i="79"/>
  <c r="A6289" i="79"/>
  <c r="A6290" i="79"/>
  <c r="A6291" i="79"/>
  <c r="A6292" i="79"/>
  <c r="A6293" i="79"/>
  <c r="A6294" i="79"/>
  <c r="A6295" i="79"/>
  <c r="A6296" i="79"/>
  <c r="A6297" i="79"/>
  <c r="A6298" i="79"/>
  <c r="A6299" i="79"/>
  <c r="A6300" i="79"/>
  <c r="A6301" i="79"/>
  <c r="A6302" i="79"/>
  <c r="A6303" i="79"/>
  <c r="A6304" i="79"/>
  <c r="A6305" i="79"/>
  <c r="A6306" i="79"/>
  <c r="A6307" i="79"/>
  <c r="A6308" i="79"/>
  <c r="A6309" i="79"/>
  <c r="A6310" i="79"/>
  <c r="A6311" i="79"/>
  <c r="A6312" i="79"/>
  <c r="A6313" i="79"/>
  <c r="A6314" i="79"/>
  <c r="A6315" i="79"/>
  <c r="A6316" i="79"/>
  <c r="A6317" i="79"/>
  <c r="A6318" i="79"/>
  <c r="A6319" i="79"/>
  <c r="A6320" i="79"/>
  <c r="A6321" i="79"/>
  <c r="A6322" i="79"/>
  <c r="A6323" i="79"/>
  <c r="A6324" i="79"/>
  <c r="A6325" i="79"/>
  <c r="A6326" i="79"/>
  <c r="A6327" i="79"/>
  <c r="A6328" i="79"/>
  <c r="A6329" i="79"/>
  <c r="A6330" i="79"/>
  <c r="A6331" i="79"/>
  <c r="A6332" i="79"/>
  <c r="A6333" i="79"/>
  <c r="A6334" i="79"/>
  <c r="A6335" i="79"/>
  <c r="A6336" i="79"/>
  <c r="A6337" i="79"/>
  <c r="A6338" i="79"/>
  <c r="A6339" i="79"/>
  <c r="A6340" i="79"/>
  <c r="A6341" i="79"/>
  <c r="A6342" i="79"/>
  <c r="A6343" i="79"/>
  <c r="A6344" i="79"/>
  <c r="A6345" i="79"/>
  <c r="A6346" i="79"/>
  <c r="A6347" i="79"/>
  <c r="A6348" i="79"/>
  <c r="A6349" i="79"/>
  <c r="A6350" i="79"/>
  <c r="A6351" i="79"/>
  <c r="A6352" i="79"/>
  <c r="A6353" i="79"/>
  <c r="A6354" i="79"/>
  <c r="A6355" i="79"/>
  <c r="A6356" i="79"/>
  <c r="A6357" i="79"/>
  <c r="A6358" i="79"/>
  <c r="A6359" i="79"/>
  <c r="A6360" i="79"/>
  <c r="A6361" i="79"/>
  <c r="A6362" i="79"/>
  <c r="A6363" i="79"/>
  <c r="A6364" i="79"/>
  <c r="A6365" i="79"/>
  <c r="A6366" i="79"/>
  <c r="A6367" i="79"/>
  <c r="A6368" i="79"/>
  <c r="A6369" i="79"/>
  <c r="A6370" i="79"/>
  <c r="A6371" i="79"/>
  <c r="A6372" i="79"/>
  <c r="A6373" i="79"/>
  <c r="A6374" i="79"/>
  <c r="A6375" i="79"/>
  <c r="A6376" i="79"/>
  <c r="A6377" i="79"/>
  <c r="A6378" i="79"/>
  <c r="A6379" i="79"/>
  <c r="A6380" i="79"/>
  <c r="A6381" i="79"/>
  <c r="A6382" i="79"/>
  <c r="A6383" i="79"/>
  <c r="A6384" i="79"/>
  <c r="A6385" i="79"/>
  <c r="A6386" i="79"/>
  <c r="A6387" i="79"/>
  <c r="A6388" i="79"/>
  <c r="A6389" i="79"/>
  <c r="A6390" i="79"/>
  <c r="A6391" i="79"/>
  <c r="A6392" i="79"/>
  <c r="A6393" i="79"/>
  <c r="A6394" i="79"/>
  <c r="A6395" i="79"/>
  <c r="A6396" i="79"/>
  <c r="A6397" i="79"/>
  <c r="A6398" i="79"/>
  <c r="A6399" i="79"/>
  <c r="A6400" i="79"/>
  <c r="A6401" i="79"/>
  <c r="A6402" i="79"/>
  <c r="A6403" i="79"/>
  <c r="A6404" i="79"/>
  <c r="A6405" i="79"/>
  <c r="A6406" i="79"/>
  <c r="A6407" i="79"/>
  <c r="A6408" i="79"/>
  <c r="A6409" i="79"/>
  <c r="A6410" i="79"/>
  <c r="A6411" i="79"/>
  <c r="A6412" i="79"/>
  <c r="A6413" i="79"/>
  <c r="A6414" i="79"/>
  <c r="A6415" i="79"/>
  <c r="A6416" i="79"/>
  <c r="A6417" i="79"/>
  <c r="A6418" i="79"/>
  <c r="A6419" i="79"/>
  <c r="A6420" i="79"/>
  <c r="A6421" i="79"/>
  <c r="A6422" i="79"/>
  <c r="A6423" i="79"/>
  <c r="A6424" i="79"/>
  <c r="A6425" i="79"/>
  <c r="A6426" i="79"/>
  <c r="A6427" i="79"/>
  <c r="A6428" i="79"/>
  <c r="A6429" i="79"/>
  <c r="A6430" i="79"/>
  <c r="A6431" i="79"/>
  <c r="A6432" i="79"/>
  <c r="A6433" i="79"/>
  <c r="A6434" i="79"/>
  <c r="A6435" i="79"/>
  <c r="A6436" i="79"/>
  <c r="A6437" i="79"/>
  <c r="A6438" i="79"/>
  <c r="A6439" i="79"/>
  <c r="A6440" i="79"/>
  <c r="A6441" i="79"/>
  <c r="A6442" i="79"/>
  <c r="A6443" i="79"/>
  <c r="A6444" i="79"/>
  <c r="A6445" i="79"/>
  <c r="A6446" i="79"/>
  <c r="A6447" i="79"/>
  <c r="A6448" i="79"/>
  <c r="A6449" i="79"/>
  <c r="A6450" i="79"/>
  <c r="A6451" i="79"/>
  <c r="A6452" i="79"/>
  <c r="A6453" i="79"/>
  <c r="A6454" i="79"/>
  <c r="A6455" i="79"/>
  <c r="A6456" i="79"/>
  <c r="A6457" i="79"/>
  <c r="A6458" i="79"/>
  <c r="A6459" i="79"/>
  <c r="A6460" i="79"/>
  <c r="A6461" i="79"/>
  <c r="A6462" i="79"/>
  <c r="A6463" i="79"/>
  <c r="A6464" i="79"/>
  <c r="A6465" i="79"/>
  <c r="A6466" i="79"/>
  <c r="A6467" i="79"/>
  <c r="A6468" i="79"/>
  <c r="A6469" i="79"/>
  <c r="A6470" i="79"/>
  <c r="A6471" i="79"/>
  <c r="A6472" i="79"/>
  <c r="A6473" i="79"/>
  <c r="A6474" i="79"/>
  <c r="A6475" i="79"/>
  <c r="A6476" i="79"/>
  <c r="A6477" i="79"/>
  <c r="A6478" i="79"/>
  <c r="A6479" i="79"/>
  <c r="A6480" i="79"/>
  <c r="A6481" i="79"/>
  <c r="A6482" i="79"/>
  <c r="A6483" i="79"/>
  <c r="A6484" i="79"/>
  <c r="A6485" i="79"/>
  <c r="A6486" i="79"/>
  <c r="A6487" i="79"/>
  <c r="A6488" i="79"/>
  <c r="A6489" i="79"/>
  <c r="A6490" i="79"/>
  <c r="A6491" i="79"/>
  <c r="A6492" i="79"/>
  <c r="A6493" i="79"/>
  <c r="A6494" i="79"/>
  <c r="A6495" i="79"/>
  <c r="A6496" i="79"/>
  <c r="A6497" i="79"/>
  <c r="A6498" i="79"/>
  <c r="A6499" i="79"/>
  <c r="A6500" i="79"/>
  <c r="A6501" i="79"/>
  <c r="A6502" i="79"/>
  <c r="A6503" i="79"/>
  <c r="A6504" i="79"/>
  <c r="A6505" i="79"/>
  <c r="A6506" i="79"/>
  <c r="A6507" i="79"/>
  <c r="A6508" i="79"/>
  <c r="A6509" i="79"/>
  <c r="A6510" i="79"/>
  <c r="A6511" i="79"/>
  <c r="A6512" i="79"/>
  <c r="A6513" i="79"/>
  <c r="A6514" i="79"/>
  <c r="A6515" i="79"/>
  <c r="A6516" i="79"/>
  <c r="A6517" i="79"/>
  <c r="A6518" i="79"/>
  <c r="A6519" i="79"/>
  <c r="A6520" i="79"/>
  <c r="A6521" i="79"/>
  <c r="A6522" i="79"/>
  <c r="A6523" i="79"/>
  <c r="A6524" i="79"/>
  <c r="A6525" i="79"/>
  <c r="A6526" i="79"/>
  <c r="A6527" i="79"/>
  <c r="A6528" i="79"/>
  <c r="A6529" i="79"/>
  <c r="A6530" i="79"/>
  <c r="A6531" i="79"/>
  <c r="A6532" i="79"/>
  <c r="A6533" i="79"/>
  <c r="A6534" i="79"/>
  <c r="A6535" i="79"/>
  <c r="A6536" i="79"/>
  <c r="A6537" i="79"/>
  <c r="A6538" i="79"/>
  <c r="A6539" i="79"/>
  <c r="A6540" i="79"/>
  <c r="A6541" i="79"/>
  <c r="A6542" i="79"/>
  <c r="A6543" i="79"/>
  <c r="A6544" i="79"/>
  <c r="A6545" i="79"/>
  <c r="A6546" i="79"/>
  <c r="A6547" i="79"/>
  <c r="A6548" i="79"/>
  <c r="A6549" i="79"/>
  <c r="A6550" i="79"/>
  <c r="A6551" i="79"/>
  <c r="A6552" i="79"/>
  <c r="A6553" i="79"/>
  <c r="A6554" i="79"/>
  <c r="A6555" i="79"/>
  <c r="A6556" i="79"/>
  <c r="A6557" i="79"/>
  <c r="A6558" i="79"/>
  <c r="A6559" i="79"/>
  <c r="A6560" i="79"/>
  <c r="A6561" i="79"/>
  <c r="A6562" i="79"/>
  <c r="A6563" i="79"/>
  <c r="A6564" i="79"/>
  <c r="A6565" i="79"/>
  <c r="A6566" i="79"/>
  <c r="A6567" i="79"/>
  <c r="A6568" i="79"/>
  <c r="A6569" i="79"/>
  <c r="A6570" i="79"/>
  <c r="A6571" i="79"/>
  <c r="A6572" i="79"/>
  <c r="A6573" i="79"/>
  <c r="A6574" i="79"/>
  <c r="A6575" i="79"/>
  <c r="A6576" i="79"/>
  <c r="A6577" i="79"/>
  <c r="A6578" i="79"/>
  <c r="A6579" i="79"/>
  <c r="A6580" i="79"/>
  <c r="A6581" i="79"/>
  <c r="A6582" i="79"/>
  <c r="A6583" i="79"/>
  <c r="A6584" i="79"/>
  <c r="A6585" i="79"/>
  <c r="A6586" i="79"/>
  <c r="A6587" i="79"/>
  <c r="A6588" i="79"/>
  <c r="A6589" i="79"/>
  <c r="A6590" i="79"/>
  <c r="A6591" i="79"/>
  <c r="A6592" i="79"/>
  <c r="A6593" i="79"/>
  <c r="A6594" i="79"/>
  <c r="A6595" i="79"/>
  <c r="A6596" i="79"/>
  <c r="A6597" i="79"/>
  <c r="A6598" i="79"/>
  <c r="A6599" i="79"/>
  <c r="A6600" i="79"/>
  <c r="A6601" i="79"/>
  <c r="A6602" i="79"/>
  <c r="A6603" i="79"/>
  <c r="A6604" i="79"/>
  <c r="A6605" i="79"/>
  <c r="A6606" i="79"/>
  <c r="A6607" i="79"/>
  <c r="A6608" i="79"/>
  <c r="A6609" i="79"/>
  <c r="A6610" i="79"/>
  <c r="A6611" i="79"/>
  <c r="A6612" i="79"/>
  <c r="A6613" i="79"/>
  <c r="A6614" i="79"/>
  <c r="A6615" i="79"/>
  <c r="A6616" i="79"/>
  <c r="A6617" i="79"/>
  <c r="A6618" i="79"/>
  <c r="A6619" i="79"/>
  <c r="A6620" i="79"/>
  <c r="A6621" i="79"/>
  <c r="A6622" i="79"/>
  <c r="A6623" i="79"/>
  <c r="A6624" i="79"/>
  <c r="A6625" i="79"/>
  <c r="A6626" i="79"/>
  <c r="A6627" i="79"/>
  <c r="A6628" i="79"/>
  <c r="A6629" i="79"/>
  <c r="A6630" i="79"/>
  <c r="A6631" i="79"/>
  <c r="A6632" i="79"/>
  <c r="A6633" i="79"/>
  <c r="A6634" i="79"/>
  <c r="A6635" i="79"/>
  <c r="A6636" i="79"/>
  <c r="A6637" i="79"/>
  <c r="A6638" i="79"/>
  <c r="A6639" i="79"/>
  <c r="A6640" i="79"/>
  <c r="A6641" i="79"/>
  <c r="A6642" i="79"/>
  <c r="A6643" i="79"/>
  <c r="A6644" i="79"/>
  <c r="A6645" i="79"/>
  <c r="A6646" i="79"/>
  <c r="A6647" i="79"/>
  <c r="A6648" i="79"/>
  <c r="A6649" i="79"/>
  <c r="A6650" i="79"/>
  <c r="A6651" i="79"/>
  <c r="A6652" i="79"/>
  <c r="A6653" i="79"/>
  <c r="A6654" i="79"/>
  <c r="A6655" i="79"/>
  <c r="A6656" i="79"/>
  <c r="A6657" i="79"/>
  <c r="A6658" i="79"/>
  <c r="A6659" i="79"/>
  <c r="A6660" i="79"/>
  <c r="A6661" i="79"/>
  <c r="A6662" i="79"/>
  <c r="A6663" i="79"/>
  <c r="A6664" i="79"/>
  <c r="A6665" i="79"/>
  <c r="A6666" i="79"/>
  <c r="A6667" i="79"/>
  <c r="A6668" i="79"/>
  <c r="A6669" i="79"/>
  <c r="A6670" i="79"/>
  <c r="A6671" i="79"/>
  <c r="A6672" i="79"/>
  <c r="A6673" i="79"/>
  <c r="A6674" i="79"/>
  <c r="A6675" i="79"/>
  <c r="A6676" i="79"/>
  <c r="A6677" i="79"/>
  <c r="A6678" i="79"/>
  <c r="A6679" i="79"/>
  <c r="A6680" i="79"/>
  <c r="A6681" i="79"/>
  <c r="A6682" i="79"/>
  <c r="A6683" i="79"/>
  <c r="A6684" i="79"/>
  <c r="A6685" i="79"/>
  <c r="A6686" i="79"/>
  <c r="A6687" i="79"/>
  <c r="A6688" i="79"/>
  <c r="A6689" i="79"/>
  <c r="A6690" i="79"/>
  <c r="A6691" i="79"/>
  <c r="A6692" i="79"/>
  <c r="A6693" i="79"/>
  <c r="A6694" i="79"/>
  <c r="A6695" i="79"/>
  <c r="A6696" i="79"/>
  <c r="A6697" i="79"/>
  <c r="A6698" i="79"/>
  <c r="A6699" i="79"/>
  <c r="A6700" i="79"/>
  <c r="A6701" i="79"/>
  <c r="A6702" i="79"/>
  <c r="A6703" i="79"/>
  <c r="A6704" i="79"/>
  <c r="A6705" i="79"/>
  <c r="A6706" i="79"/>
  <c r="A6707" i="79"/>
  <c r="A6708" i="79"/>
  <c r="A6709" i="79"/>
  <c r="A6710" i="79"/>
  <c r="A6711" i="79"/>
  <c r="A6712" i="79"/>
  <c r="A6713" i="79"/>
  <c r="A6714" i="79"/>
  <c r="A6715" i="79"/>
  <c r="A6716" i="79"/>
  <c r="A6717" i="79"/>
  <c r="A6718" i="79"/>
  <c r="A6719" i="79"/>
  <c r="A6720" i="79"/>
  <c r="A6721" i="79"/>
  <c r="A6722" i="79"/>
  <c r="A6723" i="79"/>
  <c r="A6724" i="79"/>
  <c r="A6725" i="79"/>
  <c r="A6726" i="79"/>
  <c r="A6727" i="79"/>
  <c r="A6728" i="79"/>
  <c r="A6729" i="79"/>
  <c r="A6730" i="79"/>
  <c r="A6731" i="79"/>
  <c r="A6732" i="79"/>
  <c r="A6733" i="79"/>
  <c r="A6734" i="79"/>
  <c r="A6735" i="79"/>
  <c r="A6736" i="79"/>
  <c r="A6737" i="79"/>
  <c r="A6738" i="79"/>
  <c r="A6739" i="79"/>
  <c r="A6740" i="79"/>
  <c r="A6741" i="79"/>
  <c r="A6742" i="79"/>
  <c r="A6743" i="79"/>
  <c r="A6744" i="79"/>
  <c r="A6745" i="79"/>
  <c r="A6746" i="79"/>
  <c r="A6747" i="79"/>
  <c r="A6748" i="79"/>
  <c r="A6749" i="79"/>
  <c r="A6750" i="79"/>
  <c r="A6751" i="79"/>
  <c r="A6752" i="79"/>
  <c r="A6753" i="79"/>
  <c r="A6754" i="79"/>
  <c r="A6755" i="79"/>
  <c r="A6756" i="79"/>
  <c r="A6757" i="79"/>
  <c r="A6758" i="79"/>
  <c r="A6759" i="79"/>
  <c r="A6760" i="79"/>
  <c r="A6761" i="79"/>
  <c r="A6762" i="79"/>
  <c r="A6763" i="79"/>
  <c r="A6764" i="79"/>
  <c r="A6765" i="79"/>
  <c r="A6766" i="79"/>
  <c r="A6767" i="79"/>
  <c r="A6768" i="79"/>
  <c r="A6769" i="79"/>
  <c r="A6770" i="79"/>
  <c r="A6771" i="79"/>
  <c r="A6772" i="79"/>
  <c r="A6773" i="79"/>
  <c r="A6774" i="79"/>
  <c r="A6775" i="79"/>
  <c r="A6776" i="79"/>
  <c r="A6777" i="79"/>
  <c r="A6778" i="79"/>
  <c r="A6779" i="79"/>
  <c r="A6780" i="79"/>
  <c r="A6781" i="79"/>
  <c r="A6782" i="79"/>
  <c r="A6783" i="79"/>
  <c r="A6784" i="79"/>
  <c r="A6785" i="79"/>
  <c r="A6786" i="79"/>
  <c r="A6787" i="79"/>
  <c r="A6788" i="79"/>
  <c r="A6789" i="79"/>
  <c r="A6790" i="79"/>
  <c r="A6791" i="79"/>
  <c r="A6792" i="79"/>
  <c r="A6793" i="79"/>
  <c r="A6794" i="79"/>
  <c r="A6795" i="79"/>
  <c r="A6796" i="79"/>
  <c r="A6797" i="79"/>
  <c r="A6798" i="79"/>
  <c r="A6799" i="79"/>
  <c r="A6800" i="79"/>
  <c r="A6801" i="79"/>
  <c r="A6802" i="79"/>
  <c r="A6803" i="79"/>
  <c r="A6804" i="79"/>
  <c r="A6805" i="79"/>
  <c r="A6806" i="79"/>
  <c r="A6807" i="79"/>
  <c r="A6808" i="79"/>
  <c r="A6809" i="79"/>
  <c r="A6810" i="79"/>
  <c r="A6811" i="79"/>
  <c r="A6812" i="79"/>
  <c r="A6813" i="79"/>
  <c r="A6814" i="79"/>
  <c r="A6815" i="79"/>
  <c r="A6816" i="79"/>
  <c r="A6817" i="79"/>
  <c r="A6818" i="79"/>
  <c r="A6819" i="79"/>
  <c r="A6820" i="79"/>
  <c r="A6821" i="79"/>
  <c r="A6822" i="79"/>
  <c r="A6823" i="79"/>
  <c r="A6824" i="79"/>
  <c r="A6825" i="79"/>
  <c r="A6826" i="79"/>
  <c r="A6827" i="79"/>
  <c r="A6828" i="79"/>
  <c r="A6829" i="79"/>
  <c r="A6830" i="79"/>
  <c r="A6831" i="79"/>
  <c r="A6832" i="79"/>
  <c r="A6833" i="79"/>
  <c r="A6834" i="79"/>
  <c r="A6835" i="79"/>
  <c r="A6836" i="79"/>
  <c r="A6837" i="79"/>
  <c r="A6838" i="79"/>
  <c r="A6839" i="79"/>
  <c r="A6840" i="79"/>
  <c r="A6841" i="79"/>
  <c r="A6842" i="79"/>
  <c r="A6843" i="79"/>
  <c r="A6844" i="79"/>
  <c r="A6845" i="79"/>
  <c r="A6846" i="79"/>
  <c r="A6847" i="79"/>
  <c r="A6848" i="79"/>
  <c r="A6849" i="79"/>
  <c r="A6850" i="79"/>
  <c r="A6851" i="79"/>
  <c r="A6852" i="79"/>
  <c r="A6853" i="79"/>
  <c r="A6854" i="79"/>
  <c r="A6855" i="79"/>
  <c r="A6856" i="79"/>
  <c r="A6857" i="79"/>
  <c r="A6858" i="79"/>
  <c r="A6859" i="79"/>
  <c r="A6860" i="79"/>
  <c r="A6861" i="79"/>
  <c r="A6862" i="79"/>
  <c r="A6863" i="79"/>
  <c r="A6864" i="79"/>
  <c r="A6865" i="79"/>
  <c r="A6866" i="79"/>
  <c r="A6867" i="79"/>
  <c r="A6868" i="79"/>
  <c r="A6869" i="79"/>
  <c r="A6870" i="79"/>
  <c r="A6871" i="79"/>
  <c r="A6872" i="79"/>
  <c r="A6873" i="79"/>
  <c r="A6874" i="79"/>
  <c r="A6875" i="79"/>
  <c r="A6876" i="79"/>
  <c r="A6877" i="79"/>
  <c r="A6878" i="79"/>
  <c r="A6879" i="79"/>
  <c r="A6880" i="79"/>
  <c r="A6881" i="79"/>
  <c r="A6882" i="79"/>
  <c r="A6883" i="79"/>
  <c r="A6884" i="79"/>
  <c r="A6885" i="79"/>
  <c r="A6886" i="79"/>
  <c r="A6887" i="79"/>
  <c r="A6888" i="79"/>
  <c r="A6889" i="79"/>
  <c r="A6890" i="79"/>
  <c r="A6891" i="79"/>
  <c r="A6892" i="79"/>
  <c r="A6893" i="79"/>
  <c r="A6894" i="79"/>
  <c r="A6895" i="79"/>
  <c r="A6896" i="79"/>
  <c r="A6897" i="79"/>
  <c r="A6898" i="79"/>
  <c r="A6899" i="79"/>
  <c r="A6900" i="79"/>
  <c r="A6901" i="79"/>
  <c r="A6902" i="79"/>
  <c r="A6903" i="79"/>
  <c r="A6904" i="79"/>
  <c r="A6905" i="79"/>
  <c r="A6906" i="79"/>
  <c r="A6907" i="79"/>
  <c r="A6908" i="79"/>
  <c r="A6909" i="79"/>
  <c r="A6910" i="79"/>
  <c r="A6911" i="79"/>
  <c r="A6912" i="79"/>
  <c r="A6913" i="79"/>
  <c r="A6914" i="79"/>
  <c r="A6915" i="79"/>
  <c r="A6916" i="79"/>
  <c r="A6917" i="79"/>
  <c r="A6918" i="79"/>
  <c r="A6919" i="79"/>
  <c r="A6920" i="79"/>
  <c r="A6921" i="79"/>
  <c r="A6922" i="79"/>
  <c r="A6923" i="79"/>
  <c r="A6924" i="79"/>
  <c r="A6925" i="79"/>
  <c r="A6926" i="79"/>
  <c r="A6927" i="79"/>
  <c r="A6928" i="79"/>
  <c r="A6929" i="79"/>
  <c r="A6930" i="79"/>
  <c r="A6931" i="79"/>
  <c r="A6932" i="79"/>
  <c r="A6933" i="79"/>
  <c r="A6934" i="79"/>
  <c r="A6935" i="79"/>
  <c r="A6936" i="79"/>
  <c r="A6937" i="79"/>
  <c r="A6938" i="79"/>
  <c r="A6939" i="79"/>
  <c r="A6940" i="79"/>
  <c r="A6941" i="79"/>
  <c r="A6942" i="79"/>
  <c r="A6943" i="79"/>
  <c r="A6944" i="79"/>
  <c r="A6945" i="79"/>
  <c r="A6946" i="79"/>
  <c r="A6947" i="79"/>
  <c r="A6948" i="79"/>
  <c r="A6949" i="79"/>
  <c r="A6950" i="79"/>
  <c r="A6951" i="79"/>
  <c r="A6952" i="79"/>
  <c r="A6953" i="79"/>
  <c r="A6954" i="79"/>
  <c r="A6955" i="79"/>
  <c r="A6956" i="79"/>
  <c r="A6957" i="79"/>
  <c r="A6958" i="79"/>
  <c r="A6959" i="79"/>
  <c r="A6960" i="79"/>
  <c r="A6961" i="79"/>
  <c r="A6962" i="79"/>
  <c r="A6963" i="79"/>
  <c r="A6964" i="79"/>
  <c r="A6965" i="79"/>
  <c r="A6966" i="79"/>
  <c r="A6967" i="79"/>
  <c r="A6968" i="79"/>
  <c r="A6969" i="79"/>
  <c r="A6970" i="79"/>
  <c r="A6971" i="79"/>
  <c r="A6972" i="79"/>
  <c r="A6973" i="79"/>
  <c r="A6974" i="79"/>
  <c r="A6975" i="79"/>
  <c r="A6976" i="79"/>
  <c r="A6977" i="79"/>
  <c r="A6978" i="79"/>
  <c r="A6979" i="79"/>
  <c r="A6980" i="79"/>
  <c r="A6981" i="79"/>
  <c r="A6982" i="79"/>
  <c r="A6983" i="79"/>
  <c r="A6984" i="79"/>
  <c r="A6985" i="79"/>
  <c r="A6986" i="79"/>
  <c r="A6987" i="79"/>
  <c r="A6988" i="79"/>
  <c r="A6989" i="79"/>
  <c r="A6990" i="79"/>
  <c r="A6991" i="79"/>
  <c r="A6992" i="79"/>
  <c r="A6993" i="79"/>
  <c r="A6994" i="79"/>
  <c r="A6995" i="79"/>
  <c r="A6996" i="79"/>
  <c r="A6997" i="79"/>
  <c r="A6998" i="79"/>
  <c r="A6999" i="79"/>
  <c r="A7000" i="79"/>
  <c r="A7001" i="79"/>
  <c r="A7002" i="79"/>
  <c r="A7003" i="79"/>
  <c r="A7004" i="79"/>
  <c r="A7005" i="79"/>
  <c r="A7006" i="79"/>
  <c r="A7007" i="79"/>
  <c r="A7008" i="79"/>
  <c r="A7009" i="79"/>
  <c r="A7010" i="79"/>
  <c r="A7011" i="79"/>
  <c r="A7012" i="79"/>
  <c r="A7013" i="79"/>
  <c r="A7014" i="79"/>
  <c r="A7015" i="79"/>
  <c r="A7016" i="79"/>
  <c r="A7017" i="79"/>
  <c r="A7018" i="79"/>
  <c r="A7019" i="79"/>
  <c r="A7020" i="79"/>
  <c r="A7021" i="79"/>
  <c r="A7022" i="79"/>
  <c r="A7023" i="79"/>
  <c r="A7024" i="79"/>
  <c r="A7025" i="79"/>
  <c r="A7026" i="79"/>
  <c r="A7027" i="79"/>
  <c r="A7028" i="79"/>
  <c r="A7029" i="79"/>
  <c r="A7030" i="79"/>
  <c r="A7031" i="79"/>
  <c r="A7032" i="79"/>
  <c r="A7033" i="79"/>
  <c r="A7034" i="79"/>
  <c r="A7035" i="79"/>
  <c r="A7036" i="79"/>
  <c r="A7037" i="79"/>
  <c r="A7038" i="79"/>
  <c r="A7039" i="79"/>
  <c r="A7040" i="79"/>
  <c r="A7041" i="79"/>
  <c r="A7042" i="79"/>
  <c r="A7043" i="79"/>
  <c r="A7044" i="79"/>
  <c r="A7045" i="79"/>
  <c r="A7046" i="79"/>
  <c r="A7047" i="79"/>
  <c r="A7048" i="79"/>
  <c r="A7049" i="79"/>
  <c r="A7050" i="79"/>
  <c r="A7051" i="79"/>
  <c r="A7052" i="79"/>
  <c r="A7053" i="79"/>
  <c r="A7054" i="79"/>
  <c r="A7055" i="79"/>
  <c r="A7056" i="79"/>
  <c r="A7057" i="79"/>
  <c r="A7058" i="79"/>
  <c r="A7059" i="79"/>
  <c r="A7060" i="79"/>
  <c r="A7061" i="79"/>
  <c r="A7062" i="79"/>
  <c r="A7063" i="79"/>
  <c r="A7064" i="79"/>
  <c r="A7065" i="79"/>
  <c r="A7066" i="79"/>
  <c r="A7067" i="79"/>
  <c r="A7068" i="79"/>
  <c r="A7069" i="79"/>
  <c r="A7070" i="79"/>
  <c r="A7071" i="79"/>
  <c r="A7072" i="79"/>
  <c r="A7073" i="79"/>
  <c r="A7074" i="79"/>
  <c r="A7075" i="79"/>
  <c r="A7076" i="79"/>
  <c r="A7077" i="79"/>
  <c r="A7078" i="79"/>
  <c r="A7079" i="79"/>
  <c r="A7080" i="79"/>
  <c r="A7081" i="79"/>
  <c r="A7082" i="79"/>
  <c r="A7083" i="79"/>
  <c r="A7084" i="79"/>
  <c r="A7085" i="79"/>
  <c r="A7086" i="79"/>
  <c r="A7087" i="79"/>
  <c r="A7088" i="79"/>
  <c r="A7089" i="79"/>
  <c r="A7090" i="79"/>
  <c r="A7091" i="79"/>
  <c r="A7092" i="79"/>
  <c r="A7093" i="79"/>
  <c r="A7094" i="79"/>
  <c r="A7095" i="79"/>
  <c r="A7096" i="79"/>
  <c r="A7097" i="79"/>
  <c r="A7098" i="79"/>
  <c r="A7099" i="79"/>
  <c r="A7100" i="79"/>
  <c r="A7101" i="79"/>
  <c r="A7102" i="79"/>
  <c r="A7103" i="79"/>
  <c r="A7104" i="79"/>
  <c r="A7105" i="79"/>
  <c r="A7106" i="79"/>
  <c r="A7107" i="79"/>
  <c r="A7108" i="79"/>
  <c r="A7109" i="79"/>
  <c r="A7110" i="79"/>
  <c r="A7111" i="79"/>
  <c r="A7112" i="79"/>
  <c r="A7113" i="79"/>
  <c r="A7114" i="79"/>
  <c r="A7115" i="79"/>
  <c r="A7116" i="79"/>
  <c r="A7117" i="79"/>
  <c r="A7118" i="79"/>
  <c r="A7119" i="79"/>
  <c r="A7120" i="79"/>
  <c r="A7121" i="79"/>
  <c r="A7122" i="79"/>
  <c r="A7123" i="79"/>
  <c r="A7124" i="79"/>
  <c r="A7125" i="79"/>
  <c r="A7126" i="79"/>
  <c r="A7127" i="79"/>
  <c r="A7128" i="79"/>
  <c r="A7129" i="79"/>
  <c r="A7130" i="79"/>
  <c r="A7131" i="79"/>
  <c r="A7132" i="79"/>
  <c r="A7133" i="79"/>
  <c r="A7134" i="79"/>
  <c r="A7135" i="79"/>
  <c r="A7136" i="79"/>
  <c r="A7137" i="79"/>
  <c r="A7138" i="79"/>
  <c r="A7139" i="79"/>
  <c r="A7140" i="79"/>
  <c r="A7141" i="79"/>
  <c r="A7142" i="79"/>
  <c r="A7143" i="79"/>
  <c r="A7144" i="79"/>
  <c r="A7145" i="79"/>
  <c r="A7146" i="79"/>
  <c r="A7147" i="79"/>
  <c r="A7148" i="79"/>
  <c r="A7149" i="79"/>
  <c r="A7150" i="79"/>
  <c r="A7151" i="79"/>
  <c r="A7152" i="79"/>
  <c r="A7153" i="79"/>
  <c r="A7154" i="79"/>
  <c r="A7155" i="79"/>
  <c r="A7156" i="79"/>
  <c r="A7157" i="79"/>
  <c r="A7158" i="79"/>
  <c r="A7159" i="79"/>
  <c r="A7160" i="79"/>
  <c r="A7161" i="79"/>
  <c r="A7162" i="79"/>
  <c r="A7163" i="79"/>
  <c r="A7164" i="79"/>
  <c r="A7165" i="79"/>
  <c r="A7166" i="79"/>
  <c r="A7167" i="79"/>
  <c r="A7168" i="79"/>
  <c r="A7169" i="79"/>
  <c r="A7170" i="79"/>
  <c r="A7171" i="79"/>
  <c r="A7172" i="79"/>
  <c r="A7173" i="79"/>
  <c r="A7174" i="79"/>
  <c r="A7175" i="79"/>
  <c r="A7176" i="79"/>
  <c r="A7177" i="79"/>
  <c r="A7178" i="79"/>
  <c r="A7179" i="79"/>
  <c r="A7180" i="79"/>
  <c r="A7181" i="79"/>
  <c r="A7182" i="79"/>
  <c r="A7183" i="79"/>
  <c r="A7184" i="79"/>
  <c r="A7185" i="79"/>
  <c r="A7186" i="79"/>
  <c r="A7187" i="79"/>
  <c r="A7188" i="79"/>
  <c r="A7189" i="79"/>
  <c r="A7190" i="79"/>
  <c r="A7191" i="79"/>
  <c r="A7192" i="79"/>
  <c r="A7193" i="79"/>
  <c r="A7194" i="79"/>
  <c r="A7195" i="79"/>
  <c r="A7196" i="79"/>
  <c r="A7197" i="79"/>
  <c r="A7198" i="79"/>
  <c r="A7199" i="79"/>
  <c r="A7200" i="79"/>
  <c r="A7201" i="79"/>
  <c r="A7202" i="79"/>
  <c r="A7203" i="79"/>
  <c r="A7204" i="79"/>
  <c r="A7205" i="79"/>
  <c r="A7206" i="79"/>
  <c r="A7207" i="79"/>
  <c r="A7208" i="79"/>
  <c r="A7209" i="79"/>
  <c r="A7210" i="79"/>
  <c r="A7211" i="79"/>
  <c r="A7212" i="79"/>
  <c r="A7213" i="79"/>
  <c r="A7214" i="79"/>
  <c r="A7215" i="79"/>
  <c r="A7216" i="79"/>
  <c r="A7217" i="79"/>
  <c r="A7218" i="79"/>
  <c r="A7219" i="79"/>
  <c r="A7220" i="79"/>
  <c r="A7221" i="79"/>
  <c r="A7222" i="79"/>
  <c r="A7223" i="79"/>
  <c r="A7224" i="79"/>
  <c r="A7225" i="79"/>
  <c r="A7226" i="79"/>
  <c r="A7227" i="79"/>
  <c r="A7228" i="79"/>
  <c r="A7229" i="79"/>
  <c r="A7230" i="79"/>
  <c r="A7231" i="79"/>
  <c r="A7232" i="79"/>
  <c r="A7233" i="79"/>
  <c r="A7234" i="79"/>
  <c r="A7235" i="79"/>
  <c r="A7236" i="79"/>
  <c r="A7237" i="79"/>
  <c r="A7238" i="79"/>
  <c r="A7239" i="79"/>
  <c r="A7240" i="79"/>
  <c r="A7241" i="79"/>
  <c r="A7242" i="79"/>
  <c r="A7243" i="79"/>
  <c r="A7244" i="79"/>
  <c r="A7245" i="79"/>
  <c r="A7246" i="79"/>
  <c r="A7247" i="79"/>
  <c r="A7248" i="79"/>
  <c r="A7249" i="79"/>
  <c r="A7250" i="79"/>
  <c r="A7251" i="79"/>
  <c r="A7252" i="79"/>
  <c r="A7253" i="79"/>
  <c r="A7254" i="79"/>
  <c r="A7255" i="79"/>
  <c r="A7256" i="79"/>
  <c r="A7257" i="79"/>
  <c r="A7258" i="79"/>
  <c r="A7259" i="79"/>
  <c r="A7260" i="79"/>
  <c r="A7261" i="79"/>
  <c r="A7262" i="79"/>
  <c r="A7263" i="79"/>
  <c r="A7264" i="79"/>
  <c r="A7265" i="79"/>
  <c r="A7266" i="79"/>
  <c r="A7267" i="79"/>
  <c r="A7268" i="79"/>
  <c r="A7269" i="79"/>
  <c r="A7270" i="79"/>
  <c r="A7271" i="79"/>
  <c r="A7272" i="79"/>
  <c r="A7273" i="79"/>
  <c r="A7274" i="79"/>
  <c r="A7275" i="79"/>
  <c r="A7276" i="79"/>
  <c r="A7277" i="79"/>
  <c r="A7278" i="79"/>
  <c r="A7279" i="79"/>
  <c r="A7280" i="79"/>
  <c r="A7281" i="79"/>
  <c r="A7282" i="79"/>
  <c r="A7283" i="79"/>
  <c r="A7284" i="79"/>
  <c r="A7285" i="79"/>
  <c r="A7286" i="79"/>
  <c r="A7287" i="79"/>
  <c r="A7288" i="79"/>
  <c r="A7289" i="79"/>
  <c r="A7290" i="79"/>
  <c r="A7291" i="79"/>
  <c r="A7292" i="79"/>
  <c r="A7293" i="79"/>
  <c r="A7294" i="79"/>
  <c r="A7295" i="79"/>
  <c r="A7296" i="79"/>
  <c r="A7297" i="79"/>
  <c r="A7298" i="79"/>
  <c r="A7299" i="79"/>
  <c r="A7300" i="79"/>
  <c r="A7301" i="79"/>
  <c r="A7302" i="79"/>
  <c r="A7303" i="79"/>
  <c r="A7304" i="79"/>
  <c r="A7305" i="79"/>
  <c r="A7306" i="79"/>
  <c r="A7307" i="79"/>
  <c r="A7308" i="79"/>
  <c r="A7309" i="79"/>
  <c r="A7310" i="79"/>
  <c r="A7311" i="79"/>
  <c r="A7312" i="79"/>
  <c r="A7313" i="79"/>
  <c r="A7314" i="79"/>
  <c r="A7315" i="79"/>
  <c r="A7316" i="79"/>
  <c r="A7317" i="79"/>
  <c r="A7318" i="79"/>
  <c r="A7319" i="79"/>
  <c r="A7320" i="79"/>
  <c r="A7321" i="79"/>
  <c r="A7322" i="79"/>
  <c r="A7323" i="79"/>
  <c r="A7324" i="79"/>
  <c r="A7325" i="79"/>
  <c r="A7326" i="79"/>
  <c r="A7327" i="79"/>
  <c r="A7328" i="79"/>
  <c r="A7329" i="79"/>
  <c r="A7330" i="79"/>
  <c r="A7331" i="79"/>
  <c r="A7332" i="79"/>
  <c r="A7333" i="79"/>
  <c r="A7334" i="79"/>
  <c r="A7335" i="79"/>
  <c r="A7336" i="79"/>
  <c r="A7337" i="79"/>
  <c r="A7338" i="79"/>
  <c r="A7339" i="79"/>
  <c r="A7340" i="79"/>
  <c r="A7341" i="79"/>
  <c r="A7342" i="79"/>
  <c r="A7343" i="79"/>
  <c r="A7344" i="79"/>
  <c r="A7345" i="79"/>
  <c r="A7346" i="79"/>
  <c r="A7347" i="79"/>
  <c r="A7348" i="79"/>
  <c r="A7349" i="79"/>
  <c r="A7350" i="79"/>
  <c r="A7351" i="79"/>
  <c r="A7352" i="79"/>
  <c r="A7353" i="79"/>
  <c r="A7354" i="79"/>
  <c r="A7355" i="79"/>
  <c r="A7356" i="79"/>
  <c r="A7357" i="79"/>
  <c r="A7358" i="79"/>
  <c r="A7359" i="79"/>
  <c r="A7360" i="79"/>
  <c r="A7361" i="79"/>
  <c r="A7362" i="79"/>
  <c r="A7363" i="79"/>
  <c r="A7364" i="79"/>
  <c r="A7365" i="79"/>
  <c r="A7366" i="79"/>
  <c r="A7367" i="79"/>
  <c r="A7368" i="79"/>
  <c r="A7369" i="79"/>
  <c r="A7370" i="79"/>
  <c r="A7371" i="79"/>
  <c r="A7372" i="79"/>
  <c r="A7373" i="79"/>
  <c r="A7374" i="79"/>
  <c r="A7375" i="79"/>
  <c r="A7376" i="79"/>
  <c r="A7377" i="79"/>
  <c r="A7378" i="79"/>
  <c r="A7379" i="79"/>
  <c r="A7380" i="79"/>
  <c r="A7381" i="79"/>
  <c r="A7382" i="79"/>
  <c r="A7383" i="79"/>
  <c r="A7384" i="79"/>
  <c r="A7385" i="79"/>
  <c r="A7386" i="79"/>
  <c r="A7387" i="79"/>
  <c r="A7388" i="79"/>
  <c r="A7389" i="79"/>
  <c r="A7390" i="79"/>
  <c r="A7391" i="79"/>
  <c r="A7392" i="79"/>
  <c r="A7393" i="79"/>
  <c r="A7394" i="79"/>
  <c r="A7395" i="79"/>
  <c r="A7396" i="79"/>
  <c r="A7397" i="79"/>
  <c r="A7398" i="79"/>
  <c r="A7399" i="79"/>
  <c r="A7400" i="79"/>
  <c r="A7401" i="79"/>
  <c r="A7402" i="79"/>
  <c r="A7403" i="79"/>
  <c r="A7404" i="79"/>
  <c r="A7405" i="79"/>
  <c r="A7406" i="79"/>
  <c r="A7407" i="79"/>
  <c r="A7408" i="79"/>
  <c r="A7409" i="79"/>
  <c r="A7410" i="79"/>
  <c r="A7411" i="79"/>
  <c r="A7412" i="79"/>
  <c r="A7413" i="79"/>
  <c r="A7414" i="79"/>
  <c r="A7415" i="79"/>
  <c r="A7416" i="79"/>
  <c r="A7417" i="79"/>
  <c r="A7418" i="79"/>
  <c r="A7419" i="79"/>
  <c r="A7420" i="79"/>
  <c r="A7421" i="79"/>
  <c r="A7422" i="79"/>
  <c r="A7423" i="79"/>
  <c r="A7424" i="79"/>
  <c r="A7425" i="79"/>
  <c r="A7426" i="79"/>
  <c r="A7427" i="79"/>
  <c r="A7428" i="79"/>
  <c r="A7429" i="79"/>
  <c r="A7430" i="79"/>
  <c r="A7431" i="79"/>
  <c r="A7432" i="79"/>
  <c r="A7433" i="79"/>
  <c r="A7434" i="79"/>
  <c r="A7435" i="79"/>
  <c r="A7436" i="79"/>
  <c r="A7437" i="79"/>
  <c r="A7438" i="79"/>
  <c r="A7439" i="79"/>
  <c r="A7440" i="79"/>
  <c r="A7441" i="79"/>
  <c r="A7442" i="79"/>
  <c r="A7443" i="79"/>
  <c r="A7444" i="79"/>
  <c r="A7445" i="79"/>
  <c r="A7446" i="79"/>
  <c r="A7447" i="79"/>
  <c r="A7448" i="79"/>
  <c r="A7449" i="79"/>
  <c r="A7450" i="79"/>
  <c r="A7451" i="79"/>
  <c r="A7452" i="79"/>
  <c r="A7453" i="79"/>
  <c r="A7454" i="79"/>
  <c r="A7455" i="79"/>
  <c r="A7456" i="79"/>
  <c r="A7457" i="79"/>
  <c r="A7458" i="79"/>
  <c r="A7459" i="79"/>
  <c r="A7460" i="79"/>
  <c r="A7461" i="79"/>
  <c r="A7462" i="79"/>
  <c r="A7463" i="79"/>
  <c r="A7464" i="79"/>
  <c r="A7465" i="79"/>
  <c r="A7466" i="79"/>
  <c r="A7467" i="79"/>
  <c r="A7468" i="79"/>
  <c r="A7469" i="79"/>
  <c r="A7470" i="79"/>
  <c r="A7471" i="79"/>
  <c r="A7472" i="79"/>
  <c r="A7473" i="79"/>
  <c r="A7474" i="79"/>
  <c r="A7475" i="79"/>
  <c r="A7476" i="79"/>
  <c r="A7477" i="79"/>
  <c r="A7478" i="79"/>
  <c r="A7479" i="79"/>
  <c r="A7480" i="79"/>
  <c r="A7481" i="79"/>
  <c r="A7482" i="79"/>
  <c r="A7483" i="79"/>
  <c r="A7484" i="79"/>
  <c r="A7485" i="79"/>
  <c r="A7486" i="79"/>
  <c r="A7487" i="79"/>
  <c r="A7488" i="79"/>
  <c r="A7489" i="79"/>
  <c r="A7490" i="79"/>
  <c r="A7491" i="79"/>
  <c r="A7492" i="79"/>
  <c r="A7493" i="79"/>
  <c r="A7494" i="79"/>
  <c r="A7495" i="79"/>
  <c r="A7496" i="79"/>
  <c r="A7497" i="79"/>
  <c r="A7498" i="79"/>
  <c r="A7499" i="79"/>
  <c r="A7500" i="79"/>
  <c r="A7501" i="79"/>
  <c r="A7502" i="79"/>
  <c r="A7503" i="79"/>
  <c r="A7504" i="79"/>
  <c r="A7505" i="79"/>
  <c r="A7506" i="79"/>
  <c r="A7507" i="79"/>
  <c r="A7508" i="79"/>
  <c r="A7509" i="79"/>
  <c r="A7510" i="79"/>
  <c r="A7511" i="79"/>
  <c r="A7512" i="79"/>
  <c r="A7513" i="79"/>
  <c r="A7514" i="79"/>
  <c r="A7515" i="79"/>
  <c r="A7516" i="79"/>
  <c r="A7517" i="79"/>
  <c r="A7518" i="79"/>
  <c r="A7519" i="79"/>
  <c r="A7520" i="79"/>
  <c r="A7521" i="79"/>
  <c r="A7522" i="79"/>
  <c r="A7523" i="79"/>
  <c r="A7524" i="79"/>
  <c r="A7525" i="79"/>
  <c r="A7526" i="79"/>
  <c r="A7527" i="79"/>
  <c r="A7528" i="79"/>
  <c r="A7529" i="79"/>
  <c r="A7530" i="79"/>
  <c r="A7531" i="79"/>
  <c r="A7532" i="79"/>
  <c r="A7533" i="79"/>
  <c r="A7534" i="79"/>
  <c r="A7535" i="79"/>
  <c r="A7536" i="79"/>
  <c r="A7537" i="79"/>
  <c r="A7538" i="79"/>
  <c r="A7539" i="79"/>
  <c r="A7540" i="79"/>
  <c r="A7541" i="79"/>
  <c r="A7542" i="79"/>
  <c r="A7543" i="79"/>
  <c r="A7544" i="79"/>
  <c r="A7545" i="79"/>
  <c r="A7546" i="79"/>
  <c r="A7547" i="79"/>
  <c r="A7548" i="79"/>
  <c r="A7549" i="79"/>
  <c r="A7550" i="79"/>
  <c r="A7551" i="79"/>
  <c r="A7552" i="79"/>
  <c r="A7553" i="79"/>
  <c r="A7554" i="79"/>
  <c r="A7555" i="79"/>
  <c r="A7556" i="79"/>
  <c r="A7557" i="79"/>
  <c r="A7558" i="79"/>
  <c r="A7559" i="79"/>
  <c r="A7560" i="79"/>
  <c r="A7561" i="79"/>
  <c r="A7562" i="79"/>
  <c r="A7563" i="79"/>
  <c r="A7564" i="79"/>
  <c r="A7565" i="79"/>
  <c r="A7566" i="79"/>
  <c r="A7567" i="79"/>
  <c r="A7568" i="79"/>
  <c r="A7569" i="79"/>
  <c r="A7570" i="79"/>
  <c r="A7571" i="79"/>
  <c r="A7572" i="79"/>
  <c r="A7573" i="79"/>
  <c r="A7574" i="79"/>
  <c r="A7575" i="79"/>
  <c r="A7576" i="79"/>
  <c r="A7577" i="79"/>
  <c r="A7578" i="79"/>
  <c r="A7579" i="79"/>
  <c r="A7580" i="79"/>
  <c r="A7581" i="79"/>
  <c r="A7582" i="79"/>
  <c r="A7583" i="79"/>
  <c r="A7584" i="79"/>
  <c r="A7585" i="79"/>
  <c r="A7586" i="79"/>
  <c r="A7587" i="79"/>
  <c r="A7588" i="79"/>
  <c r="A7589" i="79"/>
  <c r="A7590" i="79"/>
  <c r="A7591" i="79"/>
  <c r="A7592" i="79"/>
  <c r="A7593" i="79"/>
  <c r="A7594" i="79"/>
  <c r="A7595" i="79"/>
  <c r="A7596" i="79"/>
  <c r="A7597" i="79"/>
  <c r="A7598" i="79"/>
  <c r="A7599" i="79"/>
  <c r="A7600" i="79"/>
  <c r="A7601" i="79"/>
  <c r="A7602" i="79"/>
  <c r="A7603" i="79"/>
  <c r="A7604" i="79"/>
  <c r="A7605" i="79"/>
  <c r="A7606" i="79"/>
  <c r="A7607" i="79"/>
  <c r="A7608" i="79"/>
  <c r="A7609" i="79"/>
  <c r="A7610" i="79"/>
  <c r="A7611" i="79"/>
  <c r="A7612" i="79"/>
  <c r="A7613" i="79"/>
  <c r="A7614" i="79"/>
  <c r="A7615" i="79"/>
  <c r="A7616" i="79"/>
  <c r="A7617" i="79"/>
  <c r="A7618" i="79"/>
  <c r="A7619" i="79"/>
  <c r="A7620" i="79"/>
  <c r="A7621" i="79"/>
  <c r="A7622" i="79"/>
  <c r="A7623" i="79"/>
  <c r="A7624" i="79"/>
  <c r="A7625" i="79"/>
  <c r="A7626" i="79"/>
  <c r="A7627" i="79"/>
  <c r="A7628" i="79"/>
  <c r="A7629" i="79"/>
  <c r="A7630" i="79"/>
  <c r="A7631" i="79"/>
  <c r="A7632" i="79"/>
  <c r="A7633" i="79"/>
  <c r="A7634" i="79"/>
  <c r="A7635" i="79"/>
  <c r="A7636" i="79"/>
  <c r="A7637" i="79"/>
  <c r="A7638" i="79"/>
  <c r="A7639" i="79"/>
  <c r="A7640" i="79"/>
  <c r="A7641" i="79"/>
  <c r="A7642" i="79"/>
  <c r="A7643" i="79"/>
  <c r="A7644" i="79"/>
  <c r="A7645" i="79"/>
  <c r="A7646" i="79"/>
  <c r="A7647" i="79"/>
  <c r="A7648" i="79"/>
  <c r="A7649" i="79"/>
  <c r="A7650" i="79"/>
  <c r="A7651" i="79"/>
  <c r="A7652" i="79"/>
  <c r="A7653" i="79"/>
  <c r="A7654" i="79"/>
  <c r="A7655" i="79"/>
  <c r="A7656" i="79"/>
  <c r="A7657" i="79"/>
  <c r="A7658" i="79"/>
  <c r="A7659" i="79"/>
  <c r="A7660" i="79"/>
  <c r="A7661" i="79"/>
  <c r="A7662" i="79"/>
  <c r="A7663" i="79"/>
  <c r="A7664" i="79"/>
  <c r="A7665" i="79"/>
  <c r="A7666" i="79"/>
  <c r="A7667" i="79"/>
  <c r="A7668" i="79"/>
  <c r="A7669" i="79"/>
  <c r="A7670" i="79"/>
  <c r="A7671" i="79"/>
  <c r="A7672" i="79"/>
  <c r="A7673" i="79"/>
  <c r="A7674" i="79"/>
  <c r="A7675" i="79"/>
  <c r="A7676" i="79"/>
  <c r="A7677" i="79"/>
  <c r="A7678" i="79"/>
  <c r="A7679" i="79"/>
  <c r="A7680" i="79"/>
  <c r="A7681" i="79"/>
  <c r="A7682" i="79"/>
  <c r="A7683" i="79"/>
  <c r="A7684" i="79"/>
  <c r="A7685" i="79"/>
  <c r="A7686" i="79"/>
  <c r="A7687" i="79"/>
  <c r="A7688" i="79"/>
  <c r="A7689" i="79"/>
  <c r="A7690" i="79"/>
  <c r="A7691" i="79"/>
  <c r="A7692" i="79"/>
  <c r="A7693" i="79"/>
  <c r="A7694" i="79"/>
  <c r="A7695" i="79"/>
  <c r="A7696" i="79"/>
  <c r="A7697" i="79"/>
  <c r="A7698" i="79"/>
  <c r="A7699" i="79"/>
  <c r="A7700" i="79"/>
  <c r="A7701" i="79"/>
  <c r="A7702" i="79"/>
  <c r="A7703" i="79"/>
  <c r="A7704" i="79"/>
  <c r="A7705" i="79"/>
  <c r="A7706" i="79"/>
  <c r="A7707" i="79"/>
  <c r="A7708" i="79"/>
  <c r="A7709" i="79"/>
  <c r="A7710" i="79"/>
  <c r="A7711" i="79"/>
  <c r="A7712" i="79"/>
  <c r="A7713" i="79"/>
  <c r="A7714" i="79"/>
  <c r="A7715" i="79"/>
  <c r="A7716" i="79"/>
  <c r="A7717" i="79"/>
  <c r="A7718" i="79"/>
  <c r="A7719" i="79"/>
  <c r="A7720" i="79"/>
  <c r="A7721" i="79"/>
  <c r="A7722" i="79"/>
  <c r="A7723" i="79"/>
  <c r="A7724" i="79"/>
  <c r="A7725" i="79"/>
  <c r="A7726" i="79"/>
  <c r="A7727" i="79"/>
  <c r="A7728" i="79"/>
  <c r="A7729" i="79"/>
  <c r="A7730" i="79"/>
  <c r="A7731" i="79"/>
  <c r="A7732" i="79"/>
  <c r="A7733" i="79"/>
  <c r="A7734" i="79"/>
  <c r="A7735" i="79"/>
  <c r="A7736" i="79"/>
  <c r="A7737" i="79"/>
  <c r="A7738" i="79"/>
  <c r="A7739" i="79"/>
  <c r="A7740" i="79"/>
  <c r="A7741" i="79"/>
  <c r="A7742" i="79"/>
  <c r="A7743" i="79"/>
  <c r="A7744" i="79"/>
  <c r="A7745" i="79"/>
  <c r="A7746" i="79"/>
  <c r="A7747" i="79"/>
  <c r="A7748" i="79"/>
  <c r="A7749" i="79"/>
  <c r="A7750" i="79"/>
  <c r="A7751" i="79"/>
  <c r="A7752" i="79"/>
  <c r="A7753" i="79"/>
  <c r="A7754" i="79"/>
  <c r="A7755" i="79"/>
  <c r="A7756" i="79"/>
  <c r="A7757" i="79"/>
  <c r="A7758" i="79"/>
  <c r="A7759" i="79"/>
  <c r="A7760" i="79"/>
  <c r="A7761" i="79"/>
  <c r="A7762" i="79"/>
  <c r="A7763" i="79"/>
  <c r="A7764" i="79"/>
  <c r="A7765" i="79"/>
  <c r="A7766" i="79"/>
  <c r="A7767" i="79"/>
  <c r="A7768" i="79"/>
  <c r="A7769" i="79"/>
  <c r="A7770" i="79"/>
  <c r="A7771" i="79"/>
  <c r="A7772" i="79"/>
  <c r="A7773" i="79"/>
  <c r="A7774" i="79"/>
  <c r="A7775" i="79"/>
  <c r="A7776" i="79"/>
  <c r="A7777" i="79"/>
  <c r="A7778" i="79"/>
  <c r="A7779" i="79"/>
  <c r="A7780" i="79"/>
  <c r="A7781" i="79"/>
  <c r="A7782" i="79"/>
  <c r="A7783" i="79"/>
  <c r="A7784" i="79"/>
  <c r="A7785" i="79"/>
  <c r="A7786" i="79"/>
  <c r="A7787" i="79"/>
  <c r="A7788" i="79"/>
  <c r="A7789" i="79"/>
  <c r="A7790" i="79"/>
  <c r="A7791" i="79"/>
  <c r="A7792" i="79"/>
  <c r="A7793" i="79"/>
  <c r="A7794" i="79"/>
  <c r="A7795" i="79"/>
  <c r="A7796" i="79"/>
  <c r="A7797" i="79"/>
  <c r="A7798" i="79"/>
  <c r="A7799" i="79"/>
  <c r="A7800" i="79"/>
  <c r="A7801" i="79"/>
  <c r="A7802" i="79"/>
  <c r="A7803" i="79"/>
  <c r="A7804" i="79"/>
  <c r="A7805" i="79"/>
  <c r="A7806" i="79"/>
  <c r="A7807" i="79"/>
  <c r="A7808" i="79"/>
  <c r="A7809" i="79"/>
  <c r="A7810" i="79"/>
  <c r="A7811" i="79"/>
  <c r="A7812" i="79"/>
  <c r="A7813" i="79"/>
  <c r="A7814" i="79"/>
  <c r="A7815" i="79"/>
  <c r="A7816" i="79"/>
  <c r="A7817" i="79"/>
  <c r="A7818" i="79"/>
  <c r="A7819" i="79"/>
  <c r="A7820" i="79"/>
  <c r="A7821" i="79"/>
  <c r="A7822" i="79"/>
  <c r="A7823" i="79"/>
  <c r="A7824" i="79"/>
  <c r="A7825" i="79"/>
  <c r="A7826" i="79"/>
  <c r="A7827" i="79"/>
  <c r="A7828" i="79"/>
  <c r="A7829" i="79"/>
  <c r="A7830" i="79"/>
  <c r="A7831" i="79"/>
  <c r="A7832" i="79"/>
  <c r="A7833" i="79"/>
  <c r="A7834" i="79"/>
  <c r="A7835" i="79"/>
  <c r="A7836" i="79"/>
  <c r="A7837" i="79"/>
  <c r="A7838" i="79"/>
  <c r="A7839" i="79"/>
  <c r="A7840" i="79"/>
  <c r="A7841" i="79"/>
  <c r="A7842" i="79"/>
  <c r="A7843" i="79"/>
  <c r="A7844" i="79"/>
  <c r="A7845" i="79"/>
  <c r="A7846" i="79"/>
  <c r="A7847" i="79"/>
  <c r="A7848" i="79"/>
  <c r="A7849" i="79"/>
  <c r="A7850" i="79"/>
  <c r="A7851" i="79"/>
  <c r="A7852" i="79"/>
  <c r="A7853" i="79"/>
  <c r="A7854" i="79"/>
  <c r="A7855" i="79"/>
  <c r="A7856" i="79"/>
  <c r="A7857" i="79"/>
  <c r="A7858" i="79"/>
  <c r="A7859" i="79"/>
  <c r="A7860" i="79"/>
  <c r="A7861" i="79"/>
  <c r="A7862" i="79"/>
  <c r="A7863" i="79"/>
  <c r="A7864" i="79"/>
  <c r="A7865" i="79"/>
  <c r="A7866" i="79"/>
  <c r="A7867" i="79"/>
  <c r="A7868" i="79"/>
  <c r="A7869" i="79"/>
  <c r="A7870" i="79"/>
  <c r="A7871" i="79"/>
  <c r="A7872" i="79"/>
  <c r="A7873" i="79"/>
  <c r="A7874" i="79"/>
  <c r="A7875" i="79"/>
  <c r="A7876" i="79"/>
  <c r="A7877" i="79"/>
  <c r="A7878" i="79"/>
  <c r="A7879" i="79"/>
  <c r="A7880" i="79"/>
  <c r="A7881" i="79"/>
  <c r="A7882" i="79"/>
  <c r="A7883" i="79"/>
  <c r="A7884" i="79"/>
  <c r="A7885" i="79"/>
  <c r="A7886" i="79"/>
  <c r="A7887" i="79"/>
  <c r="A7888" i="79"/>
  <c r="A7889" i="79"/>
  <c r="A7890" i="79"/>
  <c r="A7891" i="79"/>
  <c r="A7892" i="79"/>
  <c r="A7893" i="79"/>
  <c r="A7894" i="79"/>
  <c r="A7895" i="79"/>
  <c r="A7896" i="79"/>
  <c r="A7897" i="79"/>
  <c r="A7898" i="79"/>
  <c r="A7899" i="79"/>
  <c r="A7900" i="79"/>
  <c r="A7901" i="79"/>
  <c r="A7902" i="79"/>
  <c r="A7903" i="79"/>
  <c r="A7904" i="79"/>
  <c r="A7905" i="79"/>
  <c r="A7906" i="79"/>
  <c r="A7907" i="79"/>
  <c r="A7908" i="79"/>
  <c r="A7909" i="79"/>
  <c r="A7910" i="79"/>
  <c r="A7911" i="79"/>
  <c r="A7912" i="79"/>
  <c r="A7913" i="79"/>
  <c r="A7914" i="79"/>
  <c r="A7915" i="79"/>
  <c r="A7916" i="79"/>
  <c r="A7917" i="79"/>
  <c r="A7918" i="79"/>
  <c r="A7919" i="79"/>
  <c r="A7920" i="79"/>
  <c r="A7921" i="79"/>
  <c r="A7922" i="79"/>
  <c r="A7923" i="79"/>
  <c r="A7924" i="79"/>
  <c r="A7925" i="79"/>
  <c r="A7926" i="79"/>
  <c r="A7927" i="79"/>
  <c r="A7928" i="79"/>
  <c r="A7929" i="79"/>
  <c r="A7930" i="79"/>
  <c r="A7931" i="79"/>
  <c r="A7932" i="79"/>
  <c r="A7933" i="79"/>
  <c r="A7934" i="79"/>
  <c r="A7935" i="79"/>
  <c r="A7936" i="79"/>
  <c r="A7937" i="79"/>
  <c r="A7938" i="79"/>
  <c r="A7939" i="79"/>
  <c r="A7940" i="79"/>
  <c r="A7941" i="79"/>
  <c r="A7942" i="79"/>
  <c r="A7943" i="79"/>
  <c r="A7944" i="79"/>
  <c r="A7945" i="79"/>
  <c r="A7946" i="79"/>
  <c r="A7947" i="79"/>
  <c r="A7948" i="79"/>
  <c r="A7949" i="79"/>
  <c r="A7950" i="79"/>
  <c r="A7951" i="79"/>
  <c r="A7952" i="79"/>
  <c r="A7953" i="79"/>
  <c r="A7954" i="79"/>
  <c r="A7955" i="79"/>
  <c r="A7956" i="79"/>
  <c r="A7957" i="79"/>
  <c r="A7958" i="79"/>
  <c r="A7959" i="79"/>
  <c r="A7960" i="79"/>
  <c r="A7961" i="79"/>
  <c r="A7962" i="79"/>
  <c r="A7963" i="79"/>
  <c r="A7964" i="79"/>
  <c r="A7965" i="79"/>
  <c r="A7966" i="79"/>
  <c r="A7967" i="79"/>
  <c r="A7968" i="79"/>
  <c r="A7969" i="79"/>
  <c r="A7970" i="79"/>
  <c r="A7971" i="79"/>
  <c r="A7972" i="79"/>
  <c r="A7973" i="79"/>
  <c r="A7974" i="79"/>
  <c r="A7975" i="79"/>
  <c r="A7976" i="79"/>
  <c r="A7977" i="79"/>
  <c r="A7978" i="79"/>
  <c r="A7979" i="79"/>
  <c r="A7980" i="79"/>
  <c r="A7981" i="79"/>
  <c r="A7982" i="79"/>
  <c r="A7983" i="79"/>
  <c r="A7984" i="79"/>
  <c r="A7985" i="79"/>
  <c r="A7986" i="79"/>
  <c r="A7987" i="79"/>
  <c r="A7988" i="79"/>
  <c r="A7989" i="79"/>
  <c r="A7990" i="79"/>
  <c r="A7991" i="79"/>
  <c r="A7992" i="79"/>
  <c r="A7993" i="79"/>
  <c r="A7994" i="79"/>
  <c r="A7995" i="79"/>
  <c r="A7996" i="79"/>
  <c r="A7997" i="79"/>
  <c r="A7998" i="79"/>
  <c r="A7999" i="79"/>
  <c r="A8000" i="79"/>
  <c r="A8001" i="79"/>
  <c r="A8002" i="79"/>
  <c r="A8003" i="79"/>
  <c r="A8004" i="79"/>
  <c r="A8005" i="79"/>
  <c r="A8006" i="79"/>
  <c r="A8007" i="79"/>
  <c r="A8008" i="79"/>
  <c r="A8009" i="79"/>
  <c r="A8010" i="79"/>
  <c r="A8011" i="79"/>
  <c r="A8012" i="79"/>
  <c r="A8013" i="79"/>
  <c r="A8014" i="79"/>
  <c r="A8015" i="79"/>
  <c r="A8016" i="79"/>
  <c r="A8017" i="79"/>
  <c r="A8018" i="79"/>
  <c r="A8019" i="79"/>
  <c r="A8020" i="79"/>
  <c r="A8021" i="79"/>
  <c r="A8022" i="79"/>
  <c r="A8023" i="79"/>
  <c r="A8024" i="79"/>
  <c r="A8025" i="79"/>
  <c r="A8026" i="79"/>
  <c r="A8027" i="79"/>
  <c r="A8028" i="79"/>
  <c r="A8029" i="79"/>
  <c r="A8030" i="79"/>
  <c r="A8031" i="79"/>
  <c r="A8032" i="79"/>
  <c r="A8033" i="79"/>
  <c r="A8034" i="79"/>
  <c r="A8035" i="79"/>
  <c r="A8036" i="79"/>
  <c r="A8037" i="79"/>
  <c r="A8038" i="79"/>
  <c r="A8039" i="79"/>
  <c r="A8040" i="79"/>
  <c r="A8041" i="79"/>
  <c r="A8042" i="79"/>
  <c r="A8043" i="79"/>
  <c r="A8044" i="79"/>
  <c r="A8045" i="79"/>
  <c r="A8046" i="79"/>
  <c r="A8047" i="79"/>
  <c r="A8048" i="79"/>
  <c r="A8049" i="79"/>
  <c r="A8050" i="79"/>
  <c r="A8051" i="79"/>
  <c r="A8052" i="79"/>
  <c r="A8053" i="79"/>
  <c r="A8054" i="79"/>
  <c r="A8055" i="79"/>
  <c r="A8056" i="79"/>
  <c r="A8057" i="79"/>
  <c r="A8058" i="79"/>
  <c r="A8059" i="79"/>
  <c r="A8060" i="79"/>
  <c r="A8061" i="79"/>
  <c r="A8062" i="79"/>
  <c r="A8063" i="79"/>
  <c r="A8064" i="79"/>
  <c r="A8065" i="79"/>
  <c r="A8066" i="79"/>
  <c r="A8067" i="79"/>
  <c r="A8068" i="79"/>
  <c r="A8069" i="79"/>
  <c r="A8070" i="79"/>
  <c r="A8071" i="79"/>
  <c r="A8072" i="79"/>
  <c r="A8073" i="79"/>
  <c r="A8074" i="79"/>
  <c r="A8075" i="79"/>
  <c r="A8076" i="79"/>
  <c r="A8077" i="79"/>
  <c r="A8078" i="79"/>
  <c r="A8079" i="79"/>
  <c r="A8080" i="79"/>
  <c r="A8081" i="79"/>
  <c r="A8082" i="79"/>
  <c r="A8083" i="79"/>
  <c r="A8084" i="79"/>
  <c r="A8085" i="79"/>
  <c r="A8086" i="79"/>
  <c r="A8087" i="79"/>
  <c r="A8088" i="79"/>
  <c r="A8089" i="79"/>
  <c r="A8090" i="79"/>
  <c r="A8091" i="79"/>
  <c r="A8092" i="79"/>
  <c r="A8093" i="79"/>
  <c r="A8094" i="79"/>
  <c r="A8095" i="79"/>
  <c r="A8096" i="79"/>
  <c r="A8097" i="79"/>
  <c r="A8098" i="79"/>
  <c r="A8099" i="79"/>
  <c r="A8100" i="79"/>
  <c r="A8101" i="79"/>
  <c r="A8102" i="79"/>
  <c r="A8103" i="79"/>
  <c r="A8104" i="79"/>
  <c r="A8105" i="79"/>
  <c r="A8106" i="79"/>
  <c r="A8107" i="79"/>
  <c r="A8108" i="79"/>
  <c r="A8109" i="79"/>
  <c r="A8110" i="79"/>
  <c r="A8111" i="79"/>
  <c r="A8112" i="79"/>
  <c r="A8113" i="79"/>
  <c r="A8114" i="79"/>
  <c r="A8115" i="79"/>
  <c r="A8116" i="79"/>
  <c r="A8117" i="79"/>
  <c r="A8118" i="79"/>
  <c r="A8119" i="79"/>
  <c r="A8120" i="79"/>
  <c r="A8121" i="79"/>
  <c r="A8122" i="79"/>
  <c r="A8123" i="79"/>
  <c r="A8124" i="79"/>
  <c r="A8125" i="79"/>
  <c r="A8126" i="79"/>
  <c r="A8127" i="79"/>
  <c r="A8128" i="79"/>
  <c r="A8129" i="79"/>
  <c r="A8130" i="79"/>
  <c r="A8131" i="79"/>
  <c r="A8132" i="79"/>
  <c r="A8133" i="79"/>
  <c r="A8134" i="79"/>
  <c r="A8135" i="79"/>
  <c r="A8136" i="79"/>
  <c r="A8137" i="79"/>
  <c r="A8138" i="79"/>
  <c r="A8139" i="79"/>
  <c r="A8140" i="79"/>
  <c r="A8141" i="79"/>
  <c r="A8142" i="79"/>
  <c r="A8143" i="79"/>
  <c r="A8144" i="79"/>
  <c r="A8145" i="79"/>
  <c r="A8146" i="79"/>
  <c r="A8147" i="79"/>
  <c r="A8148" i="79"/>
  <c r="A8149" i="79"/>
  <c r="A8150" i="79"/>
  <c r="A8151" i="79"/>
  <c r="A8152" i="79"/>
  <c r="A8153" i="79"/>
  <c r="A8154" i="79"/>
  <c r="A8155" i="79"/>
  <c r="A8156" i="79"/>
  <c r="A8157" i="79"/>
  <c r="A8158" i="79"/>
  <c r="A8159" i="79"/>
  <c r="A8160" i="79"/>
  <c r="A8161" i="79"/>
  <c r="A8162" i="79"/>
  <c r="A8163" i="79"/>
  <c r="A8164" i="79"/>
  <c r="A8165" i="79"/>
  <c r="A8166" i="79"/>
  <c r="A8167" i="79"/>
  <c r="A8168" i="79"/>
  <c r="A8169" i="79"/>
  <c r="A8170" i="79"/>
  <c r="A8171" i="79"/>
  <c r="A8172" i="79"/>
  <c r="A8173" i="79"/>
  <c r="A8174" i="79"/>
  <c r="A8175" i="79"/>
  <c r="A8176" i="79"/>
  <c r="A8177" i="79"/>
  <c r="A8178" i="79"/>
  <c r="A8179" i="79"/>
  <c r="A8180" i="79"/>
  <c r="A8181" i="79"/>
  <c r="A8182" i="79"/>
  <c r="A8183" i="79"/>
  <c r="A8184" i="79"/>
  <c r="A8185" i="79"/>
  <c r="A8186" i="79"/>
  <c r="A8187" i="79"/>
  <c r="A8188" i="79"/>
  <c r="A8189" i="79"/>
  <c r="A8190" i="79"/>
  <c r="A8191" i="79"/>
  <c r="A8192" i="79"/>
  <c r="A8193" i="79"/>
  <c r="A8194" i="79"/>
  <c r="A8195" i="79"/>
  <c r="A8196" i="79"/>
  <c r="A8197" i="79"/>
  <c r="A8198" i="79"/>
  <c r="A8199" i="79"/>
  <c r="A8200" i="79"/>
  <c r="A8201" i="79"/>
  <c r="A8202" i="79"/>
  <c r="A8203" i="79"/>
  <c r="A8204" i="79"/>
  <c r="A8205" i="79"/>
  <c r="A8206" i="79"/>
  <c r="A8207" i="79"/>
  <c r="A8208" i="79"/>
  <c r="A8209" i="79"/>
  <c r="A8210" i="79"/>
  <c r="A8211" i="79"/>
  <c r="A8212" i="79"/>
  <c r="A8213" i="79"/>
  <c r="A8214" i="79"/>
  <c r="A8215" i="79"/>
  <c r="A8216" i="79"/>
  <c r="A8217" i="79"/>
  <c r="A8218" i="79"/>
  <c r="A8219" i="79"/>
  <c r="A8220" i="79"/>
  <c r="A8221" i="79"/>
  <c r="A8222" i="79"/>
  <c r="A8223" i="79"/>
  <c r="A8224" i="79"/>
  <c r="A8225" i="79"/>
  <c r="A8226" i="79"/>
  <c r="A8227" i="79"/>
  <c r="A8228" i="79"/>
  <c r="A8229" i="79"/>
  <c r="A8230" i="79"/>
  <c r="A8231" i="79"/>
  <c r="A8232" i="79"/>
  <c r="A8233" i="79"/>
  <c r="A8234" i="79"/>
  <c r="A8235" i="79"/>
  <c r="A8236" i="79"/>
  <c r="A8237" i="79"/>
  <c r="A8238" i="79"/>
  <c r="A8239" i="79"/>
  <c r="A8240" i="79"/>
  <c r="A8241" i="79"/>
  <c r="A8242" i="79"/>
  <c r="A8243" i="79"/>
  <c r="A8244" i="79"/>
  <c r="A8245" i="79"/>
  <c r="A8246" i="79"/>
  <c r="A8247" i="79"/>
  <c r="A8248" i="79"/>
  <c r="A8249" i="79"/>
  <c r="A8250" i="79"/>
  <c r="A8251" i="79"/>
  <c r="A8252" i="79"/>
  <c r="A8253" i="79"/>
  <c r="A8254" i="79"/>
  <c r="A8255" i="79"/>
  <c r="A8256" i="79"/>
  <c r="A8257" i="79"/>
  <c r="A8258" i="79"/>
  <c r="A8259" i="79"/>
  <c r="A8260" i="79"/>
  <c r="A8261" i="79"/>
  <c r="A8262" i="79"/>
  <c r="A8263" i="79"/>
  <c r="A8264" i="79"/>
  <c r="A8265" i="79"/>
  <c r="A8266" i="79"/>
  <c r="A8267" i="79"/>
  <c r="A8268" i="79"/>
  <c r="A8269" i="79"/>
  <c r="A8270" i="79"/>
  <c r="A8271" i="79"/>
  <c r="A8272" i="79"/>
  <c r="A8273" i="79"/>
  <c r="A8274" i="79"/>
  <c r="A8275" i="79"/>
  <c r="A8276" i="79"/>
  <c r="A8277" i="79"/>
  <c r="A8278" i="79"/>
  <c r="A8279" i="79"/>
  <c r="A8280" i="79"/>
  <c r="A8281" i="79"/>
  <c r="A8282" i="79"/>
  <c r="A8283" i="79"/>
  <c r="A8284" i="79"/>
  <c r="A8285" i="79"/>
  <c r="A8286" i="79"/>
  <c r="A8287" i="79"/>
  <c r="A8288" i="79"/>
  <c r="A8289" i="79"/>
  <c r="A8290" i="79"/>
  <c r="A8291" i="79"/>
  <c r="A8292" i="79"/>
  <c r="A8293" i="79"/>
  <c r="A8294" i="79"/>
  <c r="A8295" i="79"/>
  <c r="A8296" i="79"/>
  <c r="A8297" i="79"/>
  <c r="A8298" i="79"/>
  <c r="A8299" i="79"/>
  <c r="A8300" i="79"/>
  <c r="A8301" i="79"/>
  <c r="A8302" i="79"/>
  <c r="A8303" i="79"/>
  <c r="A8304" i="79"/>
  <c r="A8305" i="79"/>
  <c r="A8306" i="79"/>
  <c r="A8307" i="79"/>
  <c r="A8308" i="79"/>
  <c r="A8309" i="79"/>
  <c r="A8310" i="79"/>
  <c r="A8311" i="79"/>
  <c r="A8312" i="79"/>
  <c r="A8313" i="79"/>
  <c r="A8314" i="79"/>
  <c r="A8315" i="79"/>
  <c r="A8316" i="79"/>
  <c r="A8317" i="79"/>
  <c r="A8318" i="79"/>
  <c r="A8319" i="79"/>
  <c r="A8320" i="79"/>
  <c r="A8321" i="79"/>
  <c r="A8322" i="79"/>
  <c r="A8323" i="79"/>
  <c r="A8324" i="79"/>
  <c r="A8325" i="79"/>
  <c r="A8326" i="79"/>
  <c r="A8327" i="79"/>
  <c r="A8328" i="79"/>
  <c r="A8329" i="79"/>
  <c r="A8330" i="79"/>
  <c r="A8331" i="79"/>
  <c r="A8332" i="79"/>
  <c r="A8333" i="79"/>
  <c r="A8334" i="79"/>
  <c r="A8335" i="79"/>
  <c r="A8336" i="79"/>
  <c r="A8337" i="79"/>
  <c r="A8338" i="79"/>
  <c r="A8339" i="79"/>
  <c r="A8340" i="79"/>
  <c r="A8341" i="79"/>
  <c r="A8342" i="79"/>
  <c r="A8343" i="79"/>
  <c r="A8344" i="79"/>
  <c r="A8345" i="79"/>
  <c r="A8346" i="79"/>
  <c r="A8347" i="79"/>
  <c r="A8348" i="79"/>
  <c r="A8349" i="79"/>
  <c r="A8350" i="79"/>
  <c r="A8351" i="79"/>
  <c r="A8352" i="79"/>
  <c r="A8353" i="79"/>
  <c r="A8354" i="79"/>
  <c r="A8355" i="79"/>
  <c r="A8356" i="79"/>
  <c r="A8357" i="79"/>
  <c r="A8358" i="79"/>
  <c r="A8359" i="79"/>
  <c r="A8360" i="79"/>
  <c r="A8361" i="79"/>
  <c r="A8362" i="79"/>
  <c r="A8363" i="79"/>
  <c r="A8364" i="79"/>
  <c r="A8365" i="79"/>
  <c r="A8366" i="79"/>
  <c r="A8367" i="79"/>
  <c r="A8368" i="79"/>
  <c r="A8369" i="79"/>
  <c r="A8370" i="79"/>
  <c r="A8371" i="79"/>
  <c r="A8372" i="79"/>
  <c r="A8373" i="79"/>
  <c r="A8374" i="79"/>
  <c r="A8375" i="79"/>
  <c r="A8376" i="79"/>
  <c r="A8377" i="79"/>
  <c r="A8378" i="79"/>
  <c r="A8379" i="79"/>
  <c r="A8380" i="79"/>
  <c r="A8381" i="79"/>
  <c r="A8382" i="79"/>
  <c r="A8383" i="79"/>
  <c r="A8384" i="79"/>
  <c r="A8385" i="79"/>
  <c r="A8386" i="79"/>
  <c r="A8387" i="79"/>
  <c r="A8388" i="79"/>
  <c r="A8389" i="79"/>
  <c r="A8390" i="79"/>
  <c r="A8391" i="79"/>
  <c r="A8392" i="79"/>
  <c r="A8393" i="79"/>
  <c r="A8394" i="79"/>
  <c r="A8395" i="79"/>
  <c r="A8396" i="79"/>
  <c r="A8397" i="79"/>
  <c r="A8398" i="79"/>
  <c r="A8399" i="79"/>
  <c r="A8400" i="79"/>
  <c r="A8401" i="79"/>
  <c r="A8402" i="79"/>
  <c r="A8403" i="79"/>
  <c r="A8404" i="79"/>
  <c r="A8405" i="79"/>
  <c r="A8406" i="79"/>
  <c r="A8407" i="79"/>
  <c r="A8408" i="79"/>
  <c r="A8409" i="79"/>
  <c r="A8410" i="79"/>
  <c r="A8411" i="79"/>
  <c r="A8412" i="79"/>
  <c r="A8413" i="79"/>
  <c r="A8414" i="79"/>
  <c r="A8415" i="79"/>
  <c r="A8416" i="79"/>
  <c r="A8417" i="79"/>
  <c r="A8418" i="79"/>
  <c r="A8419" i="79"/>
  <c r="A8420" i="79"/>
  <c r="A8421" i="79"/>
  <c r="A8422" i="79"/>
  <c r="A8423" i="79"/>
  <c r="A8424" i="79"/>
  <c r="A8425" i="79"/>
  <c r="A8426" i="79"/>
  <c r="A8427" i="79"/>
  <c r="A8428" i="79"/>
  <c r="A8429" i="79"/>
  <c r="A8430" i="79"/>
  <c r="A8431" i="79"/>
  <c r="A8432" i="79"/>
  <c r="A8433" i="79"/>
  <c r="A8434" i="79"/>
  <c r="A8435" i="79"/>
  <c r="A8436" i="79"/>
  <c r="A8437" i="79"/>
  <c r="A8438" i="79"/>
  <c r="A8439" i="79"/>
  <c r="A8440" i="79"/>
  <c r="A8441" i="79"/>
  <c r="A8442" i="79"/>
  <c r="A8443" i="79"/>
  <c r="A8444" i="79"/>
  <c r="A8445" i="79"/>
  <c r="A8446" i="79"/>
  <c r="A8447" i="79"/>
  <c r="A8448" i="79"/>
  <c r="A8449" i="79"/>
  <c r="A8450" i="79"/>
  <c r="A8451" i="79"/>
  <c r="A8452" i="79"/>
  <c r="A8453" i="79"/>
  <c r="A8454" i="79"/>
  <c r="A8455" i="79"/>
  <c r="A8456" i="79"/>
  <c r="A8457" i="79"/>
  <c r="A8458" i="79"/>
  <c r="A8459" i="79"/>
  <c r="A8460" i="79"/>
  <c r="A8461" i="79"/>
  <c r="A8462" i="79"/>
  <c r="A8463" i="79"/>
  <c r="A8464" i="79"/>
  <c r="A8465" i="79"/>
  <c r="A8466" i="79"/>
  <c r="A8467" i="79"/>
  <c r="A8468" i="79"/>
  <c r="A8469" i="79"/>
  <c r="A8470" i="79"/>
  <c r="A8471" i="79"/>
  <c r="A8472" i="79"/>
  <c r="A8473" i="79"/>
  <c r="A8474" i="79"/>
  <c r="A8475" i="79"/>
  <c r="A8476" i="79"/>
  <c r="A8477" i="79"/>
  <c r="A8478" i="79"/>
  <c r="A8479" i="79"/>
  <c r="A8480" i="79"/>
  <c r="A8481" i="79"/>
  <c r="A8482" i="79"/>
  <c r="A8483" i="79"/>
  <c r="A8484" i="79"/>
  <c r="A8485" i="79"/>
  <c r="A8486" i="79"/>
  <c r="A8487" i="79"/>
  <c r="A8488" i="79"/>
  <c r="A8489" i="79"/>
  <c r="A8490" i="79"/>
  <c r="A8491" i="79"/>
  <c r="A8492" i="79"/>
  <c r="A8493" i="79"/>
  <c r="A8494" i="79"/>
  <c r="A8495" i="79"/>
  <c r="A8496" i="79"/>
  <c r="A8497" i="79"/>
  <c r="A8498" i="79"/>
  <c r="A8499" i="79"/>
  <c r="A8500" i="79"/>
  <c r="A8501" i="79"/>
  <c r="A8502" i="79"/>
  <c r="A8503" i="79"/>
  <c r="A8504" i="79"/>
  <c r="A8505" i="79"/>
  <c r="A8506" i="79"/>
  <c r="A8507" i="79"/>
  <c r="A8508" i="79"/>
  <c r="A8509" i="79"/>
  <c r="A8510" i="79"/>
  <c r="A8511" i="79"/>
  <c r="A8512" i="79"/>
  <c r="A8513" i="79"/>
  <c r="A8514" i="79"/>
  <c r="A8515" i="79"/>
  <c r="A8516" i="79"/>
  <c r="A8517" i="79"/>
  <c r="A8518" i="79"/>
  <c r="A8519" i="79"/>
  <c r="A8520" i="79"/>
  <c r="A8521" i="79"/>
  <c r="A8522" i="79"/>
  <c r="A8523" i="79"/>
  <c r="A8524" i="79"/>
  <c r="A8525" i="79"/>
  <c r="A8526" i="79"/>
  <c r="A8527" i="79"/>
  <c r="A8528" i="79"/>
  <c r="A8529" i="79"/>
  <c r="A8530" i="79"/>
  <c r="A8531" i="79"/>
  <c r="A8532" i="79"/>
  <c r="A8533" i="79"/>
  <c r="A8534" i="79"/>
  <c r="A8535" i="79"/>
  <c r="A8536" i="79"/>
  <c r="A8537" i="79"/>
  <c r="A8538" i="79"/>
  <c r="A8539" i="79"/>
  <c r="A8540" i="79"/>
  <c r="A8541" i="79"/>
  <c r="A8542" i="79"/>
  <c r="A8543" i="79"/>
  <c r="A8544" i="79"/>
  <c r="A8545" i="79"/>
  <c r="A8546" i="79"/>
  <c r="A8547" i="79"/>
  <c r="A8548" i="79"/>
  <c r="A8549" i="79"/>
  <c r="A8550" i="79"/>
  <c r="A8551" i="79"/>
  <c r="A8552" i="79"/>
  <c r="A8553" i="79"/>
  <c r="A8554" i="79"/>
  <c r="A8555" i="79"/>
  <c r="A8556" i="79"/>
  <c r="A8557" i="79"/>
  <c r="A8558" i="79"/>
  <c r="A8559" i="79"/>
  <c r="A8560" i="79"/>
  <c r="A8561" i="79"/>
  <c r="A8562" i="79"/>
  <c r="A8563" i="79"/>
  <c r="A8564" i="79"/>
  <c r="A8565" i="79"/>
  <c r="A8566" i="79"/>
  <c r="A8567" i="79"/>
  <c r="A8568" i="79"/>
  <c r="A8569" i="79"/>
  <c r="A8570" i="79"/>
  <c r="A8571" i="79"/>
  <c r="A8572" i="79"/>
  <c r="A8573" i="79"/>
  <c r="A8574" i="79"/>
  <c r="A8575" i="79"/>
  <c r="A8576" i="79"/>
  <c r="A8577" i="79"/>
  <c r="A8578" i="79"/>
  <c r="A8579" i="79"/>
  <c r="A8580" i="79"/>
  <c r="A8581" i="79"/>
  <c r="A8582" i="79"/>
  <c r="A8583" i="79"/>
  <c r="A8584" i="79"/>
  <c r="A8585" i="79"/>
  <c r="A8586" i="79"/>
  <c r="A8587" i="79"/>
  <c r="A8588" i="79"/>
  <c r="A8589" i="79"/>
  <c r="A8590" i="79"/>
  <c r="A8591" i="79"/>
  <c r="A8592" i="79"/>
  <c r="A8593" i="79"/>
  <c r="A8594" i="79"/>
  <c r="A8595" i="79"/>
  <c r="A8596" i="79"/>
  <c r="A8597" i="79"/>
  <c r="A8598" i="79"/>
  <c r="A8599" i="79"/>
  <c r="A8600" i="79"/>
  <c r="A8601" i="79"/>
  <c r="A8602" i="79"/>
  <c r="A8603" i="79"/>
  <c r="A8604" i="79"/>
  <c r="A8605" i="79"/>
  <c r="A8606" i="79"/>
  <c r="A8607" i="79"/>
  <c r="A8608" i="79"/>
  <c r="A8609" i="79"/>
  <c r="A8610" i="79"/>
  <c r="A8611" i="79"/>
  <c r="A8612" i="79"/>
  <c r="A8613" i="79"/>
  <c r="A8614" i="79"/>
  <c r="A8615" i="79"/>
  <c r="A8616" i="79"/>
  <c r="A8617" i="79"/>
  <c r="A8618" i="79"/>
  <c r="A8619" i="79"/>
  <c r="A8620" i="79"/>
  <c r="A8621" i="79"/>
  <c r="A8622" i="79"/>
  <c r="A8623" i="79"/>
  <c r="A8624" i="79"/>
  <c r="A8625" i="79"/>
  <c r="A8626" i="79"/>
  <c r="A8627" i="79"/>
  <c r="A8628" i="79"/>
  <c r="A8629" i="79"/>
  <c r="A8630" i="79"/>
  <c r="A8631" i="79"/>
  <c r="A8632" i="79"/>
  <c r="A8633" i="79"/>
  <c r="A8634" i="79"/>
  <c r="A8635" i="79"/>
  <c r="A8636" i="79"/>
  <c r="A8637" i="79"/>
  <c r="A8638" i="79"/>
  <c r="A8639" i="79"/>
  <c r="A8640" i="79"/>
  <c r="A8641" i="79"/>
  <c r="A8642" i="79"/>
  <c r="A8643" i="79"/>
  <c r="A8644" i="79"/>
  <c r="A8645" i="79"/>
  <c r="A8646" i="79"/>
  <c r="A8647" i="79"/>
  <c r="A8648" i="79"/>
  <c r="A8649" i="79"/>
  <c r="A8650" i="79"/>
  <c r="A8651" i="79"/>
  <c r="A8652" i="79"/>
  <c r="A8653" i="79"/>
  <c r="A8654" i="79"/>
  <c r="A8655" i="79"/>
  <c r="A8656" i="79"/>
  <c r="A8657" i="79"/>
  <c r="A8658" i="79"/>
  <c r="A8659" i="79"/>
  <c r="A8660" i="79"/>
  <c r="A8661" i="79"/>
  <c r="A8662" i="79"/>
  <c r="A8663" i="79"/>
  <c r="A8664" i="79"/>
  <c r="A8665" i="79"/>
  <c r="A8666" i="79"/>
  <c r="A8667" i="79"/>
  <c r="A8668" i="79"/>
  <c r="A8669" i="79"/>
  <c r="A8670" i="79"/>
  <c r="A8671" i="79"/>
  <c r="A8672" i="79"/>
  <c r="A8673" i="79"/>
  <c r="A8674" i="79"/>
  <c r="A8675" i="79"/>
  <c r="A8676" i="79"/>
  <c r="A8677" i="79"/>
  <c r="A8678" i="79"/>
  <c r="A8679" i="79"/>
  <c r="A8680" i="79"/>
  <c r="A8681" i="79"/>
  <c r="A8682" i="79"/>
  <c r="A8683" i="79"/>
  <c r="A8684" i="79"/>
  <c r="A8685" i="79"/>
  <c r="A8686" i="79"/>
  <c r="A8687" i="79"/>
  <c r="A8688" i="79"/>
  <c r="A8689" i="79"/>
  <c r="A8690" i="79"/>
  <c r="A8691" i="79"/>
  <c r="A8692" i="79"/>
  <c r="A8693" i="79"/>
  <c r="A8694" i="79"/>
  <c r="A8695" i="79"/>
  <c r="A8696" i="79"/>
  <c r="A8697" i="79"/>
  <c r="A8698" i="79"/>
  <c r="A8699" i="79"/>
  <c r="A8700" i="79"/>
  <c r="A8701" i="79"/>
  <c r="A8702" i="79"/>
  <c r="A8703" i="79"/>
  <c r="A8704" i="79"/>
  <c r="A8705" i="79"/>
  <c r="A8706" i="79"/>
  <c r="A8707" i="79"/>
  <c r="A8708" i="79"/>
  <c r="A8709" i="79"/>
  <c r="A8710" i="79"/>
  <c r="A8711" i="79"/>
  <c r="A8712" i="79"/>
  <c r="A8713" i="79"/>
  <c r="A8714" i="79"/>
  <c r="A8715" i="79"/>
  <c r="A8716" i="79"/>
  <c r="A8717" i="79"/>
  <c r="A8718" i="79"/>
  <c r="A8719" i="79"/>
  <c r="A8720" i="79"/>
  <c r="A8721" i="79"/>
  <c r="A8722" i="79"/>
  <c r="A8723" i="79"/>
  <c r="A8724" i="79"/>
  <c r="A8725" i="79"/>
  <c r="A8726" i="79"/>
  <c r="A8727" i="79"/>
  <c r="A8728" i="79"/>
  <c r="A8729" i="79"/>
  <c r="A8730" i="79"/>
  <c r="A8731" i="79"/>
  <c r="A8732" i="79"/>
  <c r="A8733" i="79"/>
  <c r="A8734" i="79"/>
  <c r="A8735" i="79"/>
  <c r="A8736" i="79"/>
  <c r="A8737" i="79"/>
  <c r="A8738" i="79"/>
  <c r="A8739" i="79"/>
  <c r="A8740" i="79"/>
  <c r="A8741" i="79"/>
  <c r="A8742" i="79"/>
  <c r="A8743" i="79"/>
  <c r="A8744" i="79"/>
  <c r="A8745" i="79"/>
  <c r="A8746" i="79"/>
  <c r="A8747" i="79"/>
  <c r="A8748" i="79"/>
  <c r="A8749" i="79"/>
  <c r="A8750" i="79"/>
  <c r="A8751" i="79"/>
  <c r="A8752" i="79"/>
  <c r="A8753" i="79"/>
  <c r="A8754" i="79"/>
  <c r="A8755" i="79"/>
  <c r="A8756" i="79"/>
  <c r="A8757" i="79"/>
  <c r="A8758" i="79"/>
  <c r="A8759" i="79"/>
  <c r="A8760" i="79"/>
  <c r="A8761" i="79"/>
  <c r="A8762" i="79"/>
  <c r="A8763" i="79"/>
  <c r="A8764" i="79"/>
  <c r="A8765" i="79"/>
  <c r="A8766" i="79"/>
  <c r="A8767" i="79"/>
  <c r="A8768" i="79"/>
  <c r="A8769" i="79"/>
  <c r="A8770" i="79"/>
  <c r="A8771" i="79"/>
  <c r="A8772" i="79"/>
  <c r="A8773" i="79"/>
  <c r="A8774" i="79"/>
  <c r="A8775" i="79"/>
  <c r="A8776" i="79"/>
  <c r="A8777" i="79"/>
  <c r="A8778" i="79"/>
  <c r="A8779" i="79"/>
  <c r="A8780" i="79"/>
  <c r="A8781" i="79"/>
  <c r="A8782" i="79"/>
  <c r="A8783" i="79"/>
  <c r="A8784" i="79"/>
  <c r="A8785" i="79"/>
  <c r="A8786" i="79"/>
  <c r="A8787" i="79"/>
  <c r="A8788" i="79"/>
  <c r="A8789" i="79"/>
  <c r="A8790" i="79"/>
  <c r="A8791" i="79"/>
  <c r="A8792" i="79"/>
  <c r="A8793" i="79"/>
  <c r="A8794" i="79"/>
  <c r="A8795" i="79"/>
  <c r="A8796" i="79"/>
  <c r="A8797" i="79"/>
  <c r="A8798" i="79"/>
  <c r="A8799" i="79"/>
  <c r="A8800" i="79"/>
  <c r="A8801" i="79"/>
  <c r="A8802" i="79"/>
  <c r="A8803" i="79"/>
  <c r="A8804" i="79"/>
  <c r="A8805" i="79"/>
  <c r="A8806" i="79"/>
  <c r="A8807" i="79"/>
  <c r="A8808" i="79"/>
  <c r="A8809" i="79"/>
  <c r="A8810" i="79"/>
  <c r="A8811" i="79"/>
  <c r="A8812" i="79"/>
  <c r="A8813" i="79"/>
  <c r="A8814" i="79"/>
  <c r="A8815" i="79"/>
  <c r="A8816" i="79"/>
  <c r="A8817" i="79"/>
  <c r="A8818" i="79"/>
  <c r="A8819" i="79"/>
  <c r="A8820" i="79"/>
  <c r="A8821" i="79"/>
  <c r="A8822" i="79"/>
  <c r="A8823" i="79"/>
  <c r="A8824" i="79"/>
  <c r="A8825" i="79"/>
  <c r="A8826" i="79"/>
  <c r="A8827" i="79"/>
  <c r="A8828" i="79"/>
  <c r="A8829" i="79"/>
  <c r="A8830" i="79"/>
  <c r="A8831" i="79"/>
  <c r="A8832" i="79"/>
  <c r="A8833" i="79"/>
  <c r="A8834" i="79"/>
  <c r="A8835" i="79"/>
  <c r="A8836" i="79"/>
  <c r="A8837" i="79"/>
  <c r="A8838" i="79"/>
  <c r="A8839" i="79"/>
  <c r="A8840" i="79"/>
  <c r="A8841" i="79"/>
  <c r="A8842" i="79"/>
  <c r="A8843" i="79"/>
  <c r="A8844" i="79"/>
  <c r="A8845" i="79"/>
  <c r="A8846" i="79"/>
  <c r="A8847" i="79"/>
  <c r="A8848" i="79"/>
  <c r="A8849" i="79"/>
  <c r="A8850" i="79"/>
  <c r="A8851" i="79"/>
  <c r="A8852" i="79"/>
  <c r="A8853" i="79"/>
  <c r="A8854" i="79"/>
  <c r="A8855" i="79"/>
  <c r="A8856" i="79"/>
  <c r="A8857" i="79"/>
  <c r="A8858" i="79"/>
  <c r="A8859" i="79"/>
  <c r="A8860" i="79"/>
  <c r="A8861" i="79"/>
  <c r="A8862" i="79"/>
  <c r="A8863" i="79"/>
  <c r="A8864" i="79"/>
  <c r="A8865" i="79"/>
  <c r="A8866" i="79"/>
  <c r="A8867" i="79"/>
  <c r="A8868" i="79"/>
  <c r="A8869" i="79"/>
  <c r="A8870" i="79"/>
  <c r="A8871" i="79"/>
  <c r="A8872" i="79"/>
  <c r="A8873" i="79"/>
  <c r="A8874" i="79"/>
  <c r="A8875" i="79"/>
  <c r="A8876" i="79"/>
  <c r="A8877" i="79"/>
  <c r="A8878" i="79"/>
  <c r="A8879" i="79"/>
  <c r="A8880" i="79"/>
  <c r="A8881" i="79"/>
  <c r="A8882" i="79"/>
  <c r="A8883" i="79"/>
  <c r="A8884" i="79"/>
  <c r="A8885" i="79"/>
  <c r="A8886" i="79"/>
  <c r="A8887" i="79"/>
  <c r="A8888" i="79"/>
  <c r="A8889" i="79"/>
  <c r="A8890" i="79"/>
  <c r="A8891" i="79"/>
  <c r="A8892" i="79"/>
  <c r="A8893" i="79"/>
  <c r="A8894" i="79"/>
  <c r="A8895" i="79"/>
  <c r="A8896" i="79"/>
  <c r="A8897" i="79"/>
  <c r="A8898" i="79"/>
  <c r="A8899" i="79"/>
  <c r="A8900" i="79"/>
  <c r="A8901" i="79"/>
  <c r="A8902" i="79"/>
  <c r="A8903" i="79"/>
  <c r="A8904" i="79"/>
  <c r="A8905" i="79"/>
  <c r="A8906" i="79"/>
  <c r="A8907" i="79"/>
  <c r="A8908" i="79"/>
  <c r="A8909" i="79"/>
  <c r="A8910" i="79"/>
  <c r="A8911" i="79"/>
  <c r="A8912" i="79"/>
  <c r="A8913" i="79"/>
  <c r="A8914" i="79"/>
  <c r="A8915" i="79"/>
  <c r="A8916" i="79"/>
  <c r="A8917" i="79"/>
  <c r="A8918" i="79"/>
  <c r="A8919" i="79"/>
  <c r="A8920" i="79"/>
  <c r="A8921" i="79"/>
  <c r="A8922" i="79"/>
  <c r="A8923" i="79"/>
  <c r="A8924" i="79"/>
  <c r="A8925" i="79"/>
  <c r="A8926" i="79"/>
  <c r="A8927" i="79"/>
  <c r="A8928" i="79"/>
  <c r="A8929" i="79"/>
  <c r="A8930" i="79"/>
  <c r="A8931" i="79"/>
  <c r="A8932" i="79"/>
  <c r="A8933" i="79"/>
  <c r="A8934" i="79"/>
  <c r="A8935" i="79"/>
  <c r="A8936" i="79"/>
  <c r="A8937" i="79"/>
  <c r="A8938" i="79"/>
  <c r="A8939" i="79"/>
  <c r="A8940" i="79"/>
  <c r="A8941" i="79"/>
  <c r="A8942" i="79"/>
  <c r="A8943" i="79"/>
  <c r="A8944" i="79"/>
  <c r="A8945" i="79"/>
  <c r="A8946" i="79"/>
  <c r="A8947" i="79"/>
  <c r="A8948" i="79"/>
  <c r="A8949" i="79"/>
  <c r="A8950" i="79"/>
  <c r="A8951" i="79"/>
  <c r="A8952" i="79"/>
  <c r="A8953" i="79"/>
  <c r="A8954" i="79"/>
  <c r="A8955" i="79"/>
  <c r="A8956" i="79"/>
  <c r="A8957" i="79"/>
  <c r="A8958" i="79"/>
  <c r="A8959" i="79"/>
  <c r="A8960" i="79"/>
  <c r="A8961" i="79"/>
  <c r="A8962" i="79"/>
  <c r="A8963" i="79"/>
  <c r="A8964" i="79"/>
  <c r="A8965" i="79"/>
  <c r="A8966" i="79"/>
  <c r="A8967" i="79"/>
  <c r="A8968" i="79"/>
  <c r="A8969" i="79"/>
  <c r="A8970" i="79"/>
  <c r="A8971" i="79"/>
  <c r="A8972" i="79"/>
  <c r="A8973" i="79"/>
  <c r="A8974" i="79"/>
  <c r="A8975" i="79"/>
  <c r="A8976" i="79"/>
  <c r="A8977" i="79"/>
  <c r="A8978" i="79"/>
  <c r="A8979" i="79"/>
  <c r="A8980" i="79"/>
  <c r="A8981" i="79"/>
  <c r="A8982" i="79"/>
  <c r="A8983" i="79"/>
  <c r="A8984" i="79"/>
  <c r="A8985" i="79"/>
  <c r="A8986" i="79"/>
  <c r="A8987" i="79"/>
  <c r="A8988" i="79"/>
  <c r="A8989" i="79"/>
  <c r="A8990" i="79"/>
  <c r="A8991" i="79"/>
  <c r="A8992" i="79"/>
  <c r="A8993" i="79"/>
  <c r="A8994" i="79"/>
  <c r="A8995" i="79"/>
  <c r="A8996" i="79"/>
  <c r="A8997" i="79"/>
  <c r="A8998" i="79"/>
  <c r="A8999" i="79"/>
  <c r="A9000" i="79"/>
  <c r="A9001" i="79"/>
  <c r="A9002" i="79"/>
  <c r="A9003" i="79"/>
  <c r="A9004" i="79"/>
  <c r="A9005" i="79"/>
  <c r="A9006" i="79"/>
  <c r="A9007" i="79"/>
  <c r="A9008" i="79"/>
  <c r="A9009" i="79"/>
  <c r="A9010" i="79"/>
  <c r="A9011" i="79"/>
  <c r="A9012" i="79"/>
  <c r="A9013" i="79"/>
  <c r="A9014" i="79"/>
  <c r="A9015" i="79"/>
  <c r="A9016" i="79"/>
  <c r="A9017" i="79"/>
  <c r="A9018" i="79"/>
  <c r="A9019" i="79"/>
  <c r="A9020" i="79"/>
  <c r="A9021" i="79"/>
  <c r="A9022" i="79"/>
  <c r="A9023" i="79"/>
  <c r="A9024" i="79"/>
  <c r="A9025" i="79"/>
  <c r="A9026" i="79"/>
  <c r="A9027" i="79"/>
  <c r="A9028" i="79"/>
  <c r="A9029" i="79"/>
  <c r="A9030" i="79"/>
  <c r="A9031" i="79"/>
  <c r="A9032" i="79"/>
  <c r="A9033" i="79"/>
  <c r="A9034" i="79"/>
  <c r="A9035" i="79"/>
  <c r="A9036" i="79"/>
  <c r="A9037" i="79"/>
  <c r="A9038" i="79"/>
  <c r="A9039" i="79"/>
  <c r="A9040" i="79"/>
  <c r="A9041" i="79"/>
  <c r="A9042" i="79"/>
  <c r="A9043" i="79"/>
  <c r="A9044" i="79"/>
  <c r="A9045" i="79"/>
  <c r="A9046" i="79"/>
  <c r="A9047" i="79"/>
  <c r="A9048" i="79"/>
  <c r="A9049" i="79"/>
  <c r="A9050" i="79"/>
  <c r="A9051" i="79"/>
  <c r="A9052" i="79"/>
  <c r="A9053" i="79"/>
  <c r="A9054" i="79"/>
  <c r="A9055" i="79"/>
  <c r="A9056" i="79"/>
  <c r="A9057" i="79"/>
  <c r="A9058" i="79"/>
  <c r="A9059" i="79"/>
  <c r="A9060" i="79"/>
  <c r="A9061" i="79"/>
  <c r="A9062" i="79"/>
  <c r="A9063" i="79"/>
  <c r="A9064" i="79"/>
  <c r="A9065" i="79"/>
  <c r="A9066" i="79"/>
  <c r="A9067" i="79"/>
  <c r="A9068" i="79"/>
  <c r="A9069" i="79"/>
  <c r="A9070" i="79"/>
  <c r="A9071" i="79"/>
  <c r="A9072" i="79"/>
  <c r="A9073" i="79"/>
  <c r="A9074" i="79"/>
  <c r="A9075" i="79"/>
  <c r="A9076" i="79"/>
  <c r="A9077" i="79"/>
  <c r="A9078" i="79"/>
  <c r="A9079" i="79"/>
  <c r="A9080" i="79"/>
  <c r="A9081" i="79"/>
  <c r="A9082" i="79"/>
  <c r="A9083" i="79"/>
  <c r="A9084" i="79"/>
  <c r="A9085" i="79"/>
  <c r="A9086" i="79"/>
  <c r="A9087" i="79"/>
  <c r="A9088" i="79"/>
  <c r="A9089" i="79"/>
  <c r="A9090" i="79"/>
  <c r="A9091" i="79"/>
  <c r="A9092" i="79"/>
  <c r="A9093" i="79"/>
  <c r="A9094" i="79"/>
  <c r="A9095" i="79"/>
  <c r="A9096" i="79"/>
  <c r="A9097" i="79"/>
  <c r="A9098" i="79"/>
  <c r="A9099" i="79"/>
  <c r="A9100" i="79"/>
  <c r="A9101" i="79"/>
  <c r="A9102" i="79"/>
  <c r="A9103" i="79"/>
  <c r="A9104" i="79"/>
  <c r="A9105" i="79"/>
  <c r="A9106" i="79"/>
  <c r="A9107" i="79"/>
  <c r="A9108" i="79"/>
  <c r="A9109" i="79"/>
  <c r="A9110" i="79"/>
  <c r="A9111" i="79"/>
  <c r="A9112" i="79"/>
  <c r="A9113" i="79"/>
  <c r="A9114" i="79"/>
  <c r="A9115" i="79"/>
  <c r="A9116" i="79"/>
  <c r="A9117" i="79"/>
  <c r="A9118" i="79"/>
  <c r="A9119" i="79"/>
  <c r="A9120" i="79"/>
  <c r="A9121" i="79"/>
  <c r="A9122" i="79"/>
  <c r="A9123" i="79"/>
  <c r="A9124" i="79"/>
  <c r="A9125" i="79"/>
  <c r="A9126" i="79"/>
  <c r="A9127" i="79"/>
  <c r="A9128" i="79"/>
  <c r="A9129" i="79"/>
  <c r="A9130" i="79"/>
  <c r="A9131" i="79"/>
  <c r="A9132" i="79"/>
  <c r="A9133" i="79"/>
  <c r="A9134" i="79"/>
  <c r="A9135" i="79"/>
  <c r="A9136" i="79"/>
  <c r="A9137" i="79"/>
  <c r="A9138" i="79"/>
  <c r="A9139" i="79"/>
  <c r="A9140" i="79"/>
  <c r="A9141" i="79"/>
  <c r="A9142" i="79"/>
  <c r="A9143" i="79"/>
  <c r="A9144" i="79"/>
  <c r="A9145" i="79"/>
  <c r="A9146" i="79"/>
  <c r="A9147" i="79"/>
  <c r="A9148" i="79"/>
  <c r="A9149" i="79"/>
  <c r="A9150" i="79"/>
  <c r="A9151" i="79"/>
  <c r="A9152" i="79"/>
  <c r="A9153" i="79"/>
  <c r="A9154" i="79"/>
  <c r="A9155" i="79"/>
  <c r="A9156" i="79"/>
  <c r="A9157" i="79"/>
  <c r="A9158" i="79"/>
  <c r="A9159" i="79"/>
  <c r="A9160" i="79"/>
  <c r="A9161" i="79"/>
  <c r="A9162" i="79"/>
  <c r="A9163" i="79"/>
  <c r="A9164" i="79"/>
  <c r="A9165" i="79"/>
  <c r="A9166" i="79"/>
  <c r="A9167" i="79"/>
  <c r="A9168" i="79"/>
  <c r="A9169" i="79"/>
  <c r="A9170" i="79"/>
  <c r="A9171" i="79"/>
  <c r="A9172" i="79"/>
  <c r="A9173" i="79"/>
  <c r="A9174" i="79"/>
  <c r="A9175" i="79"/>
  <c r="A9176" i="79"/>
  <c r="A9177" i="79"/>
  <c r="A9178" i="79"/>
  <c r="A9179" i="79"/>
  <c r="A9180" i="79"/>
  <c r="A9181" i="79"/>
  <c r="A9182" i="79"/>
  <c r="A9183" i="79"/>
  <c r="A9184" i="79"/>
  <c r="A9185" i="79"/>
  <c r="A9186" i="79"/>
  <c r="A9187" i="79"/>
  <c r="A9188" i="79"/>
  <c r="A9189" i="79"/>
  <c r="A9190" i="79"/>
  <c r="A9191" i="79"/>
  <c r="A9192" i="79"/>
  <c r="A9193" i="79"/>
  <c r="A9194" i="79"/>
  <c r="A9195" i="79"/>
  <c r="A9196" i="79"/>
  <c r="A9197" i="79"/>
  <c r="A9198" i="79"/>
  <c r="A9199" i="79"/>
  <c r="A9200" i="79"/>
  <c r="A9201" i="79"/>
  <c r="A9202" i="79"/>
  <c r="A9203" i="79"/>
  <c r="A9204" i="79"/>
  <c r="A9205" i="79"/>
  <c r="A9206" i="79"/>
  <c r="A9207" i="79"/>
  <c r="A9208" i="79"/>
  <c r="A9209" i="79"/>
  <c r="A9210" i="79"/>
  <c r="A9211" i="79"/>
  <c r="A9212" i="79"/>
  <c r="A9213" i="79"/>
  <c r="A9214" i="79"/>
  <c r="A9215" i="79"/>
  <c r="A9216" i="79"/>
  <c r="A9217" i="79"/>
  <c r="A9218" i="79"/>
  <c r="A9219" i="79"/>
  <c r="A9220" i="79"/>
  <c r="A9221" i="79"/>
  <c r="A9222" i="79"/>
  <c r="A9223" i="79"/>
  <c r="A9224" i="79"/>
  <c r="A9225" i="79"/>
  <c r="A9226" i="79"/>
  <c r="A9227" i="79"/>
  <c r="A9228" i="79"/>
  <c r="A9229" i="79"/>
  <c r="A9230" i="79"/>
  <c r="A9231" i="79"/>
  <c r="A9232" i="79"/>
  <c r="A9233" i="79"/>
  <c r="A9234" i="79"/>
  <c r="A9235" i="79"/>
  <c r="A9236" i="79"/>
  <c r="A9237" i="79"/>
  <c r="A9238" i="79"/>
  <c r="A9239" i="79"/>
  <c r="A9240" i="79"/>
  <c r="A9241" i="79"/>
  <c r="A9242" i="79"/>
  <c r="A9243" i="79"/>
  <c r="A9244" i="79"/>
  <c r="A9245" i="79"/>
  <c r="A9246" i="79"/>
  <c r="A9247" i="79"/>
  <c r="A9248" i="79"/>
  <c r="A9249" i="79"/>
  <c r="A9250" i="79"/>
  <c r="A9251" i="79"/>
  <c r="A9252" i="79"/>
  <c r="A9253" i="79"/>
  <c r="A9254" i="79"/>
  <c r="A9255" i="79"/>
  <c r="A9256" i="79"/>
  <c r="A9257" i="79"/>
  <c r="A9258" i="79"/>
  <c r="A9259" i="79"/>
  <c r="A9260" i="79"/>
  <c r="A9261" i="79"/>
  <c r="A9262" i="79"/>
  <c r="A9263" i="79"/>
  <c r="A9264" i="79"/>
  <c r="A9265" i="79"/>
  <c r="A9266" i="79"/>
  <c r="A9267" i="79"/>
  <c r="A9268" i="79"/>
  <c r="A9269" i="79"/>
  <c r="A9270" i="79"/>
  <c r="A9271" i="79"/>
  <c r="A9272" i="79"/>
  <c r="A9273" i="79"/>
  <c r="A9274" i="79"/>
  <c r="A9275" i="79"/>
  <c r="A9276" i="79"/>
  <c r="A9277" i="79"/>
  <c r="A9278" i="79"/>
  <c r="A9279" i="79"/>
  <c r="A9280" i="79"/>
  <c r="A9281" i="79"/>
  <c r="A9282" i="79"/>
  <c r="A9283" i="79"/>
  <c r="A9284" i="79"/>
  <c r="A9285" i="79"/>
  <c r="A9286" i="79"/>
  <c r="A9287" i="79"/>
  <c r="A9288" i="79"/>
  <c r="A9289" i="79"/>
  <c r="A9290" i="79"/>
  <c r="A9291" i="79"/>
  <c r="A9292" i="79"/>
  <c r="A9293" i="79"/>
  <c r="A9294" i="79"/>
  <c r="A9295" i="79"/>
  <c r="A9296" i="79"/>
  <c r="A9297" i="79"/>
  <c r="A9298" i="79"/>
  <c r="A9299" i="79"/>
  <c r="A9300" i="79"/>
  <c r="A9301" i="79"/>
  <c r="A9302" i="79"/>
  <c r="A9303" i="79"/>
  <c r="A9304" i="79"/>
  <c r="A9305" i="79"/>
  <c r="A9306" i="79"/>
  <c r="A9307" i="79"/>
  <c r="A9308" i="79"/>
  <c r="A9309" i="79"/>
  <c r="A9310" i="79"/>
  <c r="A9311" i="79"/>
  <c r="A9312" i="79"/>
  <c r="A9313" i="79"/>
  <c r="A9314" i="79"/>
  <c r="A9315" i="79"/>
  <c r="A9316" i="79"/>
  <c r="A9317" i="79"/>
  <c r="A9318" i="79"/>
  <c r="A9319" i="79"/>
  <c r="A9320" i="79"/>
  <c r="A9321" i="79"/>
  <c r="A9322" i="79"/>
  <c r="A9323" i="79"/>
  <c r="A9324" i="79"/>
  <c r="A9325" i="79"/>
  <c r="A9326" i="79"/>
  <c r="A9327" i="79"/>
  <c r="A9328" i="79"/>
  <c r="A9329" i="79"/>
  <c r="A9330" i="79"/>
  <c r="A9331" i="79"/>
  <c r="A9332" i="79"/>
  <c r="A9333" i="79"/>
  <c r="A9334" i="79"/>
  <c r="A9335" i="79"/>
  <c r="A9336" i="79"/>
  <c r="A9337" i="79"/>
  <c r="A9338" i="79"/>
  <c r="A9339" i="79"/>
  <c r="A9340" i="79"/>
  <c r="A9341" i="79"/>
  <c r="A9342" i="79"/>
  <c r="A9343" i="79"/>
  <c r="A9344" i="79"/>
  <c r="A9345" i="79"/>
  <c r="A9346" i="79"/>
  <c r="A9347" i="79"/>
  <c r="A9348" i="79"/>
  <c r="A9349" i="79"/>
  <c r="A9350" i="79"/>
  <c r="A9351" i="79"/>
  <c r="A9352" i="79"/>
  <c r="A9353" i="79"/>
  <c r="A9354" i="79"/>
  <c r="A9355" i="79"/>
  <c r="A9356" i="79"/>
  <c r="A9357" i="79"/>
  <c r="A9358" i="79"/>
  <c r="A9359" i="79"/>
  <c r="A9360" i="79"/>
  <c r="A9361" i="79"/>
  <c r="A9362" i="79"/>
  <c r="A9363" i="79"/>
  <c r="A9364" i="79"/>
  <c r="A9365" i="79"/>
  <c r="A9366" i="79"/>
  <c r="A9367" i="79"/>
  <c r="A9368" i="79"/>
  <c r="A9369" i="79"/>
  <c r="A9370" i="79"/>
  <c r="A9371" i="79"/>
  <c r="A9372" i="79"/>
  <c r="A9373" i="79"/>
  <c r="A9374" i="79"/>
  <c r="A9375" i="79"/>
  <c r="A9376" i="79"/>
  <c r="A9377" i="79"/>
  <c r="A9378" i="79"/>
  <c r="A9379" i="79"/>
  <c r="A9380" i="79"/>
  <c r="A9381" i="79"/>
  <c r="A9382" i="79"/>
  <c r="A9383" i="79"/>
  <c r="A9384" i="79"/>
  <c r="A9385" i="79"/>
  <c r="A9386" i="79"/>
  <c r="A9387" i="79"/>
  <c r="A9388" i="79"/>
  <c r="A9389" i="79"/>
  <c r="A9390" i="79"/>
  <c r="A9391" i="79"/>
  <c r="A9392" i="79"/>
  <c r="A9393" i="79"/>
  <c r="A9394" i="79"/>
  <c r="A9395" i="79"/>
  <c r="A9396" i="79"/>
  <c r="A9397" i="79"/>
  <c r="A9398" i="79"/>
  <c r="A9399" i="79"/>
  <c r="A9400" i="79"/>
  <c r="A9401" i="79"/>
  <c r="A9402" i="79"/>
  <c r="A9403" i="79"/>
  <c r="A9404" i="79"/>
  <c r="A9405" i="79"/>
  <c r="A9406" i="79"/>
  <c r="A9407" i="79"/>
  <c r="A9408" i="79"/>
  <c r="A9409" i="79"/>
  <c r="A9410" i="79"/>
  <c r="A9411" i="79"/>
  <c r="A9412" i="79"/>
  <c r="A9413" i="79"/>
  <c r="A9414" i="79"/>
  <c r="A9415" i="79"/>
  <c r="A9416" i="79"/>
  <c r="A9417" i="79"/>
  <c r="A9418" i="79"/>
  <c r="A9419" i="79"/>
  <c r="A9420" i="79"/>
  <c r="A9421" i="79"/>
  <c r="A9422" i="79"/>
  <c r="A9423" i="79"/>
  <c r="A9424" i="79"/>
  <c r="A9425" i="79"/>
  <c r="A9426" i="79"/>
  <c r="A9427" i="79"/>
  <c r="A9428" i="79"/>
  <c r="A9429" i="79"/>
  <c r="A9430" i="79"/>
  <c r="A9431" i="79"/>
  <c r="A9432" i="79"/>
  <c r="A9433" i="79"/>
  <c r="A9434" i="79"/>
  <c r="A9435" i="79"/>
  <c r="A9436" i="79"/>
  <c r="A9437" i="79"/>
  <c r="A9438" i="79"/>
  <c r="A9439" i="79"/>
  <c r="A9440" i="79"/>
  <c r="A9441" i="79"/>
  <c r="A9442" i="79"/>
  <c r="A9443" i="79"/>
  <c r="A9444" i="79"/>
  <c r="A9445" i="79"/>
  <c r="A9446" i="79"/>
  <c r="A9447" i="79"/>
  <c r="A9448" i="79"/>
  <c r="A9449" i="79"/>
  <c r="A9450" i="79"/>
  <c r="A9451" i="79"/>
  <c r="A9452" i="79"/>
  <c r="A9453" i="79"/>
  <c r="A9454" i="79"/>
  <c r="A9455" i="79"/>
  <c r="A9456" i="79"/>
  <c r="A9457" i="79"/>
  <c r="A9458" i="79"/>
  <c r="A9459" i="79"/>
  <c r="A9460" i="79"/>
  <c r="A9461" i="79"/>
  <c r="A9462" i="79"/>
  <c r="A9463" i="79"/>
  <c r="A9464" i="79"/>
  <c r="A9465" i="79"/>
  <c r="A9466" i="79"/>
  <c r="A9467" i="79"/>
  <c r="A9468" i="79"/>
  <c r="A9469" i="79"/>
  <c r="A9470" i="79"/>
  <c r="A9471" i="79"/>
  <c r="A9472" i="79"/>
  <c r="A9473" i="79"/>
  <c r="A9474" i="79"/>
  <c r="A9475" i="79"/>
  <c r="A9476" i="79"/>
  <c r="A9477" i="79"/>
  <c r="A9478" i="79"/>
  <c r="A9479" i="79"/>
  <c r="A9480" i="79"/>
  <c r="A9481" i="79"/>
  <c r="A9482" i="79"/>
  <c r="A9483" i="79"/>
  <c r="A9484" i="79"/>
  <c r="A9485" i="79"/>
  <c r="A9486" i="79"/>
  <c r="A9487" i="79"/>
  <c r="A9488" i="79"/>
  <c r="A9489" i="79"/>
  <c r="A9490" i="79"/>
  <c r="A9491" i="79"/>
  <c r="A9492" i="79"/>
  <c r="A9493" i="79"/>
  <c r="A9494" i="79"/>
  <c r="A9495" i="79"/>
  <c r="A9496" i="79"/>
  <c r="A9497" i="79"/>
  <c r="A9498" i="79"/>
  <c r="A9499" i="79"/>
  <c r="A9500" i="79"/>
  <c r="A9501" i="79"/>
  <c r="A9502" i="79"/>
  <c r="A9503" i="79"/>
  <c r="A9504" i="79"/>
  <c r="A9505" i="79"/>
  <c r="A9506" i="79"/>
  <c r="A9507" i="79"/>
  <c r="A9508" i="79"/>
  <c r="A9509" i="79"/>
  <c r="A9510" i="79"/>
  <c r="A9511" i="79"/>
  <c r="A9512" i="79"/>
  <c r="A9513" i="79"/>
  <c r="A9514" i="79"/>
  <c r="A9515" i="79"/>
  <c r="A9516" i="79"/>
  <c r="A9517" i="79"/>
  <c r="A9518" i="79"/>
  <c r="A9519" i="79"/>
  <c r="A9520" i="79"/>
  <c r="A9521" i="79"/>
  <c r="A9522" i="79"/>
  <c r="A9523" i="79"/>
  <c r="A9524" i="79"/>
  <c r="A9525" i="79"/>
  <c r="A9526" i="79"/>
  <c r="A9527" i="79"/>
  <c r="A9528" i="79"/>
  <c r="A9529" i="79"/>
  <c r="A9530" i="79"/>
  <c r="A9531" i="79"/>
  <c r="A9532" i="79"/>
  <c r="A9533" i="79"/>
  <c r="A9534" i="79"/>
  <c r="A9535" i="79"/>
  <c r="A9536" i="79"/>
  <c r="A9537" i="79"/>
  <c r="A9538" i="79"/>
  <c r="A9539" i="79"/>
  <c r="A9540" i="79"/>
  <c r="A9541" i="79"/>
  <c r="A9542" i="79"/>
  <c r="A9543" i="79"/>
  <c r="A9544" i="79"/>
  <c r="A9545" i="79"/>
  <c r="A9546" i="79"/>
  <c r="A9547" i="79"/>
  <c r="A9548" i="79"/>
  <c r="A9549" i="79"/>
  <c r="A9550" i="79"/>
  <c r="A9551" i="79"/>
  <c r="A9552" i="79"/>
  <c r="A9553" i="79"/>
  <c r="A9554" i="79"/>
  <c r="A9555" i="79"/>
  <c r="A9556" i="79"/>
  <c r="A9557" i="79"/>
  <c r="A9558" i="79"/>
  <c r="A9559" i="79"/>
  <c r="A9560" i="79"/>
  <c r="A9561" i="79"/>
  <c r="A9562" i="79"/>
  <c r="A9563" i="79"/>
  <c r="A9564" i="79"/>
  <c r="A9565" i="79"/>
  <c r="A9566" i="79"/>
  <c r="A9567" i="79"/>
  <c r="A9568" i="79"/>
  <c r="A9569" i="79"/>
  <c r="A9570" i="79"/>
  <c r="A9571" i="79"/>
  <c r="A9572" i="79"/>
  <c r="A9573" i="79"/>
  <c r="A9574" i="79"/>
  <c r="A9575" i="79"/>
  <c r="A9576" i="79"/>
  <c r="A9577" i="79"/>
  <c r="A9578" i="79"/>
  <c r="A9579" i="79"/>
  <c r="A9580" i="79"/>
  <c r="A9581" i="79"/>
  <c r="A9582" i="79"/>
  <c r="A9583" i="79"/>
  <c r="A9584" i="79"/>
  <c r="A9585" i="79"/>
  <c r="A9586" i="79"/>
  <c r="A9587" i="79"/>
  <c r="A9588" i="79"/>
  <c r="A9589" i="79"/>
  <c r="A9590" i="79"/>
  <c r="A9591" i="79"/>
  <c r="A9592" i="79"/>
  <c r="A9593" i="79"/>
  <c r="A9594" i="79"/>
  <c r="A9595" i="79"/>
  <c r="A9596" i="79"/>
  <c r="A9597" i="79"/>
  <c r="A9598" i="79"/>
  <c r="A9599" i="79"/>
  <c r="A9600" i="79"/>
  <c r="A9601" i="79"/>
  <c r="A9602" i="79"/>
  <c r="A9603" i="79"/>
  <c r="A9604" i="79"/>
  <c r="A9605" i="79"/>
  <c r="A9606" i="79"/>
  <c r="A9607" i="79"/>
  <c r="A9608" i="79"/>
  <c r="A9609" i="79"/>
  <c r="A9610" i="79"/>
  <c r="A9611" i="79"/>
  <c r="A9612" i="79"/>
  <c r="A9613" i="79"/>
  <c r="A9614" i="79"/>
  <c r="A9615" i="79"/>
  <c r="A9616" i="79"/>
  <c r="A9617" i="79"/>
  <c r="A9618" i="79"/>
  <c r="A9619" i="79"/>
  <c r="A9620" i="79"/>
  <c r="A9621" i="79"/>
  <c r="A9622" i="79"/>
  <c r="A9623" i="79"/>
  <c r="A9624" i="79"/>
  <c r="A9625" i="79"/>
  <c r="A9626" i="79"/>
  <c r="A9627" i="79"/>
  <c r="A9628" i="79"/>
  <c r="A9629" i="79"/>
  <c r="A9630" i="79"/>
  <c r="A9631" i="79"/>
  <c r="A9632" i="79"/>
  <c r="A9633" i="79"/>
  <c r="A9634" i="79"/>
  <c r="A9635" i="79"/>
  <c r="A9636" i="79"/>
  <c r="A9637" i="79"/>
  <c r="A9638" i="79"/>
  <c r="A9639" i="79"/>
  <c r="A9640" i="79"/>
  <c r="A9641" i="79"/>
  <c r="A9642" i="79"/>
  <c r="A9643" i="79"/>
  <c r="A9644" i="79"/>
  <c r="A9645" i="79"/>
  <c r="A9646" i="79"/>
  <c r="A9647" i="79"/>
  <c r="A9648" i="79"/>
  <c r="A9649" i="79"/>
  <c r="A9650" i="79"/>
  <c r="A9651" i="79"/>
  <c r="A9652" i="79"/>
  <c r="A9653" i="79"/>
  <c r="A9654" i="79"/>
  <c r="A9655" i="79"/>
  <c r="A9656" i="79"/>
  <c r="A9657" i="79"/>
  <c r="A9658" i="79"/>
  <c r="A9659" i="79"/>
  <c r="A9660" i="79"/>
  <c r="A9661" i="79"/>
  <c r="A9662" i="79"/>
  <c r="A9663" i="79"/>
  <c r="A9664" i="79"/>
  <c r="A9665" i="79"/>
  <c r="A9666" i="79"/>
  <c r="A9667" i="79"/>
  <c r="A9668" i="79"/>
  <c r="A9669" i="79"/>
  <c r="A9670" i="79"/>
  <c r="A9671" i="79"/>
  <c r="A9672" i="79"/>
  <c r="A9673" i="79"/>
  <c r="A9674" i="79"/>
  <c r="A9675" i="79"/>
  <c r="A9676" i="79"/>
  <c r="A9677" i="79"/>
  <c r="A9678" i="79"/>
  <c r="A9679" i="79"/>
  <c r="A9680" i="79"/>
  <c r="A9681" i="79"/>
  <c r="A9682" i="79"/>
  <c r="A9683" i="79"/>
  <c r="A9684" i="79"/>
  <c r="A9685" i="79"/>
  <c r="A9686" i="79"/>
  <c r="A9687" i="79"/>
  <c r="A9688" i="79"/>
  <c r="A9689" i="79"/>
  <c r="A9690" i="79"/>
  <c r="A9691" i="79"/>
  <c r="A9692" i="79"/>
  <c r="A9693" i="79"/>
  <c r="A9694" i="79"/>
  <c r="A9695" i="79"/>
  <c r="A9696" i="79"/>
  <c r="A9697" i="79"/>
  <c r="A9698" i="79"/>
  <c r="A9699" i="79"/>
  <c r="A9700" i="79"/>
  <c r="A9701" i="79"/>
  <c r="A9702" i="79"/>
  <c r="A9703" i="79"/>
  <c r="A9704" i="79"/>
  <c r="A9705" i="79"/>
  <c r="A9706" i="79"/>
  <c r="A9707" i="79"/>
  <c r="A9708" i="79"/>
  <c r="A9709" i="79"/>
  <c r="A9710" i="79"/>
  <c r="A9711" i="79"/>
  <c r="A9712" i="79"/>
  <c r="A9713" i="79"/>
  <c r="A9714" i="79"/>
  <c r="A9715" i="79"/>
  <c r="A9716" i="79"/>
  <c r="A9717" i="79"/>
  <c r="A9718" i="79"/>
  <c r="A9719" i="79"/>
  <c r="A9720" i="79"/>
  <c r="A9721" i="79"/>
  <c r="A9722" i="79"/>
  <c r="A9723" i="79"/>
  <c r="A9724" i="79"/>
  <c r="A9725" i="79"/>
  <c r="A9726" i="79"/>
  <c r="A9727" i="79"/>
  <c r="A9728" i="79"/>
  <c r="A9729" i="79"/>
  <c r="A9730" i="79"/>
  <c r="A9731" i="79"/>
  <c r="A9732" i="79"/>
  <c r="A9733" i="79"/>
  <c r="A9734" i="79"/>
  <c r="A9735" i="79"/>
  <c r="A9736" i="79"/>
  <c r="A9737" i="79"/>
  <c r="A9738" i="79"/>
  <c r="A9739" i="79"/>
  <c r="A9740" i="79"/>
  <c r="A9741" i="79"/>
  <c r="A9742" i="79"/>
  <c r="A9743" i="79"/>
  <c r="A9744" i="79"/>
  <c r="A9745" i="79"/>
  <c r="A9746" i="79"/>
  <c r="A9747" i="79"/>
  <c r="A9748" i="79"/>
  <c r="A9749" i="79"/>
  <c r="A9750" i="79"/>
  <c r="A9751" i="79"/>
  <c r="A9752" i="79"/>
  <c r="A9753" i="79"/>
  <c r="A9754" i="79"/>
  <c r="A9755" i="79"/>
  <c r="A9756" i="79"/>
  <c r="A9757" i="79"/>
  <c r="A9758" i="79"/>
  <c r="A9759" i="79"/>
  <c r="A9760" i="79"/>
  <c r="A9761" i="79"/>
  <c r="A9762" i="79"/>
  <c r="A9763" i="79"/>
  <c r="A9764" i="79"/>
  <c r="A9765" i="79"/>
  <c r="A9766" i="79"/>
  <c r="A9767" i="79"/>
  <c r="A9768" i="79"/>
  <c r="A9769" i="79"/>
  <c r="A9770" i="79"/>
  <c r="A9771" i="79"/>
  <c r="A9772" i="79"/>
  <c r="A9773" i="79"/>
  <c r="A9774" i="79"/>
  <c r="A9775" i="79"/>
  <c r="A9776" i="79"/>
  <c r="A9777" i="79"/>
  <c r="A9778" i="79"/>
  <c r="A9779" i="79"/>
  <c r="A9780" i="79"/>
  <c r="A9781" i="79"/>
  <c r="A9782" i="79"/>
  <c r="A9783" i="79"/>
  <c r="A9784" i="79"/>
  <c r="A9785" i="79"/>
  <c r="A9786" i="79"/>
  <c r="A9787" i="79"/>
  <c r="A9788" i="79"/>
  <c r="A9789" i="79"/>
  <c r="A9790" i="79"/>
  <c r="A9791" i="79"/>
  <c r="A9792" i="79"/>
  <c r="A9793" i="79"/>
  <c r="A9794" i="79"/>
  <c r="A9795" i="79"/>
  <c r="A9796" i="79"/>
  <c r="A9797" i="79"/>
  <c r="A9798" i="79"/>
  <c r="A9799" i="79"/>
  <c r="A9800" i="79"/>
  <c r="A9801" i="79"/>
  <c r="A9802" i="79"/>
  <c r="A9803" i="79"/>
  <c r="A9804" i="79"/>
  <c r="A9805" i="79"/>
  <c r="A9806" i="79"/>
  <c r="A9807" i="79"/>
  <c r="A9808" i="79"/>
  <c r="A9809" i="79"/>
  <c r="A9810" i="79"/>
  <c r="A9811" i="79"/>
  <c r="A9812" i="79"/>
  <c r="A9813" i="79"/>
  <c r="A9814" i="79"/>
  <c r="A9815" i="79"/>
  <c r="A9816" i="79"/>
  <c r="A9817" i="79"/>
  <c r="A9818" i="79"/>
  <c r="A9819" i="79"/>
  <c r="A9820" i="79"/>
  <c r="A9821" i="79"/>
  <c r="A9822" i="79"/>
  <c r="A9823" i="79"/>
  <c r="A9824" i="79"/>
  <c r="A9825" i="79"/>
  <c r="A9826" i="79"/>
  <c r="A9827" i="79"/>
  <c r="A9828" i="79"/>
  <c r="A9829" i="79"/>
  <c r="A9830" i="79"/>
  <c r="A9831" i="79"/>
  <c r="A9832" i="79"/>
  <c r="A9833" i="79"/>
  <c r="A9834" i="79"/>
  <c r="A9835" i="79"/>
  <c r="A9836" i="79"/>
  <c r="A9837" i="79"/>
  <c r="A9838" i="79"/>
  <c r="A9839" i="79"/>
  <c r="A9840" i="79"/>
  <c r="A9841" i="79"/>
  <c r="A9842" i="79"/>
  <c r="A9843" i="79"/>
  <c r="A9844" i="79"/>
  <c r="A9845" i="79"/>
  <c r="A9846" i="79"/>
  <c r="A9847" i="79"/>
  <c r="A9848" i="79"/>
  <c r="A9849" i="79"/>
  <c r="A9850" i="79"/>
  <c r="A9851" i="79"/>
  <c r="A9852" i="79"/>
  <c r="A9853" i="79"/>
  <c r="A9854" i="79"/>
  <c r="A9855" i="79"/>
  <c r="A9856" i="79"/>
  <c r="A9857" i="79"/>
  <c r="A9858" i="79"/>
  <c r="A9859" i="79"/>
  <c r="A9860" i="79"/>
  <c r="A9861" i="79"/>
  <c r="A9862" i="79"/>
  <c r="A9863" i="79"/>
  <c r="A9864" i="79"/>
  <c r="A9865" i="79"/>
  <c r="A9866" i="79"/>
  <c r="A9867" i="79"/>
  <c r="A9868" i="79"/>
  <c r="A9869" i="79"/>
  <c r="A9870" i="79"/>
  <c r="A9871" i="79"/>
  <c r="A9872" i="79"/>
  <c r="A9873" i="79"/>
  <c r="A9874" i="79"/>
  <c r="A9875" i="79"/>
  <c r="A9876" i="79"/>
  <c r="A9877" i="79"/>
  <c r="A9878" i="79"/>
  <c r="A9879" i="79"/>
  <c r="A9880" i="79"/>
  <c r="A9881" i="79"/>
  <c r="A9882" i="79"/>
  <c r="A9883" i="79"/>
  <c r="A9884" i="79"/>
  <c r="A9885" i="79"/>
  <c r="A9886" i="79"/>
  <c r="A9887" i="79"/>
  <c r="A9888" i="79"/>
  <c r="A9889" i="79"/>
  <c r="A9890" i="79"/>
  <c r="A9891" i="79"/>
  <c r="A9892" i="79"/>
  <c r="A9893" i="79"/>
  <c r="A9894" i="79"/>
  <c r="A9895" i="79"/>
  <c r="A9896" i="79"/>
  <c r="A9897" i="79"/>
  <c r="A9898" i="79"/>
  <c r="A9899" i="79"/>
  <c r="A9900" i="79"/>
  <c r="A9901" i="79"/>
  <c r="A9902" i="79"/>
  <c r="A9903" i="79"/>
  <c r="A9904" i="79"/>
  <c r="A9905" i="79"/>
  <c r="A9906" i="79"/>
  <c r="A9907" i="79"/>
  <c r="A9908" i="79"/>
  <c r="A9909" i="79"/>
  <c r="A9910" i="79"/>
  <c r="A9911" i="79"/>
  <c r="A9912" i="79"/>
  <c r="A9913" i="79"/>
  <c r="A9914" i="79"/>
  <c r="A9915" i="79"/>
  <c r="A9916" i="79"/>
  <c r="A9917" i="79"/>
  <c r="A9918" i="79"/>
  <c r="A9919" i="79"/>
  <c r="A9920" i="79"/>
  <c r="A9921" i="79"/>
  <c r="A9922" i="79"/>
  <c r="A9923" i="79"/>
  <c r="A9924" i="79"/>
  <c r="A9925" i="79"/>
  <c r="A9926" i="79"/>
  <c r="A9927" i="79"/>
  <c r="A9928" i="79"/>
  <c r="A9929" i="79"/>
  <c r="A9930" i="79"/>
  <c r="A9931" i="79"/>
  <c r="A9932" i="79"/>
  <c r="A9933" i="79"/>
  <c r="A9934" i="79"/>
  <c r="A9935" i="79"/>
  <c r="A9936" i="79"/>
  <c r="A9937" i="79"/>
  <c r="A9938" i="79"/>
  <c r="A9939" i="79"/>
  <c r="A9940" i="79"/>
  <c r="A9941" i="79"/>
  <c r="A9942" i="79"/>
  <c r="A9943" i="79"/>
  <c r="A9944" i="79"/>
  <c r="A9945" i="79"/>
  <c r="A9946" i="79"/>
  <c r="A9947" i="79"/>
  <c r="A9948" i="79"/>
  <c r="A9949" i="79"/>
  <c r="A9950" i="79"/>
  <c r="A9951" i="79"/>
  <c r="A9952" i="79"/>
  <c r="A9953" i="79"/>
  <c r="A9954" i="79"/>
  <c r="A9955" i="79"/>
  <c r="A9956" i="79"/>
  <c r="A9957" i="79"/>
  <c r="A9958" i="79"/>
  <c r="A9959" i="79"/>
  <c r="A9960" i="79"/>
  <c r="A9961" i="79"/>
  <c r="A9962" i="79"/>
  <c r="A9963" i="79"/>
  <c r="A9964" i="79"/>
  <c r="A9965" i="79"/>
  <c r="A9966" i="79"/>
  <c r="A9967" i="79"/>
  <c r="A9968" i="79"/>
  <c r="A9969" i="79"/>
  <c r="A9970" i="79"/>
  <c r="A9971" i="79"/>
  <c r="A9972" i="79"/>
  <c r="A9973" i="79"/>
  <c r="A9974" i="79"/>
  <c r="A9975" i="79"/>
  <c r="A9976" i="79"/>
  <c r="A9977" i="79"/>
  <c r="A9978" i="79"/>
  <c r="A9979" i="79"/>
  <c r="A9980" i="79"/>
  <c r="A9981" i="79"/>
  <c r="A9982" i="79"/>
  <c r="A9983" i="79"/>
  <c r="A9984" i="79"/>
  <c r="A9985" i="79"/>
  <c r="A9986" i="79"/>
  <c r="A9987" i="79"/>
  <c r="A9988" i="79"/>
  <c r="A9989" i="79"/>
  <c r="A9990" i="79"/>
  <c r="A9991" i="79"/>
  <c r="A9992" i="79"/>
  <c r="A9993" i="79"/>
  <c r="A9994" i="79"/>
  <c r="A9995" i="79"/>
  <c r="A9996" i="79"/>
  <c r="A9997" i="79"/>
  <c r="A9998" i="79"/>
  <c r="A9999" i="79"/>
  <c r="A10000" i="79"/>
  <c r="A10001" i="79"/>
  <c r="A10002" i="79"/>
  <c r="A10003" i="79"/>
  <c r="A10004" i="79"/>
  <c r="A10005" i="79"/>
  <c r="A10006" i="79"/>
  <c r="A10007" i="79"/>
  <c r="A10008" i="79"/>
  <c r="A10009" i="79"/>
  <c r="A10010" i="79"/>
  <c r="A10011" i="79"/>
  <c r="A10012" i="79"/>
  <c r="A10013" i="79"/>
  <c r="A10014" i="79"/>
  <c r="A10015" i="79"/>
  <c r="A10016" i="79"/>
  <c r="A10017" i="79"/>
  <c r="A10018" i="79"/>
  <c r="A10019" i="79"/>
  <c r="A10020" i="79"/>
  <c r="A10021" i="79"/>
  <c r="A10022" i="79"/>
  <c r="A10023" i="79"/>
  <c r="A10024" i="79"/>
  <c r="A10025" i="79"/>
  <c r="A10026" i="79"/>
  <c r="A10027" i="79"/>
  <c r="A10028" i="79"/>
  <c r="A10029" i="79"/>
  <c r="A10030" i="79"/>
  <c r="A10031" i="79"/>
  <c r="A10032" i="79"/>
  <c r="A10033" i="79"/>
  <c r="A10034" i="79"/>
  <c r="A10035" i="79"/>
  <c r="A10036" i="79"/>
  <c r="A10037" i="79"/>
  <c r="A10038" i="79"/>
  <c r="A10039" i="79"/>
  <c r="A10040" i="79"/>
  <c r="A10041" i="79"/>
  <c r="A10042" i="79"/>
  <c r="A10043" i="79"/>
  <c r="A10044" i="79"/>
  <c r="A10045" i="79"/>
  <c r="A10046" i="79"/>
  <c r="A10047" i="79"/>
  <c r="A10048" i="79"/>
  <c r="A10049" i="79"/>
  <c r="A10050" i="79"/>
  <c r="A10051" i="79"/>
  <c r="A10052" i="79"/>
  <c r="A10053" i="79"/>
  <c r="A10054" i="79"/>
  <c r="A10055" i="79"/>
  <c r="A10056" i="79"/>
  <c r="A10057" i="79"/>
  <c r="A10058" i="79"/>
  <c r="A10059" i="79"/>
  <c r="A10060" i="79"/>
  <c r="A10061" i="79"/>
  <c r="A10062" i="79"/>
  <c r="A10063" i="79"/>
  <c r="A10064" i="79"/>
  <c r="A10065" i="79"/>
  <c r="A10066" i="79"/>
  <c r="A10067" i="79"/>
  <c r="A10068" i="79"/>
  <c r="A10069" i="79"/>
  <c r="A10070" i="79"/>
  <c r="A10071" i="79"/>
  <c r="A10072" i="79"/>
  <c r="A10073" i="79"/>
  <c r="A10074" i="79"/>
  <c r="A10075" i="79"/>
  <c r="A10076" i="79"/>
  <c r="A10077" i="79"/>
  <c r="A10078" i="79"/>
  <c r="A10079" i="79"/>
  <c r="A10080" i="79"/>
  <c r="A10081" i="79"/>
  <c r="A10082" i="79"/>
  <c r="A10083" i="79"/>
  <c r="A10084" i="79"/>
  <c r="A10085" i="79"/>
  <c r="A10086" i="79"/>
  <c r="A10087" i="79"/>
  <c r="A10088" i="79"/>
  <c r="A10089" i="79"/>
  <c r="A10090" i="79"/>
  <c r="A10091" i="79"/>
  <c r="A10092" i="79"/>
  <c r="A10093" i="79"/>
  <c r="A10094" i="79"/>
  <c r="A10095" i="79"/>
  <c r="A10096" i="79"/>
  <c r="A10097" i="79"/>
  <c r="A10098" i="79"/>
  <c r="A10099" i="79"/>
  <c r="A10100" i="79"/>
  <c r="A10101" i="79"/>
  <c r="A10102" i="79"/>
  <c r="A10103" i="79"/>
  <c r="A10104" i="79"/>
  <c r="A10105" i="79"/>
  <c r="A10106" i="79"/>
  <c r="A10107" i="79"/>
  <c r="A10108" i="79"/>
  <c r="A10109" i="79"/>
  <c r="A10110" i="79"/>
  <c r="A10111" i="79"/>
  <c r="A10112" i="79"/>
  <c r="A10113" i="79"/>
  <c r="A10114" i="79"/>
  <c r="A10115" i="79"/>
  <c r="A10116" i="79"/>
  <c r="A10117" i="79"/>
  <c r="A10118" i="79"/>
  <c r="A10119" i="79"/>
  <c r="A10120" i="79"/>
  <c r="A10121" i="79"/>
  <c r="A10122" i="79"/>
  <c r="A10123" i="79"/>
  <c r="A10124" i="79"/>
  <c r="A10125" i="79"/>
  <c r="A10126" i="79"/>
  <c r="A10127" i="79"/>
  <c r="A10128" i="79"/>
  <c r="A10129" i="79"/>
  <c r="A10130" i="79"/>
  <c r="A10131" i="79"/>
  <c r="A10132" i="79"/>
  <c r="A10133" i="79"/>
  <c r="A10134" i="79"/>
  <c r="A10135" i="79"/>
  <c r="A10136" i="79"/>
  <c r="A10137" i="79"/>
  <c r="A10138" i="79"/>
  <c r="A10139" i="79"/>
  <c r="A10140" i="79"/>
  <c r="A10141" i="79"/>
  <c r="A10142" i="79"/>
  <c r="A10143" i="79"/>
  <c r="A10144" i="79"/>
  <c r="A10145" i="79"/>
  <c r="A10146" i="79"/>
  <c r="A10147" i="79"/>
  <c r="A10148" i="79"/>
  <c r="A10149" i="79"/>
  <c r="A10150" i="79"/>
  <c r="A10151" i="79"/>
  <c r="A10152" i="79"/>
  <c r="A10153" i="79"/>
  <c r="A10154" i="79"/>
  <c r="A10155" i="79"/>
  <c r="A10156" i="79"/>
  <c r="A10157" i="79"/>
  <c r="A10158" i="79"/>
  <c r="A10159" i="79"/>
  <c r="A10160" i="79"/>
  <c r="A10161" i="79"/>
  <c r="A10162" i="79"/>
  <c r="A10163" i="79"/>
  <c r="A10164" i="79"/>
  <c r="A10165" i="79"/>
  <c r="A10166" i="79"/>
  <c r="A10167" i="79"/>
  <c r="A10168" i="79"/>
  <c r="A10169" i="79"/>
  <c r="A10170" i="79"/>
  <c r="A10171" i="79"/>
  <c r="A10172" i="79"/>
  <c r="A10173" i="79"/>
  <c r="A10174" i="79"/>
  <c r="A10175" i="79"/>
  <c r="A10176" i="79"/>
  <c r="A10177" i="79"/>
  <c r="A10178" i="79"/>
  <c r="A10179" i="79"/>
  <c r="A10180" i="79"/>
  <c r="A10181" i="79"/>
  <c r="A10182" i="79"/>
  <c r="A10183" i="79"/>
  <c r="A10184" i="79"/>
  <c r="A10185" i="79"/>
  <c r="A10186" i="79"/>
  <c r="A10187" i="79"/>
  <c r="A10188" i="79"/>
  <c r="A10189" i="79"/>
  <c r="A10190" i="79"/>
  <c r="A10191" i="79"/>
  <c r="A10192" i="79"/>
  <c r="A10193" i="79"/>
  <c r="A10194" i="79"/>
  <c r="A10195" i="79"/>
  <c r="A10196" i="79"/>
  <c r="A10197" i="79"/>
  <c r="A10198" i="79"/>
  <c r="A10199" i="79"/>
  <c r="A10200" i="79"/>
  <c r="A10201" i="79"/>
  <c r="A10202" i="79"/>
  <c r="A10203" i="79"/>
  <c r="A10204" i="79"/>
  <c r="A10205" i="79"/>
  <c r="A10206" i="79"/>
  <c r="A10207" i="79"/>
  <c r="A10208" i="79"/>
  <c r="A10209" i="79"/>
  <c r="A10210" i="79"/>
  <c r="A10211" i="79"/>
  <c r="A10212" i="79"/>
  <c r="A10213" i="79"/>
  <c r="A10214" i="79"/>
  <c r="A10215" i="79"/>
  <c r="A10216" i="79"/>
  <c r="A10217" i="79"/>
  <c r="A10218" i="79"/>
  <c r="A10219" i="79"/>
  <c r="A10220" i="79"/>
  <c r="A10221" i="79"/>
  <c r="A10222" i="79"/>
  <c r="A10223" i="79"/>
  <c r="A10224" i="79"/>
  <c r="A10225" i="79"/>
  <c r="A10226" i="79"/>
  <c r="A10227" i="79"/>
  <c r="A10228" i="79"/>
  <c r="A10229" i="79"/>
  <c r="A10230" i="79"/>
  <c r="A10231" i="79"/>
  <c r="A10232" i="79"/>
  <c r="A10233" i="79"/>
  <c r="A10234" i="79"/>
  <c r="A10235" i="79"/>
  <c r="A10236" i="79"/>
  <c r="A10237" i="79"/>
  <c r="A10238" i="79"/>
  <c r="A10239" i="79"/>
  <c r="A10240" i="79"/>
  <c r="A10241" i="79"/>
  <c r="A10242" i="79"/>
  <c r="A10243" i="79"/>
  <c r="A10244" i="79"/>
  <c r="A10245" i="79"/>
  <c r="A10246" i="79"/>
  <c r="A10247" i="79"/>
  <c r="A10248" i="79"/>
  <c r="A10249" i="79"/>
  <c r="A10250" i="79"/>
  <c r="A10251" i="79"/>
  <c r="A10252" i="79"/>
  <c r="A10253" i="79"/>
  <c r="A10254" i="79"/>
  <c r="A10255" i="79"/>
  <c r="A10256" i="79"/>
  <c r="A10257" i="79"/>
  <c r="A10258" i="79"/>
  <c r="A10259" i="79"/>
  <c r="A10260" i="79"/>
  <c r="A10261" i="79"/>
  <c r="A10262" i="79"/>
  <c r="A10263" i="79"/>
  <c r="A10264" i="79"/>
  <c r="A10265" i="79"/>
  <c r="A10266" i="79"/>
  <c r="A10267" i="79"/>
  <c r="A10268" i="79"/>
  <c r="A10269" i="79"/>
  <c r="A10270" i="79"/>
  <c r="A10271" i="79"/>
  <c r="A10272" i="79"/>
  <c r="A10273" i="79"/>
  <c r="A10274" i="79"/>
  <c r="A10275" i="79"/>
  <c r="A10276" i="79"/>
  <c r="A10277" i="79"/>
  <c r="A10278" i="79"/>
  <c r="A10279" i="79"/>
  <c r="A10280" i="79"/>
  <c r="A10281" i="79"/>
  <c r="A10282" i="79"/>
  <c r="A10283" i="79"/>
  <c r="A10284" i="79"/>
  <c r="A10285" i="79"/>
  <c r="A10286" i="79"/>
  <c r="A10287" i="79"/>
  <c r="A10288" i="79"/>
  <c r="A10289" i="79"/>
  <c r="A10290" i="79"/>
  <c r="A10291" i="79"/>
  <c r="A10292" i="79"/>
  <c r="A10293" i="79"/>
  <c r="A10294" i="79"/>
  <c r="A10295" i="79"/>
  <c r="A10296" i="79"/>
  <c r="A10297" i="79"/>
  <c r="A10298" i="79"/>
  <c r="A10299" i="79"/>
  <c r="A10300" i="79"/>
  <c r="A10301" i="79"/>
  <c r="A10302" i="79"/>
  <c r="A10303" i="79"/>
  <c r="A10304" i="79"/>
  <c r="A10305" i="79"/>
  <c r="A10306" i="79"/>
  <c r="A10307" i="79"/>
  <c r="A10308" i="79"/>
  <c r="A10309" i="79"/>
  <c r="A10310" i="79"/>
  <c r="A10311" i="79"/>
  <c r="A10312" i="79"/>
  <c r="A10313" i="79"/>
  <c r="A10314" i="79"/>
  <c r="A10315" i="79"/>
  <c r="A10316" i="79"/>
  <c r="A10317" i="79"/>
  <c r="A10318" i="79"/>
  <c r="A10319" i="79"/>
  <c r="A10320" i="79"/>
  <c r="A10321" i="79"/>
  <c r="A10322" i="79"/>
  <c r="A10323" i="79"/>
  <c r="A10324" i="79"/>
  <c r="A10325" i="79"/>
  <c r="A10326" i="79"/>
  <c r="A10327" i="79"/>
  <c r="A10328" i="79"/>
  <c r="A10329" i="79"/>
  <c r="A10330" i="79"/>
  <c r="A10331" i="79"/>
  <c r="A10332" i="79"/>
  <c r="A10333" i="79"/>
  <c r="A10334" i="79"/>
  <c r="A10335" i="79"/>
  <c r="A10336" i="79"/>
  <c r="A10337" i="79"/>
  <c r="A10338" i="79"/>
  <c r="A10339" i="79"/>
  <c r="A10340" i="79"/>
  <c r="A10341" i="79"/>
  <c r="A10342" i="79"/>
  <c r="A10343" i="79"/>
  <c r="A10344" i="79"/>
  <c r="A10345" i="79"/>
  <c r="A10346" i="79"/>
  <c r="A10347" i="79"/>
  <c r="A10348" i="79"/>
  <c r="A10349" i="79"/>
  <c r="A10350" i="79"/>
  <c r="A10351" i="79"/>
  <c r="A10352" i="79"/>
  <c r="A10353" i="79"/>
  <c r="A10354" i="79"/>
  <c r="A10355" i="79"/>
  <c r="A10356" i="79"/>
  <c r="A10357" i="79"/>
  <c r="A10358" i="79"/>
  <c r="A10359" i="79"/>
  <c r="A10360" i="79"/>
  <c r="A10361" i="79"/>
  <c r="A10362" i="79"/>
  <c r="A10363" i="79"/>
  <c r="A10364" i="79"/>
  <c r="A10365" i="79"/>
  <c r="A10366" i="79"/>
  <c r="A10367" i="79"/>
  <c r="A10368" i="79"/>
  <c r="A10369" i="79"/>
  <c r="A10370" i="79"/>
  <c r="A10371" i="79"/>
  <c r="A10372" i="79"/>
  <c r="A10373" i="79"/>
  <c r="A10374" i="79"/>
  <c r="A10375" i="79"/>
  <c r="A10376" i="79"/>
  <c r="A10377" i="79"/>
  <c r="A10378" i="79"/>
  <c r="A10379" i="79"/>
  <c r="A10380" i="79"/>
  <c r="A10381" i="79"/>
  <c r="A10382" i="79"/>
  <c r="A10383" i="79"/>
  <c r="A10384" i="79"/>
  <c r="A10385" i="79"/>
  <c r="A10386" i="79"/>
  <c r="A10387" i="79"/>
  <c r="A10388" i="79"/>
  <c r="A10389" i="79"/>
  <c r="A10390" i="79"/>
  <c r="A10391" i="79"/>
  <c r="A10392" i="79"/>
  <c r="A10393" i="79"/>
  <c r="A10394" i="79"/>
  <c r="A10395" i="79"/>
  <c r="A10396" i="79"/>
  <c r="A10397" i="79"/>
  <c r="A10398" i="79"/>
  <c r="A10399" i="79"/>
  <c r="A10400" i="79"/>
  <c r="A10401" i="79"/>
  <c r="A10402" i="79"/>
  <c r="A10403" i="79"/>
  <c r="A10404" i="79"/>
  <c r="A10405" i="79"/>
  <c r="A10406" i="79"/>
  <c r="A10407" i="79"/>
  <c r="A10408" i="79"/>
  <c r="A10409" i="79"/>
  <c r="A10410" i="79"/>
  <c r="A10411" i="79"/>
  <c r="A10412" i="79"/>
  <c r="A10413" i="79"/>
  <c r="A10414" i="79"/>
  <c r="A10415" i="79"/>
  <c r="A10416" i="79"/>
  <c r="A10417" i="79"/>
  <c r="A10418" i="79"/>
  <c r="A10419" i="79"/>
  <c r="A10420" i="79"/>
  <c r="A10421" i="79"/>
  <c r="A10422" i="79"/>
  <c r="A10423" i="79"/>
  <c r="A10424" i="79"/>
  <c r="A10425" i="79"/>
  <c r="A10426" i="79"/>
  <c r="A10427" i="79"/>
  <c r="A10428" i="79"/>
  <c r="A10429" i="79"/>
  <c r="A10430" i="79"/>
  <c r="A10431" i="79"/>
  <c r="A10432" i="79"/>
  <c r="A10433" i="79"/>
  <c r="A10434" i="79"/>
  <c r="A10435" i="79"/>
  <c r="A10436" i="79"/>
  <c r="A10437" i="79"/>
  <c r="A10438" i="79"/>
  <c r="A10439" i="79"/>
  <c r="A10440" i="79"/>
  <c r="A10441" i="79"/>
  <c r="A10442" i="79"/>
  <c r="A10443" i="79"/>
  <c r="A10444" i="79"/>
  <c r="A10445" i="79"/>
  <c r="A10446" i="79"/>
  <c r="A10447" i="79"/>
  <c r="A10448" i="79"/>
  <c r="A10449" i="79"/>
  <c r="A10450" i="79"/>
  <c r="A10451" i="79"/>
  <c r="A10452" i="79"/>
  <c r="A10453" i="79"/>
  <c r="A10454" i="79"/>
  <c r="A10455" i="79"/>
  <c r="A10456" i="79"/>
  <c r="A10457" i="79"/>
  <c r="A10458" i="79"/>
  <c r="A10459" i="79"/>
  <c r="A10460" i="79"/>
  <c r="A10461" i="79"/>
  <c r="A10462" i="79"/>
  <c r="A10463" i="79"/>
  <c r="A10464" i="79"/>
  <c r="A10465" i="79"/>
  <c r="A10466" i="79"/>
  <c r="A10467" i="79"/>
  <c r="A10468" i="79"/>
  <c r="A10469" i="79"/>
  <c r="A10470" i="79"/>
  <c r="A10471" i="79"/>
  <c r="A10472" i="79"/>
  <c r="A10473" i="79"/>
  <c r="A10474" i="79"/>
  <c r="A10475" i="79"/>
  <c r="A10476" i="79"/>
  <c r="A10477" i="79"/>
  <c r="A10478" i="79"/>
  <c r="A10479" i="79"/>
  <c r="A10480" i="79"/>
  <c r="A10481" i="79"/>
  <c r="A10482" i="79"/>
  <c r="A10483" i="79"/>
  <c r="A10484" i="79"/>
  <c r="A10485" i="79"/>
  <c r="A10486" i="79"/>
  <c r="A10487" i="79"/>
  <c r="A10488" i="79"/>
  <c r="A10489" i="79"/>
  <c r="A10490" i="79"/>
  <c r="A10491" i="79"/>
  <c r="A10492" i="79"/>
  <c r="A10493" i="79"/>
  <c r="A10494" i="79"/>
  <c r="A10495" i="79"/>
  <c r="A10496" i="79"/>
  <c r="A10497" i="79"/>
  <c r="A10498" i="79"/>
  <c r="A10499" i="79"/>
  <c r="A10500" i="79"/>
  <c r="A10501" i="79"/>
  <c r="A10502" i="79"/>
  <c r="A10503" i="79"/>
  <c r="A10504" i="79"/>
  <c r="A10505" i="79"/>
  <c r="A10506" i="79"/>
  <c r="A10507" i="79"/>
  <c r="A10508" i="79"/>
  <c r="A10509" i="79"/>
  <c r="A10510" i="79"/>
  <c r="A10511" i="79"/>
  <c r="A10512" i="79"/>
  <c r="A10513" i="79"/>
  <c r="A10514" i="79"/>
  <c r="A10515" i="79"/>
  <c r="A10516" i="79"/>
  <c r="A10517" i="79"/>
  <c r="A10518" i="79"/>
  <c r="A10519" i="79"/>
  <c r="A10520" i="79"/>
  <c r="A10521" i="79"/>
  <c r="A10522" i="79"/>
  <c r="A10523" i="79"/>
  <c r="A10524" i="79"/>
  <c r="A10525" i="79"/>
  <c r="A10526" i="79"/>
  <c r="A10527" i="79"/>
  <c r="A10528" i="79"/>
  <c r="A10529" i="79"/>
  <c r="A10530" i="79"/>
  <c r="A10531" i="79"/>
  <c r="A10532" i="79"/>
  <c r="A10533" i="79"/>
  <c r="A10534" i="79"/>
  <c r="A10535" i="79"/>
  <c r="A10536" i="79"/>
  <c r="A10537" i="79"/>
  <c r="A10538" i="79"/>
  <c r="A10539" i="79"/>
  <c r="A10540" i="79"/>
  <c r="A10541" i="79"/>
  <c r="A10542" i="79"/>
  <c r="A10543" i="79"/>
  <c r="A10544" i="79"/>
  <c r="A10545" i="79"/>
  <c r="A10546" i="79"/>
  <c r="A10547" i="79"/>
  <c r="A10548" i="79"/>
  <c r="A10549" i="79"/>
  <c r="A10550" i="79"/>
  <c r="A10551" i="79"/>
  <c r="A10552" i="79"/>
  <c r="A10553" i="79"/>
  <c r="A10554" i="79"/>
  <c r="A10555" i="79"/>
  <c r="A10556" i="79"/>
  <c r="A10557" i="79"/>
  <c r="A10558" i="79"/>
  <c r="A10559" i="79"/>
  <c r="A10560" i="79"/>
  <c r="A10561" i="79"/>
  <c r="A10562" i="79"/>
  <c r="A10563" i="79"/>
  <c r="A10564" i="79"/>
  <c r="A10565" i="79"/>
  <c r="A10566" i="79"/>
  <c r="A10567" i="79"/>
  <c r="A10568" i="79"/>
  <c r="A10569" i="79"/>
  <c r="A10570" i="79"/>
  <c r="A10571" i="79"/>
  <c r="A10572" i="79"/>
  <c r="A10573" i="79"/>
  <c r="A10574" i="79"/>
  <c r="A10575" i="79"/>
  <c r="A10576" i="79"/>
  <c r="A10577" i="79"/>
  <c r="A10578" i="79"/>
  <c r="A10579" i="79"/>
  <c r="A10580" i="79"/>
  <c r="A10581" i="79"/>
  <c r="A10582" i="79"/>
  <c r="A10583" i="79"/>
  <c r="A10584" i="79"/>
  <c r="A10585" i="79"/>
  <c r="A10586" i="79"/>
  <c r="A10587" i="79"/>
  <c r="A10588" i="79"/>
  <c r="A10589" i="79"/>
  <c r="A10590" i="79"/>
  <c r="A10591" i="79"/>
  <c r="A10592" i="79"/>
  <c r="A10593" i="79"/>
  <c r="A10594" i="79"/>
  <c r="A10595" i="79"/>
  <c r="A10596" i="79"/>
  <c r="A10597" i="79"/>
  <c r="A10598" i="79"/>
  <c r="A10599" i="79"/>
  <c r="A10600" i="79"/>
  <c r="A10601" i="79"/>
  <c r="A10602" i="79"/>
  <c r="A10603" i="79"/>
  <c r="A10604" i="79"/>
  <c r="A10605" i="79"/>
  <c r="A10606" i="79"/>
  <c r="A10607" i="79"/>
  <c r="A10608" i="79"/>
  <c r="A10609" i="79"/>
  <c r="A10610" i="79"/>
  <c r="A10611" i="79"/>
  <c r="A10612" i="79"/>
  <c r="A10613" i="79"/>
  <c r="A10614" i="79"/>
  <c r="A10615" i="79"/>
  <c r="A10616" i="79"/>
  <c r="A10617" i="79"/>
  <c r="A10618" i="79"/>
  <c r="A10619" i="79"/>
  <c r="A10620" i="79"/>
  <c r="A10621" i="79"/>
  <c r="A10622" i="79"/>
  <c r="A10623" i="79"/>
  <c r="A10624" i="79"/>
  <c r="A10625" i="79"/>
  <c r="A10626" i="79"/>
  <c r="A10627" i="79"/>
  <c r="A10628" i="79"/>
  <c r="A10629" i="79"/>
  <c r="A10630" i="79"/>
  <c r="A10631" i="79"/>
  <c r="A10632" i="79"/>
  <c r="A10633" i="79"/>
  <c r="A10634" i="79"/>
  <c r="A10635" i="79"/>
  <c r="A10636" i="79"/>
  <c r="A10637" i="79"/>
  <c r="A10638" i="79"/>
  <c r="A10639" i="79"/>
  <c r="A10640" i="79"/>
  <c r="A10641" i="79"/>
  <c r="A10642" i="79"/>
  <c r="A10643" i="79"/>
  <c r="A10644" i="79"/>
  <c r="A10645" i="79"/>
  <c r="A10646" i="79"/>
  <c r="A10647" i="79"/>
  <c r="A10648" i="79"/>
  <c r="A10649" i="79"/>
  <c r="A10650" i="79"/>
  <c r="A10651" i="79"/>
  <c r="A10652" i="79"/>
  <c r="A10653" i="79"/>
  <c r="A10654" i="79"/>
  <c r="A10655" i="79"/>
  <c r="A10656" i="79"/>
  <c r="A10657" i="79"/>
  <c r="A10658" i="79"/>
  <c r="A10659" i="79"/>
  <c r="A10660" i="79"/>
  <c r="A10661" i="79"/>
  <c r="A10662" i="79"/>
  <c r="A10663" i="79"/>
  <c r="A10664" i="79"/>
  <c r="A10665" i="79"/>
  <c r="A10666" i="79"/>
  <c r="A10667" i="79"/>
  <c r="A10668" i="79"/>
  <c r="A10669" i="79"/>
  <c r="A10670" i="79"/>
  <c r="A10671" i="79"/>
  <c r="A10672" i="79"/>
  <c r="A10673" i="79"/>
  <c r="A10674" i="79"/>
  <c r="A10675" i="79"/>
  <c r="A10676" i="79"/>
  <c r="A10677" i="79"/>
  <c r="A10678" i="79"/>
  <c r="A10679" i="79"/>
  <c r="A10680" i="79"/>
  <c r="A10681" i="79"/>
  <c r="A10682" i="79"/>
  <c r="A10683" i="79"/>
  <c r="A10684" i="79"/>
  <c r="A10685" i="79"/>
  <c r="A10686" i="79"/>
  <c r="A10687" i="79"/>
  <c r="A10688" i="79"/>
  <c r="A10689" i="79"/>
  <c r="A10690" i="79"/>
  <c r="A10691" i="79"/>
  <c r="A10692" i="79"/>
  <c r="A10693" i="79"/>
  <c r="A10694" i="79"/>
  <c r="A10695" i="79"/>
  <c r="A10696" i="79"/>
  <c r="A10697" i="79"/>
  <c r="A10698" i="79"/>
  <c r="A10699" i="79"/>
  <c r="A10700" i="79"/>
  <c r="A10701" i="79"/>
  <c r="A10702" i="79"/>
  <c r="A10703" i="79"/>
  <c r="A10704" i="79"/>
  <c r="A10705" i="79"/>
  <c r="A10706" i="79"/>
  <c r="A10707" i="79"/>
  <c r="A10708" i="79"/>
  <c r="A10709" i="79"/>
  <c r="A10710" i="79"/>
  <c r="A10711" i="79"/>
  <c r="A10712" i="79"/>
  <c r="A10713" i="79"/>
  <c r="A10714" i="79"/>
  <c r="A10715" i="79"/>
  <c r="A10716" i="79"/>
  <c r="A10717" i="79"/>
  <c r="A10718" i="79"/>
  <c r="A10719" i="79"/>
  <c r="A10720" i="79"/>
  <c r="A10721" i="79"/>
  <c r="A10722" i="79"/>
  <c r="A10723" i="79"/>
  <c r="A10724" i="79"/>
  <c r="A10725" i="79"/>
  <c r="A10726" i="79"/>
  <c r="A10727" i="79"/>
  <c r="A10728" i="79"/>
  <c r="A10729" i="79"/>
  <c r="A10730" i="79"/>
  <c r="A10731" i="79"/>
  <c r="A10732" i="79"/>
  <c r="A10733" i="79"/>
  <c r="A10734" i="79"/>
  <c r="A10735" i="79"/>
  <c r="A10736" i="79"/>
  <c r="A10737" i="79"/>
  <c r="A10738" i="79"/>
  <c r="A10739" i="79"/>
  <c r="A10740" i="79"/>
  <c r="A10741" i="79"/>
  <c r="A10742" i="79"/>
  <c r="A10743" i="79"/>
  <c r="A10744" i="79"/>
  <c r="A10745" i="79"/>
  <c r="A10746" i="79"/>
  <c r="A10747" i="79"/>
  <c r="A10748" i="79"/>
  <c r="A10749" i="79"/>
  <c r="A10750" i="79"/>
  <c r="A10751" i="79"/>
  <c r="A10752" i="79"/>
  <c r="A10753" i="79"/>
  <c r="A10754" i="79"/>
  <c r="A10755" i="79"/>
  <c r="A10756" i="79"/>
  <c r="A10757" i="79"/>
  <c r="A10758" i="79"/>
  <c r="A10759" i="79"/>
  <c r="A10760" i="79"/>
  <c r="A10761" i="79"/>
  <c r="A10762" i="79"/>
  <c r="A10763" i="79"/>
  <c r="A10764" i="79"/>
  <c r="A10765" i="79"/>
  <c r="A10766" i="79"/>
  <c r="A10767" i="79"/>
  <c r="A10768" i="79"/>
  <c r="A10769" i="79"/>
  <c r="A10770" i="79"/>
  <c r="A10771" i="79"/>
  <c r="A10772" i="79"/>
  <c r="A10773" i="79"/>
  <c r="A10774" i="79"/>
  <c r="A10775" i="79"/>
  <c r="A10776" i="79"/>
  <c r="A10777" i="79"/>
  <c r="A10778" i="79"/>
  <c r="A10779" i="79"/>
  <c r="A10780" i="79"/>
  <c r="A10781" i="79"/>
  <c r="A10782" i="79"/>
  <c r="A10783" i="79"/>
  <c r="A10784" i="79"/>
  <c r="A10785" i="79"/>
  <c r="A10786" i="79"/>
  <c r="A10787" i="79"/>
  <c r="A10788" i="79"/>
  <c r="A10789" i="79"/>
  <c r="A10790" i="79"/>
  <c r="A10791" i="79"/>
  <c r="A10792" i="79"/>
  <c r="A10793" i="79"/>
  <c r="A10794" i="79"/>
  <c r="A10795" i="79"/>
  <c r="A10796" i="79"/>
  <c r="A10797" i="79"/>
  <c r="A10798" i="79"/>
  <c r="A10799" i="79"/>
  <c r="A10800" i="79"/>
  <c r="A10801" i="79"/>
  <c r="A10802" i="79"/>
  <c r="A10803" i="79"/>
  <c r="A10804" i="79"/>
  <c r="A10805" i="79"/>
  <c r="A10806" i="79"/>
  <c r="A10807" i="79"/>
  <c r="A10808" i="79"/>
  <c r="A10809" i="79"/>
  <c r="A10810" i="79"/>
  <c r="A10811" i="79"/>
  <c r="A10812" i="79"/>
  <c r="A10813" i="79"/>
  <c r="A10814" i="79"/>
  <c r="A10815" i="79"/>
  <c r="A10816" i="79"/>
  <c r="A10817" i="79"/>
  <c r="A10818" i="79"/>
  <c r="A10819" i="79"/>
  <c r="A10820" i="79"/>
  <c r="A10821" i="79"/>
  <c r="A10822" i="79"/>
  <c r="A10823" i="79"/>
  <c r="A10824" i="79"/>
  <c r="A10825" i="79"/>
  <c r="A10826" i="79"/>
  <c r="A10827" i="79"/>
  <c r="A10828" i="79"/>
  <c r="A10829" i="79"/>
  <c r="A10830" i="79"/>
  <c r="A10831" i="79"/>
  <c r="A10832" i="79"/>
  <c r="A10833" i="79"/>
  <c r="A10834" i="79"/>
  <c r="A10835" i="79"/>
  <c r="A10836" i="79"/>
  <c r="A10837" i="79"/>
  <c r="A10838" i="79"/>
  <c r="A10839" i="79"/>
  <c r="A10840" i="79"/>
  <c r="A10841" i="79"/>
  <c r="A10842" i="79"/>
  <c r="A10843" i="79"/>
  <c r="A10844" i="79"/>
  <c r="A10845" i="79"/>
  <c r="A10846" i="79"/>
  <c r="A10847" i="79"/>
  <c r="A10848" i="79"/>
  <c r="A10849" i="79"/>
  <c r="A10850" i="79"/>
  <c r="A10851" i="79"/>
  <c r="A10852" i="79"/>
  <c r="A10853" i="79"/>
  <c r="A10854" i="79"/>
  <c r="A10855" i="79"/>
  <c r="A10856" i="79"/>
  <c r="A10857" i="79"/>
  <c r="A10858" i="79"/>
  <c r="A10859" i="79"/>
  <c r="A10860" i="79"/>
  <c r="A10861" i="79"/>
  <c r="A10862" i="79"/>
  <c r="A10863" i="79"/>
  <c r="A10864" i="79"/>
  <c r="A10865" i="79"/>
  <c r="A10866" i="79"/>
  <c r="A10867" i="79"/>
  <c r="A10868" i="79"/>
  <c r="A10869" i="79"/>
  <c r="A10870" i="79"/>
  <c r="A10871" i="79"/>
  <c r="A10872" i="79"/>
  <c r="A10873" i="79"/>
  <c r="A10874" i="79"/>
  <c r="A10875" i="79"/>
  <c r="A10876" i="79"/>
  <c r="A10877" i="79"/>
  <c r="A10878" i="79"/>
  <c r="A10879" i="79"/>
  <c r="A10880" i="79"/>
  <c r="A10881" i="79"/>
  <c r="A10882" i="79"/>
  <c r="A10883" i="79"/>
  <c r="A10884" i="79"/>
  <c r="A10885" i="79"/>
  <c r="A10886" i="79"/>
  <c r="A10887" i="79"/>
  <c r="A10888" i="79"/>
  <c r="A10889" i="79"/>
  <c r="A10890" i="79"/>
  <c r="A10891" i="79"/>
  <c r="A10892" i="79"/>
  <c r="A10893" i="79"/>
  <c r="A10894" i="79"/>
  <c r="A10895" i="79"/>
  <c r="A10896" i="79"/>
  <c r="A10897" i="79"/>
  <c r="A10898" i="79"/>
  <c r="A10899" i="79"/>
  <c r="A10900" i="79"/>
  <c r="A10901" i="79"/>
  <c r="A10902" i="79"/>
  <c r="A10903" i="79"/>
  <c r="A10904" i="79"/>
  <c r="A10905" i="79"/>
  <c r="A10906" i="79"/>
  <c r="A10907" i="79"/>
  <c r="A10908" i="79"/>
  <c r="A10909" i="79"/>
  <c r="A10910" i="79"/>
  <c r="A10911" i="79"/>
  <c r="A10912" i="79"/>
  <c r="A10913" i="79"/>
  <c r="A10914" i="79"/>
  <c r="A10915" i="79"/>
  <c r="A10916" i="79"/>
  <c r="A10917" i="79"/>
  <c r="A10918" i="79"/>
  <c r="A10919" i="79"/>
  <c r="A10920" i="79"/>
  <c r="A10921" i="79"/>
  <c r="A10922" i="79"/>
  <c r="A10923" i="79"/>
  <c r="A10924" i="79"/>
  <c r="A10925" i="79"/>
  <c r="A10926" i="79"/>
  <c r="A10927" i="79"/>
  <c r="A10928" i="79"/>
  <c r="A10929" i="79"/>
  <c r="A10930" i="79"/>
  <c r="A10931" i="79"/>
  <c r="A10932" i="79"/>
  <c r="A10933" i="79"/>
  <c r="A10934" i="79"/>
  <c r="A10935" i="79"/>
  <c r="A10936" i="79"/>
  <c r="A10937" i="79"/>
  <c r="A10938" i="79"/>
  <c r="A10939" i="79"/>
  <c r="A10940" i="79"/>
  <c r="A10941" i="79"/>
  <c r="A10942" i="79"/>
  <c r="A10943" i="79"/>
  <c r="A10944" i="79"/>
  <c r="A10945" i="79"/>
  <c r="A10946" i="79"/>
  <c r="A10947" i="79"/>
  <c r="A10948" i="79"/>
  <c r="A10949" i="79"/>
  <c r="A10950" i="79"/>
  <c r="A10951" i="79"/>
  <c r="A10952" i="79"/>
  <c r="A10953" i="79"/>
  <c r="A10954" i="79"/>
  <c r="A10955" i="79"/>
  <c r="A10956" i="79"/>
  <c r="A10957" i="79"/>
  <c r="A10958" i="79"/>
  <c r="A10959" i="79"/>
  <c r="A10960" i="79"/>
  <c r="A10961" i="79"/>
  <c r="A10962" i="79"/>
  <c r="A10963" i="79"/>
  <c r="A10964" i="79"/>
  <c r="A10965" i="79"/>
  <c r="A10966" i="79"/>
  <c r="A10967" i="79"/>
  <c r="A10968" i="79"/>
  <c r="A10969" i="79"/>
  <c r="A10970" i="79"/>
  <c r="A10971" i="79"/>
  <c r="A10972" i="79"/>
  <c r="A10973" i="79"/>
  <c r="A10974" i="79"/>
  <c r="A10975" i="79"/>
  <c r="A10976" i="79"/>
  <c r="A10977" i="79"/>
  <c r="A10978" i="79"/>
  <c r="A10979" i="79"/>
  <c r="A10980" i="79"/>
  <c r="A10981" i="79"/>
  <c r="A10982" i="79"/>
  <c r="A10983" i="79"/>
  <c r="A10984" i="79"/>
  <c r="A10985" i="79"/>
  <c r="A10986" i="79"/>
  <c r="A10987" i="79"/>
  <c r="A10988" i="79"/>
  <c r="A10989" i="79"/>
  <c r="A10990" i="79"/>
  <c r="A10991" i="79"/>
  <c r="A10992" i="79"/>
  <c r="A10993" i="79"/>
  <c r="A10994" i="79"/>
  <c r="A10995" i="79"/>
  <c r="A10996" i="79"/>
  <c r="A10997" i="79"/>
  <c r="A10998" i="79"/>
  <c r="A10999" i="79"/>
  <c r="A11000" i="79"/>
  <c r="A11001" i="79"/>
  <c r="A11002" i="79"/>
  <c r="A11003" i="79"/>
  <c r="A11004" i="79"/>
  <c r="A11005" i="79"/>
  <c r="A11006" i="79"/>
  <c r="A11007" i="79"/>
  <c r="A11008" i="79"/>
  <c r="A11009" i="79"/>
  <c r="A11010" i="79"/>
  <c r="A11011" i="79"/>
  <c r="A11012" i="79"/>
  <c r="A11013" i="79"/>
  <c r="A11014" i="79"/>
  <c r="A11015" i="79"/>
  <c r="A11016" i="79"/>
  <c r="A11017" i="79"/>
  <c r="A11018" i="79"/>
  <c r="A11019" i="79"/>
  <c r="A11020" i="79"/>
  <c r="A11021" i="79"/>
  <c r="A11022" i="79"/>
  <c r="A11023" i="79"/>
  <c r="A11024" i="79"/>
  <c r="A11025" i="79"/>
  <c r="A11026" i="79"/>
  <c r="A11027" i="79"/>
  <c r="A11028" i="79"/>
  <c r="A11029" i="79"/>
  <c r="A11030" i="79"/>
  <c r="A11031" i="79"/>
  <c r="A11032" i="79"/>
  <c r="A11033" i="79"/>
  <c r="A11034" i="79"/>
  <c r="A11035" i="79"/>
  <c r="A11036" i="79"/>
  <c r="A11037" i="79"/>
  <c r="A11038" i="79"/>
  <c r="A11039" i="79"/>
  <c r="A11040" i="79"/>
  <c r="A11041" i="79"/>
  <c r="A11042" i="79"/>
  <c r="A11043" i="79"/>
  <c r="A11044" i="79"/>
  <c r="A11045" i="79"/>
  <c r="A11046" i="79"/>
  <c r="A11047" i="79"/>
  <c r="A11048" i="79"/>
  <c r="A11049" i="79"/>
  <c r="A11050" i="79"/>
  <c r="A11051" i="79"/>
  <c r="A11052" i="79"/>
  <c r="A11053" i="79"/>
  <c r="A11054" i="79"/>
  <c r="A11055" i="79"/>
  <c r="A11056" i="79"/>
  <c r="A11057" i="79"/>
  <c r="A11058" i="79"/>
  <c r="A11059" i="79"/>
  <c r="A11060" i="79"/>
  <c r="A11061" i="79"/>
  <c r="A11062" i="79"/>
  <c r="A11063" i="79"/>
  <c r="A11064" i="79"/>
  <c r="A11065" i="79"/>
  <c r="A11066" i="79"/>
  <c r="A11067" i="79"/>
  <c r="A11068" i="79"/>
  <c r="A11069" i="79"/>
  <c r="A11070" i="79"/>
  <c r="A11071" i="79"/>
  <c r="A11072" i="79"/>
  <c r="A11073" i="79"/>
  <c r="A11074" i="79"/>
  <c r="A11075" i="79"/>
  <c r="A11076" i="79"/>
  <c r="A11077" i="79"/>
  <c r="A11078" i="79"/>
  <c r="A11079" i="79"/>
  <c r="A11080" i="79"/>
  <c r="A11081" i="79"/>
  <c r="A11082" i="79"/>
  <c r="A11083" i="79"/>
  <c r="A11084" i="79"/>
  <c r="A11085" i="79"/>
  <c r="A11086" i="79"/>
  <c r="A11087" i="79"/>
  <c r="A11088" i="79"/>
  <c r="A11089" i="79"/>
  <c r="A11090" i="79"/>
  <c r="A11091" i="79"/>
  <c r="A11092" i="79"/>
  <c r="A11093" i="79"/>
  <c r="A11094" i="79"/>
  <c r="A11095" i="79"/>
  <c r="A11096" i="79"/>
  <c r="A11097" i="79"/>
  <c r="A11098" i="79"/>
  <c r="A11099" i="79"/>
  <c r="A11100" i="79"/>
  <c r="A11101" i="79"/>
  <c r="A11102" i="79"/>
  <c r="A11103" i="79"/>
  <c r="A11104" i="79"/>
  <c r="A11105" i="79"/>
  <c r="A11106" i="79"/>
  <c r="A11107" i="79"/>
  <c r="A11108" i="79"/>
  <c r="A11109" i="79"/>
  <c r="A11110" i="79"/>
  <c r="A11111" i="79"/>
  <c r="A11112" i="79"/>
  <c r="A11113" i="79"/>
  <c r="A11114" i="79"/>
  <c r="A11115" i="79"/>
  <c r="A11116" i="79"/>
  <c r="A11117" i="79"/>
  <c r="A11118" i="79"/>
  <c r="A11119" i="79"/>
  <c r="A11120" i="79"/>
  <c r="A11121" i="79"/>
  <c r="A11122" i="79"/>
  <c r="A11123" i="79"/>
  <c r="A11124" i="79"/>
  <c r="A11125" i="79"/>
  <c r="A11126" i="79"/>
  <c r="A11127" i="79"/>
  <c r="A11128" i="79"/>
  <c r="A11129" i="79"/>
  <c r="A11130" i="79"/>
  <c r="A11131" i="79"/>
  <c r="A11132" i="79"/>
  <c r="A11133" i="79"/>
  <c r="A11134" i="79"/>
  <c r="A11135" i="79"/>
  <c r="A11136" i="79"/>
  <c r="A11137" i="79"/>
  <c r="A11138" i="79"/>
  <c r="A11139" i="79"/>
  <c r="A11140" i="79"/>
  <c r="A11141" i="79"/>
  <c r="A11142" i="79"/>
  <c r="A11143" i="79"/>
  <c r="A11144" i="79"/>
  <c r="A11145" i="79"/>
  <c r="A11146" i="79"/>
  <c r="A11147" i="79"/>
  <c r="A11148" i="79"/>
  <c r="A11149" i="79"/>
  <c r="A11150" i="79"/>
  <c r="A11151" i="79"/>
  <c r="A11152" i="79"/>
  <c r="A11153" i="79"/>
  <c r="A11154" i="79"/>
  <c r="A11155" i="79"/>
  <c r="A11156" i="79"/>
  <c r="A11157" i="79"/>
  <c r="A11158" i="79"/>
  <c r="A11159" i="79"/>
  <c r="A11160" i="79"/>
  <c r="A11161" i="79"/>
  <c r="A11162" i="79"/>
  <c r="A11163" i="79"/>
  <c r="A11164" i="79"/>
  <c r="A11165" i="79"/>
  <c r="A11166" i="79"/>
  <c r="A11167" i="79"/>
  <c r="A11168" i="79"/>
  <c r="A11169" i="79"/>
  <c r="A11170" i="79"/>
  <c r="A11171" i="79"/>
  <c r="A11172" i="79"/>
  <c r="A11173" i="79"/>
  <c r="A11174" i="79"/>
  <c r="A11175" i="79"/>
  <c r="A11176" i="79"/>
  <c r="A11177" i="79"/>
  <c r="A11178" i="79"/>
  <c r="A11179" i="79"/>
  <c r="A11180" i="79"/>
  <c r="A11181" i="79"/>
  <c r="A11182" i="79"/>
  <c r="A11183" i="79"/>
  <c r="A11184" i="79"/>
  <c r="A11185" i="79"/>
  <c r="A11186" i="79"/>
  <c r="A11187" i="79"/>
  <c r="A11188" i="79"/>
  <c r="A11189" i="79"/>
  <c r="A11190" i="79"/>
  <c r="A11191" i="79"/>
  <c r="A11192" i="79"/>
  <c r="A11193" i="79"/>
  <c r="A11194" i="79"/>
  <c r="A11195" i="79"/>
  <c r="A11196" i="79"/>
  <c r="A11197" i="79"/>
  <c r="A11198" i="79"/>
  <c r="A11199" i="79"/>
  <c r="A11200" i="79"/>
  <c r="A11201" i="79"/>
  <c r="A11202" i="79"/>
  <c r="A11203" i="79"/>
  <c r="A11204" i="79"/>
  <c r="A11205" i="79"/>
  <c r="A11206" i="79"/>
  <c r="A11207" i="79"/>
  <c r="A11208" i="79"/>
  <c r="A11209" i="79"/>
  <c r="A11210" i="79"/>
  <c r="A11211" i="79"/>
  <c r="A11212" i="79"/>
  <c r="A11213" i="79"/>
  <c r="A11214" i="79"/>
  <c r="A11215" i="79"/>
  <c r="A11216" i="79"/>
  <c r="A11217" i="79"/>
  <c r="A11218" i="79"/>
  <c r="A11219" i="79"/>
  <c r="A11220" i="79"/>
  <c r="A11221" i="79"/>
  <c r="A11222" i="79"/>
  <c r="A11223" i="79"/>
  <c r="A11224" i="79"/>
  <c r="A11225" i="79"/>
  <c r="A11226" i="79"/>
  <c r="A11227" i="79"/>
  <c r="A11228" i="79"/>
  <c r="A11229" i="79"/>
  <c r="A11230" i="79"/>
  <c r="A11231" i="79"/>
  <c r="A11232" i="79"/>
  <c r="A11233" i="79"/>
  <c r="A11234" i="79"/>
  <c r="A11235" i="79"/>
  <c r="A11236" i="79"/>
  <c r="A11237" i="79"/>
  <c r="A11238" i="79"/>
  <c r="A11239" i="79"/>
  <c r="A11240" i="79"/>
  <c r="A11241" i="79"/>
  <c r="A11242" i="79"/>
  <c r="A11243" i="79"/>
  <c r="A11244" i="79"/>
  <c r="A11245" i="79"/>
  <c r="A11246" i="79"/>
  <c r="A11247" i="79"/>
  <c r="A11248" i="79"/>
  <c r="A11249" i="79"/>
  <c r="A11250" i="79"/>
  <c r="A11251" i="79"/>
  <c r="A11252" i="79"/>
  <c r="A11253" i="79"/>
  <c r="A11254" i="79"/>
  <c r="A11255" i="79"/>
  <c r="A11256" i="79"/>
  <c r="A11257" i="79"/>
  <c r="A11258" i="79"/>
  <c r="A11259" i="79"/>
  <c r="A11260" i="79"/>
  <c r="A11261" i="79"/>
  <c r="A11262" i="79"/>
  <c r="A11263" i="79"/>
  <c r="A11264" i="79"/>
  <c r="A11265" i="79"/>
  <c r="A11266" i="79"/>
  <c r="A11267" i="79"/>
  <c r="A11268" i="79"/>
  <c r="A11269" i="79"/>
  <c r="A11270" i="79"/>
  <c r="A11271" i="79"/>
  <c r="A11272" i="79"/>
  <c r="A11273" i="79"/>
  <c r="A11274" i="79"/>
  <c r="A11275" i="79"/>
  <c r="A11276" i="79"/>
  <c r="A11277" i="79"/>
  <c r="A11278" i="79"/>
  <c r="A11279" i="79"/>
  <c r="A11280" i="79"/>
  <c r="A11281" i="79"/>
  <c r="A11282" i="79"/>
  <c r="A11283" i="79"/>
  <c r="A11284" i="79"/>
  <c r="A11285" i="79"/>
  <c r="A11286" i="79"/>
  <c r="A11287" i="79"/>
  <c r="A11288" i="79"/>
  <c r="A11289" i="79"/>
  <c r="A11290" i="79"/>
  <c r="A11291" i="79"/>
  <c r="A11292" i="79"/>
  <c r="A11293" i="79"/>
  <c r="A11294" i="79"/>
  <c r="A11295" i="79"/>
  <c r="A11296" i="79"/>
  <c r="A11297" i="79"/>
  <c r="A11298" i="79"/>
  <c r="A11299" i="79"/>
  <c r="A11300" i="79"/>
  <c r="A11301" i="79"/>
  <c r="A11302" i="79"/>
  <c r="A11303" i="79"/>
  <c r="A11304" i="79"/>
  <c r="A11305" i="79"/>
  <c r="A11306" i="79"/>
  <c r="A11307" i="79"/>
  <c r="A11308" i="79"/>
  <c r="A11309" i="79"/>
  <c r="A11310" i="79"/>
  <c r="A11311" i="79"/>
  <c r="A11312" i="79"/>
  <c r="A11313" i="79"/>
  <c r="A11314" i="79"/>
  <c r="A11315" i="79"/>
  <c r="A11316" i="79"/>
  <c r="A11317" i="79"/>
  <c r="A11318" i="79"/>
  <c r="A11319" i="79"/>
  <c r="A11320" i="79"/>
  <c r="A11321" i="79"/>
  <c r="A11322" i="79"/>
  <c r="A11323" i="79"/>
  <c r="A11324" i="79"/>
  <c r="A11325" i="79"/>
  <c r="A11326" i="79"/>
  <c r="A11327" i="79"/>
  <c r="A11328" i="79"/>
  <c r="A11329" i="79"/>
  <c r="A11330" i="79"/>
  <c r="A11331" i="79"/>
  <c r="A11332" i="79"/>
  <c r="A11333" i="79"/>
  <c r="A11334" i="79"/>
  <c r="A11335" i="79"/>
  <c r="A11336" i="79"/>
  <c r="A11337" i="79"/>
  <c r="A11338" i="79"/>
  <c r="A11339" i="79"/>
  <c r="A11340" i="79"/>
  <c r="A11341" i="79"/>
  <c r="A11342" i="79"/>
  <c r="A11343" i="79"/>
  <c r="A11344" i="79"/>
  <c r="A11345" i="79"/>
  <c r="A11346" i="79"/>
  <c r="A11347" i="79"/>
  <c r="A11348" i="79"/>
  <c r="A11349" i="79"/>
  <c r="A11350" i="79"/>
  <c r="A11351" i="79"/>
  <c r="A11352" i="79"/>
  <c r="A11353" i="79"/>
  <c r="A11354" i="79"/>
  <c r="A11355" i="79"/>
  <c r="A11356" i="79"/>
  <c r="A11357" i="79"/>
  <c r="A11358" i="79"/>
  <c r="A11359" i="79"/>
  <c r="A11360" i="79"/>
  <c r="A11361" i="79"/>
  <c r="A11362" i="79"/>
  <c r="A11363" i="79"/>
  <c r="A11364" i="79"/>
  <c r="A11365" i="79"/>
  <c r="A11366" i="79"/>
  <c r="A11367" i="79"/>
  <c r="A11368" i="79"/>
  <c r="A11369" i="79"/>
  <c r="A11370" i="79"/>
  <c r="A11371" i="79"/>
  <c r="A11372" i="79"/>
  <c r="A11373" i="79"/>
  <c r="A11374" i="79"/>
  <c r="A11375" i="79"/>
  <c r="A11376" i="79"/>
  <c r="A11377" i="79"/>
  <c r="A11378" i="79"/>
  <c r="A11379" i="79"/>
  <c r="A11380" i="79"/>
  <c r="A11381" i="79"/>
  <c r="A11382" i="79"/>
  <c r="A11383" i="79"/>
  <c r="A11384" i="79"/>
  <c r="A11385" i="79"/>
  <c r="A11386" i="79"/>
  <c r="A11387" i="79"/>
  <c r="A11388" i="79"/>
  <c r="A11389" i="79"/>
  <c r="A11390" i="79"/>
  <c r="A11391" i="79"/>
  <c r="A11392" i="79"/>
  <c r="A11393" i="79"/>
  <c r="A11394" i="79"/>
  <c r="A11395" i="79"/>
  <c r="A11396" i="79"/>
  <c r="A11397" i="79"/>
  <c r="A11398" i="79"/>
  <c r="A11399" i="79"/>
  <c r="A11400" i="79"/>
  <c r="A11401" i="79"/>
  <c r="A11402" i="79"/>
  <c r="A11403" i="79"/>
  <c r="A11404" i="79"/>
  <c r="A11405" i="79"/>
  <c r="A11406" i="79"/>
  <c r="A11407" i="79"/>
  <c r="A11408" i="79"/>
  <c r="A11409" i="79"/>
  <c r="A11410" i="79"/>
  <c r="A11411" i="79"/>
  <c r="A11412" i="79"/>
  <c r="A11413" i="79"/>
  <c r="A11414" i="79"/>
  <c r="A11415" i="79"/>
  <c r="A11416" i="79"/>
  <c r="A11417" i="79"/>
  <c r="A11418" i="79"/>
  <c r="A11419" i="79"/>
  <c r="A11420" i="79"/>
  <c r="A11421" i="79"/>
  <c r="A11422" i="79"/>
  <c r="A11423" i="79"/>
  <c r="A11424" i="79"/>
  <c r="A11425" i="79"/>
  <c r="A11426" i="79"/>
  <c r="A11427" i="79"/>
  <c r="A11428" i="79"/>
  <c r="A11429" i="79"/>
  <c r="A11430" i="79"/>
  <c r="A11431" i="79"/>
  <c r="A11432" i="79"/>
  <c r="A11433" i="79"/>
  <c r="A11434" i="79"/>
  <c r="A11435" i="79"/>
  <c r="A11436" i="79"/>
  <c r="A11437" i="79"/>
  <c r="A11438" i="79"/>
  <c r="A11439" i="79"/>
  <c r="A11440" i="79"/>
  <c r="A11441" i="79"/>
  <c r="A11442" i="79"/>
  <c r="A11443" i="79"/>
  <c r="A11444" i="79"/>
  <c r="A11445" i="79"/>
  <c r="A11446" i="79"/>
  <c r="A11447" i="79"/>
  <c r="A11448" i="79"/>
  <c r="A11449" i="79"/>
  <c r="A11450" i="79"/>
  <c r="A11451" i="79"/>
  <c r="A11452" i="79"/>
  <c r="A11453" i="79"/>
  <c r="A11454" i="79"/>
  <c r="A11455" i="79"/>
  <c r="A11456" i="79"/>
  <c r="A11457" i="79"/>
  <c r="A11458" i="79"/>
  <c r="A11459" i="79"/>
  <c r="A11460" i="79"/>
  <c r="A11461" i="79"/>
  <c r="A11462" i="79"/>
  <c r="A11463" i="79"/>
  <c r="A11464" i="79"/>
  <c r="A11465" i="79"/>
  <c r="A11466" i="79"/>
  <c r="A11467" i="79"/>
  <c r="A11468" i="79"/>
  <c r="A11469" i="79"/>
  <c r="A11470" i="79"/>
  <c r="A11471" i="79"/>
  <c r="A11472" i="79"/>
  <c r="A11473" i="79"/>
  <c r="A11474" i="79"/>
  <c r="A11475" i="79"/>
  <c r="A11476" i="79"/>
  <c r="A11477" i="79"/>
  <c r="A11478" i="79"/>
  <c r="A11479" i="79"/>
  <c r="A11480" i="79"/>
  <c r="A11481" i="79"/>
  <c r="A11482" i="79"/>
  <c r="A11483" i="79"/>
  <c r="A11484" i="79"/>
  <c r="A11485" i="79"/>
  <c r="A11486" i="79"/>
  <c r="A11487" i="79"/>
  <c r="A11488" i="79"/>
  <c r="A11489" i="79"/>
  <c r="A11490" i="79"/>
  <c r="A11491" i="79"/>
  <c r="A11492" i="79"/>
  <c r="A11493" i="79"/>
  <c r="A11494" i="79"/>
  <c r="A11495" i="79"/>
  <c r="A11496" i="79"/>
  <c r="A11497" i="79"/>
  <c r="A11498" i="79"/>
  <c r="A11499" i="79"/>
  <c r="A11500" i="79"/>
  <c r="A11501" i="79"/>
  <c r="A11502" i="79"/>
  <c r="A11503" i="79"/>
  <c r="A11504" i="79"/>
  <c r="A11505" i="79"/>
  <c r="A11506" i="79"/>
  <c r="A11507" i="79"/>
  <c r="A11508" i="79"/>
  <c r="A11509" i="79"/>
  <c r="A11510" i="79"/>
  <c r="A11511" i="79"/>
  <c r="A11512" i="79"/>
  <c r="A11513" i="79"/>
  <c r="A11514" i="79"/>
  <c r="A11515" i="79"/>
  <c r="A11516" i="79"/>
  <c r="A11517" i="79"/>
  <c r="A11518" i="79"/>
  <c r="A11519" i="79"/>
  <c r="A11520" i="79"/>
  <c r="A11521" i="79"/>
  <c r="A11522" i="79"/>
  <c r="A11523" i="79"/>
  <c r="A11524" i="79"/>
  <c r="A11525" i="79"/>
  <c r="A11526" i="79"/>
  <c r="A11527" i="79"/>
  <c r="A11528" i="79"/>
  <c r="A11529" i="79"/>
  <c r="A11530" i="79"/>
  <c r="A11531" i="79"/>
  <c r="A11532" i="79"/>
  <c r="A11533" i="79"/>
  <c r="A11534" i="79"/>
  <c r="A11535" i="79"/>
  <c r="A11536" i="79"/>
  <c r="A11537" i="79"/>
  <c r="A11538" i="79"/>
  <c r="A11539" i="79"/>
  <c r="A11540" i="79"/>
  <c r="A11541" i="79"/>
  <c r="A11542" i="79"/>
  <c r="A11543" i="79"/>
  <c r="A11544" i="79"/>
  <c r="A11545" i="79"/>
  <c r="A11546" i="79"/>
  <c r="A11547" i="79"/>
  <c r="A11548" i="79"/>
  <c r="A11549" i="79"/>
  <c r="A11550" i="79"/>
  <c r="A11551" i="79"/>
  <c r="A11552" i="79"/>
  <c r="A11553" i="79"/>
  <c r="A11554" i="79"/>
  <c r="A11555" i="79"/>
  <c r="A11556" i="79"/>
  <c r="A11557" i="79"/>
  <c r="A11558" i="79"/>
  <c r="A11559" i="79"/>
  <c r="A11560" i="79"/>
  <c r="A11561" i="79"/>
  <c r="A11562" i="79"/>
  <c r="A11563" i="79"/>
  <c r="A11564" i="79"/>
  <c r="A11565" i="79"/>
  <c r="A11566" i="79"/>
  <c r="A11567" i="79"/>
  <c r="A11568" i="79"/>
  <c r="A11569" i="79"/>
  <c r="A11570" i="79"/>
  <c r="A11571" i="79"/>
  <c r="A11572" i="79"/>
  <c r="A11573" i="79"/>
  <c r="A11574" i="79"/>
  <c r="A11575" i="79"/>
  <c r="A11576" i="79"/>
  <c r="A11577" i="79"/>
  <c r="A11578" i="79"/>
  <c r="A11579" i="79"/>
  <c r="A11580" i="79"/>
  <c r="A11581" i="79"/>
  <c r="A11582" i="79"/>
  <c r="A11583" i="79"/>
  <c r="A11584" i="79"/>
  <c r="A11585" i="79"/>
  <c r="A11586" i="79"/>
  <c r="A11587" i="79"/>
  <c r="A11588" i="79"/>
  <c r="A11589" i="79"/>
  <c r="A11590" i="79"/>
  <c r="A11591" i="79"/>
  <c r="A11592" i="79"/>
  <c r="A11593" i="79"/>
  <c r="A11594" i="79"/>
  <c r="A11595" i="79"/>
  <c r="A11596" i="79"/>
  <c r="A11597" i="79"/>
  <c r="A11598" i="79"/>
  <c r="A11599" i="79"/>
  <c r="A11600" i="79"/>
  <c r="A11601" i="79"/>
  <c r="A11602" i="79"/>
  <c r="A11603" i="79"/>
  <c r="A11604" i="79"/>
  <c r="A11605" i="79"/>
  <c r="A11606" i="79"/>
  <c r="A11607" i="79"/>
  <c r="A11608" i="79"/>
  <c r="A11609" i="79"/>
  <c r="A11610" i="79"/>
  <c r="A11611" i="79"/>
  <c r="A11612" i="79"/>
  <c r="A11613" i="79"/>
  <c r="A11614" i="79"/>
  <c r="A11615" i="79"/>
  <c r="A11616" i="79"/>
  <c r="A11617" i="79"/>
  <c r="A11618" i="79"/>
  <c r="A11619" i="79"/>
  <c r="A11620" i="79"/>
  <c r="A11621" i="79"/>
  <c r="A11622" i="79"/>
  <c r="A11623" i="79"/>
  <c r="A11624" i="79"/>
  <c r="A11625" i="79"/>
  <c r="A11626" i="79"/>
  <c r="A11627" i="79"/>
  <c r="A11628" i="79"/>
  <c r="A11629" i="79"/>
  <c r="A11630" i="79"/>
  <c r="A11631" i="79"/>
  <c r="A11632" i="79"/>
  <c r="A11633" i="79"/>
  <c r="A11634" i="79"/>
  <c r="A11635" i="79"/>
  <c r="A11636" i="79"/>
  <c r="A11637" i="79"/>
  <c r="A11638" i="79"/>
  <c r="A11639" i="79"/>
  <c r="A11640" i="79"/>
  <c r="A11641" i="79"/>
  <c r="A11642" i="79"/>
  <c r="A11643" i="79"/>
  <c r="A11644" i="79"/>
  <c r="A11645" i="79"/>
  <c r="A11646" i="79"/>
  <c r="A11647" i="79"/>
  <c r="A11648" i="79"/>
  <c r="A11649" i="79"/>
  <c r="A11650" i="79"/>
  <c r="A11651" i="79"/>
  <c r="A11652" i="79"/>
  <c r="A11653" i="79"/>
  <c r="A11654" i="79"/>
  <c r="A11655" i="79"/>
  <c r="A11656" i="79"/>
  <c r="A11657" i="79"/>
  <c r="A11658" i="79"/>
  <c r="A11659" i="79"/>
  <c r="A11660" i="79"/>
  <c r="A11661" i="79"/>
  <c r="A11662" i="79"/>
  <c r="A11663" i="79"/>
  <c r="A11664" i="79"/>
  <c r="A11665" i="79"/>
  <c r="A11666" i="79"/>
  <c r="A11667" i="79"/>
  <c r="A11668" i="79"/>
  <c r="A11669" i="79"/>
  <c r="A11670" i="79"/>
  <c r="A11671" i="79"/>
  <c r="A11672" i="79"/>
  <c r="A11673" i="79"/>
  <c r="A11674" i="79"/>
  <c r="A11675" i="79"/>
  <c r="A11676" i="79"/>
  <c r="A11677" i="79"/>
  <c r="A11678" i="79"/>
  <c r="A11679" i="79"/>
  <c r="A11680" i="79"/>
  <c r="A11681" i="79"/>
  <c r="A11682" i="79"/>
  <c r="A11683" i="79"/>
  <c r="A11684" i="79"/>
  <c r="A11685" i="79"/>
  <c r="A11686" i="79"/>
  <c r="A11687" i="79"/>
  <c r="A11688" i="79"/>
  <c r="A11689" i="79"/>
  <c r="A11690" i="79"/>
  <c r="A11691" i="79"/>
  <c r="A11692" i="79"/>
  <c r="A11693" i="79"/>
  <c r="A11694" i="79"/>
  <c r="A11695" i="79"/>
  <c r="A11696" i="79"/>
  <c r="A11697" i="79"/>
  <c r="A11698" i="79"/>
  <c r="A11699" i="79"/>
  <c r="A11700" i="79"/>
  <c r="A11701" i="79"/>
  <c r="A11702" i="79"/>
  <c r="A11703" i="79"/>
  <c r="A11704" i="79"/>
  <c r="A11705" i="79"/>
  <c r="A11706" i="79"/>
  <c r="A11707" i="79"/>
  <c r="A11708" i="79"/>
  <c r="A11709" i="79"/>
  <c r="A11710" i="79"/>
  <c r="A11711" i="79"/>
  <c r="A11712" i="79"/>
  <c r="A11713" i="79"/>
  <c r="A11714" i="79"/>
  <c r="A11715" i="79"/>
  <c r="A11716" i="79"/>
  <c r="A11717" i="79"/>
  <c r="A11718" i="79"/>
  <c r="A11719" i="79"/>
  <c r="A11720" i="79"/>
  <c r="A11721" i="79"/>
  <c r="A11722" i="79"/>
  <c r="A11723" i="79"/>
  <c r="A11724" i="79"/>
  <c r="A11725" i="79"/>
  <c r="A11726" i="79"/>
  <c r="A11727" i="79"/>
  <c r="A11728" i="79"/>
  <c r="A11729" i="79"/>
  <c r="A11730" i="79"/>
  <c r="A11731" i="79"/>
  <c r="A11732" i="79"/>
  <c r="A11733" i="79"/>
  <c r="A11734" i="79"/>
  <c r="A11735" i="79"/>
  <c r="A11736" i="79"/>
  <c r="A11737" i="79"/>
  <c r="A11738" i="79"/>
  <c r="A11739" i="79"/>
  <c r="H8073" i="79"/>
  <c r="A8072" i="80"/>
  <c r="H8068" i="79"/>
  <c r="A8067" i="80"/>
  <c r="H8063" i="79"/>
  <c r="A8062" i="80"/>
  <c r="H8058" i="79"/>
  <c r="A8057" i="80"/>
  <c r="H8053" i="79"/>
  <c r="A8052" i="80"/>
  <c r="H8048" i="79"/>
  <c r="A8047" i="80"/>
  <c r="H8043" i="79"/>
  <c r="A8042" i="80"/>
  <c r="H8023" i="79"/>
  <c r="A8022" i="80"/>
  <c r="H8018" i="79"/>
  <c r="A8017" i="80"/>
  <c r="H8013" i="79"/>
  <c r="A8012" i="80"/>
  <c r="H8008" i="79"/>
  <c r="A8007" i="80"/>
  <c r="H8003" i="79"/>
  <c r="A8002" i="80"/>
  <c r="H7998" i="79"/>
  <c r="A7997" i="80"/>
  <c r="H7993" i="79"/>
  <c r="A7992" i="80"/>
  <c r="H7973" i="79"/>
  <c r="A7972" i="80"/>
  <c r="H7968" i="79"/>
  <c r="A7967" i="80"/>
  <c r="H7963" i="79"/>
  <c r="A7962" i="80"/>
  <c r="H7958" i="79"/>
  <c r="A7957" i="80"/>
  <c r="H7953" i="79"/>
  <c r="A7952" i="80"/>
  <c r="H7948" i="79"/>
  <c r="A7947" i="80"/>
  <c r="H7943" i="79"/>
  <c r="A7942" i="80"/>
  <c r="H7923" i="79"/>
  <c r="A7922" i="80"/>
  <c r="H7918" i="79"/>
  <c r="A7917" i="80"/>
  <c r="H7913" i="79"/>
  <c r="A7912" i="80"/>
  <c r="H7908" i="79"/>
  <c r="A7907" i="80"/>
  <c r="H7903" i="79"/>
  <c r="A7902" i="80"/>
  <c r="H7898" i="79"/>
  <c r="A7897" i="80"/>
  <c r="H7893" i="79"/>
  <c r="A7892" i="80"/>
  <c r="H7873" i="79"/>
  <c r="A7872" i="80"/>
  <c r="H7868" i="79"/>
  <c r="A7867" i="80"/>
  <c r="H7863" i="79"/>
  <c r="A7862" i="80"/>
  <c r="H7858" i="79"/>
  <c r="A7857" i="80"/>
  <c r="H7853" i="79"/>
  <c r="A7852" i="80"/>
  <c r="H7848" i="79"/>
  <c r="A7847" i="80"/>
  <c r="H7843" i="79"/>
  <c r="A7842" i="80"/>
  <c r="H7793" i="79"/>
  <c r="A7792" i="80"/>
  <c r="H8097" i="79"/>
  <c r="A8096" i="80"/>
  <c r="H7838" i="79"/>
  <c r="A7837" i="80"/>
  <c r="H7833" i="79"/>
  <c r="A7832" i="80"/>
  <c r="H7828" i="79"/>
  <c r="A7827" i="80"/>
  <c r="H7823" i="79"/>
  <c r="A7822" i="80"/>
  <c r="H7818" i="79"/>
  <c r="A7817" i="80"/>
  <c r="H7813" i="79"/>
  <c r="A7812" i="80"/>
  <c r="H7808" i="79"/>
  <c r="A7807" i="80"/>
  <c r="H7803" i="79"/>
  <c r="A7802" i="80"/>
  <c r="H7798" i="79"/>
  <c r="A7797" i="80"/>
  <c r="H8985" i="79"/>
  <c r="A8984" i="80"/>
  <c r="H8980" i="79"/>
  <c r="A8979" i="80"/>
  <c r="H8975" i="79"/>
  <c r="A8974" i="80"/>
  <c r="H8970" i="79"/>
  <c r="A8969" i="80"/>
  <c r="H8965" i="79"/>
  <c r="A8964" i="80"/>
  <c r="H8960" i="79"/>
  <c r="A8959" i="80"/>
  <c r="H8955" i="79"/>
  <c r="A8954" i="80"/>
  <c r="H8950" i="79"/>
  <c r="A8949" i="80"/>
  <c r="H8945" i="79"/>
  <c r="A8944" i="80"/>
  <c r="H8940" i="79"/>
  <c r="A8939" i="80"/>
  <c r="H8935" i="79"/>
  <c r="A8934" i="80"/>
  <c r="H8930" i="79"/>
  <c r="A8929" i="80"/>
  <c r="H8925" i="79"/>
  <c r="A8924" i="80"/>
  <c r="H8920" i="79"/>
  <c r="A8919" i="80"/>
  <c r="H8915" i="79"/>
  <c r="A8914" i="80"/>
  <c r="H8910" i="79"/>
  <c r="A8909" i="80"/>
  <c r="H8905" i="79"/>
  <c r="A8904" i="80"/>
  <c r="H8900" i="79"/>
  <c r="A8899" i="80"/>
  <c r="H8895" i="79"/>
  <c r="A8894" i="80"/>
  <c r="H8890" i="79"/>
  <c r="A8889" i="80"/>
  <c r="H8885" i="79"/>
  <c r="A8884" i="80"/>
  <c r="H8880" i="79"/>
  <c r="A8879" i="80"/>
  <c r="H8875" i="79"/>
  <c r="A8874" i="80"/>
  <c r="H8870" i="79"/>
  <c r="A8869" i="80"/>
  <c r="H8865" i="79"/>
  <c r="A8864" i="80"/>
  <c r="H8860" i="79"/>
  <c r="A8859" i="80"/>
  <c r="H8855" i="79"/>
  <c r="A8854" i="80"/>
  <c r="H8850" i="79"/>
  <c r="A8849" i="80"/>
  <c r="H8845" i="79"/>
  <c r="A8844" i="80"/>
  <c r="H8840" i="79"/>
  <c r="A8839" i="80"/>
  <c r="H8835" i="79"/>
  <c r="A8834" i="80"/>
  <c r="H8830" i="79"/>
  <c r="A8829" i="80"/>
  <c r="H8825" i="79"/>
  <c r="A8824" i="80"/>
  <c r="H8820" i="79"/>
  <c r="A8819" i="80"/>
  <c r="H8815" i="79"/>
  <c r="A8814" i="80"/>
  <c r="H8810" i="79"/>
  <c r="A8809" i="80"/>
  <c r="H8805" i="79"/>
  <c r="A8804" i="80"/>
  <c r="H8800" i="79"/>
  <c r="A8799" i="80"/>
  <c r="H8795" i="79"/>
  <c r="A8794" i="80"/>
  <c r="H8790" i="79"/>
  <c r="A8789" i="80"/>
  <c r="H8785" i="79"/>
  <c r="A8784" i="80"/>
  <c r="H8780" i="79"/>
  <c r="A8779" i="80"/>
  <c r="H8775" i="79"/>
  <c r="A8774" i="80"/>
  <c r="H8770" i="79"/>
  <c r="A8769" i="80"/>
  <c r="H8765" i="79"/>
  <c r="A8764" i="80"/>
  <c r="H8760" i="79"/>
  <c r="A8759" i="80"/>
  <c r="H8755" i="79"/>
  <c r="A8754" i="80"/>
  <c r="H8750" i="79"/>
  <c r="A8749" i="80"/>
  <c r="H8745" i="79"/>
  <c r="A8744" i="80"/>
  <c r="H8740" i="79"/>
  <c r="A8739" i="80"/>
  <c r="H8735" i="79"/>
  <c r="A8734" i="80"/>
  <c r="H8730" i="79"/>
  <c r="A8729" i="80"/>
  <c r="H8725" i="79"/>
  <c r="A8724" i="80"/>
  <c r="H8720" i="79"/>
  <c r="A8719" i="80"/>
  <c r="H8715" i="79"/>
  <c r="A8714" i="80"/>
  <c r="H8710" i="79"/>
  <c r="A8709" i="80"/>
  <c r="H8705" i="79"/>
  <c r="A8704" i="80"/>
  <c r="H8700" i="79"/>
  <c r="A8699" i="80"/>
  <c r="H8695" i="79"/>
  <c r="A8694" i="80"/>
  <c r="H8690" i="79"/>
  <c r="A8689" i="80"/>
  <c r="H8685" i="79"/>
  <c r="A8684" i="80"/>
  <c r="H8680" i="79"/>
  <c r="A8679" i="80"/>
  <c r="H8675" i="79"/>
  <c r="A8674" i="80"/>
  <c r="H8670" i="79"/>
  <c r="A8669" i="80"/>
  <c r="H8665" i="79"/>
  <c r="A8664" i="80"/>
  <c r="H8660" i="79"/>
  <c r="A8659" i="80"/>
  <c r="H8655" i="79"/>
  <c r="A8654" i="80"/>
  <c r="H8650" i="79"/>
  <c r="A8649" i="80"/>
  <c r="H8645" i="79"/>
  <c r="A8644" i="80"/>
  <c r="H8640" i="79"/>
  <c r="A8639" i="80"/>
  <c r="H8635" i="79"/>
  <c r="A8634" i="80"/>
  <c r="H8630" i="79"/>
  <c r="A8629" i="80"/>
  <c r="H8625" i="79"/>
  <c r="A8624" i="80"/>
  <c r="H8620" i="79"/>
  <c r="A8619" i="80"/>
  <c r="H8615" i="79"/>
  <c r="A8614" i="80"/>
  <c r="H8610" i="79"/>
  <c r="A8609" i="80"/>
  <c r="H8605" i="79"/>
  <c r="A8604" i="80"/>
  <c r="H8600" i="79"/>
  <c r="A8599" i="80"/>
  <c r="H8595" i="79"/>
  <c r="A8594" i="80"/>
  <c r="H8590" i="79"/>
  <c r="A8589" i="80"/>
  <c r="H9035" i="79"/>
  <c r="A9034" i="80"/>
  <c r="H9030" i="79"/>
  <c r="A9029" i="80"/>
  <c r="H9025" i="79"/>
  <c r="A9024" i="80"/>
  <c r="H9020" i="79"/>
  <c r="A9019" i="80"/>
  <c r="H9015" i="79"/>
  <c r="A9014" i="80"/>
  <c r="H9010" i="79"/>
  <c r="A9009" i="80"/>
  <c r="H9005" i="79"/>
  <c r="A9004" i="80"/>
  <c r="H9000" i="79"/>
  <c r="A8999" i="80"/>
  <c r="H8995" i="79"/>
  <c r="A8994" i="80"/>
  <c r="H8990" i="79"/>
  <c r="A8989" i="80"/>
  <c r="H9060" i="79"/>
  <c r="A9059" i="80"/>
  <c r="H9048" i="79"/>
  <c r="A9047" i="80"/>
  <c r="H9042" i="79"/>
  <c r="A9041" i="80"/>
  <c r="H10307" i="79"/>
  <c r="A10306" i="80"/>
  <c r="H10267" i="79"/>
  <c r="A10266" i="80"/>
  <c r="H10262" i="79"/>
  <c r="A10261" i="80"/>
  <c r="H10257" i="79"/>
  <c r="A10256" i="80"/>
  <c r="H10247" i="79"/>
  <c r="A10246" i="80"/>
  <c r="H10242" i="79"/>
  <c r="A10241" i="80"/>
  <c r="H10237" i="79"/>
  <c r="A10236" i="80"/>
  <c r="H10232" i="79"/>
  <c r="A10231" i="80"/>
  <c r="H10227" i="79"/>
  <c r="A10226" i="80"/>
  <c r="H10222" i="79"/>
  <c r="A10221" i="80"/>
  <c r="H10217" i="79"/>
  <c r="A10216" i="80"/>
  <c r="H7306" i="79"/>
  <c r="A7305" i="80"/>
  <c r="H7301" i="79"/>
  <c r="A7300" i="80"/>
  <c r="H7296" i="79"/>
  <c r="A7295" i="80"/>
  <c r="H7291" i="79"/>
  <c r="A7290" i="80"/>
  <c r="H7286" i="79"/>
  <c r="A7285" i="80"/>
  <c r="H7281" i="79"/>
  <c r="A7280" i="80"/>
  <c r="H7276" i="79"/>
  <c r="A7275" i="80"/>
  <c r="H7266" i="79"/>
  <c r="A7265" i="80"/>
  <c r="H7261" i="79"/>
  <c r="A7260" i="80"/>
  <c r="H7256" i="79"/>
  <c r="A7255" i="80"/>
  <c r="H7251" i="79"/>
  <c r="A7250" i="80"/>
  <c r="H7246" i="79"/>
  <c r="A7245" i="80"/>
  <c r="H7241" i="79"/>
  <c r="A7240" i="80"/>
  <c r="H7236" i="79"/>
  <c r="A7235" i="80"/>
  <c r="H7226" i="79"/>
  <c r="A7225" i="80"/>
  <c r="H7221" i="79"/>
  <c r="A7220" i="80"/>
  <c r="H7216" i="79"/>
  <c r="A7215" i="80"/>
  <c r="H7211" i="79"/>
  <c r="A7210" i="80"/>
  <c r="H7206" i="79"/>
  <c r="A7205" i="80"/>
  <c r="H7201" i="79"/>
  <c r="A7200" i="80"/>
  <c r="H7196" i="79"/>
  <c r="A7195" i="80"/>
  <c r="H7186" i="79"/>
  <c r="A7185" i="80"/>
  <c r="H7181" i="79"/>
  <c r="A7180" i="80"/>
  <c r="H7176" i="79"/>
  <c r="A7175" i="80"/>
  <c r="H7171" i="79"/>
  <c r="A7170" i="80"/>
  <c r="H7166" i="79"/>
  <c r="A7165" i="80"/>
  <c r="H7161" i="79"/>
  <c r="A7160" i="80"/>
  <c r="H7156" i="79"/>
  <c r="A7155" i="80"/>
  <c r="H7402" i="79"/>
  <c r="A7401" i="80" s="1"/>
  <c r="H8570" i="79"/>
  <c r="A8569" i="80"/>
  <c r="H8565" i="79"/>
  <c r="A8564" i="80"/>
  <c r="H8560" i="79"/>
  <c r="A8559" i="80"/>
  <c r="H8555" i="79"/>
  <c r="A8554" i="80"/>
  <c r="H8550" i="79"/>
  <c r="A8549" i="80"/>
  <c r="H8545" i="79"/>
  <c r="A8544" i="80"/>
  <c r="H8540" i="79"/>
  <c r="A8539" i="80"/>
  <c r="H7116" i="79"/>
  <c r="A7115" i="80"/>
  <c r="H7141" i="79"/>
  <c r="A7140" i="80"/>
  <c r="H7131" i="79"/>
  <c r="A7130" i="80"/>
  <c r="H7126" i="79"/>
  <c r="A7125" i="80"/>
  <c r="H7121" i="79"/>
  <c r="A7120" i="80"/>
  <c r="H9054" i="79"/>
  <c r="A9053" i="80"/>
  <c r="H8575" i="79"/>
  <c r="A8574" i="80"/>
  <c r="H3390" i="79"/>
  <c r="A3389" i="80"/>
  <c r="H3385" i="79"/>
  <c r="A3384" i="80"/>
  <c r="H3380" i="79"/>
  <c r="A3379" i="80"/>
  <c r="H3375" i="79"/>
  <c r="A3374" i="80"/>
  <c r="H3370" i="79"/>
  <c r="A3369" i="80"/>
  <c r="H3365" i="79"/>
  <c r="A3364" i="80"/>
  <c r="H3360" i="79"/>
  <c r="A3359" i="80"/>
  <c r="H3355" i="79"/>
  <c r="A3354" i="80"/>
  <c r="H3350" i="79"/>
  <c r="A3349" i="80"/>
  <c r="H3345" i="79"/>
  <c r="A3344" i="80"/>
  <c r="H3340" i="79"/>
  <c r="A3339" i="80"/>
  <c r="H3335" i="79"/>
  <c r="A3334" i="80"/>
  <c r="H3330" i="79"/>
  <c r="A3329" i="80"/>
  <c r="H3325" i="79"/>
  <c r="A3324" i="80"/>
  <c r="H3320" i="79"/>
  <c r="A3319" i="80"/>
  <c r="H3315" i="79"/>
  <c r="A3314" i="80"/>
  <c r="H3310" i="79"/>
  <c r="A3309" i="80"/>
  <c r="H3305" i="79"/>
  <c r="A3304" i="80"/>
  <c r="H3300" i="79"/>
  <c r="A3299" i="80"/>
  <c r="H3295" i="79"/>
  <c r="A3294" i="80"/>
  <c r="H3290" i="79"/>
  <c r="A3289" i="80"/>
  <c r="H3285" i="79"/>
  <c r="A3284" i="80"/>
  <c r="H3280" i="79"/>
  <c r="A3279" i="80"/>
  <c r="H3275" i="79"/>
  <c r="A3274" i="80"/>
  <c r="H3270" i="79"/>
  <c r="A3269" i="80"/>
  <c r="H3265" i="79"/>
  <c r="A3264" i="80"/>
  <c r="H3260" i="79"/>
  <c r="A3259" i="80"/>
  <c r="H3255" i="79"/>
  <c r="A3254" i="80"/>
  <c r="H3250" i="79"/>
  <c r="A3249" i="80"/>
  <c r="H3245" i="79"/>
  <c r="A3244" i="80"/>
  <c r="H3240" i="79"/>
  <c r="A3239" i="80"/>
  <c r="H3235" i="79"/>
  <c r="A3234" i="80"/>
  <c r="H3230" i="79"/>
  <c r="A3229" i="80"/>
  <c r="H3225" i="79"/>
  <c r="A3224" i="80"/>
  <c r="H3220" i="79"/>
  <c r="A3219" i="80"/>
  <c r="H3210" i="79"/>
  <c r="A3209" i="80"/>
  <c r="H3215" i="79"/>
  <c r="A3214" i="80"/>
  <c r="H3205" i="79"/>
  <c r="A3204" i="80"/>
  <c r="H3200" i="79"/>
  <c r="A3199" i="80"/>
  <c r="H3195" i="79"/>
  <c r="A3194" i="80"/>
  <c r="H3190" i="79"/>
  <c r="A3189" i="80"/>
  <c r="H3185" i="79"/>
  <c r="A3184" i="80"/>
  <c r="H3180" i="79"/>
  <c r="A3179" i="80"/>
  <c r="H3175" i="79"/>
  <c r="A3174" i="80"/>
  <c r="H3170" i="79"/>
  <c r="A3169" i="80"/>
  <c r="H3165" i="79"/>
  <c r="A3164" i="80"/>
  <c r="H3155" i="79"/>
  <c r="A3154" i="80"/>
  <c r="H3150" i="79"/>
  <c r="A3149" i="80"/>
  <c r="H3140" i="79"/>
  <c r="A3139" i="80"/>
  <c r="H3135" i="79"/>
  <c r="A3134" i="80"/>
  <c r="H3125" i="79"/>
  <c r="A3124" i="80"/>
  <c r="H3120" i="79"/>
  <c r="A3119" i="80"/>
  <c r="H3115" i="79"/>
  <c r="A3114" i="80"/>
  <c r="H3110" i="79"/>
  <c r="A3109" i="80"/>
  <c r="H3105" i="79"/>
  <c r="A3104" i="80"/>
  <c r="H3100" i="79"/>
  <c r="A3099" i="80"/>
  <c r="H3095" i="79"/>
  <c r="A3094" i="80"/>
  <c r="H3090" i="79"/>
  <c r="A3089" i="80"/>
  <c r="H3085" i="79"/>
  <c r="A3084" i="80"/>
  <c r="H3080" i="79"/>
  <c r="A3079" i="80"/>
  <c r="H3075" i="79"/>
  <c r="A3074" i="80"/>
  <c r="H3070" i="79"/>
  <c r="A3069" i="80"/>
  <c r="H3065" i="79"/>
  <c r="A3064" i="80"/>
  <c r="H3060" i="79"/>
  <c r="A3059" i="80"/>
  <c r="H3055" i="79"/>
  <c r="A3054" i="80"/>
  <c r="H3050" i="79"/>
  <c r="A3049" i="80"/>
  <c r="H3045" i="79"/>
  <c r="A3044" i="80"/>
  <c r="H3040" i="79"/>
  <c r="A3039" i="80"/>
  <c r="H3035" i="79"/>
  <c r="A3034" i="80"/>
  <c r="A1" i="80"/>
  <c r="D8" i="79"/>
  <c r="A7" i="80" s="1"/>
  <c r="E15" i="62"/>
  <c r="G10" i="71" s="1"/>
  <c r="H9098" i="79" s="1"/>
  <c r="A9097" i="80" s="1"/>
  <c r="C15" i="62"/>
  <c r="G9" i="71" s="1"/>
  <c r="H9092" i="79" s="1"/>
  <c r="A9091" i="80" s="1"/>
  <c r="C15" i="75"/>
  <c r="C16" i="26"/>
  <c r="B16" i="26"/>
  <c r="H7358" i="79"/>
  <c r="A7357" i="80"/>
  <c r="F617" i="63"/>
  <c r="E617" i="63"/>
  <c r="D617" i="63"/>
  <c r="C617" i="63"/>
  <c r="F616" i="63"/>
  <c r="E616" i="63"/>
  <c r="D616" i="63"/>
  <c r="C616" i="63"/>
  <c r="F615" i="63"/>
  <c r="E615" i="63"/>
  <c r="D615" i="63"/>
  <c r="C615" i="63"/>
  <c r="F614" i="63"/>
  <c r="E614" i="63"/>
  <c r="D614" i="63"/>
  <c r="C614" i="63"/>
  <c r="F613" i="63"/>
  <c r="E613" i="63"/>
  <c r="D613" i="63"/>
  <c r="C613" i="63"/>
  <c r="F612" i="63"/>
  <c r="E612" i="63"/>
  <c r="D612" i="63"/>
  <c r="C612" i="63"/>
  <c r="F611" i="63"/>
  <c r="E611" i="63"/>
  <c r="D611" i="63"/>
  <c r="C611" i="63"/>
  <c r="F610" i="63"/>
  <c r="E610" i="63"/>
  <c r="D610" i="63"/>
  <c r="C610" i="63"/>
  <c r="F609" i="63"/>
  <c r="E609" i="63"/>
  <c r="D609" i="63"/>
  <c r="C609" i="63"/>
  <c r="F608" i="63"/>
  <c r="E608" i="63"/>
  <c r="D608" i="63"/>
  <c r="C608" i="63"/>
  <c r="F607" i="63"/>
  <c r="E607" i="63"/>
  <c r="D607" i="63"/>
  <c r="C607" i="63"/>
  <c r="F606" i="63"/>
  <c r="E606" i="63"/>
  <c r="D606" i="63"/>
  <c r="C606" i="63"/>
  <c r="F605" i="63"/>
  <c r="E605" i="63"/>
  <c r="D605" i="63"/>
  <c r="C605" i="63"/>
  <c r="F604" i="63"/>
  <c r="E604" i="63"/>
  <c r="D604" i="63"/>
  <c r="C604" i="63"/>
  <c r="F603" i="63"/>
  <c r="E603" i="63"/>
  <c r="D603" i="63"/>
  <c r="C603" i="63"/>
  <c r="F602" i="63"/>
  <c r="E602" i="63"/>
  <c r="D602" i="63"/>
  <c r="C602" i="63"/>
  <c r="F601" i="63"/>
  <c r="E601" i="63"/>
  <c r="D601" i="63"/>
  <c r="C601" i="63"/>
  <c r="F600" i="63"/>
  <c r="E600" i="63"/>
  <c r="D600" i="63"/>
  <c r="C600" i="63"/>
  <c r="F599" i="63"/>
  <c r="E599" i="63"/>
  <c r="D599" i="63"/>
  <c r="C599" i="63"/>
  <c r="F598" i="63"/>
  <c r="E598" i="63"/>
  <c r="D598" i="63"/>
  <c r="C598" i="63"/>
  <c r="F597" i="63"/>
  <c r="E597" i="63"/>
  <c r="D597" i="63"/>
  <c r="C597" i="63"/>
  <c r="F596" i="63"/>
  <c r="E596" i="63"/>
  <c r="D596" i="63"/>
  <c r="C596" i="63"/>
  <c r="F595" i="63"/>
  <c r="E595" i="63"/>
  <c r="D595" i="63"/>
  <c r="C595" i="63"/>
  <c r="F594" i="63"/>
  <c r="E594" i="63"/>
  <c r="D594" i="63"/>
  <c r="C594" i="63"/>
  <c r="F593" i="63"/>
  <c r="E593" i="63"/>
  <c r="D593" i="63"/>
  <c r="C593" i="63"/>
  <c r="F592" i="63"/>
  <c r="E592" i="63"/>
  <c r="D592" i="63"/>
  <c r="C592" i="63"/>
  <c r="F591" i="63"/>
  <c r="E591" i="63"/>
  <c r="D591" i="63"/>
  <c r="C591" i="63"/>
  <c r="F590" i="63"/>
  <c r="E590" i="63"/>
  <c r="D590" i="63"/>
  <c r="C590" i="63"/>
  <c r="F589" i="63"/>
  <c r="E589" i="63"/>
  <c r="D589" i="63"/>
  <c r="C589" i="63"/>
  <c r="F588" i="63"/>
  <c r="E588" i="63"/>
  <c r="D588" i="63"/>
  <c r="C588" i="63"/>
  <c r="F587" i="63"/>
  <c r="E587" i="63"/>
  <c r="D587" i="63"/>
  <c r="C587" i="63"/>
  <c r="F586" i="63"/>
  <c r="E586" i="63"/>
  <c r="D586" i="63"/>
  <c r="C586" i="63"/>
  <c r="F585" i="63"/>
  <c r="E585" i="63"/>
  <c r="D585" i="63"/>
  <c r="C585" i="63"/>
  <c r="F584" i="63"/>
  <c r="E584" i="63"/>
  <c r="D584" i="63"/>
  <c r="C584" i="63"/>
  <c r="F583" i="63"/>
  <c r="E583" i="63"/>
  <c r="D583" i="63"/>
  <c r="C583" i="63"/>
  <c r="F582" i="63"/>
  <c r="E582" i="63"/>
  <c r="D582" i="63"/>
  <c r="C582" i="63"/>
  <c r="F581" i="63"/>
  <c r="E581" i="63"/>
  <c r="D581" i="63"/>
  <c r="C581" i="63"/>
  <c r="F580" i="63"/>
  <c r="E580" i="63"/>
  <c r="D580" i="63"/>
  <c r="C580" i="63"/>
  <c r="F579" i="63"/>
  <c r="E579" i="63"/>
  <c r="D579" i="63"/>
  <c r="C579" i="63"/>
  <c r="F578" i="63"/>
  <c r="E578" i="63"/>
  <c r="D578" i="63"/>
  <c r="C578" i="63"/>
  <c r="F577" i="63"/>
  <c r="E577" i="63"/>
  <c r="D577" i="63"/>
  <c r="C577" i="63"/>
  <c r="F576" i="63"/>
  <c r="E576" i="63"/>
  <c r="D576" i="63"/>
  <c r="C576" i="63"/>
  <c r="F575" i="63"/>
  <c r="E575" i="63"/>
  <c r="D575" i="63"/>
  <c r="C575" i="63"/>
  <c r="F574" i="63"/>
  <c r="E574" i="63"/>
  <c r="D574" i="63"/>
  <c r="C574" i="63"/>
  <c r="F573" i="63"/>
  <c r="E573" i="63"/>
  <c r="D573" i="63"/>
  <c r="C573" i="63"/>
  <c r="F572" i="63"/>
  <c r="E572" i="63"/>
  <c r="D572" i="63"/>
  <c r="C572" i="63"/>
  <c r="F571" i="63"/>
  <c r="E571" i="63"/>
  <c r="D571" i="63"/>
  <c r="C571" i="63"/>
  <c r="F570" i="63"/>
  <c r="E570" i="63"/>
  <c r="D570" i="63"/>
  <c r="C570" i="63"/>
  <c r="F569" i="63"/>
  <c r="E569" i="63"/>
  <c r="D569" i="63"/>
  <c r="C569" i="63"/>
  <c r="F568" i="63"/>
  <c r="E568" i="63"/>
  <c r="D568" i="63"/>
  <c r="C568" i="63"/>
  <c r="F567" i="63"/>
  <c r="E567" i="63"/>
  <c r="D567" i="63"/>
  <c r="C567" i="63"/>
  <c r="F566" i="63"/>
  <c r="E566" i="63"/>
  <c r="D566" i="63"/>
  <c r="C566" i="63"/>
  <c r="F565" i="63"/>
  <c r="E565" i="63"/>
  <c r="D565" i="63"/>
  <c r="C565" i="63"/>
  <c r="F564" i="63"/>
  <c r="E564" i="63"/>
  <c r="D564" i="63"/>
  <c r="C564" i="63"/>
  <c r="F563" i="63"/>
  <c r="E563" i="63"/>
  <c r="D563" i="63"/>
  <c r="C563" i="63"/>
  <c r="F562" i="63"/>
  <c r="E562" i="63"/>
  <c r="D562" i="63"/>
  <c r="C562" i="63"/>
  <c r="F561" i="63"/>
  <c r="E561" i="63"/>
  <c r="D561" i="63"/>
  <c r="C561" i="63"/>
  <c r="F560" i="63"/>
  <c r="E560" i="63"/>
  <c r="D560" i="63"/>
  <c r="C560" i="63"/>
  <c r="F559" i="63"/>
  <c r="E559" i="63"/>
  <c r="D559" i="63"/>
  <c r="C559" i="63"/>
  <c r="F558" i="63"/>
  <c r="E558" i="63"/>
  <c r="D558" i="63"/>
  <c r="C558" i="63"/>
  <c r="F557" i="63"/>
  <c r="E557" i="63"/>
  <c r="D557" i="63"/>
  <c r="C557" i="63"/>
  <c r="F556" i="63"/>
  <c r="E556" i="63"/>
  <c r="D556" i="63"/>
  <c r="C556" i="63"/>
  <c r="F555" i="63"/>
  <c r="E555" i="63"/>
  <c r="D555" i="63"/>
  <c r="C555" i="63"/>
  <c r="F554" i="63"/>
  <c r="E554" i="63"/>
  <c r="D554" i="63"/>
  <c r="C554" i="63"/>
  <c r="F553" i="63"/>
  <c r="E553" i="63"/>
  <c r="D553" i="63"/>
  <c r="C553" i="63"/>
  <c r="F552" i="63"/>
  <c r="E552" i="63"/>
  <c r="D552" i="63"/>
  <c r="C552" i="63"/>
  <c r="F551" i="63"/>
  <c r="E551" i="63"/>
  <c r="D551" i="63"/>
  <c r="C551" i="63"/>
  <c r="F550" i="63"/>
  <c r="E550" i="63"/>
  <c r="D550" i="63"/>
  <c r="C550" i="63"/>
  <c r="F549" i="63"/>
  <c r="E549" i="63"/>
  <c r="D549" i="63"/>
  <c r="C549" i="63"/>
  <c r="F548" i="63"/>
  <c r="E548" i="63"/>
  <c r="D548" i="63"/>
  <c r="C548" i="63"/>
  <c r="F547" i="63"/>
  <c r="E547" i="63"/>
  <c r="D547" i="63"/>
  <c r="C547" i="63"/>
  <c r="F546" i="63"/>
  <c r="E546" i="63"/>
  <c r="D546" i="63"/>
  <c r="C546" i="63"/>
  <c r="F545" i="63"/>
  <c r="E545" i="63"/>
  <c r="D545" i="63"/>
  <c r="C545" i="63"/>
  <c r="F544" i="63"/>
  <c r="E544" i="63"/>
  <c r="D544" i="63"/>
  <c r="C544" i="63"/>
  <c r="F543" i="63"/>
  <c r="E543" i="63"/>
  <c r="D543" i="63"/>
  <c r="C543" i="63"/>
  <c r="F542" i="63"/>
  <c r="E542" i="63"/>
  <c r="D542" i="63"/>
  <c r="C542" i="63"/>
  <c r="F541" i="63"/>
  <c r="E541" i="63"/>
  <c r="D541" i="63"/>
  <c r="C541" i="63"/>
  <c r="F540" i="63"/>
  <c r="E540" i="63"/>
  <c r="D540" i="63"/>
  <c r="C540" i="63"/>
  <c r="F539" i="63"/>
  <c r="E539" i="63"/>
  <c r="D539" i="63"/>
  <c r="C539" i="63"/>
  <c r="F538" i="63"/>
  <c r="E538" i="63"/>
  <c r="D538" i="63"/>
  <c r="C538" i="63"/>
  <c r="F537" i="63"/>
  <c r="E537" i="63"/>
  <c r="D537" i="63"/>
  <c r="C537" i="63"/>
  <c r="F536" i="63"/>
  <c r="E536" i="63"/>
  <c r="D536" i="63"/>
  <c r="C536" i="63"/>
  <c r="F535" i="63"/>
  <c r="E535" i="63"/>
  <c r="D535" i="63"/>
  <c r="C535" i="63"/>
  <c r="F534" i="63"/>
  <c r="E534" i="63"/>
  <c r="D534" i="63"/>
  <c r="C534" i="63"/>
  <c r="F533" i="63"/>
  <c r="E533" i="63"/>
  <c r="D533" i="63"/>
  <c r="C533" i="63"/>
  <c r="F532" i="63"/>
  <c r="E532" i="63"/>
  <c r="D532" i="63"/>
  <c r="C532" i="63"/>
  <c r="F531" i="63"/>
  <c r="E531" i="63"/>
  <c r="D531" i="63"/>
  <c r="C531" i="63"/>
  <c r="F530" i="63"/>
  <c r="E530" i="63"/>
  <c r="D530" i="63"/>
  <c r="C530" i="63"/>
  <c r="F529" i="63"/>
  <c r="E529" i="63"/>
  <c r="D529" i="63"/>
  <c r="C529" i="63"/>
  <c r="F528" i="63"/>
  <c r="E528" i="63"/>
  <c r="D528" i="63"/>
  <c r="C528" i="63"/>
  <c r="F527" i="63"/>
  <c r="E527" i="63"/>
  <c r="D527" i="63"/>
  <c r="C527" i="63"/>
  <c r="F526" i="63"/>
  <c r="E526" i="63"/>
  <c r="D526" i="63"/>
  <c r="C526" i="63"/>
  <c r="F525" i="63"/>
  <c r="E525" i="63"/>
  <c r="D525" i="63"/>
  <c r="C525" i="63"/>
  <c r="F524" i="63"/>
  <c r="E524" i="63"/>
  <c r="D524" i="63"/>
  <c r="C524" i="63"/>
  <c r="F523" i="63"/>
  <c r="E523" i="63"/>
  <c r="D523" i="63"/>
  <c r="C523" i="63"/>
  <c r="F522" i="63"/>
  <c r="E522" i="63"/>
  <c r="D522" i="63"/>
  <c r="C522" i="63"/>
  <c r="F521" i="63"/>
  <c r="E521" i="63"/>
  <c r="D521" i="63"/>
  <c r="C521" i="63"/>
  <c r="F520" i="63"/>
  <c r="E520" i="63"/>
  <c r="D520" i="63"/>
  <c r="C520" i="63"/>
  <c r="F519" i="63"/>
  <c r="E519" i="63"/>
  <c r="D519" i="63"/>
  <c r="C519" i="63"/>
  <c r="F518" i="63"/>
  <c r="E518" i="63"/>
  <c r="D518" i="63"/>
  <c r="C518" i="63"/>
  <c r="F517" i="63"/>
  <c r="E517" i="63"/>
  <c r="D517" i="63"/>
  <c r="C517" i="63"/>
  <c r="F516" i="63"/>
  <c r="E516" i="63"/>
  <c r="D516" i="63"/>
  <c r="C516" i="63"/>
  <c r="F515" i="63"/>
  <c r="E515" i="63"/>
  <c r="D515" i="63"/>
  <c r="C515" i="63"/>
  <c r="F514" i="63"/>
  <c r="E514" i="63"/>
  <c r="D514" i="63"/>
  <c r="C514" i="63"/>
  <c r="F513" i="63"/>
  <c r="E513" i="63"/>
  <c r="D513" i="63"/>
  <c r="C513" i="63"/>
  <c r="F512" i="63"/>
  <c r="E512" i="63"/>
  <c r="D512" i="63"/>
  <c r="C512" i="63"/>
  <c r="F511" i="63"/>
  <c r="E511" i="63"/>
  <c r="D511" i="63"/>
  <c r="C511" i="63"/>
  <c r="F510" i="63"/>
  <c r="E510" i="63"/>
  <c r="D510" i="63"/>
  <c r="C510" i="63"/>
  <c r="F509" i="63"/>
  <c r="E509" i="63"/>
  <c r="D509" i="63"/>
  <c r="C509" i="63"/>
  <c r="F508" i="63"/>
  <c r="E508" i="63"/>
  <c r="D508" i="63"/>
  <c r="C508" i="63"/>
  <c r="F507" i="63"/>
  <c r="E507" i="63"/>
  <c r="D507" i="63"/>
  <c r="C507" i="63"/>
  <c r="F506" i="63"/>
  <c r="E506" i="63"/>
  <c r="D506" i="63"/>
  <c r="C506" i="63"/>
  <c r="F505" i="63"/>
  <c r="E505" i="63"/>
  <c r="D505" i="63"/>
  <c r="C505" i="63"/>
  <c r="F504" i="63"/>
  <c r="E504" i="63"/>
  <c r="D504" i="63"/>
  <c r="C504" i="63"/>
  <c r="F503" i="63"/>
  <c r="E503" i="63"/>
  <c r="D503" i="63"/>
  <c r="C503" i="63"/>
  <c r="F502" i="63"/>
  <c r="E502" i="63"/>
  <c r="D502" i="63"/>
  <c r="C502" i="63"/>
  <c r="F501" i="63"/>
  <c r="E501" i="63"/>
  <c r="D501" i="63"/>
  <c r="C501" i="63"/>
  <c r="F500" i="63"/>
  <c r="E500" i="63"/>
  <c r="D500" i="63"/>
  <c r="C500" i="63"/>
  <c r="F499" i="63"/>
  <c r="E499" i="63"/>
  <c r="D499" i="63"/>
  <c r="C499" i="63"/>
  <c r="F498" i="63"/>
  <c r="E498" i="63"/>
  <c r="D498" i="63"/>
  <c r="C498" i="63"/>
  <c r="F497" i="63"/>
  <c r="E497" i="63"/>
  <c r="D497" i="63"/>
  <c r="C497" i="63"/>
  <c r="F496" i="63"/>
  <c r="E496" i="63"/>
  <c r="D496" i="63"/>
  <c r="C496" i="63"/>
  <c r="F495" i="63"/>
  <c r="E495" i="63"/>
  <c r="D495" i="63"/>
  <c r="C495" i="63"/>
  <c r="F494" i="63"/>
  <c r="E494" i="63"/>
  <c r="D494" i="63"/>
  <c r="C494" i="63"/>
  <c r="F493" i="63"/>
  <c r="E493" i="63"/>
  <c r="D493" i="63"/>
  <c r="C493" i="63"/>
  <c r="F492" i="63"/>
  <c r="E492" i="63"/>
  <c r="D492" i="63"/>
  <c r="C492" i="63"/>
  <c r="F491" i="63"/>
  <c r="E491" i="63"/>
  <c r="D491" i="63"/>
  <c r="C491" i="63"/>
  <c r="F490" i="63"/>
  <c r="E490" i="63"/>
  <c r="D490" i="63"/>
  <c r="C490" i="63"/>
  <c r="F489" i="63"/>
  <c r="E489" i="63"/>
  <c r="D489" i="63"/>
  <c r="C489" i="63"/>
  <c r="F488" i="63"/>
  <c r="E488" i="63"/>
  <c r="D488" i="63"/>
  <c r="C488" i="63"/>
  <c r="F487" i="63"/>
  <c r="E487" i="63"/>
  <c r="D487" i="63"/>
  <c r="C487" i="63"/>
  <c r="F486" i="63"/>
  <c r="E486" i="63"/>
  <c r="D486" i="63"/>
  <c r="C486" i="63"/>
  <c r="F485" i="63"/>
  <c r="E485" i="63"/>
  <c r="D485" i="63"/>
  <c r="C485" i="63"/>
  <c r="F484" i="63"/>
  <c r="E484" i="63"/>
  <c r="D484" i="63"/>
  <c r="C484" i="63"/>
  <c r="F483" i="63"/>
  <c r="E483" i="63"/>
  <c r="D483" i="63"/>
  <c r="C483" i="63"/>
  <c r="F482" i="63"/>
  <c r="E482" i="63"/>
  <c r="D482" i="63"/>
  <c r="C482" i="63"/>
  <c r="F481" i="63"/>
  <c r="E481" i="63"/>
  <c r="D481" i="63"/>
  <c r="C481" i="63"/>
  <c r="F480" i="63"/>
  <c r="E480" i="63"/>
  <c r="D480" i="63"/>
  <c r="C480" i="63"/>
  <c r="F479" i="63"/>
  <c r="E479" i="63"/>
  <c r="D479" i="63"/>
  <c r="C479" i="63"/>
  <c r="F478" i="63"/>
  <c r="E478" i="63"/>
  <c r="D478" i="63"/>
  <c r="C478" i="63"/>
  <c r="F477" i="63"/>
  <c r="E477" i="63"/>
  <c r="D477" i="63"/>
  <c r="C477" i="63"/>
  <c r="F476" i="63"/>
  <c r="E476" i="63"/>
  <c r="D476" i="63"/>
  <c r="C476" i="63"/>
  <c r="F475" i="63"/>
  <c r="E475" i="63"/>
  <c r="D475" i="63"/>
  <c r="C475" i="63"/>
  <c r="F474" i="63"/>
  <c r="E474" i="63"/>
  <c r="D474" i="63"/>
  <c r="C474" i="63"/>
  <c r="F473" i="63"/>
  <c r="E473" i="63"/>
  <c r="D473" i="63"/>
  <c r="C473" i="63"/>
  <c r="F472" i="63"/>
  <c r="E472" i="63"/>
  <c r="D472" i="63"/>
  <c r="C472" i="63"/>
  <c r="F471" i="63"/>
  <c r="E471" i="63"/>
  <c r="D471" i="63"/>
  <c r="C471" i="63"/>
  <c r="F470" i="63"/>
  <c r="E470" i="63"/>
  <c r="D470" i="63"/>
  <c r="C470" i="63"/>
  <c r="F469" i="63"/>
  <c r="E469" i="63"/>
  <c r="D469" i="63"/>
  <c r="C469" i="63"/>
  <c r="F468" i="63"/>
  <c r="E468" i="63"/>
  <c r="D468" i="63"/>
  <c r="C468" i="63"/>
  <c r="F467" i="63"/>
  <c r="E467" i="63"/>
  <c r="D467" i="63"/>
  <c r="C467" i="63"/>
  <c r="F466" i="63"/>
  <c r="E466" i="63"/>
  <c r="D466" i="63"/>
  <c r="C466" i="63"/>
  <c r="F465" i="63"/>
  <c r="E465" i="63"/>
  <c r="D465" i="63"/>
  <c r="C465" i="63"/>
  <c r="F464" i="63"/>
  <c r="E464" i="63"/>
  <c r="D464" i="63"/>
  <c r="C464" i="63"/>
  <c r="F463" i="63"/>
  <c r="E463" i="63"/>
  <c r="D463" i="63"/>
  <c r="C463" i="63"/>
  <c r="F462" i="63"/>
  <c r="E462" i="63"/>
  <c r="D462" i="63"/>
  <c r="C462" i="63"/>
  <c r="F461" i="63"/>
  <c r="E461" i="63"/>
  <c r="D461" i="63"/>
  <c r="C461" i="63"/>
  <c r="F460" i="63"/>
  <c r="E460" i="63"/>
  <c r="D460" i="63"/>
  <c r="C460" i="63"/>
  <c r="F459" i="63"/>
  <c r="E459" i="63"/>
  <c r="D459" i="63"/>
  <c r="C459" i="63"/>
  <c r="F458" i="63"/>
  <c r="E458" i="63"/>
  <c r="D458" i="63"/>
  <c r="C458" i="63"/>
  <c r="F457" i="63"/>
  <c r="E457" i="63"/>
  <c r="D457" i="63"/>
  <c r="C457" i="63"/>
  <c r="F456" i="63"/>
  <c r="E456" i="63"/>
  <c r="D456" i="63"/>
  <c r="C456" i="63"/>
  <c r="F455" i="63"/>
  <c r="E455" i="63"/>
  <c r="D455" i="63"/>
  <c r="C455" i="63"/>
  <c r="F454" i="63"/>
  <c r="E454" i="63"/>
  <c r="D454" i="63"/>
  <c r="C454" i="63"/>
  <c r="F453" i="63"/>
  <c r="E453" i="63"/>
  <c r="D453" i="63"/>
  <c r="C453" i="63"/>
  <c r="F452" i="63"/>
  <c r="E452" i="63"/>
  <c r="D452" i="63"/>
  <c r="C452" i="63"/>
  <c r="F451" i="63"/>
  <c r="E451" i="63"/>
  <c r="D451" i="63"/>
  <c r="C451" i="63"/>
  <c r="F450" i="63"/>
  <c r="E450" i="63"/>
  <c r="D450" i="63"/>
  <c r="C450" i="63"/>
  <c r="F449" i="63"/>
  <c r="E449" i="63"/>
  <c r="D449" i="63"/>
  <c r="C449" i="63"/>
  <c r="F448" i="63"/>
  <c r="E448" i="63"/>
  <c r="D448" i="63"/>
  <c r="C448" i="63"/>
  <c r="F447" i="63"/>
  <c r="E447" i="63"/>
  <c r="D447" i="63"/>
  <c r="C447" i="63"/>
  <c r="F446" i="63"/>
  <c r="E446" i="63"/>
  <c r="D446" i="63"/>
  <c r="C446" i="63"/>
  <c r="F445" i="63"/>
  <c r="E445" i="63"/>
  <c r="D445" i="63"/>
  <c r="C445" i="63"/>
  <c r="F444" i="63"/>
  <c r="E444" i="63"/>
  <c r="D444" i="63"/>
  <c r="C444" i="63"/>
  <c r="F443" i="63"/>
  <c r="E443" i="63"/>
  <c r="D443" i="63"/>
  <c r="C443" i="63"/>
  <c r="F442" i="63"/>
  <c r="E442" i="63"/>
  <c r="D442" i="63"/>
  <c r="C442" i="63"/>
  <c r="F441" i="63"/>
  <c r="E441" i="63"/>
  <c r="D441" i="63"/>
  <c r="C441" i="63"/>
  <c r="F440" i="63"/>
  <c r="E440" i="63"/>
  <c r="D440" i="63"/>
  <c r="C440" i="63"/>
  <c r="F439" i="63"/>
  <c r="E439" i="63"/>
  <c r="D439" i="63"/>
  <c r="C439" i="63"/>
  <c r="F438" i="63"/>
  <c r="E438" i="63"/>
  <c r="D438" i="63"/>
  <c r="C438" i="63"/>
  <c r="F437" i="63"/>
  <c r="E437" i="63"/>
  <c r="D437" i="63"/>
  <c r="C437" i="63"/>
  <c r="F436" i="63"/>
  <c r="E436" i="63"/>
  <c r="D436" i="63"/>
  <c r="C436" i="63"/>
  <c r="F435" i="63"/>
  <c r="E435" i="63"/>
  <c r="D435" i="63"/>
  <c r="C435" i="63"/>
  <c r="F434" i="63"/>
  <c r="E434" i="63"/>
  <c r="D434" i="63"/>
  <c r="C434" i="63"/>
  <c r="F433" i="63"/>
  <c r="E433" i="63"/>
  <c r="D433" i="63"/>
  <c r="C433" i="63"/>
  <c r="F432" i="63"/>
  <c r="E432" i="63"/>
  <c r="D432" i="63"/>
  <c r="C432" i="63"/>
  <c r="F431" i="63"/>
  <c r="E431" i="63"/>
  <c r="D431" i="63"/>
  <c r="C431" i="63"/>
  <c r="F430" i="63"/>
  <c r="E430" i="63"/>
  <c r="D430" i="63"/>
  <c r="C430" i="63"/>
  <c r="F429" i="63"/>
  <c r="E429" i="63"/>
  <c r="D429" i="63"/>
  <c r="C429" i="63"/>
  <c r="F428" i="63"/>
  <c r="E428" i="63"/>
  <c r="D428" i="63"/>
  <c r="C428" i="63"/>
  <c r="F427" i="63"/>
  <c r="E427" i="63"/>
  <c r="D427" i="63"/>
  <c r="C427" i="63"/>
  <c r="F426" i="63"/>
  <c r="E426" i="63"/>
  <c r="D426" i="63"/>
  <c r="C426" i="63"/>
  <c r="F425" i="63"/>
  <c r="E425" i="63"/>
  <c r="D425" i="63"/>
  <c r="C425" i="63"/>
  <c r="F424" i="63"/>
  <c r="E424" i="63"/>
  <c r="D424" i="63"/>
  <c r="C424" i="63"/>
  <c r="F423" i="63"/>
  <c r="E423" i="63"/>
  <c r="D423" i="63"/>
  <c r="C423" i="63"/>
  <c r="F422" i="63"/>
  <c r="E422" i="63"/>
  <c r="D422" i="63"/>
  <c r="C422" i="63"/>
  <c r="F421" i="63"/>
  <c r="E421" i="63"/>
  <c r="D421" i="63"/>
  <c r="C421" i="63"/>
  <c r="F420" i="63"/>
  <c r="E420" i="63"/>
  <c r="D420" i="63"/>
  <c r="C420" i="63"/>
  <c r="F419" i="63"/>
  <c r="E419" i="63"/>
  <c r="D419" i="63"/>
  <c r="C419" i="63"/>
  <c r="F418" i="63"/>
  <c r="E418" i="63"/>
  <c r="D418" i="63"/>
  <c r="C418" i="63"/>
  <c r="F417" i="63"/>
  <c r="E417" i="63"/>
  <c r="D417" i="63"/>
  <c r="C417" i="63"/>
  <c r="F416" i="63"/>
  <c r="E416" i="63"/>
  <c r="D416" i="63"/>
  <c r="C416" i="63"/>
  <c r="F415" i="63"/>
  <c r="E415" i="63"/>
  <c r="D415" i="63"/>
  <c r="C415" i="63"/>
  <c r="F414" i="63"/>
  <c r="E414" i="63"/>
  <c r="D414" i="63"/>
  <c r="C414" i="63"/>
  <c r="F413" i="63"/>
  <c r="E413" i="63"/>
  <c r="D413" i="63"/>
  <c r="C413" i="63"/>
  <c r="F412" i="63"/>
  <c r="E412" i="63"/>
  <c r="D412" i="63"/>
  <c r="C412" i="63"/>
  <c r="F411" i="63"/>
  <c r="E411" i="63"/>
  <c r="D411" i="63"/>
  <c r="C411" i="63"/>
  <c r="F410" i="63"/>
  <c r="E410" i="63"/>
  <c r="D410" i="63"/>
  <c r="C410" i="63"/>
  <c r="F409" i="63"/>
  <c r="E409" i="63"/>
  <c r="D409" i="63"/>
  <c r="C409" i="63"/>
  <c r="F408" i="63"/>
  <c r="E408" i="63"/>
  <c r="D408" i="63"/>
  <c r="C408" i="63"/>
  <c r="F407" i="63"/>
  <c r="E407" i="63"/>
  <c r="D407" i="63"/>
  <c r="C407" i="63"/>
  <c r="F406" i="63"/>
  <c r="E406" i="63"/>
  <c r="D406" i="63"/>
  <c r="C406" i="63"/>
  <c r="F405" i="63"/>
  <c r="E405" i="63"/>
  <c r="D405" i="63"/>
  <c r="C405" i="63"/>
  <c r="F404" i="63"/>
  <c r="E404" i="63"/>
  <c r="D404" i="63"/>
  <c r="C404" i="63"/>
  <c r="F403" i="63"/>
  <c r="E403" i="63"/>
  <c r="D403" i="63"/>
  <c r="C403" i="63"/>
  <c r="F402" i="63"/>
  <c r="E402" i="63"/>
  <c r="D402" i="63"/>
  <c r="C402" i="63"/>
  <c r="F401" i="63"/>
  <c r="E401" i="63"/>
  <c r="D401" i="63"/>
  <c r="C401" i="63"/>
  <c r="F400" i="63"/>
  <c r="E400" i="63"/>
  <c r="D400" i="63"/>
  <c r="C400" i="63"/>
  <c r="F399" i="63"/>
  <c r="E399" i="63"/>
  <c r="D399" i="63"/>
  <c r="C399" i="63"/>
  <c r="F398" i="63"/>
  <c r="E398" i="63"/>
  <c r="D398" i="63"/>
  <c r="C398" i="63"/>
  <c r="F397" i="63"/>
  <c r="E397" i="63"/>
  <c r="D397" i="63"/>
  <c r="C397" i="63"/>
  <c r="F396" i="63"/>
  <c r="E396" i="63"/>
  <c r="D396" i="63"/>
  <c r="C396" i="63"/>
  <c r="F395" i="63"/>
  <c r="E395" i="63"/>
  <c r="D395" i="63"/>
  <c r="C395" i="63"/>
  <c r="F394" i="63"/>
  <c r="E394" i="63"/>
  <c r="D394" i="63"/>
  <c r="C394" i="63"/>
  <c r="F393" i="63"/>
  <c r="E393" i="63"/>
  <c r="D393" i="63"/>
  <c r="C393" i="63"/>
  <c r="F392" i="63"/>
  <c r="E392" i="63"/>
  <c r="D392" i="63"/>
  <c r="C392" i="63"/>
  <c r="F391" i="63"/>
  <c r="E391" i="63"/>
  <c r="D391" i="63"/>
  <c r="C391" i="63"/>
  <c r="F390" i="63"/>
  <c r="E390" i="63"/>
  <c r="D390" i="63"/>
  <c r="C390" i="63"/>
  <c r="F389" i="63"/>
  <c r="E389" i="63"/>
  <c r="D389" i="63"/>
  <c r="C389" i="63"/>
  <c r="F388" i="63"/>
  <c r="E388" i="63"/>
  <c r="D388" i="63"/>
  <c r="C388" i="63"/>
  <c r="F387" i="63"/>
  <c r="E387" i="63"/>
  <c r="D387" i="63"/>
  <c r="C387" i="63"/>
  <c r="F386" i="63"/>
  <c r="E386" i="63"/>
  <c r="D386" i="63"/>
  <c r="C386" i="63"/>
  <c r="F385" i="63"/>
  <c r="E385" i="63"/>
  <c r="D385" i="63"/>
  <c r="C385" i="63"/>
  <c r="F384" i="63"/>
  <c r="E384" i="63"/>
  <c r="D384" i="63"/>
  <c r="C384" i="63"/>
  <c r="F383" i="63"/>
  <c r="E383" i="63"/>
  <c r="D383" i="63"/>
  <c r="C383" i="63"/>
  <c r="F382" i="63"/>
  <c r="E382" i="63"/>
  <c r="D382" i="63"/>
  <c r="C382" i="63"/>
  <c r="F381" i="63"/>
  <c r="E381" i="63"/>
  <c r="D381" i="63"/>
  <c r="C381" i="63"/>
  <c r="F380" i="63"/>
  <c r="E380" i="63"/>
  <c r="D380" i="63"/>
  <c r="C380" i="63"/>
  <c r="F379" i="63"/>
  <c r="E379" i="63"/>
  <c r="D379" i="63"/>
  <c r="C379" i="63"/>
  <c r="F378" i="63"/>
  <c r="E378" i="63"/>
  <c r="D378" i="63"/>
  <c r="C378" i="63"/>
  <c r="F377" i="63"/>
  <c r="E377" i="63"/>
  <c r="D377" i="63"/>
  <c r="C377" i="63"/>
  <c r="F376" i="63"/>
  <c r="E376" i="63"/>
  <c r="D376" i="63"/>
  <c r="C376" i="63"/>
  <c r="F375" i="63"/>
  <c r="E375" i="63"/>
  <c r="D375" i="63"/>
  <c r="C375" i="63"/>
  <c r="F374" i="63"/>
  <c r="E374" i="63"/>
  <c r="D374" i="63"/>
  <c r="C374" i="63"/>
  <c r="F373" i="63"/>
  <c r="E373" i="63"/>
  <c r="D373" i="63"/>
  <c r="C373" i="63"/>
  <c r="F372" i="63"/>
  <c r="E372" i="63"/>
  <c r="D372" i="63"/>
  <c r="C372" i="63"/>
  <c r="F371" i="63"/>
  <c r="E371" i="63"/>
  <c r="D371" i="63"/>
  <c r="C371" i="63"/>
  <c r="F370" i="63"/>
  <c r="E370" i="63"/>
  <c r="D370" i="63"/>
  <c r="C370" i="63"/>
  <c r="F369" i="63"/>
  <c r="E369" i="63"/>
  <c r="D369" i="63"/>
  <c r="C369" i="63"/>
  <c r="F368" i="63"/>
  <c r="E368" i="63"/>
  <c r="D368" i="63"/>
  <c r="C368" i="63"/>
  <c r="F367" i="63"/>
  <c r="E367" i="63"/>
  <c r="D367" i="63"/>
  <c r="C367" i="63"/>
  <c r="F366" i="63"/>
  <c r="E366" i="63"/>
  <c r="D366" i="63"/>
  <c r="C366" i="63"/>
  <c r="F365" i="63"/>
  <c r="E365" i="63"/>
  <c r="D365" i="63"/>
  <c r="C365" i="63"/>
  <c r="F364" i="63"/>
  <c r="E364" i="63"/>
  <c r="D364" i="63"/>
  <c r="C364" i="63"/>
  <c r="F363" i="63"/>
  <c r="E363" i="63"/>
  <c r="D363" i="63"/>
  <c r="C363" i="63"/>
  <c r="F362" i="63"/>
  <c r="E362" i="63"/>
  <c r="D362" i="63"/>
  <c r="C362" i="63"/>
  <c r="F361" i="63"/>
  <c r="E361" i="63"/>
  <c r="D361" i="63"/>
  <c r="C361" i="63"/>
  <c r="F360" i="63"/>
  <c r="E360" i="63"/>
  <c r="D360" i="63"/>
  <c r="C360" i="63"/>
  <c r="F359" i="63"/>
  <c r="E359" i="63"/>
  <c r="D359" i="63"/>
  <c r="C359" i="63"/>
  <c r="F358" i="63"/>
  <c r="E358" i="63"/>
  <c r="D358" i="63"/>
  <c r="C358" i="63"/>
  <c r="F357" i="63"/>
  <c r="E357" i="63"/>
  <c r="D357" i="63"/>
  <c r="C357" i="63"/>
  <c r="F356" i="63"/>
  <c r="E356" i="63"/>
  <c r="D356" i="63"/>
  <c r="C356" i="63"/>
  <c r="F355" i="63"/>
  <c r="E355" i="63"/>
  <c r="D355" i="63"/>
  <c r="C355" i="63"/>
  <c r="F354" i="63"/>
  <c r="E354" i="63"/>
  <c r="D354" i="63"/>
  <c r="C354" i="63"/>
  <c r="F353" i="63"/>
  <c r="E353" i="63"/>
  <c r="D353" i="63"/>
  <c r="C353" i="63"/>
  <c r="F352" i="63"/>
  <c r="E352" i="63"/>
  <c r="D352" i="63"/>
  <c r="C352" i="63"/>
  <c r="F351" i="63"/>
  <c r="E351" i="63"/>
  <c r="D351" i="63"/>
  <c r="C351" i="63"/>
  <c r="F350" i="63"/>
  <c r="E350" i="63"/>
  <c r="D350" i="63"/>
  <c r="C350" i="63"/>
  <c r="F349" i="63"/>
  <c r="E349" i="63"/>
  <c r="D349" i="63"/>
  <c r="C349" i="63"/>
  <c r="F348" i="63"/>
  <c r="E348" i="63"/>
  <c r="D348" i="63"/>
  <c r="C348" i="63"/>
  <c r="F347" i="63"/>
  <c r="E347" i="63"/>
  <c r="D347" i="63"/>
  <c r="C347" i="63"/>
  <c r="F346" i="63"/>
  <c r="E346" i="63"/>
  <c r="D346" i="63"/>
  <c r="C346" i="63"/>
  <c r="F345" i="63"/>
  <c r="E345" i="63"/>
  <c r="D345" i="63"/>
  <c r="C345" i="63"/>
  <c r="F344" i="63"/>
  <c r="E344" i="63"/>
  <c r="D344" i="63"/>
  <c r="C344" i="63"/>
  <c r="F343" i="63"/>
  <c r="E343" i="63"/>
  <c r="D343" i="63"/>
  <c r="C343" i="63"/>
  <c r="F342" i="63"/>
  <c r="E342" i="63"/>
  <c r="D342" i="63"/>
  <c r="C342" i="63"/>
  <c r="F341" i="63"/>
  <c r="E341" i="63"/>
  <c r="D341" i="63"/>
  <c r="C341" i="63"/>
  <c r="F340" i="63"/>
  <c r="E340" i="63"/>
  <c r="D340" i="63"/>
  <c r="C340" i="63"/>
  <c r="F339" i="63"/>
  <c r="E339" i="63"/>
  <c r="D339" i="63"/>
  <c r="C339" i="63"/>
  <c r="F338" i="63"/>
  <c r="E338" i="63"/>
  <c r="D338" i="63"/>
  <c r="C338" i="63"/>
  <c r="F337" i="63"/>
  <c r="E337" i="63"/>
  <c r="D337" i="63"/>
  <c r="C337" i="63"/>
  <c r="F336" i="63"/>
  <c r="E336" i="63"/>
  <c r="D336" i="63"/>
  <c r="C336" i="63"/>
  <c r="F335" i="63"/>
  <c r="E335" i="63"/>
  <c r="D335" i="63"/>
  <c r="C335" i="63"/>
  <c r="F334" i="63"/>
  <c r="E334" i="63"/>
  <c r="D334" i="63"/>
  <c r="C334" i="63"/>
  <c r="F333" i="63"/>
  <c r="E333" i="63"/>
  <c r="D333" i="63"/>
  <c r="C333" i="63"/>
  <c r="F332" i="63"/>
  <c r="E332" i="63"/>
  <c r="D332" i="63"/>
  <c r="C332" i="63"/>
  <c r="F331" i="63"/>
  <c r="E331" i="63"/>
  <c r="D331" i="63"/>
  <c r="C331" i="63"/>
  <c r="F330" i="63"/>
  <c r="E330" i="63"/>
  <c r="D330" i="63"/>
  <c r="C330" i="63"/>
  <c r="F329" i="63"/>
  <c r="E329" i="63"/>
  <c r="D329" i="63"/>
  <c r="C329" i="63"/>
  <c r="F328" i="63"/>
  <c r="E328" i="63"/>
  <c r="D328" i="63"/>
  <c r="C328" i="63"/>
  <c r="F327" i="63"/>
  <c r="E327" i="63"/>
  <c r="D327" i="63"/>
  <c r="C327" i="63"/>
  <c r="F326" i="63"/>
  <c r="E326" i="63"/>
  <c r="D326" i="63"/>
  <c r="C326" i="63"/>
  <c r="F325" i="63"/>
  <c r="E325" i="63"/>
  <c r="D325" i="63"/>
  <c r="C325" i="63"/>
  <c r="F324" i="63"/>
  <c r="E324" i="63"/>
  <c r="D324" i="63"/>
  <c r="C324" i="63"/>
  <c r="F323" i="63"/>
  <c r="E323" i="63"/>
  <c r="D323" i="63"/>
  <c r="C323" i="63"/>
  <c r="F322" i="63"/>
  <c r="E322" i="63"/>
  <c r="D322" i="63"/>
  <c r="C322" i="63"/>
  <c r="F321" i="63"/>
  <c r="E321" i="63"/>
  <c r="D321" i="63"/>
  <c r="C321" i="63"/>
  <c r="F320" i="63"/>
  <c r="E320" i="63"/>
  <c r="D320" i="63"/>
  <c r="C320" i="63"/>
  <c r="F319" i="63"/>
  <c r="E319" i="63"/>
  <c r="D319" i="63"/>
  <c r="C319" i="63"/>
  <c r="F318" i="63"/>
  <c r="E318" i="63"/>
  <c r="D318" i="63"/>
  <c r="C318" i="63"/>
  <c r="F317" i="63"/>
  <c r="E317" i="63"/>
  <c r="D317" i="63"/>
  <c r="C317" i="63"/>
  <c r="F316" i="63"/>
  <c r="E316" i="63"/>
  <c r="D316" i="63"/>
  <c r="C316" i="63"/>
  <c r="F315" i="63"/>
  <c r="E315" i="63"/>
  <c r="D315" i="63"/>
  <c r="C315" i="63"/>
  <c r="F314" i="63"/>
  <c r="E314" i="63"/>
  <c r="D314" i="63"/>
  <c r="C314" i="63"/>
  <c r="F313" i="63"/>
  <c r="E313" i="63"/>
  <c r="D313" i="63"/>
  <c r="C313" i="63"/>
  <c r="F312" i="63"/>
  <c r="E312" i="63"/>
  <c r="D312" i="63"/>
  <c r="C312" i="63"/>
  <c r="F311" i="63"/>
  <c r="E311" i="63"/>
  <c r="D311" i="63"/>
  <c r="C311" i="63"/>
  <c r="F310" i="63"/>
  <c r="E310" i="63"/>
  <c r="D310" i="63"/>
  <c r="C310" i="63"/>
  <c r="F309" i="63"/>
  <c r="E309" i="63"/>
  <c r="D309" i="63"/>
  <c r="C309" i="63"/>
  <c r="F308" i="63"/>
  <c r="E308" i="63"/>
  <c r="D308" i="63"/>
  <c r="C308" i="63"/>
  <c r="F307" i="63"/>
  <c r="E307" i="63"/>
  <c r="D307" i="63"/>
  <c r="C307" i="63"/>
  <c r="F306" i="63"/>
  <c r="E306" i="63"/>
  <c r="D306" i="63"/>
  <c r="C306" i="63"/>
  <c r="F305" i="63"/>
  <c r="E305" i="63"/>
  <c r="D305" i="63"/>
  <c r="C305" i="63"/>
  <c r="F304" i="63"/>
  <c r="E304" i="63"/>
  <c r="D304" i="63"/>
  <c r="C304" i="63"/>
  <c r="F303" i="63"/>
  <c r="E303" i="63"/>
  <c r="D303" i="63"/>
  <c r="C303" i="63"/>
  <c r="F302" i="63"/>
  <c r="E302" i="63"/>
  <c r="D302" i="63"/>
  <c r="C302" i="63"/>
  <c r="F301" i="63"/>
  <c r="E301" i="63"/>
  <c r="D301" i="63"/>
  <c r="C301" i="63"/>
  <c r="F300" i="63"/>
  <c r="E300" i="63"/>
  <c r="D300" i="63"/>
  <c r="C300" i="63"/>
  <c r="F299" i="63"/>
  <c r="E299" i="63"/>
  <c r="D299" i="63"/>
  <c r="C299" i="63"/>
  <c r="F298" i="63"/>
  <c r="E298" i="63"/>
  <c r="D298" i="63"/>
  <c r="C298" i="63"/>
  <c r="F297" i="63"/>
  <c r="E297" i="63"/>
  <c r="D297" i="63"/>
  <c r="C297" i="63"/>
  <c r="F296" i="63"/>
  <c r="E296" i="63"/>
  <c r="D296" i="63"/>
  <c r="C296" i="63"/>
  <c r="F295" i="63"/>
  <c r="E295" i="63"/>
  <c r="D295" i="63"/>
  <c r="C295" i="63"/>
  <c r="F294" i="63"/>
  <c r="E294" i="63"/>
  <c r="D294" i="63"/>
  <c r="C294" i="63"/>
  <c r="F293" i="63"/>
  <c r="E293" i="63"/>
  <c r="D293" i="63"/>
  <c r="C293" i="63"/>
  <c r="F292" i="63"/>
  <c r="E292" i="63"/>
  <c r="D292" i="63"/>
  <c r="C292" i="63"/>
  <c r="F291" i="63"/>
  <c r="E291" i="63"/>
  <c r="D291" i="63"/>
  <c r="C291" i="63"/>
  <c r="F290" i="63"/>
  <c r="E290" i="63"/>
  <c r="D290" i="63"/>
  <c r="C290" i="63"/>
  <c r="F289" i="63"/>
  <c r="E289" i="63"/>
  <c r="D289" i="63"/>
  <c r="C289" i="63"/>
  <c r="F288" i="63"/>
  <c r="E288" i="63"/>
  <c r="D288" i="63"/>
  <c r="C288" i="63"/>
  <c r="F287" i="63"/>
  <c r="E287" i="63"/>
  <c r="D287" i="63"/>
  <c r="C287" i="63"/>
  <c r="F286" i="63"/>
  <c r="E286" i="63"/>
  <c r="D286" i="63"/>
  <c r="C286" i="63"/>
  <c r="F285" i="63"/>
  <c r="E285" i="63"/>
  <c r="D285" i="63"/>
  <c r="C285" i="63"/>
  <c r="F284" i="63"/>
  <c r="E284" i="63"/>
  <c r="D284" i="63"/>
  <c r="C284" i="63"/>
  <c r="F283" i="63"/>
  <c r="E283" i="63"/>
  <c r="D283" i="63"/>
  <c r="C283" i="63"/>
  <c r="F282" i="63"/>
  <c r="E282" i="63"/>
  <c r="D282" i="63"/>
  <c r="C282" i="63"/>
  <c r="F281" i="63"/>
  <c r="E281" i="63"/>
  <c r="D281" i="63"/>
  <c r="C281" i="63"/>
  <c r="F280" i="63"/>
  <c r="E280" i="63"/>
  <c r="D280" i="63"/>
  <c r="C280" i="63"/>
  <c r="F279" i="63"/>
  <c r="E279" i="63"/>
  <c r="D279" i="63"/>
  <c r="C279" i="63"/>
  <c r="F278" i="63"/>
  <c r="E278" i="63"/>
  <c r="D278" i="63"/>
  <c r="C278" i="63"/>
  <c r="F277" i="63"/>
  <c r="E277" i="63"/>
  <c r="D277" i="63"/>
  <c r="C277" i="63"/>
  <c r="F276" i="63"/>
  <c r="E276" i="63"/>
  <c r="D276" i="63"/>
  <c r="C276" i="63"/>
  <c r="F275" i="63"/>
  <c r="E275" i="63"/>
  <c r="D275" i="63"/>
  <c r="C275" i="63"/>
  <c r="F274" i="63"/>
  <c r="E274" i="63"/>
  <c r="D274" i="63"/>
  <c r="C274" i="63"/>
  <c r="F273" i="63"/>
  <c r="E273" i="63"/>
  <c r="D273" i="63"/>
  <c r="C273" i="63"/>
  <c r="F272" i="63"/>
  <c r="E272" i="63"/>
  <c r="D272" i="63"/>
  <c r="C272" i="63"/>
  <c r="F271" i="63"/>
  <c r="E271" i="63"/>
  <c r="D271" i="63"/>
  <c r="C271" i="63"/>
  <c r="F270" i="63"/>
  <c r="E270" i="63"/>
  <c r="D270" i="63"/>
  <c r="C270" i="63"/>
  <c r="F269" i="63"/>
  <c r="E269" i="63"/>
  <c r="D269" i="63"/>
  <c r="C269" i="63"/>
  <c r="F268" i="63"/>
  <c r="E268" i="63"/>
  <c r="D268" i="63"/>
  <c r="C268" i="63"/>
  <c r="F267" i="63"/>
  <c r="E267" i="63"/>
  <c r="D267" i="63"/>
  <c r="C267" i="63"/>
  <c r="F266" i="63"/>
  <c r="E266" i="63"/>
  <c r="D266" i="63"/>
  <c r="C266" i="63"/>
  <c r="F265" i="63"/>
  <c r="E265" i="63"/>
  <c r="D265" i="63"/>
  <c r="C265" i="63"/>
  <c r="F264" i="63"/>
  <c r="E264" i="63"/>
  <c r="D264" i="63"/>
  <c r="C264" i="63"/>
  <c r="F263" i="63"/>
  <c r="E263" i="63"/>
  <c r="D263" i="63"/>
  <c r="C263" i="63"/>
  <c r="F262" i="63"/>
  <c r="E262" i="63"/>
  <c r="D262" i="63"/>
  <c r="C262" i="63"/>
  <c r="F261" i="63"/>
  <c r="E261" i="63"/>
  <c r="D261" i="63"/>
  <c r="C261" i="63"/>
  <c r="F260" i="63"/>
  <c r="E260" i="63"/>
  <c r="D260" i="63"/>
  <c r="C260" i="63"/>
  <c r="F259" i="63"/>
  <c r="E259" i="63"/>
  <c r="D259" i="63"/>
  <c r="C259" i="63"/>
  <c r="F258" i="63"/>
  <c r="E258" i="63"/>
  <c r="D258" i="63"/>
  <c r="C258" i="63"/>
  <c r="F257" i="63"/>
  <c r="E257" i="63"/>
  <c r="D257" i="63"/>
  <c r="C257" i="63"/>
  <c r="F256" i="63"/>
  <c r="E256" i="63"/>
  <c r="D256" i="63"/>
  <c r="C256" i="63"/>
  <c r="F255" i="63"/>
  <c r="E255" i="63"/>
  <c r="D255" i="63"/>
  <c r="C255" i="63"/>
  <c r="F254" i="63"/>
  <c r="E254" i="63"/>
  <c r="D254" i="63"/>
  <c r="C254" i="63"/>
  <c r="F253" i="63"/>
  <c r="E253" i="63"/>
  <c r="D253" i="63"/>
  <c r="C253" i="63"/>
  <c r="F252" i="63"/>
  <c r="E252" i="63"/>
  <c r="D252" i="63"/>
  <c r="C252" i="63"/>
  <c r="F251" i="63"/>
  <c r="E251" i="63"/>
  <c r="D251" i="63"/>
  <c r="C251" i="63"/>
  <c r="F250" i="63"/>
  <c r="E250" i="63"/>
  <c r="D250" i="63"/>
  <c r="C250" i="63"/>
  <c r="F249" i="63"/>
  <c r="E249" i="63"/>
  <c r="D249" i="63"/>
  <c r="C249" i="63"/>
  <c r="F248" i="63"/>
  <c r="E248" i="63"/>
  <c r="D248" i="63"/>
  <c r="C248" i="63"/>
  <c r="F247" i="63"/>
  <c r="E247" i="63"/>
  <c r="D247" i="63"/>
  <c r="C247" i="63"/>
  <c r="F246" i="63"/>
  <c r="E246" i="63"/>
  <c r="D246" i="63"/>
  <c r="C246" i="63"/>
  <c r="F245" i="63"/>
  <c r="E245" i="63"/>
  <c r="D245" i="63"/>
  <c r="C245" i="63"/>
  <c r="F244" i="63"/>
  <c r="E244" i="63"/>
  <c r="D244" i="63"/>
  <c r="C244" i="63"/>
  <c r="F243" i="63"/>
  <c r="E243" i="63"/>
  <c r="D243" i="63"/>
  <c r="C243" i="63"/>
  <c r="F242" i="63"/>
  <c r="E242" i="63"/>
  <c r="D242" i="63"/>
  <c r="C242" i="63"/>
  <c r="F241" i="63"/>
  <c r="E241" i="63"/>
  <c r="D241" i="63"/>
  <c r="C241" i="63"/>
  <c r="F240" i="63"/>
  <c r="E240" i="63"/>
  <c r="D240" i="63"/>
  <c r="C240" i="63"/>
  <c r="F239" i="63"/>
  <c r="E239" i="63"/>
  <c r="D239" i="63"/>
  <c r="C239" i="63"/>
  <c r="F238" i="63"/>
  <c r="E238" i="63"/>
  <c r="D238" i="63"/>
  <c r="C238" i="63"/>
  <c r="F237" i="63"/>
  <c r="E237" i="63"/>
  <c r="D237" i="63"/>
  <c r="C237" i="63"/>
  <c r="F236" i="63"/>
  <c r="E236" i="63"/>
  <c r="D236" i="63"/>
  <c r="C236" i="63"/>
  <c r="F235" i="63"/>
  <c r="E235" i="63"/>
  <c r="D235" i="63"/>
  <c r="C235" i="63"/>
  <c r="F234" i="63"/>
  <c r="E234" i="63"/>
  <c r="D234" i="63"/>
  <c r="C234" i="63"/>
  <c r="F233" i="63"/>
  <c r="E233" i="63"/>
  <c r="D233" i="63"/>
  <c r="C233" i="63"/>
  <c r="F232" i="63"/>
  <c r="E232" i="63"/>
  <c r="D232" i="63"/>
  <c r="C232" i="63"/>
  <c r="F231" i="63"/>
  <c r="E231" i="63"/>
  <c r="D231" i="63"/>
  <c r="C231" i="63"/>
  <c r="F230" i="63"/>
  <c r="E230" i="63"/>
  <c r="D230" i="63"/>
  <c r="C230" i="63"/>
  <c r="F229" i="63"/>
  <c r="E229" i="63"/>
  <c r="D229" i="63"/>
  <c r="C229" i="63"/>
  <c r="F228" i="63"/>
  <c r="E228" i="63"/>
  <c r="D228" i="63"/>
  <c r="C228" i="63"/>
  <c r="F227" i="63"/>
  <c r="E227" i="63"/>
  <c r="D227" i="63"/>
  <c r="C227" i="63"/>
  <c r="F226" i="63"/>
  <c r="E226" i="63"/>
  <c r="D226" i="63"/>
  <c r="C226" i="63"/>
  <c r="F225" i="63"/>
  <c r="E225" i="63"/>
  <c r="D225" i="63"/>
  <c r="C225" i="63"/>
  <c r="F224" i="63"/>
  <c r="E224" i="63"/>
  <c r="D224" i="63"/>
  <c r="C224" i="63"/>
  <c r="F223" i="63"/>
  <c r="E223" i="63"/>
  <c r="D223" i="63"/>
  <c r="C223" i="63"/>
  <c r="F222" i="63"/>
  <c r="E222" i="63"/>
  <c r="D222" i="63"/>
  <c r="C222" i="63"/>
  <c r="F221" i="63"/>
  <c r="E221" i="63"/>
  <c r="D221" i="63"/>
  <c r="C221" i="63"/>
  <c r="F220" i="63"/>
  <c r="E220" i="63"/>
  <c r="D220" i="63"/>
  <c r="C220" i="63"/>
  <c r="F219" i="63"/>
  <c r="E219" i="63"/>
  <c r="D219" i="63"/>
  <c r="C219" i="63"/>
  <c r="F218" i="63"/>
  <c r="E218" i="63"/>
  <c r="D218" i="63"/>
  <c r="C218" i="63"/>
  <c r="F217" i="63"/>
  <c r="E217" i="63"/>
  <c r="D217" i="63"/>
  <c r="C217" i="63"/>
  <c r="F216" i="63"/>
  <c r="E216" i="63"/>
  <c r="D216" i="63"/>
  <c r="C216" i="63"/>
  <c r="F215" i="63"/>
  <c r="E215" i="63"/>
  <c r="D215" i="63"/>
  <c r="C215" i="63"/>
  <c r="F214" i="63"/>
  <c r="E214" i="63"/>
  <c r="D214" i="63"/>
  <c r="C214" i="63"/>
  <c r="F213" i="63"/>
  <c r="E213" i="63"/>
  <c r="D213" i="63"/>
  <c r="C213" i="63"/>
  <c r="F212" i="63"/>
  <c r="E212" i="63"/>
  <c r="D212" i="63"/>
  <c r="C212" i="63"/>
  <c r="F211" i="63"/>
  <c r="E211" i="63"/>
  <c r="D211" i="63"/>
  <c r="C211" i="63"/>
  <c r="F210" i="63"/>
  <c r="E210" i="63"/>
  <c r="D210" i="63"/>
  <c r="C210" i="63"/>
  <c r="F209" i="63"/>
  <c r="E209" i="63"/>
  <c r="D209" i="63"/>
  <c r="C209" i="63"/>
  <c r="F208" i="63"/>
  <c r="E208" i="63"/>
  <c r="D208" i="63"/>
  <c r="C208" i="63"/>
  <c r="F207" i="63"/>
  <c r="E207" i="63"/>
  <c r="D207" i="63"/>
  <c r="C207" i="63"/>
  <c r="F206" i="63"/>
  <c r="E206" i="63"/>
  <c r="D206" i="63"/>
  <c r="C206" i="63"/>
  <c r="F205" i="63"/>
  <c r="E205" i="63"/>
  <c r="D205" i="63"/>
  <c r="C205" i="63"/>
  <c r="F204" i="63"/>
  <c r="E204" i="63"/>
  <c r="D204" i="63"/>
  <c r="C204" i="63"/>
  <c r="F203" i="63"/>
  <c r="E203" i="63"/>
  <c r="D203" i="63"/>
  <c r="C203" i="63"/>
  <c r="F202" i="63"/>
  <c r="E202" i="63"/>
  <c r="D202" i="63"/>
  <c r="C202" i="63"/>
  <c r="F201" i="63"/>
  <c r="E201" i="63"/>
  <c r="D201" i="63"/>
  <c r="C201" i="63"/>
  <c r="F200" i="63"/>
  <c r="E200" i="63"/>
  <c r="D200" i="63"/>
  <c r="C200" i="63"/>
  <c r="F199" i="63"/>
  <c r="E199" i="63"/>
  <c r="D199" i="63"/>
  <c r="C199" i="63"/>
  <c r="F198" i="63"/>
  <c r="E198" i="63"/>
  <c r="D198" i="63"/>
  <c r="C198" i="63"/>
  <c r="F197" i="63"/>
  <c r="E197" i="63"/>
  <c r="D197" i="63"/>
  <c r="C197" i="63"/>
  <c r="F196" i="63"/>
  <c r="E196" i="63"/>
  <c r="D196" i="63"/>
  <c r="C196" i="63"/>
  <c r="F195" i="63"/>
  <c r="E195" i="63"/>
  <c r="D195" i="63"/>
  <c r="C195" i="63"/>
  <c r="F194" i="63"/>
  <c r="E194" i="63"/>
  <c r="D194" i="63"/>
  <c r="C194" i="63"/>
  <c r="F193" i="63"/>
  <c r="E193" i="63"/>
  <c r="D193" i="63"/>
  <c r="C193" i="63"/>
  <c r="F192" i="63"/>
  <c r="E192" i="63"/>
  <c r="D192" i="63"/>
  <c r="C192" i="63"/>
  <c r="F191" i="63"/>
  <c r="E191" i="63"/>
  <c r="D191" i="63"/>
  <c r="C191" i="63"/>
  <c r="F190" i="63"/>
  <c r="E190" i="63"/>
  <c r="D190" i="63"/>
  <c r="C190" i="63"/>
  <c r="F189" i="63"/>
  <c r="E189" i="63"/>
  <c r="D189" i="63"/>
  <c r="C189" i="63"/>
  <c r="F188" i="63"/>
  <c r="E188" i="63"/>
  <c r="D188" i="63"/>
  <c r="C188" i="63"/>
  <c r="F187" i="63"/>
  <c r="E187" i="63"/>
  <c r="D187" i="63"/>
  <c r="C187" i="63"/>
  <c r="F186" i="63"/>
  <c r="E186" i="63"/>
  <c r="D186" i="63"/>
  <c r="C186" i="63"/>
  <c r="F185" i="63"/>
  <c r="E185" i="63"/>
  <c r="D185" i="63"/>
  <c r="C185" i="63"/>
  <c r="F184" i="63"/>
  <c r="E184" i="63"/>
  <c r="D184" i="63"/>
  <c r="C184" i="63"/>
  <c r="F183" i="63"/>
  <c r="E183" i="63"/>
  <c r="D183" i="63"/>
  <c r="C183" i="63"/>
  <c r="F182" i="63"/>
  <c r="E182" i="63"/>
  <c r="D182" i="63"/>
  <c r="C182" i="63"/>
  <c r="F181" i="63"/>
  <c r="E181" i="63"/>
  <c r="D181" i="63"/>
  <c r="C181" i="63"/>
  <c r="F180" i="63"/>
  <c r="E180" i="63"/>
  <c r="D180" i="63"/>
  <c r="C180" i="63"/>
  <c r="F179" i="63"/>
  <c r="E179" i="63"/>
  <c r="D179" i="63"/>
  <c r="C179" i="63"/>
  <c r="F178" i="63"/>
  <c r="E178" i="63"/>
  <c r="D178" i="63"/>
  <c r="C178" i="63"/>
  <c r="F177" i="63"/>
  <c r="E177" i="63"/>
  <c r="D177" i="63"/>
  <c r="C177" i="63"/>
  <c r="F176" i="63"/>
  <c r="E176" i="63"/>
  <c r="D176" i="63"/>
  <c r="C176" i="63"/>
  <c r="F175" i="63"/>
  <c r="E175" i="63"/>
  <c r="D175" i="63"/>
  <c r="C175" i="63"/>
  <c r="F174" i="63"/>
  <c r="E174" i="63"/>
  <c r="D174" i="63"/>
  <c r="C174" i="63"/>
  <c r="F173" i="63"/>
  <c r="E173" i="63"/>
  <c r="D173" i="63"/>
  <c r="C173" i="63"/>
  <c r="F172" i="63"/>
  <c r="E172" i="63"/>
  <c r="D172" i="63"/>
  <c r="C172" i="63"/>
  <c r="F171" i="63"/>
  <c r="E171" i="63"/>
  <c r="D171" i="63"/>
  <c r="C171" i="63"/>
  <c r="F170" i="63"/>
  <c r="E170" i="63"/>
  <c r="D170" i="63"/>
  <c r="C170" i="63"/>
  <c r="F169" i="63"/>
  <c r="E169" i="63"/>
  <c r="D169" i="63"/>
  <c r="C169" i="63"/>
  <c r="F168" i="63"/>
  <c r="E168" i="63"/>
  <c r="D168" i="63"/>
  <c r="C168" i="63"/>
  <c r="F167" i="63"/>
  <c r="E167" i="63"/>
  <c r="D167" i="63"/>
  <c r="C167" i="63"/>
  <c r="F166" i="63"/>
  <c r="E166" i="63"/>
  <c r="D166" i="63"/>
  <c r="C166" i="63"/>
  <c r="F165" i="63"/>
  <c r="E165" i="63"/>
  <c r="D165" i="63"/>
  <c r="C165" i="63"/>
  <c r="F164" i="63"/>
  <c r="E164" i="63"/>
  <c r="D164" i="63"/>
  <c r="C164" i="63"/>
  <c r="F163" i="63"/>
  <c r="E163" i="63"/>
  <c r="D163" i="63"/>
  <c r="C163" i="63"/>
  <c r="F162" i="63"/>
  <c r="E162" i="63"/>
  <c r="D162" i="63"/>
  <c r="C162" i="63"/>
  <c r="F161" i="63"/>
  <c r="E161" i="63"/>
  <c r="D161" i="63"/>
  <c r="C161" i="63"/>
  <c r="F160" i="63"/>
  <c r="E160" i="63"/>
  <c r="D160" i="63"/>
  <c r="C160" i="63"/>
  <c r="F159" i="63"/>
  <c r="E159" i="63"/>
  <c r="D159" i="63"/>
  <c r="C159" i="63"/>
  <c r="F158" i="63"/>
  <c r="E158" i="63"/>
  <c r="D158" i="63"/>
  <c r="C158" i="63"/>
  <c r="F157" i="63"/>
  <c r="E157" i="63"/>
  <c r="D157" i="63"/>
  <c r="C157" i="63"/>
  <c r="F156" i="63"/>
  <c r="E156" i="63"/>
  <c r="D156" i="63"/>
  <c r="C156" i="63"/>
  <c r="F155" i="63"/>
  <c r="E155" i="63"/>
  <c r="D155" i="63"/>
  <c r="C155" i="63"/>
  <c r="F154" i="63"/>
  <c r="E154" i="63"/>
  <c r="D154" i="63"/>
  <c r="C154" i="63"/>
  <c r="F153" i="63"/>
  <c r="E153" i="63"/>
  <c r="D153" i="63"/>
  <c r="C153" i="63"/>
  <c r="F152" i="63"/>
  <c r="E152" i="63"/>
  <c r="D152" i="63"/>
  <c r="C152" i="63"/>
  <c r="F151" i="63"/>
  <c r="E151" i="63"/>
  <c r="D151" i="63"/>
  <c r="C151" i="63"/>
  <c r="F150" i="63"/>
  <c r="E150" i="63"/>
  <c r="D150" i="63"/>
  <c r="C150" i="63"/>
  <c r="F149" i="63"/>
  <c r="E149" i="63"/>
  <c r="D149" i="63"/>
  <c r="C149" i="63"/>
  <c r="F148" i="63"/>
  <c r="E148" i="63"/>
  <c r="D148" i="63"/>
  <c r="C148" i="63"/>
  <c r="F147" i="63"/>
  <c r="E147" i="63"/>
  <c r="D147" i="63"/>
  <c r="C147" i="63"/>
  <c r="F146" i="63"/>
  <c r="E146" i="63"/>
  <c r="D146" i="63"/>
  <c r="C146" i="63"/>
  <c r="F145" i="63"/>
  <c r="E145" i="63"/>
  <c r="D145" i="63"/>
  <c r="C145" i="63"/>
  <c r="F144" i="63"/>
  <c r="E144" i="63"/>
  <c r="D144" i="63"/>
  <c r="C144" i="63"/>
  <c r="F143" i="63"/>
  <c r="E143" i="63"/>
  <c r="D143" i="63"/>
  <c r="C143" i="63"/>
  <c r="F142" i="63"/>
  <c r="E142" i="63"/>
  <c r="D142" i="63"/>
  <c r="C142" i="63"/>
  <c r="F141" i="63"/>
  <c r="E141" i="63"/>
  <c r="D141" i="63"/>
  <c r="C141" i="63"/>
  <c r="F140" i="63"/>
  <c r="E140" i="63"/>
  <c r="D140" i="63"/>
  <c r="C140" i="63"/>
  <c r="F139" i="63"/>
  <c r="E139" i="63"/>
  <c r="D139" i="63"/>
  <c r="C139" i="63"/>
  <c r="F138" i="63"/>
  <c r="E138" i="63"/>
  <c r="D138" i="63"/>
  <c r="C138" i="63"/>
  <c r="F137" i="63"/>
  <c r="E137" i="63"/>
  <c r="D137" i="63"/>
  <c r="C137" i="63"/>
  <c r="F136" i="63"/>
  <c r="E136" i="63"/>
  <c r="D136" i="63"/>
  <c r="C136" i="63"/>
  <c r="F135" i="63"/>
  <c r="E135" i="63"/>
  <c r="D135" i="63"/>
  <c r="C135" i="63"/>
  <c r="F134" i="63"/>
  <c r="E134" i="63"/>
  <c r="D134" i="63"/>
  <c r="C134" i="63"/>
  <c r="F133" i="63"/>
  <c r="E133" i="63"/>
  <c r="D133" i="63"/>
  <c r="C133" i="63"/>
  <c r="F132" i="63"/>
  <c r="E132" i="63"/>
  <c r="D132" i="63"/>
  <c r="C132" i="63"/>
  <c r="F131" i="63"/>
  <c r="E131" i="63"/>
  <c r="D131" i="63"/>
  <c r="C131" i="63"/>
  <c r="F130" i="63"/>
  <c r="E130" i="63"/>
  <c r="D130" i="63"/>
  <c r="C130" i="63"/>
  <c r="F129" i="63"/>
  <c r="E129" i="63"/>
  <c r="D129" i="63"/>
  <c r="C129" i="63"/>
  <c r="F128" i="63"/>
  <c r="E128" i="63"/>
  <c r="D128" i="63"/>
  <c r="C128" i="63"/>
  <c r="F127" i="63"/>
  <c r="E127" i="63"/>
  <c r="D127" i="63"/>
  <c r="C127" i="63"/>
  <c r="F126" i="63"/>
  <c r="E126" i="63"/>
  <c r="D126" i="63"/>
  <c r="C126" i="63"/>
  <c r="F125" i="63"/>
  <c r="E125" i="63"/>
  <c r="D125" i="63"/>
  <c r="C125" i="63"/>
  <c r="F124" i="63"/>
  <c r="E124" i="63"/>
  <c r="D124" i="63"/>
  <c r="C124" i="63"/>
  <c r="F123" i="63"/>
  <c r="E123" i="63"/>
  <c r="D123" i="63"/>
  <c r="C123" i="63"/>
  <c r="F122" i="63"/>
  <c r="E122" i="63"/>
  <c r="D122" i="63"/>
  <c r="C122" i="63"/>
  <c r="F121" i="63"/>
  <c r="E121" i="63"/>
  <c r="D121" i="63"/>
  <c r="C121" i="63"/>
  <c r="F120" i="63"/>
  <c r="E120" i="63"/>
  <c r="D120" i="63"/>
  <c r="C120" i="63"/>
  <c r="F119" i="63"/>
  <c r="E119" i="63"/>
  <c r="D119" i="63"/>
  <c r="C119" i="63"/>
  <c r="F118" i="63"/>
  <c r="E118" i="63"/>
  <c r="D118" i="63"/>
  <c r="C118" i="63"/>
  <c r="F117" i="63"/>
  <c r="E117" i="63"/>
  <c r="D117" i="63"/>
  <c r="C117" i="63"/>
  <c r="F116" i="63"/>
  <c r="E116" i="63"/>
  <c r="D116" i="63"/>
  <c r="C116" i="63"/>
  <c r="F115" i="63"/>
  <c r="E115" i="63"/>
  <c r="D115" i="63"/>
  <c r="C115" i="63"/>
  <c r="F114" i="63"/>
  <c r="E114" i="63"/>
  <c r="D114" i="63"/>
  <c r="C114" i="63"/>
  <c r="F113" i="63"/>
  <c r="E113" i="63"/>
  <c r="D113" i="63"/>
  <c r="C113" i="63"/>
  <c r="F112" i="63"/>
  <c r="E112" i="63"/>
  <c r="D112" i="63"/>
  <c r="C112" i="63"/>
  <c r="F111" i="63"/>
  <c r="E111" i="63"/>
  <c r="D111" i="63"/>
  <c r="C111" i="63"/>
  <c r="F110" i="63"/>
  <c r="E110" i="63"/>
  <c r="D110" i="63"/>
  <c r="C110" i="63"/>
  <c r="F109" i="63"/>
  <c r="E109" i="63"/>
  <c r="D109" i="63"/>
  <c r="C109" i="63"/>
  <c r="F108" i="63"/>
  <c r="E108" i="63"/>
  <c r="D108" i="63"/>
  <c r="C108" i="63"/>
  <c r="F107" i="63"/>
  <c r="E107" i="63"/>
  <c r="D107" i="63"/>
  <c r="C107" i="63"/>
  <c r="F106" i="63"/>
  <c r="E106" i="63"/>
  <c r="D106" i="63"/>
  <c r="C106" i="63"/>
  <c r="F105" i="63"/>
  <c r="E105" i="63"/>
  <c r="D105" i="63"/>
  <c r="C105" i="63"/>
  <c r="F104" i="63"/>
  <c r="E104" i="63"/>
  <c r="D104" i="63"/>
  <c r="C104" i="63"/>
  <c r="F103" i="63"/>
  <c r="E103" i="63"/>
  <c r="D103" i="63"/>
  <c r="C103" i="63"/>
  <c r="F102" i="63"/>
  <c r="E102" i="63"/>
  <c r="D102" i="63"/>
  <c r="C102" i="63"/>
  <c r="F101" i="63"/>
  <c r="E101" i="63"/>
  <c r="D101" i="63"/>
  <c r="C101" i="63"/>
  <c r="F100" i="63"/>
  <c r="E100" i="63"/>
  <c r="D100" i="63"/>
  <c r="C100" i="63"/>
  <c r="F99" i="63"/>
  <c r="E99" i="63"/>
  <c r="D99" i="63"/>
  <c r="C99" i="63"/>
  <c r="F98" i="63"/>
  <c r="E98" i="63"/>
  <c r="D98" i="63"/>
  <c r="C98" i="63"/>
  <c r="F97" i="63"/>
  <c r="E97" i="63"/>
  <c r="D97" i="63"/>
  <c r="C97" i="63"/>
  <c r="F96" i="63"/>
  <c r="E96" i="63"/>
  <c r="D96" i="63"/>
  <c r="C96" i="63"/>
  <c r="F95" i="63"/>
  <c r="E95" i="63"/>
  <c r="D95" i="63"/>
  <c r="C95" i="63"/>
  <c r="F94" i="63"/>
  <c r="E94" i="63"/>
  <c r="D94" i="63"/>
  <c r="C94" i="63"/>
  <c r="F93" i="63"/>
  <c r="E93" i="63"/>
  <c r="D93" i="63"/>
  <c r="C93" i="63"/>
  <c r="F92" i="63"/>
  <c r="E92" i="63"/>
  <c r="D92" i="63"/>
  <c r="C92" i="63"/>
  <c r="F91" i="63"/>
  <c r="E91" i="63"/>
  <c r="D91" i="63"/>
  <c r="C91" i="63"/>
  <c r="F90" i="63"/>
  <c r="E90" i="63"/>
  <c r="D90" i="63"/>
  <c r="C90" i="63"/>
  <c r="F89" i="63"/>
  <c r="E89" i="63"/>
  <c r="D89" i="63"/>
  <c r="C89" i="63"/>
  <c r="F88" i="63"/>
  <c r="E88" i="63"/>
  <c r="D88" i="63"/>
  <c r="C88" i="63"/>
  <c r="F87" i="63"/>
  <c r="E87" i="63"/>
  <c r="D87" i="63"/>
  <c r="C87" i="63"/>
  <c r="F86" i="63"/>
  <c r="E86" i="63"/>
  <c r="D86" i="63"/>
  <c r="C86" i="63"/>
  <c r="F85" i="63"/>
  <c r="E85" i="63"/>
  <c r="D85" i="63"/>
  <c r="C85" i="63"/>
  <c r="F84" i="63"/>
  <c r="E84" i="63"/>
  <c r="D84" i="63"/>
  <c r="C84" i="63"/>
  <c r="F83" i="63"/>
  <c r="E83" i="63"/>
  <c r="D83" i="63"/>
  <c r="C83" i="63"/>
  <c r="F82" i="63"/>
  <c r="E82" i="63"/>
  <c r="D82" i="63"/>
  <c r="C82" i="63"/>
  <c r="F81" i="63"/>
  <c r="E81" i="63"/>
  <c r="D81" i="63"/>
  <c r="C81" i="63"/>
  <c r="F80" i="63"/>
  <c r="E80" i="63"/>
  <c r="D80" i="63"/>
  <c r="C80" i="63"/>
  <c r="F79" i="63"/>
  <c r="E79" i="63"/>
  <c r="D79" i="63"/>
  <c r="C79" i="63"/>
  <c r="F78" i="63"/>
  <c r="E78" i="63"/>
  <c r="D78" i="63"/>
  <c r="C78" i="63"/>
  <c r="F77" i="63"/>
  <c r="E77" i="63"/>
  <c r="D77" i="63"/>
  <c r="C77" i="63"/>
  <c r="F76" i="63"/>
  <c r="E76" i="63"/>
  <c r="D76" i="63"/>
  <c r="C76" i="63"/>
  <c r="F75" i="63"/>
  <c r="E75" i="63"/>
  <c r="D75" i="63"/>
  <c r="C75" i="63"/>
  <c r="F74" i="63"/>
  <c r="E74" i="63"/>
  <c r="D74" i="63"/>
  <c r="C74" i="63"/>
  <c r="F73" i="63"/>
  <c r="E73" i="63"/>
  <c r="D73" i="63"/>
  <c r="C73" i="63"/>
  <c r="F72" i="63"/>
  <c r="E72" i="63"/>
  <c r="D72" i="63"/>
  <c r="C72" i="63"/>
  <c r="F71" i="63"/>
  <c r="E71" i="63"/>
  <c r="D71" i="63"/>
  <c r="C71" i="63"/>
  <c r="F70" i="63"/>
  <c r="E70" i="63"/>
  <c r="D70" i="63"/>
  <c r="C70" i="63"/>
  <c r="F69" i="63"/>
  <c r="E69" i="63"/>
  <c r="D69" i="63"/>
  <c r="C69" i="63"/>
  <c r="F68" i="63"/>
  <c r="E68" i="63"/>
  <c r="D68" i="63"/>
  <c r="C68" i="63"/>
  <c r="F67" i="63"/>
  <c r="E67" i="63"/>
  <c r="D67" i="63"/>
  <c r="C67" i="63"/>
  <c r="F66" i="63"/>
  <c r="E66" i="63"/>
  <c r="D66" i="63"/>
  <c r="C66" i="63"/>
  <c r="F65" i="63"/>
  <c r="E65" i="63"/>
  <c r="D65" i="63"/>
  <c r="C65" i="63"/>
  <c r="F64" i="63"/>
  <c r="E64" i="63"/>
  <c r="D64" i="63"/>
  <c r="C64" i="63"/>
  <c r="F63" i="63"/>
  <c r="E63" i="63"/>
  <c r="D63" i="63"/>
  <c r="C63" i="63"/>
  <c r="F62" i="63"/>
  <c r="E62" i="63"/>
  <c r="D62" i="63"/>
  <c r="C62" i="63"/>
  <c r="F61" i="63"/>
  <c r="E61" i="63"/>
  <c r="D61" i="63"/>
  <c r="C61" i="63"/>
  <c r="F60" i="63"/>
  <c r="E60" i="63"/>
  <c r="D60" i="63"/>
  <c r="C60" i="63"/>
  <c r="F59" i="63"/>
  <c r="E59" i="63"/>
  <c r="D59" i="63"/>
  <c r="C59" i="63"/>
  <c r="F58" i="63"/>
  <c r="E58" i="63"/>
  <c r="D58" i="63"/>
  <c r="C58" i="63"/>
  <c r="F57" i="63"/>
  <c r="E57" i="63"/>
  <c r="D57" i="63"/>
  <c r="C57" i="63"/>
  <c r="F56" i="63"/>
  <c r="E56" i="63"/>
  <c r="D56" i="63"/>
  <c r="C56" i="63"/>
  <c r="F55" i="63"/>
  <c r="E55" i="63"/>
  <c r="D55" i="63"/>
  <c r="C55" i="63"/>
  <c r="F54" i="63"/>
  <c r="E54" i="63"/>
  <c r="D54" i="63"/>
  <c r="C54" i="63"/>
  <c r="F53" i="63"/>
  <c r="E53" i="63"/>
  <c r="D53" i="63"/>
  <c r="C53" i="63"/>
  <c r="F52" i="63"/>
  <c r="E52" i="63"/>
  <c r="D52" i="63"/>
  <c r="C52" i="63"/>
  <c r="F51" i="63"/>
  <c r="E51" i="63"/>
  <c r="D51" i="63"/>
  <c r="C51" i="63"/>
  <c r="F50" i="63"/>
  <c r="E50" i="63"/>
  <c r="D50" i="63"/>
  <c r="C50" i="63"/>
  <c r="F49" i="63"/>
  <c r="E49" i="63"/>
  <c r="D49" i="63"/>
  <c r="C49" i="63"/>
  <c r="F48" i="63"/>
  <c r="E48" i="63"/>
  <c r="D48" i="63"/>
  <c r="C48" i="63"/>
  <c r="F47" i="63"/>
  <c r="E47" i="63"/>
  <c r="D47" i="63"/>
  <c r="C47" i="63"/>
  <c r="F46" i="63"/>
  <c r="E46" i="63"/>
  <c r="D46" i="63"/>
  <c r="C46" i="63"/>
  <c r="F45" i="63"/>
  <c r="E45" i="63"/>
  <c r="D45" i="63"/>
  <c r="C45" i="63"/>
  <c r="F44" i="63"/>
  <c r="E44" i="63"/>
  <c r="D44" i="63"/>
  <c r="C44" i="63"/>
  <c r="F43" i="63"/>
  <c r="E43" i="63"/>
  <c r="D43" i="63"/>
  <c r="C43" i="63"/>
  <c r="F42" i="63"/>
  <c r="E42" i="63"/>
  <c r="D42" i="63"/>
  <c r="C42" i="63"/>
  <c r="F41" i="63"/>
  <c r="E41" i="63"/>
  <c r="D41" i="63"/>
  <c r="C41" i="63"/>
  <c r="F40" i="63"/>
  <c r="E40" i="63"/>
  <c r="D40" i="63"/>
  <c r="C40" i="63"/>
  <c r="F39" i="63"/>
  <c r="E39" i="63"/>
  <c r="D39" i="63"/>
  <c r="C39" i="63"/>
  <c r="F38" i="63"/>
  <c r="E38" i="63"/>
  <c r="D38" i="63"/>
  <c r="C38" i="63"/>
  <c r="F37" i="63"/>
  <c r="E37" i="63"/>
  <c r="D37" i="63"/>
  <c r="C37" i="63"/>
  <c r="F36" i="63"/>
  <c r="E36" i="63"/>
  <c r="D36" i="63"/>
  <c r="C36" i="63"/>
  <c r="F35" i="63"/>
  <c r="E35" i="63"/>
  <c r="D35" i="63"/>
  <c r="C35" i="63"/>
  <c r="F34" i="63"/>
  <c r="E34" i="63"/>
  <c r="D34" i="63"/>
  <c r="C34" i="63"/>
  <c r="F33" i="63"/>
  <c r="E33" i="63"/>
  <c r="D33" i="63"/>
  <c r="C33" i="63"/>
  <c r="F32" i="63"/>
  <c r="E32" i="63"/>
  <c r="D32" i="63"/>
  <c r="C32" i="63"/>
  <c r="F31" i="63"/>
  <c r="E31" i="63"/>
  <c r="D31" i="63"/>
  <c r="C31" i="63"/>
  <c r="F30" i="63"/>
  <c r="E30" i="63"/>
  <c r="D30" i="63"/>
  <c r="C30" i="63"/>
  <c r="F29" i="63"/>
  <c r="E29" i="63"/>
  <c r="D29" i="63"/>
  <c r="C29" i="63"/>
  <c r="F28" i="63"/>
  <c r="E28" i="63"/>
  <c r="D28" i="63"/>
  <c r="C28" i="63"/>
  <c r="F27" i="63"/>
  <c r="E27" i="63"/>
  <c r="D27" i="63"/>
  <c r="C27" i="63"/>
  <c r="F26" i="63"/>
  <c r="E26" i="63"/>
  <c r="D26" i="63"/>
  <c r="C26" i="63"/>
  <c r="F25" i="63"/>
  <c r="E25" i="63"/>
  <c r="D25" i="63"/>
  <c r="C25" i="63"/>
  <c r="F24" i="63"/>
  <c r="E24" i="63"/>
  <c r="D24" i="63"/>
  <c r="C24" i="63"/>
  <c r="F23" i="63"/>
  <c r="E23" i="63"/>
  <c r="D23" i="63"/>
  <c r="C23" i="63"/>
  <c r="F22" i="63"/>
  <c r="E22" i="63"/>
  <c r="D22" i="63"/>
  <c r="C22" i="63"/>
  <c r="F21" i="63"/>
  <c r="E21" i="63"/>
  <c r="D21" i="63"/>
  <c r="C21" i="63"/>
  <c r="F20" i="63"/>
  <c r="E20" i="63"/>
  <c r="D20" i="63"/>
  <c r="C20" i="63"/>
  <c r="F19" i="63"/>
  <c r="E19" i="63"/>
  <c r="D19" i="63"/>
  <c r="C19" i="63"/>
  <c r="F18" i="63"/>
  <c r="E18" i="63"/>
  <c r="D18" i="63"/>
  <c r="C18" i="63"/>
  <c r="F17" i="63"/>
  <c r="E17" i="63"/>
  <c r="D17" i="63"/>
  <c r="C17" i="63"/>
  <c r="F16" i="63"/>
  <c r="E16" i="63"/>
  <c r="D16" i="63"/>
  <c r="C16" i="63"/>
  <c r="F15" i="63"/>
  <c r="E15" i="63"/>
  <c r="D15" i="63"/>
  <c r="C15" i="63"/>
  <c r="F14" i="63"/>
  <c r="E14" i="63"/>
  <c r="D14" i="63"/>
  <c r="C14" i="63"/>
  <c r="F13" i="63"/>
  <c r="E13" i="63"/>
  <c r="D13" i="63"/>
  <c r="C13" i="63"/>
  <c r="F12" i="63"/>
  <c r="E12" i="63"/>
  <c r="D12" i="63"/>
  <c r="C12" i="63"/>
  <c r="F11" i="63"/>
  <c r="E11" i="63"/>
  <c r="D11" i="63"/>
  <c r="C11" i="63"/>
  <c r="F10" i="63"/>
  <c r="E10" i="63"/>
  <c r="D10" i="63"/>
  <c r="C10" i="63"/>
  <c r="F9" i="63"/>
  <c r="E9" i="63"/>
  <c r="D9" i="63"/>
  <c r="C9" i="63"/>
  <c r="F8" i="63"/>
  <c r="E8" i="63"/>
  <c r="D8" i="63"/>
  <c r="C8" i="63"/>
  <c r="F7" i="63"/>
  <c r="E7" i="63"/>
  <c r="D7" i="63"/>
  <c r="C7" i="63"/>
  <c r="F6" i="63"/>
  <c r="E6" i="63"/>
  <c r="D6" i="63"/>
  <c r="C6" i="63"/>
  <c r="F5" i="63"/>
  <c r="E5" i="63"/>
  <c r="D5" i="63"/>
  <c r="C5" i="63"/>
  <c r="F4" i="63"/>
  <c r="E4" i="63"/>
  <c r="D4" i="63"/>
  <c r="C4" i="63"/>
  <c r="F3" i="63"/>
  <c r="E3" i="63"/>
  <c r="D3" i="63"/>
  <c r="C3" i="63"/>
  <c r="F2" i="63"/>
  <c r="E2" i="63"/>
  <c r="D2" i="63"/>
  <c r="C2" i="63"/>
  <c r="H615" i="1"/>
  <c r="G615" i="1"/>
  <c r="E615" i="1"/>
  <c r="H614" i="1"/>
  <c r="G614" i="1"/>
  <c r="E614" i="1"/>
  <c r="H613" i="1"/>
  <c r="G613" i="1"/>
  <c r="E613" i="1"/>
  <c r="H612" i="1"/>
  <c r="G612" i="1"/>
  <c r="E612" i="1"/>
  <c r="H611" i="1"/>
  <c r="G611" i="1"/>
  <c r="E611" i="1"/>
  <c r="H610" i="1"/>
  <c r="G610" i="1"/>
  <c r="E610" i="1"/>
  <c r="H609" i="1"/>
  <c r="G609" i="1"/>
  <c r="E609" i="1"/>
  <c r="H608" i="1"/>
  <c r="G608" i="1"/>
  <c r="E608" i="1"/>
  <c r="H607" i="1"/>
  <c r="G607" i="1"/>
  <c r="E607" i="1"/>
  <c r="H606" i="1"/>
  <c r="G606" i="1"/>
  <c r="E606" i="1"/>
  <c r="H605" i="1"/>
  <c r="G605" i="1"/>
  <c r="E605" i="1"/>
  <c r="H604" i="1"/>
  <c r="G604" i="1"/>
  <c r="E604" i="1"/>
  <c r="H603" i="1"/>
  <c r="G603" i="1"/>
  <c r="E603" i="1"/>
  <c r="H602" i="1"/>
  <c r="G602" i="1"/>
  <c r="E602" i="1"/>
  <c r="H601" i="1"/>
  <c r="G601" i="1"/>
  <c r="E601" i="1"/>
  <c r="H600" i="1"/>
  <c r="G600" i="1"/>
  <c r="E600" i="1"/>
  <c r="H599" i="1"/>
  <c r="G599" i="1"/>
  <c r="E599" i="1"/>
  <c r="H598" i="1"/>
  <c r="G598" i="1"/>
  <c r="E598" i="1"/>
  <c r="H597" i="1"/>
  <c r="G597" i="1"/>
  <c r="E597" i="1"/>
  <c r="H596" i="1"/>
  <c r="G596" i="1"/>
  <c r="E596" i="1"/>
  <c r="H595" i="1"/>
  <c r="G595" i="1"/>
  <c r="E595" i="1"/>
  <c r="H594" i="1"/>
  <c r="G594" i="1"/>
  <c r="E594" i="1"/>
  <c r="H593" i="1"/>
  <c r="G593" i="1"/>
  <c r="E593" i="1"/>
  <c r="H592" i="1"/>
  <c r="G592" i="1"/>
  <c r="E592" i="1"/>
  <c r="H591" i="1"/>
  <c r="G591" i="1"/>
  <c r="E591" i="1"/>
  <c r="H590" i="1"/>
  <c r="G590" i="1"/>
  <c r="E590" i="1"/>
  <c r="H589" i="1"/>
  <c r="G589" i="1"/>
  <c r="E589" i="1"/>
  <c r="H588" i="1"/>
  <c r="G588" i="1"/>
  <c r="E588" i="1"/>
  <c r="H587" i="1"/>
  <c r="G587" i="1"/>
  <c r="E587" i="1"/>
  <c r="H586" i="1"/>
  <c r="G586" i="1"/>
  <c r="E586" i="1"/>
  <c r="H585" i="1"/>
  <c r="G585" i="1"/>
  <c r="E585" i="1"/>
  <c r="H584" i="1"/>
  <c r="G584" i="1"/>
  <c r="E584" i="1"/>
  <c r="H583" i="1"/>
  <c r="G583" i="1"/>
  <c r="E583" i="1"/>
  <c r="H582" i="1"/>
  <c r="G582" i="1"/>
  <c r="E582" i="1"/>
  <c r="H581" i="1"/>
  <c r="G581" i="1"/>
  <c r="E581" i="1"/>
  <c r="H580" i="1"/>
  <c r="G580" i="1"/>
  <c r="E580" i="1"/>
  <c r="H579" i="1"/>
  <c r="G579" i="1"/>
  <c r="E579" i="1"/>
  <c r="H578" i="1"/>
  <c r="G578" i="1"/>
  <c r="E578" i="1"/>
  <c r="H577" i="1"/>
  <c r="G577" i="1"/>
  <c r="E577" i="1"/>
  <c r="H576" i="1"/>
  <c r="G576" i="1"/>
  <c r="E576" i="1"/>
  <c r="H575" i="1"/>
  <c r="G575" i="1"/>
  <c r="E575" i="1"/>
  <c r="H574" i="1"/>
  <c r="G574" i="1"/>
  <c r="E574" i="1"/>
  <c r="H573" i="1"/>
  <c r="G573" i="1"/>
  <c r="E573" i="1"/>
  <c r="H572" i="1"/>
  <c r="G572" i="1"/>
  <c r="E572" i="1"/>
  <c r="H571" i="1"/>
  <c r="G571" i="1"/>
  <c r="E571" i="1"/>
  <c r="H570" i="1"/>
  <c r="G570" i="1"/>
  <c r="E570" i="1"/>
  <c r="H569" i="1"/>
  <c r="G569" i="1"/>
  <c r="E569" i="1"/>
  <c r="H568" i="1"/>
  <c r="G568" i="1"/>
  <c r="E568" i="1"/>
  <c r="H567" i="1"/>
  <c r="G567" i="1"/>
  <c r="E567" i="1"/>
  <c r="H566" i="1"/>
  <c r="G566" i="1"/>
  <c r="E566" i="1"/>
  <c r="H565" i="1"/>
  <c r="G565" i="1"/>
  <c r="E565" i="1"/>
  <c r="H564" i="1"/>
  <c r="G564" i="1"/>
  <c r="E564" i="1"/>
  <c r="H563" i="1"/>
  <c r="G563" i="1"/>
  <c r="E563" i="1"/>
  <c r="H562" i="1"/>
  <c r="G562" i="1"/>
  <c r="E562" i="1"/>
  <c r="H561" i="1"/>
  <c r="G561" i="1"/>
  <c r="E561" i="1"/>
  <c r="H560" i="1"/>
  <c r="G560" i="1"/>
  <c r="E560" i="1"/>
  <c r="H559" i="1"/>
  <c r="G559" i="1"/>
  <c r="E559" i="1"/>
  <c r="H558" i="1"/>
  <c r="G558" i="1"/>
  <c r="E558" i="1"/>
  <c r="H557" i="1"/>
  <c r="G557" i="1"/>
  <c r="E557" i="1"/>
  <c r="H556" i="1"/>
  <c r="G556" i="1"/>
  <c r="E556" i="1"/>
  <c r="H555" i="1"/>
  <c r="G555" i="1"/>
  <c r="E555" i="1"/>
  <c r="H554" i="1"/>
  <c r="G554" i="1"/>
  <c r="E554" i="1"/>
  <c r="H553" i="1"/>
  <c r="G553" i="1"/>
  <c r="E553" i="1"/>
  <c r="H552" i="1"/>
  <c r="G552" i="1"/>
  <c r="E552" i="1"/>
  <c r="H551" i="1"/>
  <c r="G551" i="1"/>
  <c r="E551" i="1"/>
  <c r="H550" i="1"/>
  <c r="G550" i="1"/>
  <c r="E550" i="1"/>
  <c r="H549" i="1"/>
  <c r="G549" i="1"/>
  <c r="E549" i="1"/>
  <c r="H548" i="1"/>
  <c r="G548" i="1"/>
  <c r="E548" i="1"/>
  <c r="H547" i="1"/>
  <c r="G547" i="1"/>
  <c r="E547" i="1"/>
  <c r="H546" i="1"/>
  <c r="G546" i="1"/>
  <c r="E546" i="1"/>
  <c r="H545" i="1"/>
  <c r="G545" i="1"/>
  <c r="E545" i="1"/>
  <c r="H544" i="1"/>
  <c r="G544" i="1"/>
  <c r="E544" i="1"/>
  <c r="H543" i="1"/>
  <c r="G543" i="1"/>
  <c r="E543" i="1"/>
  <c r="H542" i="1"/>
  <c r="G542" i="1"/>
  <c r="E542" i="1"/>
  <c r="H541" i="1"/>
  <c r="G541" i="1"/>
  <c r="E541" i="1"/>
  <c r="H540" i="1"/>
  <c r="G540" i="1"/>
  <c r="E540" i="1"/>
  <c r="H539" i="1"/>
  <c r="G539" i="1"/>
  <c r="E539" i="1"/>
  <c r="H538" i="1"/>
  <c r="G538" i="1"/>
  <c r="E538" i="1"/>
  <c r="H537" i="1"/>
  <c r="G537" i="1"/>
  <c r="E537" i="1"/>
  <c r="H536" i="1"/>
  <c r="G536" i="1"/>
  <c r="E536" i="1"/>
  <c r="H535" i="1"/>
  <c r="G535" i="1"/>
  <c r="E535" i="1"/>
  <c r="H534" i="1"/>
  <c r="G534" i="1"/>
  <c r="E534" i="1"/>
  <c r="H533" i="1"/>
  <c r="G533" i="1"/>
  <c r="E533" i="1"/>
  <c r="H532" i="1"/>
  <c r="G532" i="1"/>
  <c r="E532" i="1"/>
  <c r="H531" i="1"/>
  <c r="G531" i="1"/>
  <c r="E531" i="1"/>
  <c r="H530" i="1"/>
  <c r="G530" i="1"/>
  <c r="E530" i="1"/>
  <c r="H529" i="1"/>
  <c r="G529" i="1"/>
  <c r="E529" i="1"/>
  <c r="H528" i="1"/>
  <c r="G528" i="1"/>
  <c r="E528" i="1"/>
  <c r="H527" i="1"/>
  <c r="G527" i="1"/>
  <c r="E527" i="1"/>
  <c r="H526" i="1"/>
  <c r="G526" i="1"/>
  <c r="E526" i="1"/>
  <c r="H525" i="1"/>
  <c r="G525" i="1"/>
  <c r="E525" i="1"/>
  <c r="H524" i="1"/>
  <c r="G524" i="1"/>
  <c r="E524" i="1"/>
  <c r="H523" i="1"/>
  <c r="G523" i="1"/>
  <c r="E523" i="1"/>
  <c r="H522" i="1"/>
  <c r="G522" i="1"/>
  <c r="E522" i="1"/>
  <c r="H521" i="1"/>
  <c r="G521" i="1"/>
  <c r="E521" i="1"/>
  <c r="H520" i="1"/>
  <c r="G520" i="1"/>
  <c r="E520" i="1"/>
  <c r="H519" i="1"/>
  <c r="G519" i="1"/>
  <c r="E519" i="1"/>
  <c r="H518" i="1"/>
  <c r="G518" i="1"/>
  <c r="E518" i="1"/>
  <c r="H517" i="1"/>
  <c r="G517" i="1"/>
  <c r="E517" i="1"/>
  <c r="H516" i="1"/>
  <c r="G516" i="1"/>
  <c r="E516" i="1"/>
  <c r="H515" i="1"/>
  <c r="G515" i="1"/>
  <c r="E515" i="1"/>
  <c r="H514" i="1"/>
  <c r="G514" i="1"/>
  <c r="E514" i="1"/>
  <c r="H513" i="1"/>
  <c r="G513" i="1"/>
  <c r="E513" i="1"/>
  <c r="H512" i="1"/>
  <c r="G512" i="1"/>
  <c r="E512" i="1"/>
  <c r="H511" i="1"/>
  <c r="G511" i="1"/>
  <c r="E511" i="1"/>
  <c r="H510" i="1"/>
  <c r="G510" i="1"/>
  <c r="E510" i="1"/>
  <c r="H509" i="1"/>
  <c r="G509" i="1"/>
  <c r="E509" i="1"/>
  <c r="H508" i="1"/>
  <c r="G508" i="1"/>
  <c r="E508" i="1"/>
  <c r="H507" i="1"/>
  <c r="G507" i="1"/>
  <c r="E507" i="1"/>
  <c r="H506" i="1"/>
  <c r="G506" i="1"/>
  <c r="E506" i="1"/>
  <c r="H505" i="1"/>
  <c r="G505" i="1"/>
  <c r="E505" i="1"/>
  <c r="H504" i="1"/>
  <c r="G504" i="1"/>
  <c r="E504" i="1"/>
  <c r="H503" i="1"/>
  <c r="G503" i="1"/>
  <c r="E503" i="1"/>
  <c r="H502" i="1"/>
  <c r="G502" i="1"/>
  <c r="E502" i="1"/>
  <c r="H501" i="1"/>
  <c r="G501" i="1"/>
  <c r="E501" i="1"/>
  <c r="H500" i="1"/>
  <c r="G500" i="1"/>
  <c r="E500" i="1"/>
  <c r="H499" i="1"/>
  <c r="G499" i="1"/>
  <c r="E499" i="1"/>
  <c r="H498" i="1"/>
  <c r="G498" i="1"/>
  <c r="E498" i="1"/>
  <c r="H497" i="1"/>
  <c r="G497" i="1"/>
  <c r="E497" i="1"/>
  <c r="H496" i="1"/>
  <c r="G496" i="1"/>
  <c r="E496" i="1"/>
  <c r="H495" i="1"/>
  <c r="G495" i="1"/>
  <c r="E495" i="1"/>
  <c r="H494" i="1"/>
  <c r="G494" i="1"/>
  <c r="E494" i="1"/>
  <c r="H493" i="1"/>
  <c r="G493" i="1"/>
  <c r="E493" i="1"/>
  <c r="H492" i="1"/>
  <c r="G492" i="1"/>
  <c r="E492" i="1"/>
  <c r="H491" i="1"/>
  <c r="G491" i="1"/>
  <c r="E491" i="1"/>
  <c r="H490" i="1"/>
  <c r="G490" i="1"/>
  <c r="E490" i="1"/>
  <c r="H489" i="1"/>
  <c r="G489" i="1"/>
  <c r="E489" i="1"/>
  <c r="H488" i="1"/>
  <c r="G488" i="1"/>
  <c r="E488" i="1"/>
  <c r="H487" i="1"/>
  <c r="G487" i="1"/>
  <c r="E487" i="1"/>
  <c r="H486" i="1"/>
  <c r="G486" i="1"/>
  <c r="E486" i="1"/>
  <c r="H485" i="1"/>
  <c r="G485" i="1"/>
  <c r="E485" i="1"/>
  <c r="H484" i="1"/>
  <c r="G484" i="1"/>
  <c r="E484" i="1"/>
  <c r="H483" i="1"/>
  <c r="G483" i="1"/>
  <c r="E483" i="1"/>
  <c r="H482" i="1"/>
  <c r="G482" i="1"/>
  <c r="E482" i="1"/>
  <c r="H481" i="1"/>
  <c r="G481" i="1"/>
  <c r="E481" i="1"/>
  <c r="H480" i="1"/>
  <c r="G480" i="1"/>
  <c r="E480" i="1"/>
  <c r="H479" i="1"/>
  <c r="G479" i="1"/>
  <c r="E479" i="1"/>
  <c r="H478" i="1"/>
  <c r="G478" i="1"/>
  <c r="E478" i="1"/>
  <c r="H477" i="1"/>
  <c r="G477" i="1"/>
  <c r="E477" i="1"/>
  <c r="H476" i="1"/>
  <c r="G476" i="1"/>
  <c r="E476" i="1"/>
  <c r="H475" i="1"/>
  <c r="G475" i="1"/>
  <c r="E475" i="1"/>
  <c r="H474" i="1"/>
  <c r="G474" i="1"/>
  <c r="E474" i="1"/>
  <c r="H473" i="1"/>
  <c r="G473" i="1"/>
  <c r="E473" i="1"/>
  <c r="H472" i="1"/>
  <c r="G472" i="1"/>
  <c r="E472" i="1"/>
  <c r="H471" i="1"/>
  <c r="G471" i="1"/>
  <c r="E471" i="1"/>
  <c r="H470" i="1"/>
  <c r="G470" i="1"/>
  <c r="E470" i="1"/>
  <c r="H469" i="1"/>
  <c r="G469" i="1"/>
  <c r="E469" i="1"/>
  <c r="H468" i="1"/>
  <c r="G468" i="1"/>
  <c r="E468" i="1"/>
  <c r="H467" i="1"/>
  <c r="G467" i="1"/>
  <c r="E467" i="1"/>
  <c r="H466" i="1"/>
  <c r="G466" i="1"/>
  <c r="E466" i="1"/>
  <c r="H465" i="1"/>
  <c r="G465" i="1"/>
  <c r="E465" i="1"/>
  <c r="H464" i="1"/>
  <c r="G464" i="1"/>
  <c r="E464" i="1"/>
  <c r="H463" i="1"/>
  <c r="G463" i="1"/>
  <c r="E463" i="1"/>
  <c r="H462" i="1"/>
  <c r="G462" i="1"/>
  <c r="E462" i="1"/>
  <c r="H461" i="1"/>
  <c r="G461" i="1"/>
  <c r="E461" i="1"/>
  <c r="H460" i="1"/>
  <c r="G460" i="1"/>
  <c r="E460" i="1"/>
  <c r="H459" i="1"/>
  <c r="G459" i="1"/>
  <c r="E459" i="1"/>
  <c r="H458" i="1"/>
  <c r="G458" i="1"/>
  <c r="E458" i="1"/>
  <c r="H457" i="1"/>
  <c r="G457" i="1"/>
  <c r="E457" i="1"/>
  <c r="H456" i="1"/>
  <c r="G456" i="1"/>
  <c r="E456" i="1"/>
  <c r="H455" i="1"/>
  <c r="G455" i="1"/>
  <c r="E455" i="1"/>
  <c r="H454" i="1"/>
  <c r="G454" i="1"/>
  <c r="E454" i="1"/>
  <c r="H453" i="1"/>
  <c r="G453" i="1"/>
  <c r="E453" i="1"/>
  <c r="H452" i="1"/>
  <c r="G452" i="1"/>
  <c r="E452" i="1"/>
  <c r="H451" i="1"/>
  <c r="G451" i="1"/>
  <c r="E451" i="1"/>
  <c r="H450" i="1"/>
  <c r="G450" i="1"/>
  <c r="E450" i="1"/>
  <c r="H449" i="1"/>
  <c r="G449" i="1"/>
  <c r="E449" i="1"/>
  <c r="H448" i="1"/>
  <c r="G448" i="1"/>
  <c r="E448" i="1"/>
  <c r="H447" i="1"/>
  <c r="G447" i="1"/>
  <c r="E447" i="1"/>
  <c r="H446" i="1"/>
  <c r="G446" i="1"/>
  <c r="E446" i="1"/>
  <c r="H445" i="1"/>
  <c r="G445" i="1"/>
  <c r="E445" i="1"/>
  <c r="H444" i="1"/>
  <c r="G444" i="1"/>
  <c r="E444" i="1"/>
  <c r="H443" i="1"/>
  <c r="G443" i="1"/>
  <c r="E443" i="1"/>
  <c r="H442" i="1"/>
  <c r="G442" i="1"/>
  <c r="E442" i="1"/>
  <c r="H441" i="1"/>
  <c r="G441" i="1"/>
  <c r="E441" i="1"/>
  <c r="H440" i="1"/>
  <c r="G440" i="1"/>
  <c r="E440" i="1"/>
  <c r="H439" i="1"/>
  <c r="G439" i="1"/>
  <c r="E439" i="1"/>
  <c r="H438" i="1"/>
  <c r="G438" i="1"/>
  <c r="E438" i="1"/>
  <c r="H437" i="1"/>
  <c r="G437" i="1"/>
  <c r="E437" i="1"/>
  <c r="H436" i="1"/>
  <c r="G436" i="1"/>
  <c r="E436" i="1"/>
  <c r="H435" i="1"/>
  <c r="G435" i="1"/>
  <c r="E435" i="1"/>
  <c r="H434" i="1"/>
  <c r="G434" i="1"/>
  <c r="E434" i="1"/>
  <c r="H433" i="1"/>
  <c r="G433" i="1"/>
  <c r="E433" i="1"/>
  <c r="H432" i="1"/>
  <c r="G432" i="1"/>
  <c r="E432" i="1"/>
  <c r="H431" i="1"/>
  <c r="G431" i="1"/>
  <c r="E431" i="1"/>
  <c r="H430" i="1"/>
  <c r="G430" i="1"/>
  <c r="E430" i="1"/>
  <c r="H429" i="1"/>
  <c r="G429" i="1"/>
  <c r="E429" i="1"/>
  <c r="H428" i="1"/>
  <c r="G428" i="1"/>
  <c r="E428" i="1"/>
  <c r="H427" i="1"/>
  <c r="G427" i="1"/>
  <c r="E427" i="1"/>
  <c r="H426" i="1"/>
  <c r="G426" i="1"/>
  <c r="E426" i="1"/>
  <c r="H425" i="1"/>
  <c r="G425" i="1"/>
  <c r="E425" i="1"/>
  <c r="H424" i="1"/>
  <c r="G424" i="1"/>
  <c r="E424" i="1"/>
  <c r="H423" i="1"/>
  <c r="G423" i="1"/>
  <c r="E423" i="1"/>
  <c r="H422" i="1"/>
  <c r="G422" i="1"/>
  <c r="E422" i="1"/>
  <c r="H421" i="1"/>
  <c r="G421" i="1"/>
  <c r="E421" i="1"/>
  <c r="H420" i="1"/>
  <c r="G420" i="1"/>
  <c r="E420" i="1"/>
  <c r="H419" i="1"/>
  <c r="G419" i="1"/>
  <c r="E419" i="1"/>
  <c r="H418" i="1"/>
  <c r="G418" i="1"/>
  <c r="E418" i="1"/>
  <c r="H417" i="1"/>
  <c r="G417" i="1"/>
  <c r="E417" i="1"/>
  <c r="H416" i="1"/>
  <c r="G416" i="1"/>
  <c r="E416" i="1"/>
  <c r="H415" i="1"/>
  <c r="G415" i="1"/>
  <c r="E415" i="1"/>
  <c r="H414" i="1"/>
  <c r="G414" i="1"/>
  <c r="E414" i="1"/>
  <c r="H413" i="1"/>
  <c r="G413" i="1"/>
  <c r="E413" i="1"/>
  <c r="H412" i="1"/>
  <c r="G412" i="1"/>
  <c r="E412" i="1"/>
  <c r="H411" i="1"/>
  <c r="G411" i="1"/>
  <c r="E411" i="1"/>
  <c r="H410" i="1"/>
  <c r="G410" i="1"/>
  <c r="E410" i="1"/>
  <c r="H409" i="1"/>
  <c r="G409" i="1"/>
  <c r="E409" i="1"/>
  <c r="H408" i="1"/>
  <c r="G408" i="1"/>
  <c r="E408" i="1"/>
  <c r="H407" i="1"/>
  <c r="G407" i="1"/>
  <c r="E407" i="1"/>
  <c r="H406" i="1"/>
  <c r="G406" i="1"/>
  <c r="E406" i="1"/>
  <c r="H405" i="1"/>
  <c r="G405" i="1"/>
  <c r="E405" i="1"/>
  <c r="H404" i="1"/>
  <c r="G404" i="1"/>
  <c r="E404" i="1"/>
  <c r="H403" i="1"/>
  <c r="G403" i="1"/>
  <c r="E403" i="1"/>
  <c r="H402" i="1"/>
  <c r="G402" i="1"/>
  <c r="E402" i="1"/>
  <c r="H401" i="1"/>
  <c r="G401" i="1"/>
  <c r="E401" i="1"/>
  <c r="H400" i="1"/>
  <c r="G400" i="1"/>
  <c r="E400" i="1"/>
  <c r="H399" i="1"/>
  <c r="G399" i="1"/>
  <c r="E399" i="1"/>
  <c r="H398" i="1"/>
  <c r="G398" i="1"/>
  <c r="E398" i="1"/>
  <c r="H397" i="1"/>
  <c r="G397" i="1"/>
  <c r="E397" i="1"/>
  <c r="H396" i="1"/>
  <c r="G396" i="1"/>
  <c r="E396" i="1"/>
  <c r="H395" i="1"/>
  <c r="G395" i="1"/>
  <c r="E395" i="1"/>
  <c r="H394" i="1"/>
  <c r="G394" i="1"/>
  <c r="E394" i="1"/>
  <c r="H393" i="1"/>
  <c r="G393" i="1"/>
  <c r="E393" i="1"/>
  <c r="H392" i="1"/>
  <c r="G392" i="1"/>
  <c r="E392" i="1"/>
  <c r="H391" i="1"/>
  <c r="G391" i="1"/>
  <c r="E391" i="1"/>
  <c r="H390" i="1"/>
  <c r="G390" i="1"/>
  <c r="E390" i="1"/>
  <c r="H389" i="1"/>
  <c r="G389" i="1"/>
  <c r="E389" i="1"/>
  <c r="H388" i="1"/>
  <c r="G388" i="1"/>
  <c r="E388" i="1"/>
  <c r="H387" i="1"/>
  <c r="G387" i="1"/>
  <c r="E387" i="1"/>
  <c r="H386" i="1"/>
  <c r="G386" i="1"/>
  <c r="E386" i="1"/>
  <c r="H385" i="1"/>
  <c r="G385" i="1"/>
  <c r="E385" i="1"/>
  <c r="H384" i="1"/>
  <c r="G384" i="1"/>
  <c r="E384" i="1"/>
  <c r="H383" i="1"/>
  <c r="G383" i="1"/>
  <c r="E383" i="1"/>
  <c r="H382" i="1"/>
  <c r="G382" i="1"/>
  <c r="E382" i="1"/>
  <c r="H381" i="1"/>
  <c r="G381" i="1"/>
  <c r="E381" i="1"/>
  <c r="H380" i="1"/>
  <c r="G380" i="1"/>
  <c r="E380" i="1"/>
  <c r="H379" i="1"/>
  <c r="G379" i="1"/>
  <c r="E379" i="1"/>
  <c r="H378" i="1"/>
  <c r="G378" i="1"/>
  <c r="E378" i="1"/>
  <c r="H377" i="1"/>
  <c r="G377" i="1"/>
  <c r="E377" i="1"/>
  <c r="H376" i="1"/>
  <c r="G376" i="1"/>
  <c r="E376" i="1"/>
  <c r="H375" i="1"/>
  <c r="G375" i="1"/>
  <c r="E375" i="1"/>
  <c r="H374" i="1"/>
  <c r="G374" i="1"/>
  <c r="E374" i="1"/>
  <c r="H373" i="1"/>
  <c r="G373" i="1"/>
  <c r="E373" i="1"/>
  <c r="H372" i="1"/>
  <c r="G372" i="1"/>
  <c r="E372" i="1"/>
  <c r="H371" i="1"/>
  <c r="G371" i="1"/>
  <c r="E371" i="1"/>
  <c r="H370" i="1"/>
  <c r="G370" i="1"/>
  <c r="E370" i="1"/>
  <c r="H369" i="1"/>
  <c r="G369" i="1"/>
  <c r="E369" i="1"/>
  <c r="H368" i="1"/>
  <c r="G368" i="1"/>
  <c r="E368" i="1"/>
  <c r="H367" i="1"/>
  <c r="G367" i="1"/>
  <c r="E367" i="1"/>
  <c r="H366" i="1"/>
  <c r="G366" i="1"/>
  <c r="E366" i="1"/>
  <c r="H365" i="1"/>
  <c r="G365" i="1"/>
  <c r="E365" i="1"/>
  <c r="H364" i="1"/>
  <c r="G364" i="1"/>
  <c r="E364" i="1"/>
  <c r="H363" i="1"/>
  <c r="G363" i="1"/>
  <c r="E363" i="1"/>
  <c r="H362" i="1"/>
  <c r="G362" i="1"/>
  <c r="E362" i="1"/>
  <c r="H361" i="1"/>
  <c r="G361" i="1"/>
  <c r="E361" i="1"/>
  <c r="H360" i="1"/>
  <c r="G360" i="1"/>
  <c r="E360" i="1"/>
  <c r="H359" i="1"/>
  <c r="G359" i="1"/>
  <c r="E359" i="1"/>
  <c r="H358" i="1"/>
  <c r="G358" i="1"/>
  <c r="E358" i="1"/>
  <c r="H357" i="1"/>
  <c r="G357" i="1"/>
  <c r="E357" i="1"/>
  <c r="H356" i="1"/>
  <c r="G356" i="1"/>
  <c r="E356" i="1"/>
  <c r="H355" i="1"/>
  <c r="G355" i="1"/>
  <c r="E355" i="1"/>
  <c r="H354" i="1"/>
  <c r="G354" i="1"/>
  <c r="E354" i="1"/>
  <c r="H353" i="1"/>
  <c r="G353" i="1"/>
  <c r="E353" i="1"/>
  <c r="H352" i="1"/>
  <c r="G352" i="1"/>
  <c r="E352" i="1"/>
  <c r="H351" i="1"/>
  <c r="G351" i="1"/>
  <c r="E351" i="1"/>
  <c r="H350" i="1"/>
  <c r="G350" i="1"/>
  <c r="E350" i="1"/>
  <c r="H349" i="1"/>
  <c r="G349" i="1"/>
  <c r="E349" i="1"/>
  <c r="H348" i="1"/>
  <c r="G348" i="1"/>
  <c r="E348" i="1"/>
  <c r="H347" i="1"/>
  <c r="G347" i="1"/>
  <c r="E347" i="1"/>
  <c r="H346" i="1"/>
  <c r="G346" i="1"/>
  <c r="E346" i="1"/>
  <c r="H345" i="1"/>
  <c r="G345" i="1"/>
  <c r="E345" i="1"/>
  <c r="H344" i="1"/>
  <c r="G344" i="1"/>
  <c r="E344" i="1"/>
  <c r="H343" i="1"/>
  <c r="G343" i="1"/>
  <c r="E343" i="1"/>
  <c r="H342" i="1"/>
  <c r="G342" i="1"/>
  <c r="E342" i="1"/>
  <c r="H341" i="1"/>
  <c r="G341" i="1"/>
  <c r="E341" i="1"/>
  <c r="H340" i="1"/>
  <c r="G340" i="1"/>
  <c r="E340" i="1"/>
  <c r="H339" i="1"/>
  <c r="G339" i="1"/>
  <c r="E339" i="1"/>
  <c r="H338" i="1"/>
  <c r="G338" i="1"/>
  <c r="E338" i="1"/>
  <c r="H337" i="1"/>
  <c r="G337" i="1"/>
  <c r="E337" i="1"/>
  <c r="H336" i="1"/>
  <c r="G336" i="1"/>
  <c r="E336" i="1"/>
  <c r="H335" i="1"/>
  <c r="G335" i="1"/>
  <c r="E335" i="1"/>
  <c r="H334" i="1"/>
  <c r="G334" i="1"/>
  <c r="E334" i="1"/>
  <c r="H333" i="1"/>
  <c r="G333" i="1"/>
  <c r="E333" i="1"/>
  <c r="H332" i="1"/>
  <c r="G332" i="1"/>
  <c r="E332" i="1"/>
  <c r="H331" i="1"/>
  <c r="G331" i="1"/>
  <c r="E331" i="1"/>
  <c r="H330" i="1"/>
  <c r="G330" i="1"/>
  <c r="E330" i="1"/>
  <c r="H329" i="1"/>
  <c r="G329" i="1"/>
  <c r="E329" i="1"/>
  <c r="H328" i="1"/>
  <c r="G328" i="1"/>
  <c r="E328" i="1"/>
  <c r="H327" i="1"/>
  <c r="G327" i="1"/>
  <c r="E327" i="1"/>
  <c r="H326" i="1"/>
  <c r="G326" i="1"/>
  <c r="E326" i="1"/>
  <c r="H325" i="1"/>
  <c r="G325" i="1"/>
  <c r="E325" i="1"/>
  <c r="H324" i="1"/>
  <c r="G324" i="1"/>
  <c r="E324" i="1"/>
  <c r="H323" i="1"/>
  <c r="G323" i="1"/>
  <c r="E323" i="1"/>
  <c r="H322" i="1"/>
  <c r="G322" i="1"/>
  <c r="E322" i="1"/>
  <c r="H321" i="1"/>
  <c r="G321" i="1"/>
  <c r="E321" i="1"/>
  <c r="H320" i="1"/>
  <c r="G320" i="1"/>
  <c r="E320" i="1"/>
  <c r="H319" i="1"/>
  <c r="G319" i="1"/>
  <c r="E319" i="1"/>
  <c r="H318" i="1"/>
  <c r="G318" i="1"/>
  <c r="E318" i="1"/>
  <c r="H317" i="1"/>
  <c r="G317" i="1"/>
  <c r="E317" i="1"/>
  <c r="H316" i="1"/>
  <c r="G316" i="1"/>
  <c r="E316" i="1"/>
  <c r="H315" i="1"/>
  <c r="G315" i="1"/>
  <c r="E315" i="1"/>
  <c r="H314" i="1"/>
  <c r="G314" i="1"/>
  <c r="E314" i="1"/>
  <c r="H313" i="1"/>
  <c r="G313" i="1"/>
  <c r="E313" i="1"/>
  <c r="H312" i="1"/>
  <c r="G312" i="1"/>
  <c r="E312" i="1"/>
  <c r="H311" i="1"/>
  <c r="G311" i="1"/>
  <c r="E311" i="1"/>
  <c r="H310" i="1"/>
  <c r="G310" i="1"/>
  <c r="E310" i="1"/>
  <c r="H309" i="1"/>
  <c r="G309" i="1"/>
  <c r="E309" i="1"/>
  <c r="H308" i="1"/>
  <c r="G308" i="1"/>
  <c r="E308" i="1"/>
  <c r="H307" i="1"/>
  <c r="G307" i="1"/>
  <c r="E307" i="1"/>
  <c r="H306" i="1"/>
  <c r="G306" i="1"/>
  <c r="E306" i="1"/>
  <c r="H305" i="1"/>
  <c r="G305" i="1"/>
  <c r="E305" i="1"/>
  <c r="H304" i="1"/>
  <c r="G304" i="1"/>
  <c r="E304" i="1"/>
  <c r="H303" i="1"/>
  <c r="G303" i="1"/>
  <c r="E303" i="1"/>
  <c r="H302" i="1"/>
  <c r="G302" i="1"/>
  <c r="E302" i="1"/>
  <c r="H301" i="1"/>
  <c r="G301" i="1"/>
  <c r="E301" i="1"/>
  <c r="H300" i="1"/>
  <c r="G300" i="1"/>
  <c r="E300" i="1"/>
  <c r="H299" i="1"/>
  <c r="G299" i="1"/>
  <c r="E299" i="1"/>
  <c r="H298" i="1"/>
  <c r="G298" i="1"/>
  <c r="E298" i="1"/>
  <c r="H297" i="1"/>
  <c r="G297" i="1"/>
  <c r="E297" i="1"/>
  <c r="H296" i="1"/>
  <c r="G296" i="1"/>
  <c r="E296" i="1"/>
  <c r="H295" i="1"/>
  <c r="G295" i="1"/>
  <c r="E295" i="1"/>
  <c r="H294" i="1"/>
  <c r="G294" i="1"/>
  <c r="E294" i="1"/>
  <c r="H293" i="1"/>
  <c r="G293" i="1"/>
  <c r="E293" i="1"/>
  <c r="H292" i="1"/>
  <c r="G292" i="1"/>
  <c r="E292" i="1"/>
  <c r="H291" i="1"/>
  <c r="G291" i="1"/>
  <c r="E291" i="1"/>
  <c r="H290" i="1"/>
  <c r="G290" i="1"/>
  <c r="E290" i="1"/>
  <c r="H289" i="1"/>
  <c r="G289" i="1"/>
  <c r="E289" i="1"/>
  <c r="H288" i="1"/>
  <c r="G288" i="1"/>
  <c r="E288" i="1"/>
  <c r="H287" i="1"/>
  <c r="G287" i="1"/>
  <c r="E287" i="1"/>
  <c r="H286" i="1"/>
  <c r="G286" i="1"/>
  <c r="E286" i="1"/>
  <c r="H285" i="1"/>
  <c r="G285" i="1"/>
  <c r="E285" i="1"/>
  <c r="H284" i="1"/>
  <c r="G284" i="1"/>
  <c r="E284" i="1"/>
  <c r="H283" i="1"/>
  <c r="G283" i="1"/>
  <c r="E283" i="1"/>
  <c r="H282" i="1"/>
  <c r="G282" i="1"/>
  <c r="E282" i="1"/>
  <c r="H281" i="1"/>
  <c r="G281" i="1"/>
  <c r="E281" i="1"/>
  <c r="H280" i="1"/>
  <c r="G280" i="1"/>
  <c r="E280" i="1"/>
  <c r="H279" i="1"/>
  <c r="G279" i="1"/>
  <c r="E279" i="1"/>
  <c r="H278" i="1"/>
  <c r="G278" i="1"/>
  <c r="E278" i="1"/>
  <c r="H277" i="1"/>
  <c r="G277" i="1"/>
  <c r="E277" i="1"/>
  <c r="H276" i="1"/>
  <c r="G276" i="1"/>
  <c r="E276" i="1"/>
  <c r="H275" i="1"/>
  <c r="G275" i="1"/>
  <c r="E275" i="1"/>
  <c r="H274" i="1"/>
  <c r="G274" i="1"/>
  <c r="E274" i="1"/>
  <c r="H273" i="1"/>
  <c r="G273" i="1"/>
  <c r="E273" i="1"/>
  <c r="H272" i="1"/>
  <c r="G272" i="1"/>
  <c r="E272" i="1"/>
  <c r="H271" i="1"/>
  <c r="G271" i="1"/>
  <c r="E271" i="1"/>
  <c r="H270" i="1"/>
  <c r="G270" i="1"/>
  <c r="E270" i="1"/>
  <c r="H269" i="1"/>
  <c r="G269" i="1"/>
  <c r="E269" i="1"/>
  <c r="H268" i="1"/>
  <c r="G268" i="1"/>
  <c r="E268" i="1"/>
  <c r="H267" i="1"/>
  <c r="G267" i="1"/>
  <c r="E267" i="1"/>
  <c r="H266" i="1"/>
  <c r="G266" i="1"/>
  <c r="E266" i="1"/>
  <c r="H265" i="1"/>
  <c r="G265" i="1"/>
  <c r="E265" i="1"/>
  <c r="H264" i="1"/>
  <c r="G264" i="1"/>
  <c r="E264" i="1"/>
  <c r="H263" i="1"/>
  <c r="G263" i="1"/>
  <c r="E263" i="1"/>
  <c r="H262" i="1"/>
  <c r="G262" i="1"/>
  <c r="E262" i="1"/>
  <c r="H261" i="1"/>
  <c r="G261" i="1"/>
  <c r="E261" i="1"/>
  <c r="H260" i="1"/>
  <c r="G260" i="1"/>
  <c r="E260" i="1"/>
  <c r="H259" i="1"/>
  <c r="G259" i="1"/>
  <c r="E259" i="1"/>
  <c r="H258" i="1"/>
  <c r="G258" i="1"/>
  <c r="E258" i="1"/>
  <c r="H257" i="1"/>
  <c r="G257" i="1"/>
  <c r="E257" i="1"/>
  <c r="H256" i="1"/>
  <c r="G256" i="1"/>
  <c r="E256" i="1"/>
  <c r="H255" i="1"/>
  <c r="G255" i="1"/>
  <c r="E255" i="1"/>
  <c r="H254" i="1"/>
  <c r="G254" i="1"/>
  <c r="E254" i="1"/>
  <c r="H253" i="1"/>
  <c r="G253" i="1"/>
  <c r="E253" i="1"/>
  <c r="H252" i="1"/>
  <c r="G252" i="1"/>
  <c r="E252" i="1"/>
  <c r="H251" i="1"/>
  <c r="G251" i="1"/>
  <c r="E251" i="1"/>
  <c r="H250" i="1"/>
  <c r="G250" i="1"/>
  <c r="E250" i="1"/>
  <c r="H249" i="1"/>
  <c r="G249" i="1"/>
  <c r="E249" i="1"/>
  <c r="H248" i="1"/>
  <c r="G248" i="1"/>
  <c r="E248" i="1"/>
  <c r="H247" i="1"/>
  <c r="G247" i="1"/>
  <c r="E247" i="1"/>
  <c r="H246" i="1"/>
  <c r="G246" i="1"/>
  <c r="E246" i="1"/>
  <c r="H245" i="1"/>
  <c r="G245" i="1"/>
  <c r="E245" i="1"/>
  <c r="H244" i="1"/>
  <c r="G244" i="1"/>
  <c r="E244" i="1"/>
  <c r="H243" i="1"/>
  <c r="G243" i="1"/>
  <c r="E243" i="1"/>
  <c r="H242" i="1"/>
  <c r="G242" i="1"/>
  <c r="E242" i="1"/>
  <c r="H241" i="1"/>
  <c r="G241" i="1"/>
  <c r="E241" i="1"/>
  <c r="H240" i="1"/>
  <c r="G240" i="1"/>
  <c r="E240" i="1"/>
  <c r="H239" i="1"/>
  <c r="G239" i="1"/>
  <c r="E239" i="1"/>
  <c r="H238" i="1"/>
  <c r="G238" i="1"/>
  <c r="E238" i="1"/>
  <c r="H237" i="1"/>
  <c r="G237" i="1"/>
  <c r="E237" i="1"/>
  <c r="H236" i="1"/>
  <c r="G236" i="1"/>
  <c r="E236" i="1"/>
  <c r="H235" i="1"/>
  <c r="G235" i="1"/>
  <c r="E235" i="1"/>
  <c r="H234" i="1"/>
  <c r="G234" i="1"/>
  <c r="E234" i="1"/>
  <c r="H233" i="1"/>
  <c r="G233" i="1"/>
  <c r="E233" i="1"/>
  <c r="H232" i="1"/>
  <c r="G232" i="1"/>
  <c r="E232" i="1"/>
  <c r="H231" i="1"/>
  <c r="G231" i="1"/>
  <c r="E231" i="1"/>
  <c r="H230" i="1"/>
  <c r="G230" i="1"/>
  <c r="E230" i="1"/>
  <c r="H229" i="1"/>
  <c r="G229" i="1"/>
  <c r="E229" i="1"/>
  <c r="H228" i="1"/>
  <c r="G228" i="1"/>
  <c r="E228" i="1"/>
  <c r="H227" i="1"/>
  <c r="G227" i="1"/>
  <c r="E227" i="1"/>
  <c r="H226" i="1"/>
  <c r="G226" i="1"/>
  <c r="E226" i="1"/>
  <c r="H225" i="1"/>
  <c r="G225" i="1"/>
  <c r="E225" i="1"/>
  <c r="H224" i="1"/>
  <c r="G224" i="1"/>
  <c r="E224" i="1"/>
  <c r="H223" i="1"/>
  <c r="G223" i="1"/>
  <c r="E223" i="1"/>
  <c r="H222" i="1"/>
  <c r="G222" i="1"/>
  <c r="E222" i="1"/>
  <c r="H221" i="1"/>
  <c r="G221" i="1"/>
  <c r="E221" i="1"/>
  <c r="H220" i="1"/>
  <c r="G220" i="1"/>
  <c r="E220" i="1"/>
  <c r="H219" i="1"/>
  <c r="G219" i="1"/>
  <c r="E219" i="1"/>
  <c r="H218" i="1"/>
  <c r="G218" i="1"/>
  <c r="E218" i="1"/>
  <c r="H217" i="1"/>
  <c r="G217" i="1"/>
  <c r="E217" i="1"/>
  <c r="H216" i="1"/>
  <c r="G216" i="1"/>
  <c r="E216" i="1"/>
  <c r="H215" i="1"/>
  <c r="G215" i="1"/>
  <c r="E215" i="1"/>
  <c r="H214" i="1"/>
  <c r="G214" i="1"/>
  <c r="E214" i="1"/>
  <c r="H213" i="1"/>
  <c r="G213" i="1"/>
  <c r="E213" i="1"/>
  <c r="H212" i="1"/>
  <c r="G212" i="1"/>
  <c r="E212" i="1"/>
  <c r="H211" i="1"/>
  <c r="G211" i="1"/>
  <c r="E211" i="1"/>
  <c r="H210" i="1"/>
  <c r="G210" i="1"/>
  <c r="E210" i="1"/>
  <c r="H209" i="1"/>
  <c r="G209" i="1"/>
  <c r="E209" i="1"/>
  <c r="H208" i="1"/>
  <c r="G208" i="1"/>
  <c r="E208" i="1"/>
  <c r="H207" i="1"/>
  <c r="G207" i="1"/>
  <c r="E207" i="1"/>
  <c r="H206" i="1"/>
  <c r="G206" i="1"/>
  <c r="E206" i="1"/>
  <c r="H205" i="1"/>
  <c r="G205" i="1"/>
  <c r="E205" i="1"/>
  <c r="H204" i="1"/>
  <c r="G204" i="1"/>
  <c r="E204" i="1"/>
  <c r="H203" i="1"/>
  <c r="G203" i="1"/>
  <c r="E203" i="1"/>
  <c r="H202" i="1"/>
  <c r="G202" i="1"/>
  <c r="E202" i="1"/>
  <c r="H201" i="1"/>
  <c r="G201" i="1"/>
  <c r="E201" i="1"/>
  <c r="H200" i="1"/>
  <c r="G200" i="1"/>
  <c r="E200" i="1"/>
  <c r="H199" i="1"/>
  <c r="G199" i="1"/>
  <c r="E199" i="1"/>
  <c r="H198" i="1"/>
  <c r="G198" i="1"/>
  <c r="E198" i="1"/>
  <c r="H197" i="1"/>
  <c r="G197" i="1"/>
  <c r="E197" i="1"/>
  <c r="H196" i="1"/>
  <c r="G196" i="1"/>
  <c r="E196" i="1"/>
  <c r="H195" i="1"/>
  <c r="G195" i="1"/>
  <c r="E195" i="1"/>
  <c r="H194" i="1"/>
  <c r="G194" i="1"/>
  <c r="E194" i="1"/>
  <c r="H193" i="1"/>
  <c r="G193" i="1"/>
  <c r="E193" i="1"/>
  <c r="H192" i="1"/>
  <c r="G192" i="1"/>
  <c r="E192" i="1"/>
  <c r="H191" i="1"/>
  <c r="G191" i="1"/>
  <c r="E191" i="1"/>
  <c r="H190" i="1"/>
  <c r="G190" i="1"/>
  <c r="E190" i="1"/>
  <c r="H189" i="1"/>
  <c r="G189" i="1"/>
  <c r="E189" i="1"/>
  <c r="H188" i="1"/>
  <c r="G188" i="1"/>
  <c r="E188" i="1"/>
  <c r="H187" i="1"/>
  <c r="G187" i="1"/>
  <c r="E187" i="1"/>
  <c r="H186" i="1"/>
  <c r="G186" i="1"/>
  <c r="E186" i="1"/>
  <c r="H185" i="1"/>
  <c r="G185" i="1"/>
  <c r="E185" i="1"/>
  <c r="H184" i="1"/>
  <c r="G184" i="1"/>
  <c r="E184" i="1"/>
  <c r="H183" i="1"/>
  <c r="G183" i="1"/>
  <c r="E183" i="1"/>
  <c r="H182" i="1"/>
  <c r="G182" i="1"/>
  <c r="E182" i="1"/>
  <c r="H181" i="1"/>
  <c r="G181" i="1"/>
  <c r="E181" i="1"/>
  <c r="H180" i="1"/>
  <c r="G180" i="1"/>
  <c r="E180" i="1"/>
  <c r="H179" i="1"/>
  <c r="G179" i="1"/>
  <c r="E179" i="1"/>
  <c r="H178" i="1"/>
  <c r="G178" i="1"/>
  <c r="E178" i="1"/>
  <c r="H177" i="1"/>
  <c r="G177" i="1"/>
  <c r="E177" i="1"/>
  <c r="H176" i="1"/>
  <c r="G176" i="1"/>
  <c r="E176" i="1"/>
  <c r="H175" i="1"/>
  <c r="G175" i="1"/>
  <c r="E175" i="1"/>
  <c r="H174" i="1"/>
  <c r="G174" i="1"/>
  <c r="E174" i="1"/>
  <c r="H173" i="1"/>
  <c r="G173" i="1"/>
  <c r="E173" i="1"/>
  <c r="H172" i="1"/>
  <c r="G172" i="1"/>
  <c r="E172" i="1"/>
  <c r="H171" i="1"/>
  <c r="G171" i="1"/>
  <c r="E171" i="1"/>
  <c r="H170" i="1"/>
  <c r="G170" i="1"/>
  <c r="E170" i="1"/>
  <c r="H169" i="1"/>
  <c r="G169" i="1"/>
  <c r="E169" i="1"/>
  <c r="H168" i="1"/>
  <c r="G168" i="1"/>
  <c r="E168" i="1"/>
  <c r="H167" i="1"/>
  <c r="G167" i="1"/>
  <c r="E167" i="1"/>
  <c r="H166" i="1"/>
  <c r="G166" i="1"/>
  <c r="E166" i="1"/>
  <c r="H165" i="1"/>
  <c r="G165" i="1"/>
  <c r="E165" i="1"/>
  <c r="H164" i="1"/>
  <c r="G164" i="1"/>
  <c r="E164" i="1"/>
  <c r="H163" i="1"/>
  <c r="G163" i="1"/>
  <c r="E163" i="1"/>
  <c r="H162" i="1"/>
  <c r="G162" i="1"/>
  <c r="E162" i="1"/>
  <c r="H161" i="1"/>
  <c r="G161" i="1"/>
  <c r="E161" i="1"/>
  <c r="H160" i="1"/>
  <c r="G160" i="1"/>
  <c r="E160" i="1"/>
  <c r="H159" i="1"/>
  <c r="G159" i="1"/>
  <c r="E159" i="1"/>
  <c r="H158" i="1"/>
  <c r="G158" i="1"/>
  <c r="E158" i="1"/>
  <c r="H157" i="1"/>
  <c r="G157" i="1"/>
  <c r="E157" i="1"/>
  <c r="H156" i="1"/>
  <c r="G156" i="1"/>
  <c r="E156" i="1"/>
  <c r="H155" i="1"/>
  <c r="G155" i="1"/>
  <c r="E155" i="1"/>
  <c r="H154" i="1"/>
  <c r="G154" i="1"/>
  <c r="E154" i="1"/>
  <c r="H153" i="1"/>
  <c r="G153" i="1"/>
  <c r="E153" i="1"/>
  <c r="H152" i="1"/>
  <c r="G152" i="1"/>
  <c r="E152" i="1"/>
  <c r="H151" i="1"/>
  <c r="G151" i="1"/>
  <c r="E151" i="1"/>
  <c r="H150" i="1"/>
  <c r="G150" i="1"/>
  <c r="E150" i="1"/>
  <c r="H149" i="1"/>
  <c r="G149" i="1"/>
  <c r="E149" i="1"/>
  <c r="H148" i="1"/>
  <c r="G148" i="1"/>
  <c r="E148" i="1"/>
  <c r="H147" i="1"/>
  <c r="G147" i="1"/>
  <c r="E147" i="1"/>
  <c r="H146" i="1"/>
  <c r="G146" i="1"/>
  <c r="E146" i="1"/>
  <c r="H145" i="1"/>
  <c r="G145" i="1"/>
  <c r="E145" i="1"/>
  <c r="H144" i="1"/>
  <c r="G144" i="1"/>
  <c r="E144" i="1"/>
  <c r="H143" i="1"/>
  <c r="G143" i="1"/>
  <c r="E143" i="1"/>
  <c r="H142" i="1"/>
  <c r="G142" i="1"/>
  <c r="E142" i="1"/>
  <c r="H141" i="1"/>
  <c r="G141" i="1"/>
  <c r="E141" i="1"/>
  <c r="H140" i="1"/>
  <c r="G140" i="1"/>
  <c r="E140" i="1"/>
  <c r="H139" i="1"/>
  <c r="G139" i="1"/>
  <c r="E139" i="1"/>
  <c r="H138" i="1"/>
  <c r="G138" i="1"/>
  <c r="E138" i="1"/>
  <c r="H137" i="1"/>
  <c r="G137" i="1"/>
  <c r="E137" i="1"/>
  <c r="H136" i="1"/>
  <c r="G136" i="1"/>
  <c r="E136" i="1"/>
  <c r="H135" i="1"/>
  <c r="G135" i="1"/>
  <c r="E135" i="1"/>
  <c r="H134" i="1"/>
  <c r="G134" i="1"/>
  <c r="E134" i="1"/>
  <c r="H133" i="1"/>
  <c r="G133" i="1"/>
  <c r="E133" i="1"/>
  <c r="H132" i="1"/>
  <c r="G132" i="1"/>
  <c r="E132" i="1"/>
  <c r="H131" i="1"/>
  <c r="G131" i="1"/>
  <c r="E131" i="1"/>
  <c r="H130" i="1"/>
  <c r="G130" i="1"/>
  <c r="E130" i="1"/>
  <c r="H129" i="1"/>
  <c r="G129" i="1"/>
  <c r="E129" i="1"/>
  <c r="H128" i="1"/>
  <c r="G128" i="1"/>
  <c r="E128" i="1"/>
  <c r="H127" i="1"/>
  <c r="G127" i="1"/>
  <c r="E127" i="1"/>
  <c r="H126" i="1"/>
  <c r="G126" i="1"/>
  <c r="E126" i="1"/>
  <c r="H125" i="1"/>
  <c r="G125" i="1"/>
  <c r="E125" i="1"/>
  <c r="H124" i="1"/>
  <c r="G124" i="1"/>
  <c r="E124" i="1"/>
  <c r="H123" i="1"/>
  <c r="G123" i="1"/>
  <c r="E123" i="1"/>
  <c r="H122" i="1"/>
  <c r="G122" i="1"/>
  <c r="E122" i="1"/>
  <c r="H121" i="1"/>
  <c r="G121" i="1"/>
  <c r="E121" i="1"/>
  <c r="H120" i="1"/>
  <c r="G120" i="1"/>
  <c r="E120" i="1"/>
  <c r="H119" i="1"/>
  <c r="G119" i="1"/>
  <c r="E119" i="1"/>
  <c r="H118" i="1"/>
  <c r="G118" i="1"/>
  <c r="E118" i="1"/>
  <c r="H117" i="1"/>
  <c r="G117" i="1"/>
  <c r="E117" i="1"/>
  <c r="H116" i="1"/>
  <c r="G116" i="1"/>
  <c r="E116" i="1"/>
  <c r="H115" i="1"/>
  <c r="G115" i="1"/>
  <c r="E115" i="1"/>
  <c r="H114" i="1"/>
  <c r="G114" i="1"/>
  <c r="E114" i="1"/>
  <c r="H113" i="1"/>
  <c r="G113" i="1"/>
  <c r="E113" i="1"/>
  <c r="H112" i="1"/>
  <c r="G112" i="1"/>
  <c r="E112" i="1"/>
  <c r="H111" i="1"/>
  <c r="G111" i="1"/>
  <c r="E111" i="1"/>
  <c r="H110" i="1"/>
  <c r="G110" i="1"/>
  <c r="E110" i="1"/>
  <c r="H109" i="1"/>
  <c r="G109" i="1"/>
  <c r="E109" i="1"/>
  <c r="H108" i="1"/>
  <c r="G108" i="1"/>
  <c r="E108" i="1"/>
  <c r="H107" i="1"/>
  <c r="G107" i="1"/>
  <c r="E107" i="1"/>
  <c r="H106" i="1"/>
  <c r="G106" i="1"/>
  <c r="E106" i="1"/>
  <c r="H105" i="1"/>
  <c r="G105" i="1"/>
  <c r="E105" i="1"/>
  <c r="H104" i="1"/>
  <c r="G104" i="1"/>
  <c r="E104" i="1"/>
  <c r="H103" i="1"/>
  <c r="G103" i="1"/>
  <c r="E103" i="1"/>
  <c r="H102" i="1"/>
  <c r="G102" i="1"/>
  <c r="E102" i="1"/>
  <c r="H101" i="1"/>
  <c r="G101" i="1"/>
  <c r="E101" i="1"/>
  <c r="H100" i="1"/>
  <c r="G100" i="1"/>
  <c r="E100" i="1"/>
  <c r="H99" i="1"/>
  <c r="G99" i="1"/>
  <c r="E99" i="1"/>
  <c r="H98" i="1"/>
  <c r="G98" i="1"/>
  <c r="E98" i="1"/>
  <c r="H97" i="1"/>
  <c r="G97" i="1"/>
  <c r="E97" i="1"/>
  <c r="H96" i="1"/>
  <c r="G96" i="1"/>
  <c r="E96" i="1"/>
  <c r="H95" i="1"/>
  <c r="G95" i="1"/>
  <c r="E95" i="1"/>
  <c r="H94" i="1"/>
  <c r="G94" i="1"/>
  <c r="E94" i="1"/>
  <c r="H93" i="1"/>
  <c r="G93" i="1"/>
  <c r="E93" i="1"/>
  <c r="H92" i="1"/>
  <c r="G92" i="1"/>
  <c r="E92" i="1"/>
  <c r="H91" i="1"/>
  <c r="G91" i="1"/>
  <c r="E91" i="1"/>
  <c r="H90" i="1"/>
  <c r="G90" i="1"/>
  <c r="E90" i="1"/>
  <c r="H89" i="1"/>
  <c r="G89" i="1"/>
  <c r="E89" i="1"/>
  <c r="H88" i="1"/>
  <c r="G88" i="1"/>
  <c r="E88" i="1"/>
  <c r="H87" i="1"/>
  <c r="G87" i="1"/>
  <c r="E87" i="1"/>
  <c r="H86" i="1"/>
  <c r="G86" i="1"/>
  <c r="E86" i="1"/>
  <c r="H85" i="1"/>
  <c r="G85" i="1"/>
  <c r="E85" i="1"/>
  <c r="H84" i="1"/>
  <c r="G84" i="1"/>
  <c r="E84" i="1"/>
  <c r="H83" i="1"/>
  <c r="G83" i="1"/>
  <c r="E83" i="1"/>
  <c r="H82" i="1"/>
  <c r="G82" i="1"/>
  <c r="E82" i="1"/>
  <c r="H81" i="1"/>
  <c r="G81" i="1"/>
  <c r="E81" i="1"/>
  <c r="H80" i="1"/>
  <c r="G80" i="1"/>
  <c r="E80" i="1"/>
  <c r="H79" i="1"/>
  <c r="G79" i="1"/>
  <c r="E79" i="1"/>
  <c r="H78" i="1"/>
  <c r="G78" i="1"/>
  <c r="E78" i="1"/>
  <c r="H77" i="1"/>
  <c r="G77" i="1"/>
  <c r="E77" i="1"/>
  <c r="H76" i="1"/>
  <c r="G76" i="1"/>
  <c r="E76" i="1"/>
  <c r="H75" i="1"/>
  <c r="G75" i="1"/>
  <c r="E75" i="1"/>
  <c r="H74" i="1"/>
  <c r="G74" i="1"/>
  <c r="E74" i="1"/>
  <c r="H73" i="1"/>
  <c r="G73" i="1"/>
  <c r="E73" i="1"/>
  <c r="H72" i="1"/>
  <c r="G72" i="1"/>
  <c r="E72" i="1"/>
  <c r="H71" i="1"/>
  <c r="G71" i="1"/>
  <c r="E71" i="1"/>
  <c r="H70" i="1"/>
  <c r="G70" i="1"/>
  <c r="E70" i="1"/>
  <c r="H69" i="1"/>
  <c r="G69" i="1"/>
  <c r="E69" i="1"/>
  <c r="H68" i="1"/>
  <c r="G68" i="1"/>
  <c r="E68" i="1"/>
  <c r="H67" i="1"/>
  <c r="G67" i="1"/>
  <c r="E67" i="1"/>
  <c r="H66" i="1"/>
  <c r="G66" i="1"/>
  <c r="E66" i="1"/>
  <c r="H65" i="1"/>
  <c r="G65" i="1"/>
  <c r="E65" i="1"/>
  <c r="H64" i="1"/>
  <c r="G64" i="1"/>
  <c r="E64" i="1"/>
  <c r="H63" i="1"/>
  <c r="G63" i="1"/>
  <c r="E63" i="1"/>
  <c r="H62" i="1"/>
  <c r="G62" i="1"/>
  <c r="E62" i="1"/>
  <c r="H61" i="1"/>
  <c r="G61" i="1"/>
  <c r="E61" i="1"/>
  <c r="H60" i="1"/>
  <c r="G60" i="1"/>
  <c r="E60" i="1"/>
  <c r="H59" i="1"/>
  <c r="G59" i="1"/>
  <c r="E59" i="1"/>
  <c r="H58" i="1"/>
  <c r="G58" i="1"/>
  <c r="E58" i="1"/>
  <c r="H57" i="1"/>
  <c r="G57" i="1"/>
  <c r="E57" i="1"/>
  <c r="H56" i="1"/>
  <c r="G56" i="1"/>
  <c r="E56" i="1"/>
  <c r="H55" i="1"/>
  <c r="G55" i="1"/>
  <c r="E55" i="1"/>
  <c r="H54" i="1"/>
  <c r="G54" i="1"/>
  <c r="E54" i="1"/>
  <c r="H53" i="1"/>
  <c r="G53" i="1"/>
  <c r="E53" i="1"/>
  <c r="H52" i="1"/>
  <c r="G52" i="1"/>
  <c r="E52" i="1"/>
  <c r="H51" i="1"/>
  <c r="G51" i="1"/>
  <c r="E51" i="1"/>
  <c r="H50" i="1"/>
  <c r="G50" i="1"/>
  <c r="E50" i="1"/>
  <c r="H49" i="1"/>
  <c r="G49" i="1"/>
  <c r="E49" i="1"/>
  <c r="H48" i="1"/>
  <c r="G48" i="1"/>
  <c r="E48" i="1"/>
  <c r="H47" i="1"/>
  <c r="G47" i="1"/>
  <c r="E47" i="1"/>
  <c r="H46" i="1"/>
  <c r="G46" i="1"/>
  <c r="E46" i="1"/>
  <c r="H45" i="1"/>
  <c r="G45" i="1"/>
  <c r="E45" i="1"/>
  <c r="H44" i="1"/>
  <c r="G44" i="1"/>
  <c r="E44" i="1"/>
  <c r="H43" i="1"/>
  <c r="G43" i="1"/>
  <c r="E43" i="1"/>
  <c r="H42" i="1"/>
  <c r="G42" i="1"/>
  <c r="E42" i="1"/>
  <c r="H41" i="1"/>
  <c r="G41" i="1"/>
  <c r="E41" i="1"/>
  <c r="H40" i="1"/>
  <c r="G40" i="1"/>
  <c r="E40" i="1"/>
  <c r="H39" i="1"/>
  <c r="G39" i="1"/>
  <c r="E39" i="1"/>
  <c r="H38" i="1"/>
  <c r="G38" i="1"/>
  <c r="E38" i="1"/>
  <c r="H37" i="1"/>
  <c r="G37" i="1"/>
  <c r="E37" i="1"/>
  <c r="H36" i="1"/>
  <c r="G36" i="1"/>
  <c r="E36" i="1"/>
  <c r="H35" i="1"/>
  <c r="G35" i="1"/>
  <c r="E35" i="1"/>
  <c r="H34" i="1"/>
  <c r="G34" i="1"/>
  <c r="E34" i="1"/>
  <c r="H33" i="1"/>
  <c r="G33" i="1"/>
  <c r="E33" i="1"/>
  <c r="H32" i="1"/>
  <c r="G32" i="1"/>
  <c r="E32" i="1"/>
  <c r="H31" i="1"/>
  <c r="G31" i="1"/>
  <c r="E31" i="1"/>
  <c r="H30" i="1"/>
  <c r="G30" i="1"/>
  <c r="E30" i="1"/>
  <c r="H29" i="1"/>
  <c r="G29" i="1"/>
  <c r="E29" i="1"/>
  <c r="H28" i="1"/>
  <c r="G28" i="1"/>
  <c r="E28" i="1"/>
  <c r="H27" i="1"/>
  <c r="G27" i="1"/>
  <c r="E27" i="1"/>
  <c r="H26" i="1"/>
  <c r="G26" i="1"/>
  <c r="E26" i="1"/>
  <c r="H25" i="1"/>
  <c r="G25" i="1"/>
  <c r="E25" i="1"/>
  <c r="H24" i="1"/>
  <c r="G24" i="1"/>
  <c r="E24" i="1"/>
  <c r="H23" i="1"/>
  <c r="G23" i="1"/>
  <c r="E23" i="1"/>
  <c r="H22" i="1"/>
  <c r="G22" i="1"/>
  <c r="E22" i="1"/>
  <c r="H21" i="1"/>
  <c r="G21" i="1"/>
  <c r="E21" i="1"/>
  <c r="H20" i="1"/>
  <c r="G20" i="1"/>
  <c r="E20" i="1"/>
  <c r="H19" i="1"/>
  <c r="G19" i="1"/>
  <c r="E19" i="1"/>
  <c r="H18" i="1"/>
  <c r="G18" i="1"/>
  <c r="E18" i="1"/>
  <c r="H17" i="1"/>
  <c r="G17" i="1"/>
  <c r="E17" i="1"/>
  <c r="H16" i="1"/>
  <c r="G16" i="1"/>
  <c r="E16" i="1"/>
  <c r="H15" i="1"/>
  <c r="G15" i="1"/>
  <c r="E15" i="1"/>
  <c r="H14" i="1"/>
  <c r="G14" i="1"/>
  <c r="E14" i="1"/>
  <c r="H13" i="1"/>
  <c r="G13" i="1"/>
  <c r="E13" i="1"/>
  <c r="H12" i="1"/>
  <c r="G12" i="1"/>
  <c r="E12" i="1"/>
  <c r="H11" i="1"/>
  <c r="G11" i="1"/>
  <c r="E11" i="1"/>
  <c r="H10" i="1"/>
  <c r="G10" i="1"/>
  <c r="E10" i="1"/>
  <c r="H9" i="1"/>
  <c r="G9" i="1"/>
  <c r="E9" i="1"/>
  <c r="H8" i="1"/>
  <c r="G8" i="1"/>
  <c r="E8" i="1"/>
  <c r="H7" i="1"/>
  <c r="G7" i="1"/>
  <c r="E7" i="1"/>
  <c r="H6" i="1"/>
  <c r="G6" i="1"/>
  <c r="E6" i="1"/>
  <c r="H5" i="1"/>
  <c r="G5" i="1"/>
  <c r="E5" i="1"/>
  <c r="H4" i="1"/>
  <c r="G4" i="1"/>
  <c r="E4" i="1"/>
  <c r="H3" i="1"/>
  <c r="G3" i="1"/>
  <c r="E3" i="1"/>
  <c r="H2" i="1"/>
  <c r="G2" i="1"/>
  <c r="E2" i="1"/>
  <c r="D615" i="1"/>
  <c r="D614" i="1"/>
  <c r="D613" i="1"/>
  <c r="D612" i="1"/>
  <c r="D611" i="1"/>
  <c r="D610" i="1"/>
  <c r="D609" i="1"/>
  <c r="D608" i="1"/>
  <c r="D607" i="1"/>
  <c r="D606" i="1"/>
  <c r="D605" i="1"/>
  <c r="D604" i="1"/>
  <c r="D603" i="1"/>
  <c r="D602" i="1"/>
  <c r="D601" i="1"/>
  <c r="D600" i="1"/>
  <c r="D599" i="1"/>
  <c r="D598" i="1"/>
  <c r="D597" i="1"/>
  <c r="D596" i="1"/>
  <c r="D595" i="1"/>
  <c r="D594" i="1"/>
  <c r="D593" i="1"/>
  <c r="D592" i="1"/>
  <c r="D591" i="1"/>
  <c r="D590" i="1"/>
  <c r="D589" i="1"/>
  <c r="D588" i="1"/>
  <c r="D587" i="1"/>
  <c r="D586" i="1"/>
  <c r="D585" i="1"/>
  <c r="D584" i="1"/>
  <c r="D583" i="1"/>
  <c r="D582" i="1"/>
  <c r="D581" i="1"/>
  <c r="D580" i="1"/>
  <c r="D579" i="1"/>
  <c r="D578" i="1"/>
  <c r="D577" i="1"/>
  <c r="D576" i="1"/>
  <c r="D575" i="1"/>
  <c r="D574" i="1"/>
  <c r="D573" i="1"/>
  <c r="D572" i="1"/>
  <c r="D571" i="1"/>
  <c r="D570" i="1"/>
  <c r="D569" i="1"/>
  <c r="D568" i="1"/>
  <c r="D567" i="1"/>
  <c r="D566" i="1"/>
  <c r="D565" i="1"/>
  <c r="D564" i="1"/>
  <c r="D563" i="1"/>
  <c r="D562" i="1"/>
  <c r="D561" i="1"/>
  <c r="D560" i="1"/>
  <c r="D559" i="1"/>
  <c r="D558" i="1"/>
  <c r="D557" i="1"/>
  <c r="D556" i="1"/>
  <c r="D555" i="1"/>
  <c r="D554" i="1"/>
  <c r="D553" i="1"/>
  <c r="D552" i="1"/>
  <c r="D551" i="1"/>
  <c r="D550" i="1"/>
  <c r="D549" i="1"/>
  <c r="D548" i="1"/>
  <c r="D547" i="1"/>
  <c r="D546" i="1"/>
  <c r="D545" i="1"/>
  <c r="D544" i="1"/>
  <c r="D543" i="1"/>
  <c r="D542" i="1"/>
  <c r="D541" i="1"/>
  <c r="D540" i="1"/>
  <c r="D539" i="1"/>
  <c r="D538" i="1"/>
  <c r="D537" i="1"/>
  <c r="D536" i="1"/>
  <c r="D535" i="1"/>
  <c r="D534" i="1"/>
  <c r="D533" i="1"/>
  <c r="D532" i="1"/>
  <c r="D531" i="1"/>
  <c r="D530" i="1"/>
  <c r="D529" i="1"/>
  <c r="D528" i="1"/>
  <c r="D527" i="1"/>
  <c r="D526" i="1"/>
  <c r="D525" i="1"/>
  <c r="D524" i="1"/>
  <c r="D523" i="1"/>
  <c r="D522" i="1"/>
  <c r="D521" i="1"/>
  <c r="D520" i="1"/>
  <c r="D519" i="1"/>
  <c r="D518" i="1"/>
  <c r="D517" i="1"/>
  <c r="D516" i="1"/>
  <c r="D515" i="1"/>
  <c r="D514" i="1"/>
  <c r="D513" i="1"/>
  <c r="D512" i="1"/>
  <c r="D511" i="1"/>
  <c r="D510" i="1"/>
  <c r="D509" i="1"/>
  <c r="D508" i="1"/>
  <c r="D507" i="1"/>
  <c r="D506" i="1"/>
  <c r="D505" i="1"/>
  <c r="D504" i="1"/>
  <c r="D503" i="1"/>
  <c r="D502" i="1"/>
  <c r="D501" i="1"/>
  <c r="D500" i="1"/>
  <c r="D499" i="1"/>
  <c r="D498" i="1"/>
  <c r="D497" i="1"/>
  <c r="D496" i="1"/>
  <c r="D495" i="1"/>
  <c r="D494" i="1"/>
  <c r="D493" i="1"/>
  <c r="D492" i="1"/>
  <c r="D491" i="1"/>
  <c r="D490" i="1"/>
  <c r="D489" i="1"/>
  <c r="D488" i="1"/>
  <c r="D487" i="1"/>
  <c r="D486" i="1"/>
  <c r="D485" i="1"/>
  <c r="D484" i="1"/>
  <c r="D483" i="1"/>
  <c r="D482" i="1"/>
  <c r="D481" i="1"/>
  <c r="D480" i="1"/>
  <c r="D479" i="1"/>
  <c r="D478" i="1"/>
  <c r="D477" i="1"/>
  <c r="D476" i="1"/>
  <c r="D475" i="1"/>
  <c r="D474" i="1"/>
  <c r="D473" i="1"/>
  <c r="D472" i="1"/>
  <c r="D471" i="1"/>
  <c r="D470" i="1"/>
  <c r="D469" i="1"/>
  <c r="D468" i="1"/>
  <c r="D467" i="1"/>
  <c r="D466" i="1"/>
  <c r="D465" i="1"/>
  <c r="D464" i="1"/>
  <c r="D463" i="1"/>
  <c r="D462" i="1"/>
  <c r="D461" i="1"/>
  <c r="D460" i="1"/>
  <c r="D459" i="1"/>
  <c r="D458" i="1"/>
  <c r="D457" i="1"/>
  <c r="D456" i="1"/>
  <c r="D455" i="1"/>
  <c r="D454" i="1"/>
  <c r="D453" i="1"/>
  <c r="D452" i="1"/>
  <c r="D451" i="1"/>
  <c r="D450" i="1"/>
  <c r="D449" i="1"/>
  <c r="D448" i="1"/>
  <c r="D447" i="1"/>
  <c r="D446" i="1"/>
  <c r="D445" i="1"/>
  <c r="D444" i="1"/>
  <c r="D443" i="1"/>
  <c r="D442" i="1"/>
  <c r="D441" i="1"/>
  <c r="D440" i="1"/>
  <c r="D439" i="1"/>
  <c r="D438" i="1"/>
  <c r="D437" i="1"/>
  <c r="D436" i="1"/>
  <c r="D435" i="1"/>
  <c r="D434" i="1"/>
  <c r="D433" i="1"/>
  <c r="D432" i="1"/>
  <c r="D431" i="1"/>
  <c r="D430" i="1"/>
  <c r="D429" i="1"/>
  <c r="D428" i="1"/>
  <c r="D427" i="1"/>
  <c r="D426" i="1"/>
  <c r="D425" i="1"/>
  <c r="D424" i="1"/>
  <c r="D423" i="1"/>
  <c r="D422" i="1"/>
  <c r="D421" i="1"/>
  <c r="D420" i="1"/>
  <c r="D419" i="1"/>
  <c r="D418" i="1"/>
  <c r="D417" i="1"/>
  <c r="D416" i="1"/>
  <c r="D415" i="1"/>
  <c r="D414" i="1"/>
  <c r="D413" i="1"/>
  <c r="D412" i="1"/>
  <c r="D411" i="1"/>
  <c r="D410" i="1"/>
  <c r="D409" i="1"/>
  <c r="D408" i="1"/>
  <c r="D407" i="1"/>
  <c r="D406" i="1"/>
  <c r="D405" i="1"/>
  <c r="D404" i="1"/>
  <c r="D403" i="1"/>
  <c r="D402" i="1"/>
  <c r="D401" i="1"/>
  <c r="D400" i="1"/>
  <c r="D399" i="1"/>
  <c r="D398" i="1"/>
  <c r="D397" i="1"/>
  <c r="D396" i="1"/>
  <c r="D395" i="1"/>
  <c r="D394" i="1"/>
  <c r="D393" i="1"/>
  <c r="D392" i="1"/>
  <c r="D391" i="1"/>
  <c r="D390" i="1"/>
  <c r="D389" i="1"/>
  <c r="D388" i="1"/>
  <c r="D387" i="1"/>
  <c r="D386" i="1"/>
  <c r="D385" i="1"/>
  <c r="D384" i="1"/>
  <c r="D383" i="1"/>
  <c r="D382" i="1"/>
  <c r="D381" i="1"/>
  <c r="D380" i="1"/>
  <c r="D379" i="1"/>
  <c r="D378" i="1"/>
  <c r="D377" i="1"/>
  <c r="D376" i="1"/>
  <c r="D375" i="1"/>
  <c r="D374" i="1"/>
  <c r="D373" i="1"/>
  <c r="D372" i="1"/>
  <c r="D371" i="1"/>
  <c r="D370" i="1"/>
  <c r="D369" i="1"/>
  <c r="D368" i="1"/>
  <c r="D367" i="1"/>
  <c r="D366" i="1"/>
  <c r="D365" i="1"/>
  <c r="D364" i="1"/>
  <c r="D363" i="1"/>
  <c r="D362" i="1"/>
  <c r="D361" i="1"/>
  <c r="D360" i="1"/>
  <c r="D359" i="1"/>
  <c r="D358" i="1"/>
  <c r="D357" i="1"/>
  <c r="D356" i="1"/>
  <c r="D355" i="1"/>
  <c r="D354" i="1"/>
  <c r="D353" i="1"/>
  <c r="D352" i="1"/>
  <c r="D351" i="1"/>
  <c r="D350" i="1"/>
  <c r="D349" i="1"/>
  <c r="D348" i="1"/>
  <c r="D347" i="1"/>
  <c r="D346" i="1"/>
  <c r="D345" i="1"/>
  <c r="D344" i="1"/>
  <c r="D343" i="1"/>
  <c r="D342" i="1"/>
  <c r="D341" i="1"/>
  <c r="D340" i="1"/>
  <c r="D339" i="1"/>
  <c r="D338" i="1"/>
  <c r="D337" i="1"/>
  <c r="D336" i="1"/>
  <c r="D335" i="1"/>
  <c r="D334" i="1"/>
  <c r="D333" i="1"/>
  <c r="D332" i="1"/>
  <c r="D331" i="1"/>
  <c r="D330" i="1"/>
  <c r="D329" i="1"/>
  <c r="D328" i="1"/>
  <c r="D327" i="1"/>
  <c r="D326" i="1"/>
  <c r="D325" i="1"/>
  <c r="D324" i="1"/>
  <c r="D323" i="1"/>
  <c r="D322" i="1"/>
  <c r="D321" i="1"/>
  <c r="D320" i="1"/>
  <c r="D319" i="1"/>
  <c r="D318" i="1"/>
  <c r="D317" i="1"/>
  <c r="D316" i="1"/>
  <c r="D315" i="1"/>
  <c r="D314" i="1"/>
  <c r="D313" i="1"/>
  <c r="D312" i="1"/>
  <c r="D311" i="1"/>
  <c r="D310" i="1"/>
  <c r="D309" i="1"/>
  <c r="D308" i="1"/>
  <c r="D307" i="1"/>
  <c r="D306" i="1"/>
  <c r="D305" i="1"/>
  <c r="D304" i="1"/>
  <c r="D303" i="1"/>
  <c r="D302" i="1"/>
  <c r="D301" i="1"/>
  <c r="D300" i="1"/>
  <c r="D299" i="1"/>
  <c r="D298" i="1"/>
  <c r="D297" i="1"/>
  <c r="D296" i="1"/>
  <c r="D295" i="1"/>
  <c r="D294" i="1"/>
  <c r="D293" i="1"/>
  <c r="D292" i="1"/>
  <c r="D291" i="1"/>
  <c r="D290" i="1"/>
  <c r="D289" i="1"/>
  <c r="D288" i="1"/>
  <c r="D287" i="1"/>
  <c r="D286" i="1"/>
  <c r="D285" i="1"/>
  <c r="D284" i="1"/>
  <c r="D283" i="1"/>
  <c r="D282" i="1"/>
  <c r="D281" i="1"/>
  <c r="D280" i="1"/>
  <c r="D279" i="1"/>
  <c r="D278" i="1"/>
  <c r="D277" i="1"/>
  <c r="D276" i="1"/>
  <c r="D275" i="1"/>
  <c r="D274" i="1"/>
  <c r="D273" i="1"/>
  <c r="D272" i="1"/>
  <c r="D271" i="1"/>
  <c r="D270" i="1"/>
  <c r="D269" i="1"/>
  <c r="D268" i="1"/>
  <c r="D267" i="1"/>
  <c r="D266" i="1"/>
  <c r="D265" i="1"/>
  <c r="D264" i="1"/>
  <c r="D263" i="1"/>
  <c r="D262" i="1"/>
  <c r="D261" i="1"/>
  <c r="D260" i="1"/>
  <c r="D259" i="1"/>
  <c r="D258" i="1"/>
  <c r="D257" i="1"/>
  <c r="D256" i="1"/>
  <c r="D255" i="1"/>
  <c r="D254" i="1"/>
  <c r="D253" i="1"/>
  <c r="D252" i="1"/>
  <c r="D251" i="1"/>
  <c r="D250" i="1"/>
  <c r="D249" i="1"/>
  <c r="D248" i="1"/>
  <c r="D247" i="1"/>
  <c r="D246" i="1"/>
  <c r="D245" i="1"/>
  <c r="D244" i="1"/>
  <c r="D243" i="1"/>
  <c r="D242" i="1"/>
  <c r="D241" i="1"/>
  <c r="D240" i="1"/>
  <c r="D239" i="1"/>
  <c r="D238" i="1"/>
  <c r="D237" i="1"/>
  <c r="D236" i="1"/>
  <c r="D235" i="1"/>
  <c r="D234" i="1"/>
  <c r="D233" i="1"/>
  <c r="D232" i="1"/>
  <c r="D231" i="1"/>
  <c r="D230" i="1"/>
  <c r="D229" i="1"/>
  <c r="D228" i="1"/>
  <c r="D227" i="1"/>
  <c r="D226" i="1"/>
  <c r="D225" i="1"/>
  <c r="D224" i="1"/>
  <c r="D223" i="1"/>
  <c r="D222" i="1"/>
  <c r="D221" i="1"/>
  <c r="D220" i="1"/>
  <c r="D219" i="1"/>
  <c r="D218" i="1"/>
  <c r="D217" i="1"/>
  <c r="D216" i="1"/>
  <c r="D215" i="1"/>
  <c r="D214" i="1"/>
  <c r="D213" i="1"/>
  <c r="D212" i="1"/>
  <c r="D211" i="1"/>
  <c r="D210" i="1"/>
  <c r="D209" i="1"/>
  <c r="D208" i="1"/>
  <c r="D207" i="1"/>
  <c r="D206" i="1"/>
  <c r="D205" i="1"/>
  <c r="D204" i="1"/>
  <c r="D203" i="1"/>
  <c r="D202" i="1"/>
  <c r="D201" i="1"/>
  <c r="D200" i="1"/>
  <c r="D199" i="1"/>
  <c r="D198" i="1"/>
  <c r="D197" i="1"/>
  <c r="D196" i="1"/>
  <c r="D195" i="1"/>
  <c r="D194" i="1"/>
  <c r="D193" i="1"/>
  <c r="D192" i="1"/>
  <c r="D191" i="1"/>
  <c r="D190" i="1"/>
  <c r="D189" i="1"/>
  <c r="D188" i="1"/>
  <c r="D187" i="1"/>
  <c r="D186" i="1"/>
  <c r="D185" i="1"/>
  <c r="D184" i="1"/>
  <c r="D183" i="1"/>
  <c r="D182" i="1"/>
  <c r="D181" i="1"/>
  <c r="D180" i="1"/>
  <c r="D179" i="1"/>
  <c r="D178" i="1"/>
  <c r="D177" i="1"/>
  <c r="D176" i="1"/>
  <c r="D175" i="1"/>
  <c r="D174" i="1"/>
  <c r="D173" i="1"/>
  <c r="D172" i="1"/>
  <c r="D171" i="1"/>
  <c r="D170" i="1"/>
  <c r="D169" i="1"/>
  <c r="D168" i="1"/>
  <c r="D167" i="1"/>
  <c r="D166" i="1"/>
  <c r="D165" i="1"/>
  <c r="D164" i="1"/>
  <c r="D163" i="1"/>
  <c r="D162" i="1"/>
  <c r="D161" i="1"/>
  <c r="D160" i="1"/>
  <c r="D159" i="1"/>
  <c r="D158" i="1"/>
  <c r="D157" i="1"/>
  <c r="D156" i="1"/>
  <c r="D155"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D2"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H8114" i="79"/>
  <c r="A8113" i="80"/>
  <c r="H8585" i="79"/>
  <c r="A8584" i="80"/>
  <c r="H7364" i="79"/>
  <c r="A7363" i="80"/>
  <c r="H3559" i="79"/>
  <c r="A3558" i="80"/>
  <c r="H3553" i="79"/>
  <c r="A3552" i="80"/>
  <c r="H3547" i="79"/>
  <c r="A3546" i="80"/>
  <c r="H3541" i="79"/>
  <c r="A3540" i="80"/>
  <c r="H3535" i="79"/>
  <c r="A3534" i="80"/>
  <c r="H3529" i="79"/>
  <c r="A3528" i="80"/>
  <c r="H3523" i="79"/>
  <c r="A3522" i="80"/>
  <c r="H3517" i="79"/>
  <c r="A3516" i="80"/>
  <c r="H3511" i="79"/>
  <c r="A3510" i="80"/>
  <c r="H3505" i="79"/>
  <c r="A3504" i="80"/>
  <c r="H3499" i="79"/>
  <c r="A3498" i="80"/>
  <c r="H3487" i="79"/>
  <c r="A3486" i="80"/>
  <c r="H3475" i="79"/>
  <c r="A3474" i="80"/>
  <c r="H3469" i="79"/>
  <c r="A3468" i="80"/>
  <c r="H3463" i="79"/>
  <c r="A3462" i="80"/>
  <c r="H3457" i="79"/>
  <c r="A3456" i="80"/>
  <c r="H3451" i="79"/>
  <c r="A3450" i="80"/>
  <c r="H3445" i="79"/>
  <c r="A3444" i="80"/>
  <c r="H3439" i="79"/>
  <c r="A3438" i="80"/>
  <c r="H3433" i="79"/>
  <c r="A3432" i="80"/>
  <c r="H3421" i="79"/>
  <c r="A3420" i="80"/>
  <c r="H3415" i="79"/>
  <c r="A3414" i="80"/>
  <c r="H3025" i="79"/>
  <c r="A3024" i="80"/>
  <c r="H3019" i="79"/>
  <c r="A3018" i="80"/>
  <c r="I612" i="63"/>
  <c r="I611" i="63"/>
  <c r="I608" i="63"/>
  <c r="I607" i="63"/>
  <c r="I604" i="63"/>
  <c r="I603" i="63"/>
  <c r="I600" i="63"/>
  <c r="I599" i="63"/>
  <c r="I596" i="63"/>
  <c r="I595" i="63"/>
  <c r="I592" i="63"/>
  <c r="I591" i="63"/>
  <c r="I588" i="63"/>
  <c r="I587" i="63"/>
  <c r="I584" i="63"/>
  <c r="I583" i="63"/>
  <c r="I580" i="63"/>
  <c r="I579" i="63"/>
  <c r="I576" i="63"/>
  <c r="I575" i="63"/>
  <c r="I572" i="63"/>
  <c r="I571" i="63"/>
  <c r="I568" i="63"/>
  <c r="I567" i="63"/>
  <c r="I564" i="63"/>
  <c r="I563" i="63"/>
  <c r="I560" i="63"/>
  <c r="I536" i="63"/>
  <c r="I532" i="63"/>
  <c r="I531" i="63"/>
  <c r="I528" i="63"/>
  <c r="I527" i="63"/>
  <c r="I524" i="63"/>
  <c r="I523" i="63"/>
  <c r="I520" i="63"/>
  <c r="I519" i="63"/>
  <c r="I516" i="63"/>
  <c r="I515" i="63"/>
  <c r="I512" i="63"/>
  <c r="I508" i="63"/>
  <c r="I504" i="63"/>
  <c r="I503" i="63"/>
  <c r="I500" i="63"/>
  <c r="I499" i="63"/>
  <c r="I496" i="63"/>
  <c r="I495" i="63"/>
  <c r="I488" i="63"/>
  <c r="I484" i="63"/>
  <c r="I483" i="63"/>
  <c r="I480" i="63"/>
  <c r="I479" i="63"/>
  <c r="I476" i="63"/>
  <c r="I475" i="63"/>
  <c r="I472" i="63"/>
  <c r="I471" i="63"/>
  <c r="I468" i="63"/>
  <c r="I467" i="63"/>
  <c r="I464" i="63"/>
  <c r="I459" i="63"/>
  <c r="I456" i="63"/>
  <c r="I455" i="63"/>
  <c r="I452" i="63"/>
  <c r="I440" i="63"/>
  <c r="I436" i="63"/>
  <c r="I432" i="63"/>
  <c r="I428" i="63"/>
  <c r="I424" i="63"/>
  <c r="I420" i="63"/>
  <c r="I416" i="63"/>
  <c r="I412" i="63"/>
  <c r="I408" i="63"/>
  <c r="I403" i="63"/>
  <c r="I400" i="63"/>
  <c r="I399" i="63"/>
  <c r="I396" i="63"/>
  <c r="I395" i="63"/>
  <c r="I392" i="63"/>
  <c r="I388" i="63"/>
  <c r="I384" i="63"/>
  <c r="I380" i="63"/>
  <c r="I376" i="63"/>
  <c r="I372" i="63"/>
  <c r="I368" i="63"/>
  <c r="I367" i="63"/>
  <c r="I364" i="63"/>
  <c r="I363" i="63"/>
  <c r="I360" i="63"/>
  <c r="I352" i="63"/>
  <c r="I348" i="63"/>
  <c r="I344" i="63"/>
  <c r="I343" i="63"/>
  <c r="I340" i="63"/>
  <c r="I339" i="63"/>
  <c r="I336" i="63"/>
  <c r="I335" i="63"/>
  <c r="I332" i="63"/>
  <c r="I331" i="63"/>
  <c r="I328" i="63"/>
  <c r="I320" i="63"/>
  <c r="I315" i="63"/>
  <c r="I304" i="63"/>
  <c r="I300" i="63"/>
  <c r="I299" i="63"/>
  <c r="I284" i="63"/>
  <c r="I280" i="63"/>
  <c r="I279" i="63"/>
  <c r="I276" i="63"/>
  <c r="I275" i="63"/>
  <c r="I272" i="63"/>
  <c r="I271" i="63"/>
  <c r="I268" i="63"/>
  <c r="I267" i="63"/>
  <c r="I264" i="63"/>
  <c r="I263" i="63"/>
  <c r="I260" i="63"/>
  <c r="I256" i="63"/>
  <c r="I252" i="63"/>
  <c r="I248" i="63"/>
  <c r="I244" i="63"/>
  <c r="I243" i="63"/>
  <c r="I240" i="63"/>
  <c r="I239" i="63"/>
  <c r="I236" i="63"/>
  <c r="I235" i="63"/>
  <c r="I232" i="63"/>
  <c r="I231" i="63"/>
  <c r="I219" i="63"/>
  <c r="I216" i="63"/>
  <c r="I215" i="63"/>
  <c r="I212" i="63"/>
  <c r="I208" i="63"/>
  <c r="I207" i="63"/>
  <c r="I200" i="63"/>
  <c r="I196" i="63"/>
  <c r="I192" i="63"/>
  <c r="I188" i="63"/>
  <c r="I187" i="63"/>
  <c r="I184" i="63"/>
  <c r="I183" i="63"/>
  <c r="I180" i="63"/>
  <c r="I179" i="63"/>
  <c r="I176" i="63"/>
  <c r="I168" i="63"/>
  <c r="I167" i="63"/>
  <c r="I164" i="63"/>
  <c r="I163" i="63"/>
  <c r="I160" i="63"/>
  <c r="I159" i="63"/>
  <c r="I158" i="63"/>
  <c r="I156" i="63"/>
  <c r="I155" i="63"/>
  <c r="I154" i="63"/>
  <c r="I152" i="63"/>
  <c r="I151" i="63"/>
  <c r="I150" i="63"/>
  <c r="I132" i="63"/>
  <c r="I130" i="63"/>
  <c r="I128" i="63"/>
  <c r="I126" i="63"/>
  <c r="I124" i="63"/>
  <c r="I122" i="63"/>
  <c r="I120" i="63"/>
  <c r="I116" i="63"/>
  <c r="I114" i="63"/>
  <c r="I112" i="63"/>
  <c r="I111" i="63"/>
  <c r="I108" i="63"/>
  <c r="I107" i="63"/>
  <c r="I106" i="63"/>
  <c r="I104" i="63"/>
  <c r="I103" i="63"/>
  <c r="I100" i="63"/>
  <c r="I99" i="63"/>
  <c r="I98" i="63"/>
  <c r="I96" i="63"/>
  <c r="I95" i="63"/>
  <c r="I94" i="63"/>
  <c r="I92" i="63"/>
  <c r="I91" i="63"/>
  <c r="I90" i="63"/>
  <c r="I84" i="63"/>
  <c r="I82" i="63"/>
  <c r="I80" i="63"/>
  <c r="I78" i="63"/>
  <c r="I76" i="63"/>
  <c r="I72" i="63"/>
  <c r="I70" i="63"/>
  <c r="I68" i="63"/>
  <c r="I66" i="63"/>
  <c r="I64" i="63"/>
  <c r="I62" i="63"/>
  <c r="I60" i="63"/>
  <c r="I59" i="63"/>
  <c r="I58" i="63"/>
  <c r="I57" i="63"/>
  <c r="I56" i="63"/>
  <c r="I55" i="63"/>
  <c r="I54" i="63"/>
  <c r="I53" i="63"/>
  <c r="I52" i="63"/>
  <c r="I51" i="63"/>
  <c r="I50" i="63"/>
  <c r="I49" i="63"/>
  <c r="I48" i="63"/>
  <c r="I47" i="63"/>
  <c r="I46" i="63"/>
  <c r="I44" i="63"/>
  <c r="I43" i="63"/>
  <c r="I42" i="63"/>
  <c r="I41" i="63"/>
  <c r="I36" i="63"/>
  <c r="I34" i="63"/>
  <c r="I33" i="63"/>
  <c r="I32" i="63"/>
  <c r="I30" i="63"/>
  <c r="I29" i="63"/>
  <c r="I28" i="63"/>
  <c r="I25" i="63"/>
  <c r="I24" i="63"/>
  <c r="I23" i="63"/>
  <c r="I22" i="63"/>
  <c r="I21" i="63"/>
  <c r="I20" i="63"/>
  <c r="I19" i="63"/>
  <c r="I18" i="63"/>
  <c r="I17" i="63"/>
  <c r="I16" i="63"/>
  <c r="I15" i="63"/>
  <c r="I14" i="63"/>
  <c r="I12" i="63"/>
  <c r="I11" i="63"/>
  <c r="I10" i="63"/>
  <c r="I9" i="63"/>
  <c r="I6" i="63"/>
  <c r="I5" i="63"/>
  <c r="I3" i="63"/>
  <c r="B616" i="63"/>
  <c r="B615" i="63"/>
  <c r="B614" i="63"/>
  <c r="B613" i="63"/>
  <c r="B612" i="63"/>
  <c r="B611" i="63"/>
  <c r="B610" i="63"/>
  <c r="B609" i="63"/>
  <c r="B608" i="63"/>
  <c r="B607" i="63"/>
  <c r="B606" i="63"/>
  <c r="B605" i="63"/>
  <c r="B604" i="63"/>
  <c r="B603" i="63"/>
  <c r="B602" i="63"/>
  <c r="B601" i="63"/>
  <c r="B600" i="63"/>
  <c r="B599" i="63"/>
  <c r="B598" i="63"/>
  <c r="B597" i="63"/>
  <c r="B596" i="63"/>
  <c r="B595" i="63"/>
  <c r="B594" i="63"/>
  <c r="B593" i="63"/>
  <c r="B592" i="63"/>
  <c r="B591" i="63"/>
  <c r="B590" i="63"/>
  <c r="B589" i="63"/>
  <c r="B588" i="63"/>
  <c r="B587" i="63"/>
  <c r="B586" i="63"/>
  <c r="B585" i="63"/>
  <c r="B584" i="63"/>
  <c r="B583" i="63"/>
  <c r="B582" i="63"/>
  <c r="B581" i="63"/>
  <c r="B580" i="63"/>
  <c r="B579" i="63"/>
  <c r="B578" i="63"/>
  <c r="B577" i="63"/>
  <c r="B576" i="63"/>
  <c r="B575" i="63"/>
  <c r="B574" i="63"/>
  <c r="B573" i="63"/>
  <c r="B572" i="63"/>
  <c r="B571" i="63"/>
  <c r="B570" i="63"/>
  <c r="B569" i="63"/>
  <c r="B568" i="63"/>
  <c r="B567" i="63"/>
  <c r="B566" i="63"/>
  <c r="B565" i="63"/>
  <c r="B564" i="63"/>
  <c r="B563" i="63"/>
  <c r="B562" i="63"/>
  <c r="B561" i="63"/>
  <c r="B560" i="63"/>
  <c r="B559" i="63"/>
  <c r="B558" i="63"/>
  <c r="B557" i="63"/>
  <c r="B556" i="63"/>
  <c r="B555" i="63"/>
  <c r="B554" i="63"/>
  <c r="B553" i="63"/>
  <c r="B552" i="63"/>
  <c r="B551" i="63"/>
  <c r="B550" i="63"/>
  <c r="B549" i="63"/>
  <c r="B548" i="63"/>
  <c r="B547" i="63"/>
  <c r="B546" i="63"/>
  <c r="B545" i="63"/>
  <c r="B544" i="63"/>
  <c r="B543" i="63"/>
  <c r="B542" i="63"/>
  <c r="B541" i="63"/>
  <c r="B540" i="63"/>
  <c r="B539" i="63"/>
  <c r="B538" i="63"/>
  <c r="B537" i="63"/>
  <c r="B536" i="63"/>
  <c r="B535" i="63"/>
  <c r="B534" i="63"/>
  <c r="B533" i="63"/>
  <c r="B532" i="63"/>
  <c r="B531" i="63"/>
  <c r="B530" i="63"/>
  <c r="B529" i="63"/>
  <c r="B528" i="63"/>
  <c r="B527" i="63"/>
  <c r="B526" i="63"/>
  <c r="B525" i="63"/>
  <c r="B524" i="63"/>
  <c r="B523" i="63"/>
  <c r="B522" i="63"/>
  <c r="B521" i="63"/>
  <c r="B520" i="63"/>
  <c r="B519" i="63"/>
  <c r="B518" i="63"/>
  <c r="B517" i="63"/>
  <c r="B516" i="63"/>
  <c r="B515" i="63"/>
  <c r="B514" i="63"/>
  <c r="B513" i="63"/>
  <c r="B512" i="63"/>
  <c r="B511" i="63"/>
  <c r="B510" i="63"/>
  <c r="B509" i="63"/>
  <c r="B508" i="63"/>
  <c r="B507" i="63"/>
  <c r="B506" i="63"/>
  <c r="B505" i="63"/>
  <c r="B504" i="63"/>
  <c r="B503" i="63"/>
  <c r="B502" i="63"/>
  <c r="B501" i="63"/>
  <c r="B500" i="63"/>
  <c r="B499" i="63"/>
  <c r="B498" i="63"/>
  <c r="B497" i="63"/>
  <c r="B496" i="63"/>
  <c r="B495" i="63"/>
  <c r="B494" i="63"/>
  <c r="B493" i="63"/>
  <c r="B492" i="63"/>
  <c r="B491" i="63"/>
  <c r="B490" i="63"/>
  <c r="B489" i="63"/>
  <c r="B488" i="63"/>
  <c r="B487" i="63"/>
  <c r="B486" i="63"/>
  <c r="B485" i="63"/>
  <c r="B484" i="63"/>
  <c r="B483" i="63"/>
  <c r="B482" i="63"/>
  <c r="B481" i="63"/>
  <c r="B480" i="63"/>
  <c r="B479" i="63"/>
  <c r="B478" i="63"/>
  <c r="B477" i="63"/>
  <c r="B476" i="63"/>
  <c r="B475" i="63"/>
  <c r="B474" i="63"/>
  <c r="B473" i="63"/>
  <c r="B472" i="63"/>
  <c r="B471" i="63"/>
  <c r="B470" i="63"/>
  <c r="B469" i="63"/>
  <c r="B468" i="63"/>
  <c r="B467" i="63"/>
  <c r="B466" i="63"/>
  <c r="B465" i="63"/>
  <c r="B464" i="63"/>
  <c r="B463" i="63"/>
  <c r="B462" i="63"/>
  <c r="B461" i="63"/>
  <c r="B460" i="63"/>
  <c r="B459" i="63"/>
  <c r="B458" i="63"/>
  <c r="B457" i="63"/>
  <c r="B456" i="63"/>
  <c r="B455" i="63"/>
  <c r="B454" i="63"/>
  <c r="B453" i="63"/>
  <c r="B452" i="63"/>
  <c r="B451" i="63"/>
  <c r="B450" i="63"/>
  <c r="B449" i="63"/>
  <c r="B448" i="63"/>
  <c r="B447" i="63"/>
  <c r="B446" i="63"/>
  <c r="B445" i="63"/>
  <c r="B444" i="63"/>
  <c r="B443" i="63"/>
  <c r="B442" i="63"/>
  <c r="B441" i="63"/>
  <c r="B440" i="63"/>
  <c r="B439" i="63"/>
  <c r="B438" i="63"/>
  <c r="B437" i="63"/>
  <c r="B436" i="63"/>
  <c r="B435" i="63"/>
  <c r="B434" i="63"/>
  <c r="B433" i="63"/>
  <c r="B432" i="63"/>
  <c r="B431" i="63"/>
  <c r="B430" i="63"/>
  <c r="B429" i="63"/>
  <c r="B428" i="63"/>
  <c r="B427" i="63"/>
  <c r="B426" i="63"/>
  <c r="B425" i="63"/>
  <c r="B424" i="63"/>
  <c r="B423" i="63"/>
  <c r="B422" i="63"/>
  <c r="B421" i="63"/>
  <c r="B420" i="63"/>
  <c r="B419" i="63"/>
  <c r="B418" i="63"/>
  <c r="B417" i="63"/>
  <c r="B416" i="63"/>
  <c r="B415" i="63"/>
  <c r="B414" i="63"/>
  <c r="B413" i="63"/>
  <c r="B412" i="63"/>
  <c r="B411" i="63"/>
  <c r="B410" i="63"/>
  <c r="B409" i="63"/>
  <c r="B408" i="63"/>
  <c r="B407" i="63"/>
  <c r="B406" i="63"/>
  <c r="B405" i="63"/>
  <c r="B404" i="63"/>
  <c r="B403" i="63"/>
  <c r="B402" i="63"/>
  <c r="B401" i="63"/>
  <c r="B400" i="63"/>
  <c r="B399" i="63"/>
  <c r="B398" i="63"/>
  <c r="B397" i="63"/>
  <c r="B396" i="63"/>
  <c r="B395" i="63"/>
  <c r="B394" i="63"/>
  <c r="B393" i="63"/>
  <c r="B392" i="63"/>
  <c r="B391" i="63"/>
  <c r="B390" i="63"/>
  <c r="B389" i="63"/>
  <c r="B388" i="63"/>
  <c r="B387" i="63"/>
  <c r="B386" i="63"/>
  <c r="B385" i="63"/>
  <c r="B384" i="63"/>
  <c r="B383" i="63"/>
  <c r="B382" i="63"/>
  <c r="B381" i="63"/>
  <c r="B380" i="63"/>
  <c r="B379" i="63"/>
  <c r="B378" i="63"/>
  <c r="B377" i="63"/>
  <c r="B376" i="63"/>
  <c r="B375" i="63"/>
  <c r="B374" i="63"/>
  <c r="B373" i="63"/>
  <c r="B372" i="63"/>
  <c r="B371" i="63"/>
  <c r="B370" i="63"/>
  <c r="B369" i="63"/>
  <c r="B368" i="63"/>
  <c r="B367" i="63"/>
  <c r="B366" i="63"/>
  <c r="B365" i="63"/>
  <c r="B364" i="63"/>
  <c r="B363" i="63"/>
  <c r="B362" i="63"/>
  <c r="B361" i="63"/>
  <c r="B360" i="63"/>
  <c r="B359" i="63"/>
  <c r="B358" i="63"/>
  <c r="B357" i="63"/>
  <c r="B356" i="63"/>
  <c r="B355" i="63"/>
  <c r="B354" i="63"/>
  <c r="B353" i="63"/>
  <c r="B352" i="63"/>
  <c r="B351" i="63"/>
  <c r="B350" i="63"/>
  <c r="B349" i="63"/>
  <c r="B348" i="63"/>
  <c r="B347" i="63"/>
  <c r="B346" i="63"/>
  <c r="B345" i="63"/>
  <c r="B344" i="63"/>
  <c r="B343" i="63"/>
  <c r="B342" i="63"/>
  <c r="B341" i="63"/>
  <c r="B340" i="63"/>
  <c r="B339" i="63"/>
  <c r="B338" i="63"/>
  <c r="B337" i="63"/>
  <c r="B336" i="63"/>
  <c r="B335" i="63"/>
  <c r="B334" i="63"/>
  <c r="B333" i="63"/>
  <c r="B332" i="63"/>
  <c r="B331" i="63"/>
  <c r="B330" i="63"/>
  <c r="B329" i="63"/>
  <c r="B328" i="63"/>
  <c r="B327" i="63"/>
  <c r="B326" i="63"/>
  <c r="B325" i="63"/>
  <c r="B324" i="63"/>
  <c r="B323" i="63"/>
  <c r="B322" i="63"/>
  <c r="B321" i="63"/>
  <c r="B320" i="63"/>
  <c r="B319" i="63"/>
  <c r="B318" i="63"/>
  <c r="B317" i="63"/>
  <c r="B316" i="63"/>
  <c r="B315" i="63"/>
  <c r="B314" i="63"/>
  <c r="B313" i="63"/>
  <c r="B312" i="63"/>
  <c r="B311" i="63"/>
  <c r="B310" i="63"/>
  <c r="B309" i="63"/>
  <c r="B308" i="63"/>
  <c r="B307" i="63"/>
  <c r="B306" i="63"/>
  <c r="B305" i="63"/>
  <c r="B304" i="63"/>
  <c r="B303" i="63"/>
  <c r="B302" i="63"/>
  <c r="B301" i="63"/>
  <c r="B300" i="63"/>
  <c r="B299" i="63"/>
  <c r="B298" i="63"/>
  <c r="B297" i="63"/>
  <c r="B296" i="63"/>
  <c r="B295" i="63"/>
  <c r="B294" i="63"/>
  <c r="B293" i="63"/>
  <c r="B292" i="63"/>
  <c r="B291" i="63"/>
  <c r="B290" i="63"/>
  <c r="B289" i="63"/>
  <c r="B288" i="63"/>
  <c r="B287" i="63"/>
  <c r="B286" i="63"/>
  <c r="B285" i="63"/>
  <c r="B284" i="63"/>
  <c r="B283" i="63"/>
  <c r="B282" i="63"/>
  <c r="B281" i="63"/>
  <c r="B280" i="63"/>
  <c r="B279" i="63"/>
  <c r="B278" i="63"/>
  <c r="B277" i="63"/>
  <c r="B276" i="63"/>
  <c r="B275" i="63"/>
  <c r="B274" i="63"/>
  <c r="B273" i="63"/>
  <c r="B272" i="63"/>
  <c r="B271" i="63"/>
  <c r="B270" i="63"/>
  <c r="B269" i="63"/>
  <c r="B268" i="63"/>
  <c r="B267" i="63"/>
  <c r="B266" i="63"/>
  <c r="B265" i="63"/>
  <c r="B264" i="63"/>
  <c r="B263" i="63"/>
  <c r="B262" i="63"/>
  <c r="B261" i="63"/>
  <c r="B260" i="63"/>
  <c r="B259" i="63"/>
  <c r="B258" i="63"/>
  <c r="B257" i="63"/>
  <c r="B256" i="63"/>
  <c r="B255" i="63"/>
  <c r="B254" i="63"/>
  <c r="B253" i="63"/>
  <c r="B252" i="63"/>
  <c r="B251" i="63"/>
  <c r="B250" i="63"/>
  <c r="B249" i="63"/>
  <c r="B248" i="63"/>
  <c r="B247" i="63"/>
  <c r="B246" i="63"/>
  <c r="B245" i="63"/>
  <c r="B244" i="63"/>
  <c r="B243" i="63"/>
  <c r="B242" i="63"/>
  <c r="B241" i="63"/>
  <c r="B240" i="63"/>
  <c r="B239" i="63"/>
  <c r="B238" i="63"/>
  <c r="B237" i="63"/>
  <c r="B236" i="63"/>
  <c r="B235" i="63"/>
  <c r="B234" i="63"/>
  <c r="B233" i="63"/>
  <c r="B232" i="63"/>
  <c r="B231" i="63"/>
  <c r="B230" i="63"/>
  <c r="B229" i="63"/>
  <c r="B228" i="63"/>
  <c r="B227" i="63"/>
  <c r="B226" i="63"/>
  <c r="B225" i="63"/>
  <c r="B224" i="63"/>
  <c r="B223" i="63"/>
  <c r="B222" i="63"/>
  <c r="B221" i="63"/>
  <c r="B220" i="63"/>
  <c r="B219" i="63"/>
  <c r="B218" i="63"/>
  <c r="B217" i="63"/>
  <c r="B216" i="63"/>
  <c r="B215" i="63"/>
  <c r="B214" i="63"/>
  <c r="B213" i="63"/>
  <c r="B212" i="63"/>
  <c r="B211" i="63"/>
  <c r="B210" i="63"/>
  <c r="B209" i="63"/>
  <c r="B208" i="63"/>
  <c r="B207" i="63"/>
  <c r="B206" i="63"/>
  <c r="B205" i="63"/>
  <c r="B204" i="63"/>
  <c r="B203" i="63"/>
  <c r="B202" i="63"/>
  <c r="B201" i="63"/>
  <c r="B200" i="63"/>
  <c r="B199" i="63"/>
  <c r="B198" i="63"/>
  <c r="B197" i="63"/>
  <c r="B196" i="63"/>
  <c r="B195" i="63"/>
  <c r="B194" i="63"/>
  <c r="B193" i="63"/>
  <c r="B192" i="63"/>
  <c r="B191" i="63"/>
  <c r="B190" i="63"/>
  <c r="B189" i="63"/>
  <c r="B188" i="63"/>
  <c r="B187" i="63"/>
  <c r="B186" i="63"/>
  <c r="B185" i="63"/>
  <c r="B184" i="63"/>
  <c r="B183" i="63"/>
  <c r="B182" i="63"/>
  <c r="B181" i="63"/>
  <c r="B180" i="63"/>
  <c r="B179" i="63"/>
  <c r="B178" i="63"/>
  <c r="B177" i="63"/>
  <c r="B176" i="63"/>
  <c r="B175" i="63"/>
  <c r="B174" i="63"/>
  <c r="B173" i="63"/>
  <c r="B172" i="63"/>
  <c r="B171" i="63"/>
  <c r="B170" i="63"/>
  <c r="B169" i="63"/>
  <c r="B168" i="63"/>
  <c r="B167" i="63"/>
  <c r="B166" i="63"/>
  <c r="B165" i="63"/>
  <c r="B164" i="63"/>
  <c r="B163" i="63"/>
  <c r="B162" i="63"/>
  <c r="B161" i="63"/>
  <c r="B160" i="63"/>
  <c r="B159" i="63"/>
  <c r="B158" i="63"/>
  <c r="B157" i="63"/>
  <c r="B156" i="63"/>
  <c r="B155" i="63"/>
  <c r="B154" i="63"/>
  <c r="B153" i="63"/>
  <c r="B152" i="63"/>
  <c r="B151" i="63"/>
  <c r="B150" i="63"/>
  <c r="B149" i="63"/>
  <c r="B148" i="63"/>
  <c r="B147" i="63"/>
  <c r="B146" i="63"/>
  <c r="B145" i="63"/>
  <c r="B144" i="63"/>
  <c r="B143" i="63"/>
  <c r="B142" i="63"/>
  <c r="B141" i="63"/>
  <c r="B140" i="63"/>
  <c r="B139" i="63"/>
  <c r="B138" i="63"/>
  <c r="B137" i="63"/>
  <c r="B136" i="63"/>
  <c r="B135" i="63"/>
  <c r="B134" i="63"/>
  <c r="B133" i="63"/>
  <c r="B132" i="63"/>
  <c r="B131" i="63"/>
  <c r="B130" i="63"/>
  <c r="B129" i="63"/>
  <c r="B128" i="63"/>
  <c r="B127" i="63"/>
  <c r="B126" i="63"/>
  <c r="B125" i="63"/>
  <c r="B124" i="63"/>
  <c r="B123" i="63"/>
  <c r="B122" i="63"/>
  <c r="B121" i="63"/>
  <c r="B120" i="63"/>
  <c r="B119" i="63"/>
  <c r="B118" i="63"/>
  <c r="B117" i="63"/>
  <c r="B116" i="63"/>
  <c r="B115" i="63"/>
  <c r="B114" i="63"/>
  <c r="B113" i="63"/>
  <c r="B112" i="63"/>
  <c r="B111" i="63"/>
  <c r="B110" i="63"/>
  <c r="B109" i="63"/>
  <c r="B108" i="63"/>
  <c r="B107" i="63"/>
  <c r="B106" i="63"/>
  <c r="B105" i="63"/>
  <c r="B104" i="63"/>
  <c r="B103" i="63"/>
  <c r="B102" i="63"/>
  <c r="B101" i="63"/>
  <c r="B100" i="63"/>
  <c r="B99" i="63"/>
  <c r="B98" i="63"/>
  <c r="B97" i="63"/>
  <c r="B96" i="63"/>
  <c r="B95" i="63"/>
  <c r="B94" i="63"/>
  <c r="B93" i="63"/>
  <c r="B92" i="63"/>
  <c r="B91" i="63"/>
  <c r="B90" i="63"/>
  <c r="B89" i="63"/>
  <c r="B88" i="63"/>
  <c r="B87" i="63"/>
  <c r="B86" i="63"/>
  <c r="B85" i="63"/>
  <c r="B84" i="63"/>
  <c r="B83" i="63"/>
  <c r="B82" i="63"/>
  <c r="B81" i="63"/>
  <c r="B80" i="63"/>
  <c r="B79" i="63"/>
  <c r="B78" i="63"/>
  <c r="B77" i="63"/>
  <c r="B76" i="63"/>
  <c r="B75" i="63"/>
  <c r="B74" i="63"/>
  <c r="B73" i="63"/>
  <c r="B72" i="63"/>
  <c r="B71" i="63"/>
  <c r="B70" i="63"/>
  <c r="B69" i="63"/>
  <c r="B68" i="63"/>
  <c r="B67" i="63"/>
  <c r="B66" i="63"/>
  <c r="B65" i="63"/>
  <c r="B64" i="63"/>
  <c r="B63" i="63"/>
  <c r="B62" i="63"/>
  <c r="B61" i="63"/>
  <c r="B60" i="63"/>
  <c r="B59" i="63"/>
  <c r="B58" i="63"/>
  <c r="B57" i="63"/>
  <c r="B56" i="63"/>
  <c r="B55" i="63"/>
  <c r="B54" i="63"/>
  <c r="B53" i="63"/>
  <c r="B52" i="63"/>
  <c r="B51" i="63"/>
  <c r="B50" i="63"/>
  <c r="B49" i="63"/>
  <c r="B48" i="63"/>
  <c r="B47" i="63"/>
  <c r="B46" i="63"/>
  <c r="B45" i="63"/>
  <c r="B44" i="63"/>
  <c r="B43" i="63"/>
  <c r="B42" i="63"/>
  <c r="B41" i="63"/>
  <c r="B40" i="63"/>
  <c r="B39" i="63"/>
  <c r="B38" i="63"/>
  <c r="B37" i="63"/>
  <c r="B36" i="63"/>
  <c r="B35" i="63"/>
  <c r="B34" i="63"/>
  <c r="B33" i="63"/>
  <c r="B32" i="63"/>
  <c r="B31" i="63"/>
  <c r="B30" i="63"/>
  <c r="B29" i="63"/>
  <c r="B28" i="63"/>
  <c r="B27" i="63"/>
  <c r="B26" i="63"/>
  <c r="B25" i="63"/>
  <c r="B24" i="63"/>
  <c r="B23" i="63"/>
  <c r="B22" i="63"/>
  <c r="B21" i="63"/>
  <c r="B20" i="63"/>
  <c r="B19" i="63"/>
  <c r="B18" i="63"/>
  <c r="B17" i="63"/>
  <c r="B16" i="63"/>
  <c r="B15" i="63"/>
  <c r="B14" i="63"/>
  <c r="B13" i="63"/>
  <c r="B12" i="63"/>
  <c r="B11" i="63"/>
  <c r="B10" i="63"/>
  <c r="B9" i="63"/>
  <c r="B8" i="63"/>
  <c r="B7" i="63"/>
  <c r="B6" i="63"/>
  <c r="B5" i="63"/>
  <c r="B4" i="63"/>
  <c r="B3" i="63"/>
  <c r="D40" i="49"/>
  <c r="C40" i="49"/>
  <c r="B40" i="49"/>
  <c r="F17" i="33"/>
  <c r="H14" i="37"/>
  <c r="I14" i="37"/>
  <c r="J14" i="37"/>
  <c r="H7938" i="79"/>
  <c r="A7937" i="80"/>
  <c r="H7933" i="79"/>
  <c r="A7932" i="80"/>
  <c r="H7928" i="79"/>
  <c r="A7927" i="80"/>
  <c r="H13" i="37"/>
  <c r="H11" i="26"/>
  <c r="H7191" i="79"/>
  <c r="A7190" i="80"/>
  <c r="H13" i="26"/>
  <c r="H7271" i="79"/>
  <c r="A7270" i="80"/>
  <c r="D23" i="42"/>
  <c r="D16" i="26"/>
  <c r="H7370" i="79"/>
  <c r="A7369" i="80"/>
  <c r="F18" i="37"/>
  <c r="D23" i="39"/>
  <c r="E12" i="30"/>
  <c r="D26" i="40"/>
  <c r="D28" i="40"/>
  <c r="H17" i="33"/>
  <c r="I616" i="63"/>
  <c r="I615" i="63"/>
  <c r="I614" i="63"/>
  <c r="I610" i="63"/>
  <c r="I609" i="63"/>
  <c r="I606" i="63"/>
  <c r="I605" i="63"/>
  <c r="I602" i="63"/>
  <c r="I601" i="63"/>
  <c r="I598" i="63"/>
  <c r="I597" i="63"/>
  <c r="I594" i="63"/>
  <c r="I593" i="63"/>
  <c r="I590" i="63"/>
  <c r="I589" i="63"/>
  <c r="I586" i="63"/>
  <c r="I585" i="63"/>
  <c r="I582" i="63"/>
  <c r="I581" i="63"/>
  <c r="I578" i="63"/>
  <c r="I577" i="63"/>
  <c r="I574" i="63"/>
  <c r="I573" i="63"/>
  <c r="I570" i="63"/>
  <c r="I566" i="63"/>
  <c r="I565" i="63"/>
  <c r="I562" i="63"/>
  <c r="I561" i="63"/>
  <c r="I559" i="63"/>
  <c r="I558" i="63"/>
  <c r="I557" i="63"/>
  <c r="I556" i="63"/>
  <c r="I555" i="63"/>
  <c r="I554" i="63"/>
  <c r="I553" i="63"/>
  <c r="I552" i="63"/>
  <c r="I551" i="63"/>
  <c r="I550" i="63"/>
  <c r="I549" i="63"/>
  <c r="I548" i="63"/>
  <c r="I547" i="63"/>
  <c r="I546" i="63"/>
  <c r="I545" i="63"/>
  <c r="I544" i="63"/>
  <c r="I543" i="63"/>
  <c r="I542" i="63"/>
  <c r="I541" i="63"/>
  <c r="I539" i="63"/>
  <c r="I538" i="63"/>
  <c r="I537" i="63"/>
  <c r="I535" i="63"/>
  <c r="I534" i="63"/>
  <c r="I529" i="63"/>
  <c r="I526" i="63"/>
  <c r="I525" i="63"/>
  <c r="I522" i="63"/>
  <c r="I521" i="63"/>
  <c r="I518" i="63"/>
  <c r="I517" i="63"/>
  <c r="I511" i="63"/>
  <c r="I510" i="63"/>
  <c r="I509" i="63"/>
  <c r="I507" i="63"/>
  <c r="I506" i="63"/>
  <c r="I502" i="63"/>
  <c r="I501" i="63"/>
  <c r="I498" i="63"/>
  <c r="I497" i="63"/>
  <c r="I494" i="63"/>
  <c r="I492" i="63"/>
  <c r="I491" i="63"/>
  <c r="I490" i="63"/>
  <c r="I487" i="63"/>
  <c r="I486" i="63"/>
  <c r="I482" i="63"/>
  <c r="I481" i="63"/>
  <c r="I478" i="63"/>
  <c r="I477" i="63"/>
  <c r="I474" i="63"/>
  <c r="I473" i="63"/>
  <c r="I470" i="63"/>
  <c r="I469" i="63"/>
  <c r="I466" i="63"/>
  <c r="I463" i="63"/>
  <c r="I462" i="63"/>
  <c r="I461" i="63"/>
  <c r="I457" i="63"/>
  <c r="I454" i="63"/>
  <c r="I453" i="63"/>
  <c r="I451" i="63"/>
  <c r="I450" i="63"/>
  <c r="I449" i="63"/>
  <c r="I448" i="63"/>
  <c r="I447" i="63"/>
  <c r="I446" i="63"/>
  <c r="I445" i="63"/>
  <c r="I444" i="63"/>
  <c r="I443" i="63"/>
  <c r="I442" i="63"/>
  <c r="I439" i="63"/>
  <c r="I438" i="63"/>
  <c r="I437" i="63"/>
  <c r="I435" i="63"/>
  <c r="I434" i="63"/>
  <c r="I433" i="63"/>
  <c r="I431" i="63"/>
  <c r="I430" i="63"/>
  <c r="I429" i="63"/>
  <c r="I427" i="63"/>
  <c r="I426" i="63"/>
  <c r="I425" i="63"/>
  <c r="I423" i="63"/>
  <c r="I422" i="63"/>
  <c r="I421" i="63"/>
  <c r="I419" i="63"/>
  <c r="I418" i="63"/>
  <c r="I417" i="63"/>
  <c r="I415" i="63"/>
  <c r="I414" i="63"/>
  <c r="I413" i="63"/>
  <c r="I411" i="63"/>
  <c r="I410" i="63"/>
  <c r="I409" i="63"/>
  <c r="I407" i="63"/>
  <c r="I406" i="63"/>
  <c r="I405" i="63"/>
  <c r="I402" i="63"/>
  <c r="I398" i="63"/>
  <c r="I397" i="63"/>
  <c r="I394" i="63"/>
  <c r="I393" i="63"/>
  <c r="I391" i="63"/>
  <c r="I389" i="63"/>
  <c r="I387" i="63"/>
  <c r="I386" i="63"/>
  <c r="I385" i="63"/>
  <c r="I383" i="63"/>
  <c r="I382" i="63"/>
  <c r="I381" i="63"/>
  <c r="I379" i="63"/>
  <c r="I378" i="63"/>
  <c r="I377" i="63"/>
  <c r="I375" i="63"/>
  <c r="I374" i="63"/>
  <c r="I373" i="63"/>
  <c r="I371" i="63"/>
  <c r="I370" i="63"/>
  <c r="I366" i="63"/>
  <c r="I365" i="63"/>
  <c r="I362" i="63"/>
  <c r="I359" i="63"/>
  <c r="I358" i="63"/>
  <c r="I357" i="63"/>
  <c r="I356" i="63"/>
  <c r="I355" i="63"/>
  <c r="I354" i="63"/>
  <c r="I353" i="63"/>
  <c r="I351" i="63"/>
  <c r="I350" i="63"/>
  <c r="I349" i="63"/>
  <c r="I347" i="63"/>
  <c r="I345" i="63"/>
  <c r="I342" i="63"/>
  <c r="I341" i="63"/>
  <c r="I338" i="63"/>
  <c r="I334" i="63"/>
  <c r="I333" i="63"/>
  <c r="I330" i="63"/>
  <c r="I329" i="63"/>
  <c r="I327" i="63"/>
  <c r="I326" i="63"/>
  <c r="I325" i="63"/>
  <c r="I324" i="63"/>
  <c r="I323" i="63"/>
  <c r="I322" i="63"/>
  <c r="I321" i="63"/>
  <c r="I318" i="63"/>
  <c r="I317" i="63"/>
  <c r="I314" i="63"/>
  <c r="I312" i="63"/>
  <c r="I311" i="63"/>
  <c r="I310" i="63"/>
  <c r="I309" i="63"/>
  <c r="I308" i="63"/>
  <c r="I307" i="63"/>
  <c r="I306" i="63"/>
  <c r="I303" i="63"/>
  <c r="I302" i="63"/>
  <c r="I296" i="63"/>
  <c r="I295" i="63"/>
  <c r="I294" i="63"/>
  <c r="I293" i="63"/>
  <c r="I292" i="63"/>
  <c r="I291" i="63"/>
  <c r="I290" i="63"/>
  <c r="I289" i="63"/>
  <c r="I288" i="63"/>
  <c r="I287" i="63"/>
  <c r="I286" i="63"/>
  <c r="I283" i="63"/>
  <c r="I282" i="63"/>
  <c r="I281" i="63"/>
  <c r="I277" i="63"/>
  <c r="I274" i="63"/>
  <c r="I273" i="63"/>
  <c r="I270" i="63"/>
  <c r="I269" i="63"/>
  <c r="I266" i="63"/>
  <c r="I265" i="63"/>
  <c r="I262" i="63"/>
  <c r="I261" i="63"/>
  <c r="I259" i="63"/>
  <c r="I258" i="63"/>
  <c r="I257" i="63"/>
  <c r="I255" i="63"/>
  <c r="I254" i="63"/>
  <c r="I253" i="63"/>
  <c r="I251" i="63"/>
  <c r="I250" i="63"/>
  <c r="I249" i="63"/>
  <c r="I247" i="63"/>
  <c r="I245" i="63"/>
  <c r="I242" i="63"/>
  <c r="I241" i="63"/>
  <c r="I237" i="63"/>
  <c r="I234" i="63"/>
  <c r="I233" i="63"/>
  <c r="I230" i="63"/>
  <c r="I229" i="63"/>
  <c r="I228" i="63"/>
  <c r="I227" i="63"/>
  <c r="I226" i="63"/>
  <c r="I225" i="63"/>
  <c r="I224" i="63"/>
  <c r="I222" i="63"/>
  <c r="I221" i="63"/>
  <c r="I218" i="63"/>
  <c r="I214" i="63"/>
  <c r="I213" i="63"/>
  <c r="I211" i="63"/>
  <c r="I210" i="63"/>
  <c r="I206" i="63"/>
  <c r="I203" i="63"/>
  <c r="I202" i="63"/>
  <c r="I199" i="63"/>
  <c r="I198" i="63"/>
  <c r="I197" i="63"/>
  <c r="I195" i="63"/>
  <c r="I194" i="63"/>
  <c r="I193" i="63"/>
  <c r="I191" i="63"/>
  <c r="I190" i="63"/>
  <c r="I189" i="63"/>
  <c r="I186" i="63"/>
  <c r="I185" i="63"/>
  <c r="I182" i="63"/>
  <c r="I181" i="63"/>
  <c r="I178" i="63"/>
  <c r="I177" i="63"/>
  <c r="I175" i="63"/>
  <c r="I174" i="63"/>
  <c r="I173" i="63"/>
  <c r="I171" i="63"/>
  <c r="I166" i="63"/>
  <c r="I165" i="63"/>
  <c r="I162" i="63"/>
  <c r="I161" i="63"/>
  <c r="I157" i="63"/>
  <c r="I153" i="63"/>
  <c r="I148" i="63"/>
  <c r="I147" i="63"/>
  <c r="I146" i="63"/>
  <c r="I145" i="63"/>
  <c r="I144" i="63"/>
  <c r="I143" i="63"/>
  <c r="I142" i="63"/>
  <c r="I141" i="63"/>
  <c r="I140" i="63"/>
  <c r="I139" i="63"/>
  <c r="I138" i="63"/>
  <c r="I137" i="63"/>
  <c r="I136" i="63"/>
  <c r="I135" i="63"/>
  <c r="I134" i="63"/>
  <c r="I133" i="63"/>
  <c r="I131" i="63"/>
  <c r="I129" i="63"/>
  <c r="I127" i="63"/>
  <c r="I125" i="63"/>
  <c r="I123" i="63"/>
  <c r="I121" i="63"/>
  <c r="I119" i="63"/>
  <c r="I118" i="63"/>
  <c r="I117" i="63"/>
  <c r="I115" i="63"/>
  <c r="I110" i="63"/>
  <c r="I109" i="63"/>
  <c r="I105" i="63"/>
  <c r="I102" i="63"/>
  <c r="I97" i="63"/>
  <c r="I93" i="63"/>
  <c r="I88" i="63"/>
  <c r="I87" i="63"/>
  <c r="I86" i="63"/>
  <c r="I83" i="63"/>
  <c r="I81" i="63"/>
  <c r="I79" i="63"/>
  <c r="I77" i="63"/>
  <c r="I75" i="63"/>
  <c r="I74" i="63"/>
  <c r="I73" i="63"/>
  <c r="I71" i="63"/>
  <c r="I69" i="63"/>
  <c r="I67" i="63"/>
  <c r="I65" i="63"/>
  <c r="I63" i="63"/>
  <c r="I45" i="63"/>
  <c r="I40" i="63"/>
  <c r="I39" i="63"/>
  <c r="I38" i="63"/>
  <c r="I35" i="63"/>
  <c r="I31" i="63"/>
  <c r="I27" i="63"/>
  <c r="I26" i="63"/>
  <c r="I8" i="63"/>
  <c r="I7" i="63"/>
  <c r="I6" i="1"/>
  <c r="I7" i="1"/>
  <c r="I8" i="1"/>
  <c r="I9" i="1"/>
  <c r="I10" i="1"/>
  <c r="I11" i="1"/>
  <c r="I12" i="1"/>
  <c r="I13" i="1"/>
  <c r="I14" i="1"/>
  <c r="I16" i="1"/>
  <c r="I17" i="1"/>
  <c r="I18" i="1"/>
  <c r="I19" i="1"/>
  <c r="I20" i="1"/>
  <c r="I22" i="1"/>
  <c r="I23" i="1"/>
  <c r="I24" i="1"/>
  <c r="I25" i="1"/>
  <c r="I26" i="1"/>
  <c r="I27" i="1"/>
  <c r="I28" i="1"/>
  <c r="I29" i="1"/>
  <c r="I30" i="1"/>
  <c r="I31" i="1"/>
  <c r="I32" i="1"/>
  <c r="I33" i="1"/>
  <c r="I34" i="1"/>
  <c r="I35" i="1"/>
  <c r="I36" i="1"/>
  <c r="I38" i="1"/>
  <c r="I39" i="1"/>
  <c r="I40" i="1"/>
  <c r="I41" i="1"/>
  <c r="I42" i="1"/>
  <c r="I43" i="1"/>
  <c r="I44" i="1"/>
  <c r="I45" i="1"/>
  <c r="I46" i="1"/>
  <c r="I47" i="1"/>
  <c r="I48" i="1"/>
  <c r="I50" i="1"/>
  <c r="I52" i="1"/>
  <c r="I53" i="1"/>
  <c r="I54" i="1"/>
  <c r="I55" i="1"/>
  <c r="I56" i="1"/>
  <c r="I57" i="1"/>
  <c r="I58" i="1"/>
  <c r="I59" i="1"/>
  <c r="I60" i="1"/>
  <c r="I61" i="1"/>
  <c r="I62" i="1"/>
  <c r="I64" i="1"/>
  <c r="I65" i="1"/>
  <c r="I66" i="1"/>
  <c r="I67" i="1"/>
  <c r="I68" i="1"/>
  <c r="I69" i="1"/>
  <c r="I70" i="1"/>
  <c r="I71" i="1"/>
  <c r="I72" i="1"/>
  <c r="I73" i="1"/>
  <c r="I74" i="1"/>
  <c r="I75" i="1"/>
  <c r="I76" i="1"/>
  <c r="I77" i="1"/>
  <c r="I78" i="1"/>
  <c r="I79" i="1"/>
  <c r="I80" i="1"/>
  <c r="I81"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2" i="1"/>
  <c r="I123" i="1"/>
  <c r="I124" i="1"/>
  <c r="I126" i="1"/>
  <c r="I127" i="1"/>
  <c r="I128" i="1"/>
  <c r="I129" i="1"/>
  <c r="I130" i="1"/>
  <c r="I132" i="1"/>
  <c r="I133" i="1"/>
  <c r="I134" i="1"/>
  <c r="I135" i="1"/>
  <c r="I136" i="1"/>
  <c r="I137" i="1"/>
  <c r="I138" i="1"/>
  <c r="I140" i="1"/>
  <c r="I141" i="1"/>
  <c r="I142" i="1"/>
  <c r="I143" i="1"/>
  <c r="I144" i="1"/>
  <c r="I146" i="1"/>
  <c r="I148" i="1"/>
  <c r="I149" i="1"/>
  <c r="I150" i="1"/>
  <c r="I152" i="1"/>
  <c r="I153" i="1"/>
  <c r="I154" i="1"/>
  <c r="I156" i="1"/>
  <c r="I157" i="1"/>
  <c r="I158" i="1"/>
  <c r="I159" i="1"/>
  <c r="I160" i="1"/>
  <c r="I162" i="1"/>
  <c r="I163" i="1"/>
  <c r="I164" i="1"/>
  <c r="I166" i="1"/>
  <c r="I167" i="1"/>
  <c r="I168" i="1"/>
  <c r="I169" i="1"/>
  <c r="I170" i="1"/>
  <c r="I171" i="1"/>
  <c r="I172" i="1"/>
  <c r="I173" i="1"/>
  <c r="I174" i="1"/>
  <c r="I175" i="1"/>
  <c r="I176" i="1"/>
  <c r="I177" i="1"/>
  <c r="I178" i="1"/>
  <c r="I180" i="1"/>
  <c r="I182" i="1"/>
  <c r="I183" i="1"/>
  <c r="I184" i="1"/>
  <c r="I185" i="1"/>
  <c r="I187" i="1"/>
  <c r="I188" i="1"/>
  <c r="I189" i="1"/>
  <c r="I190" i="1"/>
  <c r="I192" i="1"/>
  <c r="I195" i="1"/>
  <c r="I196" i="1"/>
  <c r="I199" i="1"/>
  <c r="I200" i="1"/>
  <c r="I203" i="1"/>
  <c r="I204" i="1"/>
  <c r="I205" i="1"/>
  <c r="I206" i="1"/>
  <c r="I207" i="1"/>
  <c r="I208" i="1"/>
  <c r="I209" i="1"/>
  <c r="I211" i="1"/>
  <c r="I212" i="1"/>
  <c r="I214" i="1"/>
  <c r="I215" i="1"/>
  <c r="I216" i="1"/>
  <c r="I217" i="1"/>
  <c r="I218" i="1"/>
  <c r="I221" i="1"/>
  <c r="I222" i="1"/>
  <c r="I223" i="1"/>
  <c r="I225" i="1"/>
  <c r="I226" i="1"/>
  <c r="I227" i="1"/>
  <c r="I228" i="1"/>
  <c r="I229" i="1"/>
  <c r="I230" i="1"/>
  <c r="I231" i="1"/>
  <c r="I232" i="1"/>
  <c r="I233" i="1"/>
  <c r="I234" i="1"/>
  <c r="I235" i="1"/>
  <c r="I236" i="1"/>
  <c r="I237" i="1"/>
  <c r="I238" i="1"/>
  <c r="I239" i="1"/>
  <c r="I240" i="1"/>
  <c r="I242" i="1"/>
  <c r="I243" i="1"/>
  <c r="I244" i="1"/>
  <c r="I246" i="1"/>
  <c r="I247" i="1"/>
  <c r="I248" i="1"/>
  <c r="I249" i="1"/>
  <c r="I250" i="1"/>
  <c r="I251" i="1"/>
  <c r="I252" i="1"/>
  <c r="I253" i="1"/>
  <c r="I254" i="1"/>
  <c r="I255" i="1"/>
  <c r="I256" i="1"/>
  <c r="I257" i="1"/>
  <c r="I258" i="1"/>
  <c r="I259" i="1"/>
  <c r="I260" i="1"/>
  <c r="I261" i="1"/>
  <c r="I262" i="1"/>
  <c r="I263" i="1"/>
  <c r="I264" i="1"/>
  <c r="I265" i="1"/>
  <c r="I266" i="1"/>
  <c r="I269" i="1"/>
  <c r="I270" i="1"/>
  <c r="I271" i="1"/>
  <c r="I272" i="1"/>
  <c r="I273" i="1"/>
  <c r="I275" i="1"/>
  <c r="I276" i="1"/>
  <c r="I278" i="1"/>
  <c r="I279" i="1"/>
  <c r="I280" i="1"/>
  <c r="I281" i="1"/>
  <c r="I282" i="1"/>
  <c r="I283" i="1"/>
  <c r="I284" i="1"/>
  <c r="I285" i="1"/>
  <c r="I286" i="1"/>
  <c r="I287" i="1"/>
  <c r="I288" i="1"/>
  <c r="I289" i="1"/>
  <c r="I291" i="1"/>
  <c r="I292" i="1"/>
  <c r="I293" i="1"/>
  <c r="I295" i="1"/>
  <c r="I296" i="1"/>
  <c r="I297" i="1"/>
  <c r="I299" i="1"/>
  <c r="I300" i="1"/>
  <c r="I301" i="1"/>
  <c r="I303" i="1"/>
  <c r="I304" i="1"/>
  <c r="I305" i="1"/>
  <c r="I307" i="1"/>
  <c r="I308" i="1"/>
  <c r="I309" i="1"/>
  <c r="I310" i="1"/>
  <c r="I311" i="1"/>
  <c r="I312" i="1"/>
  <c r="I314" i="1"/>
  <c r="I315" i="1"/>
  <c r="I316" i="1"/>
  <c r="I317" i="1"/>
  <c r="I318" i="1"/>
  <c r="I319" i="1"/>
  <c r="I320" i="1"/>
  <c r="I322" i="1"/>
  <c r="I323" i="1"/>
  <c r="I324" i="1"/>
  <c r="I325" i="1"/>
  <c r="I326" i="1"/>
  <c r="I327" i="1"/>
  <c r="I329" i="1"/>
  <c r="I330" i="1"/>
  <c r="I331" i="1"/>
  <c r="I332" i="1"/>
  <c r="I334" i="1"/>
  <c r="I335" i="1"/>
  <c r="I336" i="1"/>
  <c r="I337" i="1"/>
  <c r="I338" i="1"/>
  <c r="I340" i="1"/>
  <c r="I341" i="1"/>
  <c r="I342" i="1"/>
  <c r="I344" i="1"/>
  <c r="I345" i="1"/>
  <c r="I346" i="1"/>
  <c r="I347" i="1"/>
  <c r="I348" i="1"/>
  <c r="I349" i="1"/>
  <c r="I350" i="1"/>
  <c r="I351" i="1"/>
  <c r="I353" i="1"/>
  <c r="I354" i="1"/>
  <c r="I355" i="1"/>
  <c r="I356" i="1"/>
  <c r="I357" i="1"/>
  <c r="I359" i="1"/>
  <c r="I360" i="1"/>
  <c r="I362" i="1"/>
  <c r="I364" i="1"/>
  <c r="I366" i="1"/>
  <c r="I367" i="1"/>
  <c r="I368" i="1"/>
  <c r="I370" i="1"/>
  <c r="I371" i="1"/>
  <c r="I372" i="1"/>
  <c r="I375" i="1"/>
  <c r="I376" i="1"/>
  <c r="I377" i="1"/>
  <c r="I379" i="1"/>
  <c r="I380" i="1"/>
  <c r="I381" i="1"/>
  <c r="I382" i="1"/>
  <c r="I383" i="1"/>
  <c r="I384" i="1"/>
  <c r="I385" i="1"/>
  <c r="I386" i="1"/>
  <c r="I387" i="1"/>
  <c r="I388" i="1"/>
  <c r="I389" i="1"/>
  <c r="I391" i="1"/>
  <c r="I392" i="1"/>
  <c r="I394" i="1"/>
  <c r="I395" i="1"/>
  <c r="I396" i="1"/>
  <c r="I399" i="1"/>
  <c r="I400" i="1"/>
  <c r="I403" i="1"/>
  <c r="I404" i="1"/>
  <c r="I405" i="1"/>
  <c r="I406" i="1"/>
  <c r="I407" i="1"/>
  <c r="I408" i="1"/>
  <c r="I410" i="1"/>
  <c r="I411" i="1"/>
  <c r="I412" i="1"/>
  <c r="I414" i="1"/>
  <c r="I415" i="1"/>
  <c r="I418" i="1"/>
  <c r="I421" i="1"/>
  <c r="I422" i="1"/>
  <c r="I423" i="1"/>
  <c r="I424" i="1"/>
  <c r="I425" i="1"/>
  <c r="I426" i="1"/>
  <c r="I427" i="1"/>
  <c r="I428" i="1"/>
  <c r="I430" i="1"/>
  <c r="I431" i="1"/>
  <c r="I432" i="1"/>
  <c r="I434" i="1"/>
  <c r="I435" i="1"/>
  <c r="I436" i="1"/>
  <c r="I438" i="1"/>
  <c r="I440" i="1"/>
  <c r="I442" i="1"/>
  <c r="I443" i="1"/>
  <c r="I445" i="1"/>
  <c r="I446" i="1"/>
  <c r="I449" i="1"/>
  <c r="I450" i="1"/>
  <c r="I451" i="1"/>
  <c r="I452" i="1"/>
  <c r="I453" i="1"/>
  <c r="I454" i="1"/>
  <c r="I455" i="1"/>
  <c r="I457" i="1"/>
  <c r="I458" i="1"/>
  <c r="I459" i="1"/>
  <c r="I461" i="1"/>
  <c r="I462" i="1"/>
  <c r="I463" i="1"/>
  <c r="I465" i="1"/>
  <c r="I466" i="1"/>
  <c r="I467" i="1"/>
  <c r="I468" i="1"/>
  <c r="I470" i="1"/>
  <c r="I471" i="1"/>
  <c r="I474" i="1"/>
  <c r="I475" i="1"/>
  <c r="I476" i="1"/>
  <c r="I477" i="1"/>
  <c r="I478" i="1"/>
  <c r="I479" i="1"/>
  <c r="I480" i="1"/>
  <c r="I481" i="1"/>
  <c r="I482" i="1"/>
  <c r="I484" i="1"/>
  <c r="I485" i="1"/>
  <c r="I486" i="1"/>
  <c r="I488" i="1"/>
  <c r="I489" i="1"/>
  <c r="I490" i="1"/>
  <c r="I491" i="1"/>
  <c r="I492" i="1"/>
  <c r="I493" i="1"/>
  <c r="I494" i="1"/>
  <c r="I496" i="1"/>
  <c r="I497" i="1"/>
  <c r="I498" i="1"/>
  <c r="I499" i="1"/>
  <c r="I501" i="1"/>
  <c r="I502" i="1"/>
  <c r="I503" i="1"/>
  <c r="I504" i="1"/>
  <c r="I505" i="1"/>
  <c r="I506" i="1"/>
  <c r="I507" i="1"/>
  <c r="I508" i="1"/>
  <c r="I509" i="1"/>
  <c r="I510" i="1"/>
  <c r="I511" i="1"/>
  <c r="I513" i="1"/>
  <c r="I514" i="1"/>
  <c r="I516" i="1"/>
  <c r="I517" i="1"/>
  <c r="I518" i="1"/>
  <c r="I519" i="1"/>
  <c r="I520" i="1"/>
  <c r="I521" i="1"/>
  <c r="I524" i="1"/>
  <c r="I525" i="1"/>
  <c r="I527" i="1"/>
  <c r="I528" i="1"/>
  <c r="I529" i="1"/>
  <c r="I531" i="1"/>
  <c r="I532" i="1"/>
  <c r="I535" i="1"/>
  <c r="I536" i="1"/>
  <c r="I538" i="1"/>
  <c r="I539" i="1"/>
  <c r="I540" i="1"/>
  <c r="I542" i="1"/>
  <c r="I543" i="1"/>
  <c r="I544" i="1"/>
  <c r="I545" i="1"/>
  <c r="I546" i="1"/>
  <c r="I549" i="1"/>
  <c r="I550" i="1"/>
  <c r="I552" i="1"/>
  <c r="I553" i="1"/>
  <c r="I554" i="1"/>
  <c r="I555" i="1"/>
  <c r="I556" i="1"/>
  <c r="I557" i="1"/>
  <c r="I558" i="1"/>
  <c r="I559" i="1"/>
  <c r="I560" i="1"/>
  <c r="I561" i="1"/>
  <c r="I564" i="1"/>
  <c r="I565" i="1"/>
  <c r="I566" i="1"/>
  <c r="I567" i="1"/>
  <c r="I568" i="1"/>
  <c r="I569" i="1"/>
  <c r="I570" i="1"/>
  <c r="I571" i="1"/>
  <c r="I573" i="1"/>
  <c r="I575" i="1"/>
  <c r="I576" i="1"/>
  <c r="I577" i="1"/>
  <c r="I579" i="1"/>
  <c r="I580" i="1"/>
  <c r="I583" i="1"/>
  <c r="I584" i="1"/>
  <c r="I585" i="1"/>
  <c r="I586" i="1"/>
  <c r="I587" i="1"/>
  <c r="I588" i="1"/>
  <c r="I590" i="1"/>
  <c r="I593" i="1"/>
  <c r="I594" i="1"/>
  <c r="I596" i="1"/>
  <c r="I597" i="1"/>
  <c r="I598" i="1"/>
  <c r="I599" i="1"/>
  <c r="I600" i="1"/>
  <c r="I601" i="1"/>
  <c r="I602" i="1"/>
  <c r="I604" i="1"/>
  <c r="I605" i="1"/>
  <c r="I606" i="1"/>
  <c r="I607" i="1"/>
  <c r="I608" i="1"/>
  <c r="I609" i="1"/>
  <c r="I610" i="1"/>
  <c r="I611" i="1"/>
  <c r="I612" i="1"/>
  <c r="I613" i="1"/>
  <c r="E36" i="62"/>
  <c r="I61" i="63"/>
  <c r="I13" i="63"/>
  <c r="F41" i="42"/>
  <c r="G23" i="42"/>
  <c r="G3" i="7"/>
  <c r="K4" i="33" s="1"/>
  <c r="H6227" i="79" s="1"/>
  <c r="A6226" i="80" s="1"/>
  <c r="E4" i="4"/>
  <c r="E51" i="4" s="1"/>
  <c r="I378" i="1"/>
  <c r="I613" i="63"/>
  <c r="I569" i="63"/>
  <c r="I540" i="63"/>
  <c r="I533" i="63"/>
  <c r="I530" i="63"/>
  <c r="I514" i="63"/>
  <c r="I513" i="63"/>
  <c r="I505" i="63"/>
  <c r="I493" i="63"/>
  <c r="I489" i="63"/>
  <c r="I465" i="63"/>
  <c r="I460" i="63"/>
  <c r="I458" i="63"/>
  <c r="I441" i="63"/>
  <c r="I404" i="63"/>
  <c r="I401" i="63"/>
  <c r="I390" i="63"/>
  <c r="I369" i="63"/>
  <c r="I361" i="63"/>
  <c r="I346" i="63"/>
  <c r="I337" i="63"/>
  <c r="I316" i="63"/>
  <c r="I313" i="63"/>
  <c r="I305" i="63"/>
  <c r="I301" i="63"/>
  <c r="I298" i="63"/>
  <c r="I297" i="63"/>
  <c r="I285" i="63"/>
  <c r="I278" i="63"/>
  <c r="I246" i="63"/>
  <c r="I238" i="63"/>
  <c r="I220" i="63"/>
  <c r="I217" i="63"/>
  <c r="I209" i="63"/>
  <c r="I205" i="63"/>
  <c r="I204" i="63"/>
  <c r="I201" i="63"/>
  <c r="I172" i="63"/>
  <c r="I170" i="63"/>
  <c r="I169" i="63"/>
  <c r="I113" i="63"/>
  <c r="H15" i="37"/>
  <c r="B11" i="34"/>
  <c r="B44" i="34"/>
  <c r="D39" i="32"/>
  <c r="C39" i="32"/>
  <c r="H11" i="51"/>
  <c r="F11" i="51"/>
  <c r="E11" i="51"/>
  <c r="C11" i="51"/>
  <c r="I6" i="51"/>
  <c r="H6" i="51"/>
  <c r="G6" i="51"/>
  <c r="F6" i="51"/>
  <c r="E6" i="51"/>
  <c r="D6" i="51"/>
  <c r="G3" i="51"/>
  <c r="I8" i="30"/>
  <c r="H8" i="30"/>
  <c r="G8" i="30"/>
  <c r="F8" i="30"/>
  <c r="C12" i="30"/>
  <c r="E8" i="30"/>
  <c r="H12" i="30"/>
  <c r="F12" i="30"/>
  <c r="C8" i="30"/>
  <c r="G5" i="30"/>
  <c r="E5" i="52"/>
  <c r="C8" i="32"/>
  <c r="I4" i="33"/>
  <c r="D6" i="49"/>
  <c r="H5" i="37"/>
  <c r="C6" i="38"/>
  <c r="C24" i="32"/>
  <c r="C26" i="32"/>
  <c r="D24" i="32"/>
  <c r="D26" i="32"/>
  <c r="I614" i="1"/>
  <c r="B614" i="1"/>
  <c r="B613" i="1"/>
  <c r="B612" i="1"/>
  <c r="B611" i="1"/>
  <c r="B610" i="1"/>
  <c r="B609" i="1"/>
  <c r="B608" i="1"/>
  <c r="B607" i="1"/>
  <c r="B606" i="1"/>
  <c r="B605" i="1"/>
  <c r="B604" i="1"/>
  <c r="B603" i="1"/>
  <c r="B602" i="1"/>
  <c r="B601" i="1"/>
  <c r="B600"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2" i="1"/>
  <c r="I82" i="1"/>
  <c r="I582" i="1"/>
  <c r="I526" i="1"/>
  <c r="I522" i="1"/>
  <c r="I473" i="1"/>
  <c r="I417" i="1"/>
  <c r="I398" i="1"/>
  <c r="I393" i="1"/>
  <c r="I390" i="1"/>
  <c r="I374" i="1"/>
  <c r="I358" i="1"/>
  <c r="I343" i="1"/>
  <c r="I294" i="1"/>
  <c r="I241" i="1"/>
  <c r="I198" i="1"/>
  <c r="I161" i="1"/>
  <c r="I145"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2" i="63"/>
  <c r="I485" i="63"/>
  <c r="I319" i="63"/>
  <c r="I149" i="63"/>
  <c r="I101" i="63"/>
  <c r="I89" i="63"/>
  <c r="I85" i="63"/>
  <c r="I37" i="63"/>
  <c r="E18" i="37"/>
  <c r="C23" i="39"/>
  <c r="C25" i="40"/>
  <c r="C27" i="40"/>
  <c r="F16" i="26"/>
  <c r="H7382" i="79"/>
  <c r="A7381" i="80"/>
  <c r="G7" i="26"/>
  <c r="H5" i="27"/>
  <c r="H17" i="37"/>
  <c r="H16" i="37"/>
  <c r="G18" i="60"/>
  <c r="H10465" i="79"/>
  <c r="A10464" i="80"/>
  <c r="F18" i="60"/>
  <c r="H10459" i="79"/>
  <c r="A10458" i="80"/>
  <c r="D13" i="61"/>
  <c r="H39" i="61"/>
  <c r="J17" i="33"/>
  <c r="I17" i="33"/>
  <c r="G17" i="33"/>
  <c r="G3" i="48"/>
  <c r="C116" i="3"/>
  <c r="C103" i="3"/>
  <c r="C97" i="3"/>
  <c r="C93" i="3"/>
  <c r="C86" i="3"/>
  <c r="C79" i="3"/>
  <c r="C67" i="3"/>
  <c r="D51" i="4"/>
  <c r="G25" i="42"/>
  <c r="I321" i="1"/>
  <c r="I495" i="1"/>
  <c r="I21" i="1"/>
  <c r="I220" i="1"/>
  <c r="I409" i="1"/>
  <c r="I441" i="1"/>
  <c r="I49" i="1"/>
  <c r="I500" i="1"/>
  <c r="I125" i="1"/>
  <c r="I193" i="1"/>
  <c r="I361" i="1"/>
  <c r="I444" i="1"/>
  <c r="I537" i="1"/>
  <c r="I37" i="1"/>
  <c r="I591" i="1"/>
  <c r="I439" i="1"/>
  <c r="I151" i="1"/>
  <c r="I63" i="1"/>
  <c r="I51" i="1"/>
  <c r="I15" i="1"/>
  <c r="I572" i="1"/>
  <c r="I268" i="1"/>
  <c r="I121" i="1"/>
  <c r="I313" i="1"/>
  <c r="I191" i="1"/>
  <c r="I420" i="1"/>
  <c r="I447" i="1"/>
  <c r="I534" i="1"/>
  <c r="I548" i="1"/>
  <c r="I302" i="1"/>
  <c r="I369" i="1"/>
  <c r="I433" i="1"/>
  <c r="I487" i="1"/>
  <c r="I201" i="1"/>
  <c r="I401" i="1"/>
  <c r="I460" i="1"/>
  <c r="I551" i="1"/>
  <c r="I574" i="1"/>
  <c r="I139" i="1"/>
  <c r="I155" i="1"/>
  <c r="I179" i="1"/>
  <c r="I267" i="1"/>
  <c r="I339" i="1"/>
  <c r="I363" i="1"/>
  <c r="I419" i="1"/>
  <c r="I483" i="1"/>
  <c r="I515" i="1"/>
  <c r="I523" i="1"/>
  <c r="I547" i="1"/>
  <c r="I563" i="1"/>
  <c r="I595" i="1"/>
  <c r="I603" i="1"/>
  <c r="I223" i="63"/>
  <c r="I131" i="1"/>
  <c r="I147" i="1"/>
  <c r="I219" i="1"/>
  <c r="I581" i="1"/>
  <c r="I165" i="1"/>
  <c r="I181" i="1"/>
  <c r="I197" i="1"/>
  <c r="I213" i="1"/>
  <c r="I245" i="1"/>
  <c r="I277" i="1"/>
  <c r="I333" i="1"/>
  <c r="I365" i="1"/>
  <c r="I373" i="1"/>
  <c r="I397" i="1"/>
  <c r="I413" i="1"/>
  <c r="I429" i="1"/>
  <c r="I437" i="1"/>
  <c r="I469" i="1"/>
  <c r="I533" i="1"/>
  <c r="I541" i="1"/>
  <c r="I589" i="1"/>
  <c r="I402" i="1"/>
  <c r="I530" i="1"/>
  <c r="I562" i="1"/>
  <c r="I578" i="1"/>
  <c r="I298" i="1"/>
  <c r="I202" i="1"/>
  <c r="I328" i="1"/>
  <c r="I456" i="1"/>
  <c r="I224" i="1"/>
  <c r="I512" i="1"/>
  <c r="I290" i="1"/>
  <c r="I194" i="1"/>
  <c r="I592" i="1"/>
  <c r="I464" i="1"/>
  <c r="I352" i="1"/>
  <c r="I306" i="1"/>
  <c r="I274" i="1"/>
  <c r="I210" i="1"/>
  <c r="I448" i="1"/>
  <c r="I416" i="1"/>
  <c r="I186" i="1"/>
  <c r="I472" i="1"/>
  <c r="I17" i="37"/>
  <c r="H8078" i="79"/>
  <c r="A8077" i="80"/>
  <c r="I13" i="37"/>
  <c r="H7878" i="79"/>
  <c r="A7877" i="80"/>
  <c r="I16" i="37"/>
  <c r="H8028" i="79"/>
  <c r="A8027" i="80"/>
  <c r="I15" i="37"/>
  <c r="H7978" i="79"/>
  <c r="A7977" i="80"/>
  <c r="C22" i="3"/>
  <c r="C35" i="61"/>
  <c r="H10814" i="79"/>
  <c r="A10813" i="80"/>
  <c r="C26" i="61"/>
  <c r="H10754" i="79"/>
  <c r="A10753" i="80"/>
  <c r="C19" i="61"/>
  <c r="H10718" i="79"/>
  <c r="A10717" i="80"/>
  <c r="C11" i="61"/>
  <c r="H10676" i="79"/>
  <c r="A10675" i="80"/>
  <c r="C36" i="61"/>
  <c r="H10820" i="79"/>
  <c r="A10819" i="80"/>
  <c r="C27" i="61"/>
  <c r="H10772" i="79"/>
  <c r="A10771" i="80"/>
  <c r="C21" i="61"/>
  <c r="H10730" i="79"/>
  <c r="A10729" i="80"/>
  <c r="C12" i="61"/>
  <c r="H10682" i="79"/>
  <c r="A10681" i="80"/>
  <c r="C34" i="61"/>
  <c r="H10808" i="79"/>
  <c r="A10807" i="80"/>
  <c r="C16" i="61"/>
  <c r="H10700" i="79"/>
  <c r="A10699" i="80"/>
  <c r="C24" i="61"/>
  <c r="H10742" i="79"/>
  <c r="A10741" i="80"/>
  <c r="C9" i="3"/>
  <c r="H22" i="79"/>
  <c r="A21" i="80"/>
  <c r="C30" i="61"/>
  <c r="H10784" i="79"/>
  <c r="A10783" i="80"/>
  <c r="C15" i="61"/>
  <c r="H10694" i="79"/>
  <c r="A10693" i="80"/>
  <c r="C25" i="61"/>
  <c r="H10748" i="79"/>
  <c r="A10747" i="80"/>
  <c r="F30" i="61"/>
  <c r="H11324" i="79"/>
  <c r="A11323" i="80"/>
  <c r="F24" i="61"/>
  <c r="H11288" i="79"/>
  <c r="A11287" i="80"/>
  <c r="F15" i="61"/>
  <c r="H11234" i="79"/>
  <c r="A11233" i="80"/>
  <c r="F34" i="61"/>
  <c r="H11348" i="79"/>
  <c r="A11347" i="80"/>
  <c r="F25" i="61"/>
  <c r="H11294" i="79"/>
  <c r="A11293" i="80"/>
  <c r="F16" i="61"/>
  <c r="H11240" i="79"/>
  <c r="A11239" i="80"/>
  <c r="F36" i="61"/>
  <c r="H11360" i="79"/>
  <c r="A11359" i="80"/>
  <c r="F21" i="61"/>
  <c r="H11270" i="79"/>
  <c r="A11269" i="80"/>
  <c r="F12" i="61"/>
  <c r="H11222" i="79"/>
  <c r="A11221" i="80"/>
  <c r="F35" i="61"/>
  <c r="H11354" i="79"/>
  <c r="A11353" i="80"/>
  <c r="F19" i="61"/>
  <c r="H11258" i="79"/>
  <c r="A11257" i="80"/>
  <c r="F26" i="61"/>
  <c r="H11300" i="79"/>
  <c r="A11299" i="80"/>
  <c r="F11" i="61"/>
  <c r="H11216" i="79"/>
  <c r="A11215" i="80"/>
  <c r="F27" i="61"/>
  <c r="H11306" i="79"/>
  <c r="A11305" i="80"/>
  <c r="I3" i="48"/>
  <c r="H7107" i="79" s="1"/>
  <c r="A7106" i="80" s="1"/>
  <c r="B7" i="35"/>
  <c r="H8580" i="79"/>
  <c r="A8579" i="80"/>
  <c r="H9072" i="79"/>
  <c r="A9071" i="80"/>
  <c r="H12" i="26"/>
  <c r="H7231" i="79"/>
  <c r="A7230" i="80"/>
  <c r="H7146" i="79"/>
  <c r="A7145" i="80"/>
  <c r="H7136" i="79"/>
  <c r="A7135" i="80"/>
  <c r="G25" i="48"/>
  <c r="D25" i="48"/>
  <c r="H6811" i="79"/>
  <c r="A6810" i="80"/>
  <c r="I5" i="30"/>
  <c r="D3" i="8"/>
  <c r="H5884" i="79" s="1"/>
  <c r="A5883" i="80" s="1"/>
  <c r="D19" i="8"/>
  <c r="D18" i="8"/>
  <c r="D13" i="8"/>
  <c r="H5198" i="79"/>
  <c r="A5197" i="80"/>
  <c r="D14" i="8"/>
  <c r="H5204" i="79"/>
  <c r="A5203" i="80"/>
  <c r="D15" i="8"/>
  <c r="H5210" i="79"/>
  <c r="A5209" i="80"/>
  <c r="I5" i="1"/>
  <c r="F15" i="24"/>
  <c r="H3924" i="79"/>
  <c r="A3923" i="80"/>
  <c r="C13" i="8"/>
  <c r="H4994" i="79"/>
  <c r="A4993" i="80"/>
  <c r="C14" i="8"/>
  <c r="H5000" i="79"/>
  <c r="A4999" i="80"/>
  <c r="C13" i="24"/>
  <c r="C19" i="8"/>
  <c r="C15" i="8"/>
  <c r="H5006" i="79"/>
  <c r="A5005" i="80"/>
  <c r="C22" i="24"/>
  <c r="H4104" i="79"/>
  <c r="A4103" i="80"/>
  <c r="F13" i="24"/>
  <c r="H3782" i="79"/>
  <c r="A3781" i="80"/>
  <c r="C18" i="8"/>
  <c r="E119" i="3"/>
  <c r="H1679" i="79"/>
  <c r="A1678" i="80"/>
  <c r="C57" i="3"/>
  <c r="H1066" i="79"/>
  <c r="A1065" i="80"/>
  <c r="D11" i="47"/>
  <c r="H6292" i="79"/>
  <c r="A6291" i="80"/>
  <c r="J28" i="24"/>
  <c r="G30" i="24"/>
  <c r="G20" i="3"/>
  <c r="H394" i="79"/>
  <c r="A393" i="80"/>
  <c r="G13" i="3"/>
  <c r="H208" i="79"/>
  <c r="A207" i="80"/>
  <c r="G14" i="3"/>
  <c r="H6372" i="79"/>
  <c r="A6371" i="80"/>
  <c r="E21" i="4"/>
  <c r="C44" i="3"/>
  <c r="H802" i="79"/>
  <c r="A801" i="80"/>
  <c r="H14" i="26"/>
  <c r="H7311" i="79"/>
  <c r="A7310" i="80"/>
  <c r="C48" i="3"/>
  <c r="H826" i="79"/>
  <c r="A825" i="80"/>
  <c r="H18" i="37"/>
  <c r="E16" i="26"/>
  <c r="H7376" i="79"/>
  <c r="A7375" i="80"/>
  <c r="D49" i="8"/>
  <c r="I2" i="1"/>
  <c r="C28" i="40"/>
  <c r="B16" i="30"/>
  <c r="D16" i="30"/>
  <c r="G16" i="30"/>
  <c r="H10" i="26"/>
  <c r="H7151" i="79"/>
  <c r="A7150" i="80"/>
  <c r="D46" i="3"/>
  <c r="H862" i="79"/>
  <c r="A861" i="80"/>
  <c r="D5" i="58"/>
  <c r="H6486" i="79"/>
  <c r="A6485" i="80"/>
  <c r="D24" i="8"/>
  <c r="H5246" i="79"/>
  <c r="A5245" i="80"/>
  <c r="G108" i="3"/>
  <c r="H1607" i="79"/>
  <c r="A1606" i="80"/>
  <c r="C26" i="47"/>
  <c r="H6534" i="79"/>
  <c r="A6533" i="80"/>
  <c r="C13" i="3"/>
  <c r="C51" i="3"/>
  <c r="E51" i="3"/>
  <c r="C76" i="8"/>
  <c r="H5540" i="79"/>
  <c r="A5539" i="80"/>
  <c r="G8" i="48"/>
  <c r="H6943" i="79"/>
  <c r="A6942" i="80"/>
  <c r="I4" i="1"/>
  <c r="D79" i="8"/>
  <c r="H5714" i="79"/>
  <c r="A5713" i="80"/>
  <c r="G109" i="3"/>
  <c r="H1613" i="79"/>
  <c r="A1612" i="80"/>
  <c r="E71" i="3"/>
  <c r="H1253" i="79"/>
  <c r="A1252" i="80"/>
  <c r="E40" i="4"/>
  <c r="D36" i="3"/>
  <c r="H682" i="79"/>
  <c r="A681" i="80"/>
  <c r="G48" i="3"/>
  <c r="H970" i="79"/>
  <c r="A969" i="80"/>
  <c r="H2856" i="79"/>
  <c r="A2855" i="80"/>
  <c r="H6360" i="79"/>
  <c r="A6359" i="80"/>
  <c r="E15" i="47"/>
  <c r="B19" i="30"/>
  <c r="D19" i="30"/>
  <c r="D12" i="58"/>
  <c r="D30" i="47"/>
  <c r="H6606" i="79"/>
  <c r="A6605" i="80"/>
  <c r="J7" i="59"/>
  <c r="C4" i="39"/>
  <c r="C7" i="40"/>
  <c r="H2472" i="79"/>
  <c r="A2471" i="80"/>
  <c r="G53" i="3"/>
  <c r="H2844" i="79"/>
  <c r="A2843" i="80"/>
  <c r="D31" i="8"/>
  <c r="H5276" i="79"/>
  <c r="A5275" i="80"/>
  <c r="H6244" i="79"/>
  <c r="A6243" i="80"/>
  <c r="G28" i="3"/>
  <c r="G37" i="3"/>
  <c r="H760" i="79"/>
  <c r="A759" i="80"/>
  <c r="F55" i="42"/>
  <c r="H6480" i="79"/>
  <c r="A6479" i="80"/>
  <c r="B24" i="24"/>
  <c r="H4062" i="79"/>
  <c r="A4061" i="80"/>
  <c r="G54" i="42"/>
  <c r="G94" i="3"/>
  <c r="H1463" i="79"/>
  <c r="A1462" i="80"/>
  <c r="H6498" i="79"/>
  <c r="A6497" i="80"/>
  <c r="G119" i="3"/>
  <c r="H1697" i="79"/>
  <c r="A1696" i="80"/>
  <c r="G17" i="4"/>
  <c r="G46" i="3"/>
  <c r="H958" i="79"/>
  <c r="A957" i="80"/>
  <c r="G98" i="3"/>
  <c r="H1499" i="79"/>
  <c r="A1498" i="80"/>
  <c r="D42" i="8"/>
  <c r="H5330" i="79"/>
  <c r="A5329" i="80"/>
  <c r="H14" i="24"/>
  <c r="H4008" i="79"/>
  <c r="A4007" i="80"/>
  <c r="G16" i="3"/>
  <c r="H226" i="79"/>
  <c r="A225" i="80"/>
  <c r="G42" i="7"/>
  <c r="H4909" i="79"/>
  <c r="A4908" i="80"/>
  <c r="G55" i="42"/>
  <c r="G33" i="42"/>
  <c r="G14" i="4"/>
  <c r="B13" i="48"/>
  <c r="H6685" i="79"/>
  <c r="A6684" i="80"/>
  <c r="G10" i="3"/>
  <c r="H100" i="79"/>
  <c r="A99" i="80"/>
  <c r="G57" i="4"/>
  <c r="D90" i="8"/>
  <c r="H5768" i="79"/>
  <c r="A5767" i="80"/>
  <c r="G69" i="3"/>
  <c r="G29" i="3"/>
  <c r="H538" i="79"/>
  <c r="A537" i="80"/>
  <c r="G40" i="3"/>
  <c r="H778" i="79"/>
  <c r="A777" i="80"/>
  <c r="E30" i="61"/>
  <c r="H11144" i="79"/>
  <c r="A11143" i="80"/>
  <c r="G112" i="3"/>
  <c r="H1637" i="79"/>
  <c r="A1636" i="80"/>
  <c r="G61" i="4"/>
  <c r="H2826" i="79"/>
  <c r="A2825" i="80"/>
  <c r="H6256" i="79"/>
  <c r="A6255" i="80"/>
  <c r="B23" i="24"/>
  <c r="H4056" i="79"/>
  <c r="A4055" i="80"/>
  <c r="G38" i="7"/>
  <c r="H4885" i="79"/>
  <c r="A4884" i="80"/>
  <c r="E35" i="61"/>
  <c r="H11174" i="79"/>
  <c r="A11173" i="80"/>
  <c r="G18" i="4"/>
  <c r="H2850" i="79"/>
  <c r="A2849" i="80"/>
  <c r="H6504" i="79"/>
  <c r="A6503" i="80"/>
  <c r="D37" i="8"/>
  <c r="D70" i="8"/>
  <c r="H5666" i="79"/>
  <c r="A5665" i="80"/>
  <c r="B18" i="24"/>
  <c r="H3822" i="79"/>
  <c r="A3821" i="80"/>
  <c r="G21" i="3"/>
  <c r="H400" i="79"/>
  <c r="A399" i="80"/>
  <c r="G81" i="3"/>
  <c r="H1367" i="79"/>
  <c r="A1366" i="80"/>
  <c r="G105" i="3"/>
  <c r="H1589" i="79"/>
  <c r="A1588" i="80"/>
  <c r="G113" i="3"/>
  <c r="H1649" i="79"/>
  <c r="A1648" i="80"/>
  <c r="G59" i="4"/>
  <c r="H2790" i="79"/>
  <c r="A2789" i="80"/>
  <c r="B16" i="49"/>
  <c r="H7680" i="79"/>
  <c r="A7679" i="80"/>
  <c r="B29" i="48"/>
  <c r="H6709" i="79"/>
  <c r="A6708" i="80"/>
  <c r="H6492" i="79"/>
  <c r="A6491" i="80"/>
  <c r="D17" i="8"/>
  <c r="H5222" i="79"/>
  <c r="A5221" i="80"/>
  <c r="D26" i="8"/>
  <c r="H5258" i="79"/>
  <c r="A5257" i="80"/>
  <c r="D56" i="8"/>
  <c r="H5468" i="79"/>
  <c r="A5467" i="80"/>
  <c r="D77" i="8"/>
  <c r="H5702" i="79"/>
  <c r="A5701" i="80"/>
  <c r="H14" i="7"/>
  <c r="B26" i="24"/>
  <c r="H214" i="79"/>
  <c r="A213" i="80"/>
  <c r="G39" i="3"/>
  <c r="H772" i="79"/>
  <c r="A771" i="80"/>
  <c r="G40" i="7"/>
  <c r="H4897" i="79"/>
  <c r="A4896" i="80"/>
  <c r="E27" i="61"/>
  <c r="H11126" i="79"/>
  <c r="A11125" i="80"/>
  <c r="G34" i="4"/>
  <c r="H2442" i="79"/>
  <c r="A2441" i="80"/>
  <c r="B8" i="48"/>
  <c r="H6673" i="79"/>
  <c r="A6672" i="80"/>
  <c r="B12" i="24"/>
  <c r="H3584" i="79"/>
  <c r="A3583" i="80"/>
  <c r="G24" i="3"/>
  <c r="H418" i="79"/>
  <c r="A417" i="80"/>
  <c r="G22" i="3"/>
  <c r="H406" i="79"/>
  <c r="A405" i="80"/>
  <c r="G43" i="3"/>
  <c r="H940" i="79"/>
  <c r="A939" i="80"/>
  <c r="G43" i="7"/>
  <c r="H4915" i="79"/>
  <c r="A4914" i="80"/>
  <c r="E36" i="61"/>
  <c r="H11180" i="79"/>
  <c r="A11179" i="80"/>
  <c r="I4" i="63"/>
  <c r="G87" i="3"/>
  <c r="H1412" i="79"/>
  <c r="A1411" i="80"/>
  <c r="G75" i="3"/>
  <c r="H1313" i="79"/>
  <c r="A1312" i="80"/>
  <c r="D27" i="8"/>
  <c r="H5264" i="79"/>
  <c r="A5263" i="80"/>
  <c r="G32" i="42"/>
  <c r="G49" i="3"/>
  <c r="H1000" i="79"/>
  <c r="A999" i="80"/>
  <c r="D23" i="8"/>
  <c r="H5240" i="79"/>
  <c r="A5239" i="80"/>
  <c r="E34" i="61"/>
  <c r="H11168" i="79"/>
  <c r="A11167" i="80"/>
  <c r="G73" i="3"/>
  <c r="H1301" i="79"/>
  <c r="A1300" i="80"/>
  <c r="E12" i="61"/>
  <c r="H11042" i="79"/>
  <c r="A11041" i="80"/>
  <c r="G58" i="4"/>
  <c r="H2784" i="79"/>
  <c r="A2783" i="80"/>
  <c r="D8" i="8"/>
  <c r="D25" i="8"/>
  <c r="H5252" i="79"/>
  <c r="A5251" i="80"/>
  <c r="D57" i="8"/>
  <c r="H5474" i="79"/>
  <c r="A5473" i="80"/>
  <c r="G51" i="3"/>
  <c r="G72" i="3"/>
  <c r="H1295" i="79"/>
  <c r="A1294" i="80"/>
  <c r="G95" i="3"/>
  <c r="H1469" i="79"/>
  <c r="A1468" i="80"/>
  <c r="G111" i="3"/>
  <c r="H1625" i="79"/>
  <c r="A1624" i="80"/>
  <c r="G31" i="3"/>
  <c r="H604" i="79"/>
  <c r="A603" i="80"/>
  <c r="D12" i="8"/>
  <c r="H5192" i="79"/>
  <c r="A5191" i="80"/>
  <c r="D58" i="8"/>
  <c r="H5480" i="79"/>
  <c r="A5479" i="80"/>
  <c r="D85" i="8"/>
  <c r="H5744" i="79"/>
  <c r="A5743" i="80"/>
  <c r="G23" i="3"/>
  <c r="H412" i="79"/>
  <c r="A411" i="80"/>
  <c r="G57" i="3"/>
  <c r="H1138" i="79"/>
  <c r="A1137" i="80"/>
  <c r="H2484" i="79"/>
  <c r="A2483" i="80"/>
  <c r="H6250" i="79"/>
  <c r="A6249" i="80"/>
  <c r="B15" i="24"/>
  <c r="G18" i="3"/>
  <c r="H382" i="79"/>
  <c r="A381" i="80"/>
  <c r="G38" i="3"/>
  <c r="H766" i="79"/>
  <c r="A765" i="80"/>
  <c r="E19" i="61"/>
  <c r="H11078" i="79"/>
  <c r="A11077" i="80"/>
  <c r="B27" i="24"/>
  <c r="H4080" i="79"/>
  <c r="A4079" i="80"/>
  <c r="D76" i="8"/>
  <c r="H5696" i="79"/>
  <c r="A5695" i="80"/>
  <c r="G110" i="3"/>
  <c r="H1619" i="79"/>
  <c r="A1618" i="80"/>
  <c r="D84" i="8"/>
  <c r="H5738" i="79"/>
  <c r="A5737" i="80"/>
  <c r="E16" i="61"/>
  <c r="H11060" i="79"/>
  <c r="A11059" i="80"/>
  <c r="G41" i="7"/>
  <c r="H4903" i="79"/>
  <c r="A4902" i="80"/>
  <c r="D55" i="8"/>
  <c r="H5462" i="79"/>
  <c r="A5461" i="80"/>
  <c r="G80" i="3"/>
  <c r="H1361" i="79"/>
  <c r="A1360" i="80"/>
  <c r="G15" i="3"/>
  <c r="H220" i="79"/>
  <c r="A219" i="80"/>
  <c r="G12" i="4"/>
  <c r="G32" i="3"/>
  <c r="H610" i="79"/>
  <c r="A609" i="80"/>
  <c r="D29" i="8"/>
  <c r="H5360" i="79"/>
  <c r="A5359" i="80"/>
  <c r="D78" i="8"/>
  <c r="H5708" i="79"/>
  <c r="A5707" i="80"/>
  <c r="D103" i="8"/>
  <c r="H5864" i="79"/>
  <c r="A5863" i="80"/>
  <c r="G11" i="3"/>
  <c r="H106" i="79"/>
  <c r="A105" i="80"/>
  <c r="G56" i="3"/>
  <c r="H1132" i="79"/>
  <c r="A1131" i="80"/>
  <c r="G74" i="3"/>
  <c r="H1307" i="79"/>
  <c r="A1306" i="80"/>
  <c r="G99" i="3"/>
  <c r="H1505" i="79"/>
  <c r="A1504" i="80"/>
  <c r="G15" i="4"/>
  <c r="G33" i="4"/>
  <c r="H2436" i="79"/>
  <c r="A2435" i="80"/>
  <c r="D28" i="8"/>
  <c r="H5354" i="79"/>
  <c r="A5353" i="80"/>
  <c r="D69" i="8"/>
  <c r="H5660" i="79"/>
  <c r="A5659" i="80"/>
  <c r="D102" i="8"/>
  <c r="H5858" i="79"/>
  <c r="A5857" i="80"/>
  <c r="B22" i="24"/>
  <c r="H4050" i="79"/>
  <c r="A4049" i="80"/>
  <c r="G36" i="3"/>
  <c r="H754" i="79"/>
  <c r="A753" i="80"/>
  <c r="E11" i="61"/>
  <c r="H11036" i="79"/>
  <c r="A11035" i="80"/>
  <c r="G13" i="4"/>
  <c r="G60" i="4"/>
  <c r="H2820" i="79"/>
  <c r="A2819" i="80"/>
  <c r="H6510" i="79"/>
  <c r="A6509" i="80"/>
  <c r="B21" i="24"/>
  <c r="G47" i="3"/>
  <c r="H964" i="79"/>
  <c r="A963" i="80"/>
  <c r="G117" i="3"/>
  <c r="H1685" i="79"/>
  <c r="A1684" i="80"/>
  <c r="G39" i="7"/>
  <c r="H4891" i="79"/>
  <c r="A4890" i="80"/>
  <c r="G9" i="3"/>
  <c r="H94" i="79"/>
  <c r="A93" i="80"/>
  <c r="D30" i="8"/>
  <c r="H5270" i="79"/>
  <c r="A5269" i="80"/>
  <c r="B10" i="48"/>
  <c r="H6679" i="79"/>
  <c r="A6678" i="80"/>
  <c r="G27" i="3"/>
  <c r="H526" i="79"/>
  <c r="A525" i="80"/>
  <c r="G45" i="3"/>
  <c r="H952" i="79"/>
  <c r="A951" i="80"/>
  <c r="H2466" i="79"/>
  <c r="A2465" i="80"/>
  <c r="C103" i="8"/>
  <c r="H5828" i="79"/>
  <c r="A5827" i="80"/>
  <c r="E13" i="48"/>
  <c r="H6847" i="79"/>
  <c r="A6846" i="80"/>
  <c r="G71" i="3"/>
  <c r="H1289" i="79"/>
  <c r="A1288" i="80"/>
  <c r="C78" i="8"/>
  <c r="H5642" i="79"/>
  <c r="A5641" i="80"/>
  <c r="H53" i="42"/>
  <c r="D27" i="47"/>
  <c r="H6588" i="79"/>
  <c r="A6587" i="80"/>
  <c r="G44" i="7"/>
  <c r="H4921" i="79"/>
  <c r="A4920" i="80"/>
  <c r="C27" i="47"/>
  <c r="H6540" i="79"/>
  <c r="A6539" i="80"/>
  <c r="F18" i="24"/>
  <c r="H3942" i="79"/>
  <c r="A3941" i="80"/>
  <c r="C27" i="8"/>
  <c r="H5060" i="79"/>
  <c r="A5059" i="80"/>
  <c r="F11" i="24"/>
  <c r="H3674" i="79"/>
  <c r="A3673" i="80"/>
  <c r="B15" i="30"/>
  <c r="D15" i="30"/>
  <c r="E38" i="4"/>
  <c r="D18" i="3"/>
  <c r="H286" i="79"/>
  <c r="A285" i="80"/>
  <c r="H25" i="48"/>
  <c r="H7027" i="79"/>
  <c r="A7026" i="80"/>
  <c r="E111" i="3"/>
  <c r="H1571" i="79"/>
  <c r="A1570" i="80"/>
  <c r="C56" i="8"/>
  <c r="H5414" i="79"/>
  <c r="A5413" i="80"/>
  <c r="D55" i="3"/>
  <c r="H1078" i="79"/>
  <c r="A1077" i="80"/>
  <c r="E26" i="61"/>
  <c r="H11120" i="79"/>
  <c r="A11119" i="80"/>
  <c r="G55" i="3"/>
  <c r="H1126" i="79"/>
  <c r="A1125" i="80"/>
  <c r="B25" i="24"/>
  <c r="H4068" i="79"/>
  <c r="A4067" i="80"/>
  <c r="H6366" i="79"/>
  <c r="A6365" i="80"/>
  <c r="G44" i="3"/>
  <c r="H946" i="79"/>
  <c r="A945" i="80"/>
  <c r="D75" i="8"/>
  <c r="H5690" i="79"/>
  <c r="A5689" i="80"/>
  <c r="H2478" i="79"/>
  <c r="A2477" i="80"/>
  <c r="G107" i="3"/>
  <c r="H1601" i="79"/>
  <c r="A1600" i="80"/>
  <c r="E24" i="61"/>
  <c r="H11108" i="79"/>
  <c r="A11107" i="80"/>
  <c r="B11" i="24"/>
  <c r="H3578" i="79"/>
  <c r="A3577" i="80"/>
  <c r="B20" i="48"/>
  <c r="H6697" i="79"/>
  <c r="A6696" i="80"/>
  <c r="E25" i="61"/>
  <c r="H11114" i="79"/>
  <c r="A11113" i="80"/>
  <c r="H6378" i="79"/>
  <c r="A6377" i="80"/>
  <c r="G104" i="3"/>
  <c r="H1583" i="79"/>
  <c r="A1582" i="80"/>
  <c r="B12" i="49"/>
  <c r="H7668" i="79"/>
  <c r="A7667" i="80"/>
  <c r="D21" i="47"/>
  <c r="H6438" i="79"/>
  <c r="A6437" i="80"/>
  <c r="E31" i="4"/>
  <c r="D101" i="8"/>
  <c r="H5852" i="79"/>
  <c r="A5851" i="80"/>
  <c r="G31" i="4"/>
  <c r="H2424" i="79"/>
  <c r="A2423" i="80"/>
  <c r="F49" i="42"/>
  <c r="D9" i="3"/>
  <c r="D19" i="47"/>
  <c r="H6426" i="79"/>
  <c r="A6425" i="80"/>
  <c r="B10" i="30"/>
  <c r="D10" i="30"/>
  <c r="E14" i="24"/>
  <c r="H3918" i="79"/>
  <c r="A3917" i="80"/>
  <c r="C25" i="48"/>
  <c r="H6757" i="79"/>
  <c r="A6756" i="80"/>
  <c r="C50" i="42"/>
  <c r="E24" i="4"/>
  <c r="D10" i="3"/>
  <c r="H52" i="79"/>
  <c r="A51" i="80"/>
  <c r="F20" i="48"/>
  <c r="H6913" i="79"/>
  <c r="A6912" i="80"/>
  <c r="D27" i="42"/>
  <c r="C90" i="8"/>
  <c r="H5600" i="79"/>
  <c r="A5599" i="80"/>
  <c r="E42" i="7"/>
  <c r="H4825" i="79"/>
  <c r="A4824" i="80"/>
  <c r="E26" i="4"/>
  <c r="D16" i="3"/>
  <c r="H166" i="79"/>
  <c r="A165" i="80"/>
  <c r="B11" i="61"/>
  <c r="H10496" i="79"/>
  <c r="A10495" i="80"/>
  <c r="C23" i="24"/>
  <c r="H4110" i="79"/>
  <c r="A4109" i="80"/>
  <c r="I3" i="1"/>
  <c r="C20" i="48"/>
  <c r="H6751" i="79"/>
  <c r="A6750" i="80"/>
  <c r="C42" i="3"/>
  <c r="H790" i="79"/>
  <c r="A789" i="80"/>
  <c r="C102" i="8"/>
  <c r="E39" i="4"/>
  <c r="E15" i="4"/>
  <c r="E88" i="3"/>
  <c r="H1400" i="79"/>
  <c r="A1399" i="80"/>
  <c r="B36" i="61"/>
  <c r="H10634" i="79"/>
  <c r="A10633" i="80"/>
  <c r="C13" i="48"/>
  <c r="H6739" i="79"/>
  <c r="A6738" i="80"/>
  <c r="C55" i="3"/>
  <c r="H1054" i="79"/>
  <c r="A1053" i="80"/>
  <c r="D29" i="3"/>
  <c r="H478" i="79"/>
  <c r="A477" i="80"/>
  <c r="E64" i="4"/>
  <c r="B26" i="61"/>
  <c r="H10574" i="79"/>
  <c r="A10573" i="80"/>
  <c r="D8" i="48"/>
  <c r="H6781" i="79"/>
  <c r="A6780" i="80"/>
  <c r="C45" i="3"/>
  <c r="H808" i="79"/>
  <c r="A807" i="80"/>
  <c r="E112" i="3"/>
  <c r="H1631" i="79"/>
  <c r="A1630" i="80"/>
  <c r="F21" i="24"/>
  <c r="F22" i="24"/>
  <c r="H4266" i="79"/>
  <c r="A4265" i="80"/>
  <c r="H7710" i="79"/>
  <c r="A7709" i="80"/>
  <c r="D14" i="3"/>
  <c r="H154" i="79"/>
  <c r="A153" i="80"/>
  <c r="B15" i="51"/>
  <c r="D15" i="51"/>
  <c r="D10" i="58"/>
  <c r="D20" i="47"/>
  <c r="H6432" i="79"/>
  <c r="A6431" i="80"/>
  <c r="C96" i="8"/>
  <c r="D57" i="3"/>
  <c r="H1090" i="79"/>
  <c r="A1089" i="80"/>
  <c r="F10" i="24"/>
  <c r="H3668" i="79"/>
  <c r="A3667" i="80"/>
  <c r="D15" i="3"/>
  <c r="H160" i="79"/>
  <c r="A159" i="80"/>
  <c r="H3596" i="79"/>
  <c r="A3595" i="80"/>
  <c r="C49" i="3"/>
  <c r="H982" i="79"/>
  <c r="A981" i="80"/>
  <c r="D18" i="47"/>
  <c r="H6420" i="79"/>
  <c r="A6419" i="80"/>
  <c r="D18" i="58"/>
  <c r="E17" i="4"/>
  <c r="C29" i="8"/>
  <c r="H5072" i="79"/>
  <c r="A5071" i="80"/>
  <c r="D19" i="3"/>
  <c r="H292" i="79"/>
  <c r="A291" i="80"/>
  <c r="E72" i="3"/>
  <c r="H1259" i="79"/>
  <c r="A1258" i="80"/>
  <c r="C12" i="49"/>
  <c r="D14" i="58"/>
  <c r="C47" i="3"/>
  <c r="H820" i="79"/>
  <c r="A819" i="80"/>
  <c r="D22" i="3"/>
  <c r="H310" i="79"/>
  <c r="A309" i="80"/>
  <c r="C101" i="8"/>
  <c r="H5816" i="79"/>
  <c r="A5815" i="80"/>
  <c r="I14" i="51"/>
  <c r="I11" i="51"/>
  <c r="B9" i="30"/>
  <c r="H10" i="48"/>
  <c r="H7003" i="79"/>
  <c r="A7002" i="80"/>
  <c r="D20" i="3"/>
  <c r="H298" i="79"/>
  <c r="A297" i="80"/>
  <c r="E37" i="4"/>
  <c r="E94" i="3"/>
  <c r="H1445" i="79"/>
  <c r="A1444" i="80"/>
  <c r="D29" i="42"/>
  <c r="F23" i="24"/>
  <c r="H4272" i="79"/>
  <c r="A4271" i="80"/>
  <c r="F25" i="48"/>
  <c r="H6919" i="79"/>
  <c r="A6918" i="80"/>
  <c r="C32" i="3"/>
  <c r="H562" i="79"/>
  <c r="A561" i="80"/>
  <c r="C31" i="8"/>
  <c r="H5084" i="79"/>
  <c r="A5083" i="80"/>
  <c r="C24" i="24"/>
  <c r="H4116" i="79"/>
  <c r="A4115" i="80"/>
  <c r="C11" i="24"/>
  <c r="H3602" i="79"/>
  <c r="A3601" i="80"/>
  <c r="H6280" i="79"/>
  <c r="A6279" i="80"/>
  <c r="B9" i="51"/>
  <c r="C9" i="51"/>
  <c r="D29" i="48"/>
  <c r="H6817" i="79"/>
  <c r="A6816" i="80"/>
  <c r="E34" i="4"/>
  <c r="H6973" i="79"/>
  <c r="A6972" i="80"/>
  <c r="C28" i="47"/>
  <c r="H6546" i="79"/>
  <c r="A6545" i="80"/>
  <c r="C40" i="3"/>
  <c r="H670" i="79"/>
  <c r="A669" i="80"/>
  <c r="E110" i="3"/>
  <c r="H1565" i="79"/>
  <c r="A1564" i="80"/>
  <c r="C37" i="8"/>
  <c r="C25" i="47"/>
  <c r="H6528" i="79"/>
  <c r="A6527" i="80"/>
  <c r="D13" i="47"/>
  <c r="H6304" i="79"/>
  <c r="A6303" i="80"/>
  <c r="C21" i="24"/>
  <c r="D28" i="42"/>
  <c r="C49" i="8"/>
  <c r="H5372" i="79"/>
  <c r="A5371" i="80"/>
  <c r="E39" i="7"/>
  <c r="H4807" i="79"/>
  <c r="A4806" i="80"/>
  <c r="G26" i="3"/>
  <c r="H520" i="79"/>
  <c r="A519" i="80"/>
  <c r="E15" i="61"/>
  <c r="G45" i="7"/>
  <c r="H4927" i="79"/>
  <c r="A4926" i="80"/>
  <c r="H6516" i="79"/>
  <c r="A6515" i="80"/>
  <c r="G76" i="3"/>
  <c r="H1319" i="79"/>
  <c r="A1318" i="80"/>
  <c r="D86" i="8"/>
  <c r="H5750" i="79"/>
  <c r="A5749" i="80"/>
  <c r="B19" i="61"/>
  <c r="H10538" i="79"/>
  <c r="A10537" i="80"/>
  <c r="D13" i="58"/>
  <c r="B25" i="48"/>
  <c r="H6703" i="79"/>
  <c r="A6702" i="80"/>
  <c r="G16" i="4"/>
  <c r="E21" i="61"/>
  <c r="H11090" i="79"/>
  <c r="A11089" i="80"/>
  <c r="G19" i="3"/>
  <c r="H388" i="79"/>
  <c r="A387" i="80"/>
  <c r="B16" i="24"/>
  <c r="H3810" i="79"/>
  <c r="A3809" i="80"/>
  <c r="D43" i="8"/>
  <c r="H5336" i="79"/>
  <c r="A5335" i="80"/>
  <c r="G88" i="3"/>
  <c r="H1418" i="79"/>
  <c r="A1417" i="80"/>
  <c r="G42" i="3"/>
  <c r="H934" i="79"/>
  <c r="A933" i="80"/>
  <c r="D96" i="8"/>
  <c r="G32" i="4"/>
  <c r="H2430" i="79"/>
  <c r="A2429" i="80"/>
  <c r="G118" i="3"/>
  <c r="H1691" i="79"/>
  <c r="A1690" i="80"/>
  <c r="B17" i="49"/>
  <c r="H7686" i="79"/>
  <c r="A7685" i="80"/>
  <c r="B17" i="24"/>
  <c r="H3816" i="79"/>
  <c r="A3815" i="80"/>
  <c r="C47" i="42"/>
  <c r="H7746" i="79"/>
  <c r="A7745" i="80"/>
  <c r="G106" i="3"/>
  <c r="H1595" i="79"/>
  <c r="A1594" i="80"/>
  <c r="B10" i="24"/>
  <c r="H3572" i="79"/>
  <c r="A3571" i="80"/>
  <c r="G35" i="42"/>
  <c r="C56" i="3"/>
  <c r="H1060" i="79"/>
  <c r="A1059" i="80"/>
  <c r="D16" i="8"/>
  <c r="H5216" i="79"/>
  <c r="A5215" i="80"/>
  <c r="C15" i="24"/>
  <c r="H3834" i="79"/>
  <c r="A3833" i="80"/>
  <c r="D26" i="3"/>
  <c r="H460" i="79"/>
  <c r="A459" i="80"/>
  <c r="C57" i="8"/>
  <c r="H5420" i="79"/>
  <c r="A5419" i="80"/>
  <c r="F12" i="24"/>
  <c r="H3680" i="79"/>
  <c r="A3679" i="80"/>
  <c r="D23" i="3"/>
  <c r="H316" i="79"/>
  <c r="A315" i="80"/>
  <c r="E73" i="3"/>
  <c r="H1265" i="79"/>
  <c r="A1264" i="80"/>
  <c r="D38" i="3"/>
  <c r="H694" i="79"/>
  <c r="A693" i="80"/>
  <c r="E32" i="4"/>
  <c r="C20" i="3"/>
  <c r="H250" i="79"/>
  <c r="A249" i="80"/>
  <c r="D20" i="48"/>
  <c r="H6805" i="79"/>
  <c r="A6804" i="80"/>
  <c r="E99" i="3"/>
  <c r="H1487" i="79"/>
  <c r="A1486" i="80"/>
  <c r="C24" i="8"/>
  <c r="D39" i="3"/>
  <c r="H700" i="79"/>
  <c r="A699" i="80"/>
  <c r="D32" i="42"/>
  <c r="E113" i="3"/>
  <c r="H1643" i="79"/>
  <c r="A1642" i="80"/>
  <c r="E67" i="4"/>
  <c r="B17" i="51"/>
  <c r="D17" i="51"/>
  <c r="C77" i="8"/>
  <c r="H5546" i="79"/>
  <c r="A5545" i="80"/>
  <c r="B30" i="61"/>
  <c r="H10604" i="79"/>
  <c r="A10603" i="80"/>
  <c r="C44" i="42"/>
  <c r="D26" i="47"/>
  <c r="H6582" i="79"/>
  <c r="A6581" i="80"/>
  <c r="C16" i="24"/>
  <c r="H3840" i="79"/>
  <c r="A3839" i="80"/>
  <c r="C32" i="61"/>
  <c r="H10796" i="79"/>
  <c r="A10795" i="80"/>
  <c r="B15" i="61"/>
  <c r="H20" i="48"/>
  <c r="H7021" i="79"/>
  <c r="A7020" i="80"/>
  <c r="E22" i="4"/>
  <c r="D56" i="3"/>
  <c r="H1084" i="79"/>
  <c r="A1083" i="80"/>
  <c r="D48" i="3"/>
  <c r="H874" i="79"/>
  <c r="A873" i="80"/>
  <c r="C31" i="3"/>
  <c r="D21" i="3"/>
  <c r="H304" i="79"/>
  <c r="A303" i="80"/>
  <c r="C19" i="3"/>
  <c r="C85" i="8"/>
  <c r="H5576" i="79"/>
  <c r="A5575" i="80"/>
  <c r="C58" i="8"/>
  <c r="H5426" i="79"/>
  <c r="A5425" i="80"/>
  <c r="C28" i="8"/>
  <c r="H5066" i="79"/>
  <c r="A5065" i="80"/>
  <c r="B14" i="51"/>
  <c r="D26" i="42"/>
  <c r="E59" i="4"/>
  <c r="E109" i="3"/>
  <c r="H1559" i="79"/>
  <c r="A1558" i="80"/>
  <c r="E95" i="3"/>
  <c r="H1451" i="79"/>
  <c r="A1450" i="80"/>
  <c r="E74" i="3"/>
  <c r="H1205" i="79"/>
  <c r="A1204" i="80"/>
  <c r="H7716" i="79"/>
  <c r="A7715" i="80"/>
  <c r="E25" i="48"/>
  <c r="H6865" i="79"/>
  <c r="A6864" i="80"/>
  <c r="C45" i="42"/>
  <c r="F25" i="24"/>
  <c r="C30" i="47"/>
  <c r="H6558" i="79"/>
  <c r="A6557" i="80"/>
  <c r="C12" i="47"/>
  <c r="H6268" i="79"/>
  <c r="A6267" i="80"/>
  <c r="D25" i="47"/>
  <c r="H6576" i="79"/>
  <c r="A6575" i="80"/>
  <c r="B24" i="61"/>
  <c r="H10562" i="79"/>
  <c r="A10561" i="80"/>
  <c r="F13" i="48"/>
  <c r="H6901" i="79"/>
  <c r="A6900" i="80"/>
  <c r="E41" i="7"/>
  <c r="H4819" i="79"/>
  <c r="A4818" i="80"/>
  <c r="C46" i="3"/>
  <c r="D49" i="3"/>
  <c r="H988" i="79"/>
  <c r="A987" i="80"/>
  <c r="C29" i="3"/>
  <c r="H448" i="79"/>
  <c r="A447" i="80"/>
  <c r="C23" i="3"/>
  <c r="H268" i="79"/>
  <c r="A267" i="80"/>
  <c r="E45" i="7"/>
  <c r="H4843" i="79"/>
  <c r="A4842" i="80"/>
  <c r="C75" i="8"/>
  <c r="H5534" i="79"/>
  <c r="A5533" i="80"/>
  <c r="C30" i="8"/>
  <c r="H5078" i="79"/>
  <c r="A5077" i="80"/>
  <c r="C21" i="47"/>
  <c r="H6408" i="79"/>
  <c r="A6407" i="80"/>
  <c r="B35" i="61"/>
  <c r="H10652" i="79"/>
  <c r="A10651" i="80"/>
  <c r="G29" i="48"/>
  <c r="H6979" i="79"/>
  <c r="A6978" i="80"/>
  <c r="D44" i="3"/>
  <c r="H850" i="79"/>
  <c r="A849" i="80"/>
  <c r="C14" i="3"/>
  <c r="C79" i="8"/>
  <c r="H5648" i="79"/>
  <c r="A5647" i="80"/>
  <c r="C26" i="8"/>
  <c r="H5054" i="79"/>
  <c r="A5053" i="80"/>
  <c r="C12" i="8"/>
  <c r="H4988" i="79"/>
  <c r="A4987" i="80"/>
  <c r="E33" i="4"/>
  <c r="E105" i="3"/>
  <c r="H1535" i="79"/>
  <c r="A1534" i="80"/>
  <c r="E76" i="3"/>
  <c r="H1217" i="79"/>
  <c r="A1216" i="80"/>
  <c r="B25" i="61"/>
  <c r="H10568" i="79"/>
  <c r="A10567" i="80"/>
  <c r="G13" i="48"/>
  <c r="H6955" i="79"/>
  <c r="A6954" i="80"/>
  <c r="E65" i="4"/>
  <c r="D40" i="3"/>
  <c r="C38" i="3"/>
  <c r="H658" i="79"/>
  <c r="A657" i="80"/>
  <c r="C27" i="3"/>
  <c r="H436" i="79"/>
  <c r="A435" i="80"/>
  <c r="C24" i="3"/>
  <c r="H274" i="79"/>
  <c r="A273" i="80"/>
  <c r="C11" i="3"/>
  <c r="H34" i="79"/>
  <c r="A33" i="80"/>
  <c r="C8" i="8"/>
  <c r="B17" i="30"/>
  <c r="D17" i="30"/>
  <c r="G17" i="30"/>
  <c r="E25" i="4"/>
  <c r="E18" i="4"/>
  <c r="D14" i="4"/>
  <c r="B12" i="61"/>
  <c r="H10502" i="79"/>
  <c r="A10501" i="80"/>
  <c r="E20" i="48"/>
  <c r="H6859" i="79"/>
  <c r="A6858" i="80"/>
  <c r="E71" i="4"/>
  <c r="D47" i="3"/>
  <c r="H868" i="79"/>
  <c r="A867" i="80"/>
  <c r="C53" i="3"/>
  <c r="C10" i="3"/>
  <c r="H28" i="79"/>
  <c r="A27" i="80"/>
  <c r="B13" i="51"/>
  <c r="D13" i="51"/>
  <c r="E61" i="4"/>
  <c r="E104" i="3"/>
  <c r="H1529" i="79"/>
  <c r="A1528" i="80"/>
  <c r="D28" i="47"/>
  <c r="H6594" i="79"/>
  <c r="A6593" i="80"/>
  <c r="C17" i="24"/>
  <c r="H3846" i="79"/>
  <c r="A3845" i="80"/>
  <c r="D11" i="58"/>
  <c r="B27" i="61"/>
  <c r="H10592" i="79"/>
  <c r="A10591" i="80"/>
  <c r="H13" i="48"/>
  <c r="H7009" i="79"/>
  <c r="A7008" i="80"/>
  <c r="D42" i="3"/>
  <c r="H838" i="79"/>
  <c r="A837" i="80"/>
  <c r="C26" i="3"/>
  <c r="H430" i="79"/>
  <c r="A429" i="80"/>
  <c r="C84" i="8"/>
  <c r="H5570" i="79"/>
  <c r="A5569" i="80"/>
  <c r="C16" i="8"/>
  <c r="H5012" i="79"/>
  <c r="A5011" i="80"/>
  <c r="B18" i="30"/>
  <c r="D18" i="30"/>
  <c r="C36" i="3"/>
  <c r="H646" i="79"/>
  <c r="A645" i="80"/>
  <c r="E27" i="4"/>
  <c r="E16" i="4"/>
  <c r="D13" i="4"/>
  <c r="H1782" i="79"/>
  <c r="A1781" i="80"/>
  <c r="C26" i="24"/>
  <c r="D15" i="58"/>
  <c r="F24" i="24"/>
  <c r="H4278" i="79"/>
  <c r="A4277" i="80"/>
  <c r="F16" i="24"/>
  <c r="H3930" i="79"/>
  <c r="A3929" i="80"/>
  <c r="C25" i="8"/>
  <c r="H5048" i="79"/>
  <c r="A5047" i="80"/>
  <c r="E13" i="4"/>
  <c r="H1902" i="79"/>
  <c r="A1901" i="80"/>
  <c r="D31" i="47"/>
  <c r="H6612" i="79"/>
  <c r="A6611" i="80"/>
  <c r="E40" i="7"/>
  <c r="H4813" i="79"/>
  <c r="A4812" i="80"/>
  <c r="C20" i="47"/>
  <c r="H6402" i="79"/>
  <c r="A6401" i="80"/>
  <c r="D19" i="58"/>
  <c r="B16" i="51"/>
  <c r="D16" i="51"/>
  <c r="G16" i="51"/>
  <c r="G11" i="51"/>
  <c r="C69" i="8"/>
  <c r="H5504" i="79"/>
  <c r="A5503" i="80"/>
  <c r="F8" i="48"/>
  <c r="H6889" i="79"/>
  <c r="A6888" i="80"/>
  <c r="E75" i="3"/>
  <c r="H1211" i="79"/>
  <c r="A1210" i="80"/>
  <c r="D27" i="3"/>
  <c r="H466" i="79"/>
  <c r="A465" i="80"/>
  <c r="B16" i="61"/>
  <c r="H10520" i="79"/>
  <c r="A10519" i="80"/>
  <c r="F17" i="24"/>
  <c r="H3936" i="79"/>
  <c r="A3935" i="80"/>
  <c r="C29" i="47"/>
  <c r="H6552" i="79"/>
  <c r="A6551" i="80"/>
  <c r="D37" i="3"/>
  <c r="H688" i="79"/>
  <c r="A687" i="80"/>
  <c r="C49" i="42"/>
  <c r="C25" i="24"/>
  <c r="E106" i="3"/>
  <c r="H1541" i="79"/>
  <c r="A1540" i="80"/>
  <c r="C86" i="8"/>
  <c r="H5582" i="79"/>
  <c r="A5581" i="80"/>
  <c r="E69" i="3"/>
  <c r="G20" i="48"/>
  <c r="H6967" i="79"/>
  <c r="A6966" i="80"/>
  <c r="D16" i="58"/>
  <c r="E10" i="48"/>
  <c r="H6841" i="79"/>
  <c r="A6840" i="80"/>
  <c r="C37" i="3"/>
  <c r="H652" i="79"/>
  <c r="A651" i="80"/>
  <c r="D11" i="3"/>
  <c r="H58" i="79"/>
  <c r="A57" i="80"/>
  <c r="C43" i="8"/>
  <c r="H5132" i="79"/>
  <c r="A5131" i="80"/>
  <c r="C17" i="8"/>
  <c r="H5018" i="79"/>
  <c r="A5017" i="80"/>
  <c r="B20" i="30"/>
  <c r="D20" i="30"/>
  <c r="I13" i="30"/>
  <c r="I12" i="30"/>
  <c r="E107" i="3"/>
  <c r="H1547" i="79"/>
  <c r="A1546" i="80"/>
  <c r="E81" i="3"/>
  <c r="H1349" i="79"/>
  <c r="A1348" i="80"/>
  <c r="B34" i="61"/>
  <c r="H10628" i="79"/>
  <c r="A10627" i="80"/>
  <c r="H8" i="48"/>
  <c r="H6997" i="79"/>
  <c r="A6996" i="80"/>
  <c r="E38" i="7"/>
  <c r="H4801" i="79"/>
  <c r="A4800" i="80"/>
  <c r="E23" i="4"/>
  <c r="E118" i="3"/>
  <c r="H1673" i="79"/>
  <c r="A1672" i="80"/>
  <c r="D45" i="3"/>
  <c r="H856" i="79"/>
  <c r="A855" i="80"/>
  <c r="C43" i="3"/>
  <c r="H796" i="79"/>
  <c r="A795" i="80"/>
  <c r="C28" i="3"/>
  <c r="H442" i="79"/>
  <c r="A441" i="80"/>
  <c r="D13" i="3"/>
  <c r="H148" i="79"/>
  <c r="A147" i="80"/>
  <c r="C15" i="3"/>
  <c r="H130" i="79"/>
  <c r="A129" i="80"/>
  <c r="C42" i="8"/>
  <c r="H5150" i="79"/>
  <c r="A5149" i="80"/>
  <c r="B18" i="51"/>
  <c r="D18" i="51"/>
  <c r="B8" i="51"/>
  <c r="B14" i="30"/>
  <c r="D14" i="30"/>
  <c r="E66" i="4"/>
  <c r="E58" i="4"/>
  <c r="E12" i="4"/>
  <c r="E43" i="7"/>
  <c r="H4831" i="79"/>
  <c r="A4830" i="80"/>
  <c r="E117" i="3"/>
  <c r="H1667" i="79"/>
  <c r="A1666" i="80"/>
  <c r="C18" i="3"/>
  <c r="H238" i="79"/>
  <c r="A237" i="80"/>
  <c r="E108" i="3"/>
  <c r="H1553" i="79"/>
  <c r="A1552" i="80"/>
  <c r="E80" i="3"/>
  <c r="H1343" i="79"/>
  <c r="A1342" i="80"/>
  <c r="C13" i="47"/>
  <c r="H6274" i="79"/>
  <c r="A6273" i="80"/>
  <c r="C27" i="24"/>
  <c r="D9" i="58"/>
  <c r="E8" i="48"/>
  <c r="H6835" i="79"/>
  <c r="A6834" i="80"/>
  <c r="C39" i="3"/>
  <c r="H664" i="79"/>
  <c r="A663" i="80"/>
  <c r="D28" i="3"/>
  <c r="H472" i="79"/>
  <c r="A471" i="80"/>
  <c r="C21" i="3"/>
  <c r="E44" i="7"/>
  <c r="H4837" i="79"/>
  <c r="A4836" i="80"/>
  <c r="C55" i="8"/>
  <c r="H5450" i="79"/>
  <c r="A5449" i="80"/>
  <c r="C23" i="8"/>
  <c r="H5036" i="79"/>
  <c r="A5035" i="80"/>
  <c r="D17" i="58"/>
  <c r="F26" i="24"/>
  <c r="D12" i="47"/>
  <c r="H6298" i="79"/>
  <c r="A6297" i="80"/>
  <c r="E98" i="3"/>
  <c r="D35" i="42"/>
  <c r="C18" i="24"/>
  <c r="H3852" i="79"/>
  <c r="A3851" i="80"/>
  <c r="E60" i="4"/>
  <c r="B13" i="30"/>
  <c r="D43" i="3"/>
  <c r="H844" i="79"/>
  <c r="A843" i="80"/>
  <c r="D12" i="49"/>
  <c r="C12" i="24"/>
  <c r="H3608" i="79"/>
  <c r="A3607" i="80"/>
  <c r="C19" i="47"/>
  <c r="H6396" i="79"/>
  <c r="A6395" i="80"/>
  <c r="D24" i="3"/>
  <c r="H322" i="79"/>
  <c r="A321" i="80"/>
  <c r="B21" i="61"/>
  <c r="H10550" i="79"/>
  <c r="A10549" i="80"/>
  <c r="D29" i="47"/>
  <c r="H6600" i="79"/>
  <c r="A6599" i="80"/>
  <c r="C31" i="47"/>
  <c r="H6564" i="79"/>
  <c r="A6563" i="80"/>
  <c r="D33" i="42"/>
  <c r="C18" i="47"/>
  <c r="H6390" i="79"/>
  <c r="A6389" i="80"/>
  <c r="E87" i="3"/>
  <c r="E57" i="4"/>
  <c r="B19" i="51"/>
  <c r="D19" i="51"/>
  <c r="C70" i="8"/>
  <c r="H5510" i="79"/>
  <c r="A5509" i="80"/>
  <c r="C16" i="3"/>
  <c r="D13" i="48"/>
  <c r="H6793" i="79"/>
  <c r="A6792" i="80"/>
  <c r="I2" i="63"/>
  <c r="F50" i="42"/>
  <c r="F32" i="61"/>
  <c r="H11336" i="79"/>
  <c r="A11335" i="80"/>
  <c r="H4134" i="79"/>
  <c r="A4133" i="80"/>
  <c r="J17" i="37"/>
  <c r="H8088" i="79"/>
  <c r="A8087" i="80"/>
  <c r="H8083" i="79"/>
  <c r="A8082" i="80"/>
  <c r="J15" i="37"/>
  <c r="H7988" i="79"/>
  <c r="A7987" i="80"/>
  <c r="H7983" i="79"/>
  <c r="A7982" i="80"/>
  <c r="J13" i="37"/>
  <c r="H7883" i="79"/>
  <c r="A7882" i="80"/>
  <c r="J16" i="37"/>
  <c r="H8038" i="79"/>
  <c r="A8037" i="80"/>
  <c r="H8033" i="79"/>
  <c r="A8032" i="80"/>
  <c r="I18" i="37"/>
  <c r="G68" i="3"/>
  <c r="H1271" i="79"/>
  <c r="A1270" i="80"/>
  <c r="H1277" i="79"/>
  <c r="A1276" i="80"/>
  <c r="H11054" i="79"/>
  <c r="A11053" i="80"/>
  <c r="H4122" i="79"/>
  <c r="A4121" i="80"/>
  <c r="H4074" i="79"/>
  <c r="A4073" i="80"/>
  <c r="E68" i="3"/>
  <c r="H1235" i="79"/>
  <c r="A1234" i="80"/>
  <c r="H1241" i="79"/>
  <c r="A1240" i="80"/>
  <c r="E86" i="3"/>
  <c r="H1388" i="79"/>
  <c r="A1387" i="80"/>
  <c r="H1394" i="79"/>
  <c r="A1393" i="80"/>
  <c r="H10514" i="79"/>
  <c r="A10513" i="80"/>
  <c r="H4128" i="79"/>
  <c r="A4127" i="80"/>
  <c r="C59" i="8"/>
  <c r="G16" i="26"/>
  <c r="H7388" i="79"/>
  <c r="A7387" i="80"/>
  <c r="H2100" i="79"/>
  <c r="A2099" i="80"/>
  <c r="H2838" i="79"/>
  <c r="A2837" i="80"/>
  <c r="H2814" i="79"/>
  <c r="A2813" i="80"/>
  <c r="H1896" i="79"/>
  <c r="A1895" i="80"/>
  <c r="E19" i="4"/>
  <c r="H2778" i="79"/>
  <c r="A2777" i="80"/>
  <c r="G62" i="4"/>
  <c r="H1872" i="79"/>
  <c r="A1871" i="80"/>
  <c r="E28" i="4"/>
  <c r="E68" i="4"/>
  <c r="H2124" i="79"/>
  <c r="A2123" i="80"/>
  <c r="G19" i="4"/>
  <c r="H2610" i="79"/>
  <c r="A2609" i="80"/>
  <c r="E62" i="4"/>
  <c r="G14" i="7"/>
  <c r="H4681" i="79"/>
  <c r="A4680" i="80"/>
  <c r="H2178" i="79"/>
  <c r="A2177" i="80"/>
  <c r="G30" i="7"/>
  <c r="H4759" i="79"/>
  <c r="A4758" i="80"/>
  <c r="H2904" i="79"/>
  <c r="A2903" i="80"/>
  <c r="D95" i="8"/>
  <c r="H5798" i="79"/>
  <c r="A5797" i="80"/>
  <c r="G17" i="7"/>
  <c r="H4699" i="79"/>
  <c r="A4698" i="80"/>
  <c r="H2076" i="79"/>
  <c r="A2075" i="80"/>
  <c r="G10" i="7"/>
  <c r="H4657" i="79"/>
  <c r="A4656" i="80"/>
  <c r="H2130" i="79"/>
  <c r="A2129" i="80"/>
  <c r="G12" i="7"/>
  <c r="H4669" i="79"/>
  <c r="A4668" i="80"/>
  <c r="H2142" i="79"/>
  <c r="A2141" i="80"/>
  <c r="G50" i="3"/>
  <c r="H1024" i="79"/>
  <c r="A1023" i="80"/>
  <c r="G23" i="7"/>
  <c r="H4717" i="79"/>
  <c r="A4716" i="80"/>
  <c r="H2166" i="79"/>
  <c r="A2165" i="80"/>
  <c r="D36" i="8"/>
  <c r="H5306" i="79"/>
  <c r="A5305" i="80"/>
  <c r="G31" i="42"/>
  <c r="G25" i="7"/>
  <c r="H4729" i="79"/>
  <c r="A4728" i="80"/>
  <c r="H2160" i="79"/>
  <c r="A2159" i="80"/>
  <c r="G18" i="7"/>
  <c r="H4705" i="79"/>
  <c r="A4704" i="80"/>
  <c r="H2172" i="79"/>
  <c r="A2171" i="80"/>
  <c r="H532" i="79"/>
  <c r="A531" i="80"/>
  <c r="G19" i="7"/>
  <c r="H4711" i="79"/>
  <c r="A4710" i="80"/>
  <c r="H2148" i="79"/>
  <c r="A2147" i="80"/>
  <c r="G11" i="7"/>
  <c r="H4663" i="79"/>
  <c r="A4662" i="80"/>
  <c r="H2136" i="79"/>
  <c r="A2135" i="80"/>
  <c r="D7" i="8"/>
  <c r="H5174" i="79"/>
  <c r="A5173" i="80"/>
  <c r="G24" i="7"/>
  <c r="H4723" i="79"/>
  <c r="A4722" i="80"/>
  <c r="H2088" i="79"/>
  <c r="A2087" i="80"/>
  <c r="G22" i="7"/>
  <c r="H4777" i="79"/>
  <c r="A4776" i="80"/>
  <c r="H2082" i="79"/>
  <c r="A2081" i="80"/>
  <c r="H4044" i="79"/>
  <c r="A4043" i="80"/>
  <c r="B20" i="24"/>
  <c r="D50" i="8"/>
  <c r="H5396" i="79"/>
  <c r="A5395" i="80"/>
  <c r="G15" i="7"/>
  <c r="H4687" i="79"/>
  <c r="A4686" i="80"/>
  <c r="H2184" i="79"/>
  <c r="A2183" i="80"/>
  <c r="E50" i="3"/>
  <c r="H1018" i="79"/>
  <c r="A1017" i="80"/>
  <c r="D16" i="4"/>
  <c r="H1848" i="79"/>
  <c r="A1847" i="80"/>
  <c r="D18" i="4"/>
  <c r="H1860" i="79"/>
  <c r="A1859" i="80"/>
  <c r="H706" i="79"/>
  <c r="A705" i="80"/>
  <c r="H814" i="79"/>
  <c r="A813" i="80"/>
  <c r="D33" i="4"/>
  <c r="H2280" i="79"/>
  <c r="A2279" i="80"/>
  <c r="H124" i="79"/>
  <c r="A123" i="80"/>
  <c r="E14" i="3"/>
  <c r="H184" i="79"/>
  <c r="A183" i="80"/>
  <c r="D59" i="4"/>
  <c r="H2622" i="79"/>
  <c r="A2621" i="80"/>
  <c r="E31" i="3"/>
  <c r="H586" i="79"/>
  <c r="A585" i="80"/>
  <c r="H550" i="79"/>
  <c r="A549" i="80"/>
  <c r="H7698" i="79"/>
  <c r="A7697" i="80"/>
  <c r="D17" i="4"/>
  <c r="H1854" i="79"/>
  <c r="A1853" i="80"/>
  <c r="H4260" i="79"/>
  <c r="A4259" i="80"/>
  <c r="F20" i="24"/>
  <c r="H4302" i="79"/>
  <c r="A4301" i="80"/>
  <c r="D15" i="4"/>
  <c r="H1914" i="79"/>
  <c r="A1913" i="80"/>
  <c r="D24" i="4"/>
  <c r="H1944" i="79"/>
  <c r="A1943" i="80"/>
  <c r="D40" i="4"/>
  <c r="H2322" i="79"/>
  <c r="A2321" i="80"/>
  <c r="D60" i="4"/>
  <c r="H2652" i="79"/>
  <c r="A2651" i="80"/>
  <c r="C17" i="48"/>
  <c r="H6745" i="79"/>
  <c r="A6744" i="80"/>
  <c r="H6727" i="79"/>
  <c r="A6726" i="80"/>
  <c r="D14" i="49"/>
  <c r="H7734" i="79"/>
  <c r="A7733" i="80"/>
  <c r="H7740" i="79"/>
  <c r="A7739" i="80"/>
  <c r="D71" i="4"/>
  <c r="B19" i="34"/>
  <c r="H2892" i="79"/>
  <c r="A2891" i="80"/>
  <c r="F14" i="4"/>
  <c r="H1788" i="79"/>
  <c r="A1787" i="80"/>
  <c r="D22" i="4"/>
  <c r="H1950" i="79"/>
  <c r="A1949" i="80"/>
  <c r="D67" i="4"/>
  <c r="H2688" i="79"/>
  <c r="A2687" i="80"/>
  <c r="D32" i="4"/>
  <c r="H2274" i="79"/>
  <c r="A2273" i="80"/>
  <c r="E36" i="4"/>
  <c r="H2334" i="79"/>
  <c r="A2333" i="80"/>
  <c r="H2304" i="79"/>
  <c r="A2303" i="80"/>
  <c r="H118" i="79"/>
  <c r="A117" i="80"/>
  <c r="I13" i="24"/>
  <c r="H3797" i="79"/>
  <c r="A3796" i="80"/>
  <c r="H7728" i="79"/>
  <c r="A7727" i="80"/>
  <c r="E97" i="3"/>
  <c r="H1475" i="79"/>
  <c r="A1474" i="80"/>
  <c r="H1481" i="79"/>
  <c r="A1480" i="80"/>
  <c r="H4290" i="79"/>
  <c r="A4289" i="80"/>
  <c r="H4296" i="79"/>
  <c r="A4295" i="80"/>
  <c r="D66" i="4"/>
  <c r="H2682" i="79"/>
  <c r="A2681" i="80"/>
  <c r="D61" i="4"/>
  <c r="H2658" i="79"/>
  <c r="A2657" i="80"/>
  <c r="D65" i="4"/>
  <c r="H2676" i="79"/>
  <c r="A2675" i="80"/>
  <c r="D34" i="4"/>
  <c r="H2286" i="79"/>
  <c r="A2285" i="80"/>
  <c r="E32" i="3"/>
  <c r="H592" i="79"/>
  <c r="A591" i="80"/>
  <c r="H556" i="79"/>
  <c r="A555" i="80"/>
  <c r="E63" i="4"/>
  <c r="H2634" i="79"/>
  <c r="A2633" i="80"/>
  <c r="H2670" i="79"/>
  <c r="A2669" i="80"/>
  <c r="J19" i="27"/>
  <c r="J21" i="27"/>
  <c r="H5822" i="79"/>
  <c r="A5821" i="80"/>
  <c r="D38" i="4"/>
  <c r="H2310" i="79"/>
  <c r="A2309" i="80"/>
  <c r="C50" i="3"/>
  <c r="H1006" i="79"/>
  <c r="A1005" i="80"/>
  <c r="D58" i="4"/>
  <c r="H2616" i="79"/>
  <c r="A2615" i="80"/>
  <c r="D23" i="4"/>
  <c r="H1956" i="79"/>
  <c r="A1955" i="80"/>
  <c r="D27" i="4"/>
  <c r="H1932" i="79"/>
  <c r="A1931" i="80"/>
  <c r="D25" i="4"/>
  <c r="H1920" i="79"/>
  <c r="A1919" i="80"/>
  <c r="H4098" i="79"/>
  <c r="A4097" i="80"/>
  <c r="C20" i="24"/>
  <c r="D39" i="4"/>
  <c r="H2316" i="79"/>
  <c r="A2315" i="80"/>
  <c r="D26" i="4"/>
  <c r="H1938" i="79"/>
  <c r="A1937" i="80"/>
  <c r="E57" i="3"/>
  <c r="H1114" i="79"/>
  <c r="A1113" i="80"/>
  <c r="D21" i="61"/>
  <c r="H10910" i="79"/>
  <c r="A10909" i="80"/>
  <c r="C95" i="8"/>
  <c r="H5630" i="79"/>
  <c r="A5629" i="80"/>
  <c r="C36" i="8"/>
  <c r="H5114" i="79"/>
  <c r="A5113" i="80"/>
  <c r="G19" i="33"/>
  <c r="G21" i="33"/>
  <c r="H5042" i="79"/>
  <c r="A5041" i="80"/>
  <c r="C7" i="8"/>
  <c r="H4970" i="79"/>
  <c r="A4969" i="80"/>
  <c r="I15" i="24"/>
  <c r="H4014" i="79"/>
  <c r="A4013" i="80"/>
  <c r="H3804" i="79"/>
  <c r="A3803" i="80"/>
  <c r="G56" i="4"/>
  <c r="H2796" i="79"/>
  <c r="A2795" i="80"/>
  <c r="G36" i="4"/>
  <c r="H2496" i="79"/>
  <c r="A2495" i="80"/>
  <c r="G30" i="4"/>
  <c r="H2454" i="79"/>
  <c r="A2453" i="80"/>
  <c r="G63" i="4"/>
  <c r="H2802" i="79"/>
  <c r="A2801" i="80"/>
  <c r="G20" i="4"/>
  <c r="H2106" i="79"/>
  <c r="A2105" i="80"/>
  <c r="F13" i="4"/>
  <c r="E56" i="4"/>
  <c r="H2628" i="79"/>
  <c r="A2627" i="80"/>
  <c r="E30" i="4"/>
  <c r="H2340" i="79"/>
  <c r="A2339" i="80"/>
  <c r="H2094" i="79"/>
  <c r="A2093" i="80"/>
  <c r="G11" i="4"/>
  <c r="H2118" i="79"/>
  <c r="A2117" i="80"/>
  <c r="D21" i="4"/>
  <c r="E20" i="4"/>
  <c r="H1878" i="79"/>
  <c r="A1877" i="80"/>
  <c r="E11" i="4"/>
  <c r="H1890" i="79"/>
  <c r="A1889" i="80"/>
  <c r="H1866" i="79"/>
  <c r="A1865" i="80"/>
  <c r="G19" i="61"/>
  <c r="H11438" i="79"/>
  <c r="A11437" i="80"/>
  <c r="F52" i="42"/>
  <c r="F56" i="42"/>
  <c r="G54" i="3"/>
  <c r="E26" i="47"/>
  <c r="G21" i="61"/>
  <c r="C16" i="39"/>
  <c r="G27" i="61"/>
  <c r="H11486" i="79"/>
  <c r="A11485" i="80"/>
  <c r="D59" i="8"/>
  <c r="F28" i="61"/>
  <c r="H11312" i="79"/>
  <c r="A11311" i="80"/>
  <c r="E16" i="3"/>
  <c r="H196" i="79"/>
  <c r="A195" i="80"/>
  <c r="H136" i="79"/>
  <c r="A135" i="80"/>
  <c r="E21" i="3"/>
  <c r="H352" i="79"/>
  <c r="A351" i="80"/>
  <c r="H256" i="79"/>
  <c r="A255" i="80"/>
  <c r="E19" i="3"/>
  <c r="H340" i="79"/>
  <c r="A339" i="80"/>
  <c r="H244" i="79"/>
  <c r="A243" i="80"/>
  <c r="E9" i="3"/>
  <c r="H70" i="79"/>
  <c r="A69" i="80"/>
  <c r="H46" i="79"/>
  <c r="A45" i="80"/>
  <c r="E22" i="3"/>
  <c r="H358" i="79"/>
  <c r="A357" i="80"/>
  <c r="H262" i="79"/>
  <c r="A261" i="80"/>
  <c r="E17" i="48"/>
  <c r="H6853" i="79"/>
  <c r="A6852" i="80"/>
  <c r="E43" i="3"/>
  <c r="H904" i="79"/>
  <c r="A903" i="80"/>
  <c r="E48" i="3"/>
  <c r="H892" i="79"/>
  <c r="A891" i="80"/>
  <c r="D31" i="42"/>
  <c r="L2" i="1"/>
  <c r="D35" i="3"/>
  <c r="E20" i="47"/>
  <c r="G12" i="30"/>
  <c r="G17" i="48"/>
  <c r="H6961" i="79"/>
  <c r="A6960" i="80"/>
  <c r="D9" i="47"/>
  <c r="H6286" i="79"/>
  <c r="A6285" i="80"/>
  <c r="D12" i="61"/>
  <c r="H10862" i="79"/>
  <c r="A10861" i="80"/>
  <c r="E24" i="3"/>
  <c r="H370" i="79"/>
  <c r="A369" i="80"/>
  <c r="K3" i="1"/>
  <c r="F17" i="48"/>
  <c r="H6907" i="79"/>
  <c r="A6906" i="80"/>
  <c r="K4" i="1"/>
  <c r="C16" i="47"/>
  <c r="H6384" i="79"/>
  <c r="A6383" i="80"/>
  <c r="D30" i="58"/>
  <c r="D12" i="3"/>
  <c r="H172" i="79"/>
  <c r="A171" i="80"/>
  <c r="H17" i="48"/>
  <c r="E46" i="3"/>
  <c r="H922" i="79"/>
  <c r="A921" i="80"/>
  <c r="G15" i="61"/>
  <c r="E49" i="3"/>
  <c r="H994" i="79"/>
  <c r="A993" i="80"/>
  <c r="H16" i="26"/>
  <c r="H7394" i="79"/>
  <c r="A7393" i="80"/>
  <c r="I17" i="24"/>
  <c r="E39" i="3"/>
  <c r="H736" i="79"/>
  <c r="A735" i="80"/>
  <c r="D16" i="61"/>
  <c r="H10880" i="79"/>
  <c r="A10879" i="80"/>
  <c r="E32" i="48"/>
  <c r="F22" i="61"/>
  <c r="H11276" i="79"/>
  <c r="A11275" i="80"/>
  <c r="G16" i="61"/>
  <c r="G116" i="3"/>
  <c r="G120" i="3"/>
  <c r="E27" i="3"/>
  <c r="H496" i="79"/>
  <c r="A495" i="80"/>
  <c r="E29" i="3"/>
  <c r="H508" i="79"/>
  <c r="A507" i="80"/>
  <c r="C80" i="8"/>
  <c r="D32" i="48"/>
  <c r="H6823" i="79"/>
  <c r="A6822" i="80"/>
  <c r="E42" i="3"/>
  <c r="H898" i="79"/>
  <c r="A897" i="80"/>
  <c r="G35" i="3"/>
  <c r="D32" i="8"/>
  <c r="H5282" i="79"/>
  <c r="A5281" i="80"/>
  <c r="G12" i="3"/>
  <c r="H232" i="79"/>
  <c r="A231" i="80"/>
  <c r="G35" i="61"/>
  <c r="H11534" i="79"/>
  <c r="A11533" i="80"/>
  <c r="G23" i="60"/>
  <c r="G25" i="60"/>
  <c r="D12" i="4"/>
  <c r="I23" i="37"/>
  <c r="I25" i="37"/>
  <c r="H23" i="37"/>
  <c r="H25" i="37"/>
  <c r="C71" i="8"/>
  <c r="E26" i="3"/>
  <c r="H490" i="79"/>
  <c r="A489" i="80"/>
  <c r="C25" i="3"/>
  <c r="H454" i="79"/>
  <c r="A453" i="80"/>
  <c r="D57" i="4"/>
  <c r="D62" i="4"/>
  <c r="H2664" i="79"/>
  <c r="A2663" i="80"/>
  <c r="C44" i="8"/>
  <c r="E10" i="3"/>
  <c r="H76" i="79"/>
  <c r="A75" i="80"/>
  <c r="B28" i="61"/>
  <c r="H10586" i="79"/>
  <c r="A10585" i="80"/>
  <c r="D24" i="61"/>
  <c r="H10928" i="79"/>
  <c r="A10927" i="80"/>
  <c r="C22" i="61"/>
  <c r="H10760" i="79"/>
  <c r="A10759" i="80"/>
  <c r="C28" i="61"/>
  <c r="H10766" i="79"/>
  <c r="A10765" i="80"/>
  <c r="D36" i="61"/>
  <c r="H11000" i="79"/>
  <c r="A10999" i="80"/>
  <c r="D13" i="30"/>
  <c r="D12" i="30"/>
  <c r="B12" i="30"/>
  <c r="C50" i="8"/>
  <c r="E41" i="4"/>
  <c r="H2328" i="79"/>
  <c r="A2327" i="80"/>
  <c r="D37" i="4"/>
  <c r="D64" i="4"/>
  <c r="H2646" i="79"/>
  <c r="A2645" i="80"/>
  <c r="L8" i="1"/>
  <c r="L4" i="1"/>
  <c r="K8" i="1"/>
  <c r="L6" i="1"/>
  <c r="C91" i="8"/>
  <c r="E28" i="61"/>
  <c r="H11132" i="79"/>
  <c r="A11131" i="80"/>
  <c r="G24" i="61"/>
  <c r="H11468" i="79"/>
  <c r="A11467" i="80"/>
  <c r="G34" i="61"/>
  <c r="H11528" i="79"/>
  <c r="A11527" i="80"/>
  <c r="E37" i="61"/>
  <c r="H11186" i="79"/>
  <c r="A11185" i="80"/>
  <c r="D44" i="8"/>
  <c r="L5" i="63"/>
  <c r="L6" i="63"/>
  <c r="L9" i="63"/>
  <c r="L2" i="63"/>
  <c r="K3" i="63"/>
  <c r="K9" i="63"/>
  <c r="L4" i="63"/>
  <c r="K8" i="63"/>
  <c r="L7" i="63"/>
  <c r="K5" i="63"/>
  <c r="L3" i="63"/>
  <c r="L8" i="63"/>
  <c r="K2" i="63"/>
  <c r="K6" i="63"/>
  <c r="M6" i="63"/>
  <c r="K4" i="63"/>
  <c r="K7" i="63"/>
  <c r="C17" i="3"/>
  <c r="H280" i="79"/>
  <c r="A279" i="80"/>
  <c r="E18" i="3"/>
  <c r="H334" i="79"/>
  <c r="A333" i="80"/>
  <c r="E28" i="3"/>
  <c r="E18" i="27"/>
  <c r="E21" i="27"/>
  <c r="B37" i="61"/>
  <c r="H10640" i="79"/>
  <c r="A10639" i="80"/>
  <c r="D34" i="61"/>
  <c r="H10988" i="79"/>
  <c r="A10987" i="80"/>
  <c r="D9" i="30"/>
  <c r="D8" i="30"/>
  <c r="B8" i="30"/>
  <c r="B22" i="61"/>
  <c r="H10580" i="79"/>
  <c r="A10579" i="80"/>
  <c r="D11" i="61"/>
  <c r="H10856" i="79"/>
  <c r="A10855" i="80"/>
  <c r="E30" i="24"/>
  <c r="D14" i="24"/>
  <c r="E35" i="4"/>
  <c r="D31" i="4"/>
  <c r="C14" i="39"/>
  <c r="G6" i="7"/>
  <c r="H4633" i="79"/>
  <c r="A4632" i="80"/>
  <c r="E11" i="47"/>
  <c r="H6316" i="79"/>
  <c r="A6315" i="80"/>
  <c r="F3" i="61"/>
  <c r="G6" i="60"/>
  <c r="E116" i="3"/>
  <c r="E120" i="3"/>
  <c r="D25" i="61"/>
  <c r="H10934" i="79"/>
  <c r="A10933" i="80"/>
  <c r="C12" i="3"/>
  <c r="H142" i="79"/>
  <c r="A141" i="80"/>
  <c r="D25" i="42"/>
  <c r="D25" i="3"/>
  <c r="H484" i="79"/>
  <c r="A483" i="80"/>
  <c r="E31" i="47"/>
  <c r="E40" i="3"/>
  <c r="H742" i="79"/>
  <c r="A741" i="80"/>
  <c r="F9" i="24"/>
  <c r="H3686" i="79"/>
  <c r="A3685" i="80"/>
  <c r="C14" i="49"/>
  <c r="K5" i="1"/>
  <c r="L5" i="1"/>
  <c r="G35" i="4"/>
  <c r="E21" i="47"/>
  <c r="E19" i="47"/>
  <c r="E18" i="47"/>
  <c r="H6450" i="79"/>
  <c r="A6449" i="80"/>
  <c r="H2490" i="79"/>
  <c r="A2489" i="80"/>
  <c r="I22" i="24"/>
  <c r="G17" i="3"/>
  <c r="H424" i="79"/>
  <c r="A423" i="80"/>
  <c r="G36" i="61"/>
  <c r="H11540" i="79"/>
  <c r="A11539" i="80"/>
  <c r="I29" i="48"/>
  <c r="I24" i="24"/>
  <c r="E11" i="3"/>
  <c r="H82" i="79"/>
  <c r="A81" i="80"/>
  <c r="E37" i="3"/>
  <c r="H724" i="79"/>
  <c r="A723" i="80"/>
  <c r="E44" i="3"/>
  <c r="H910" i="79"/>
  <c r="A909" i="80"/>
  <c r="D41" i="3"/>
  <c r="E38" i="3"/>
  <c r="H730" i="79"/>
  <c r="A729" i="80"/>
  <c r="D35" i="61"/>
  <c r="H10994" i="79"/>
  <c r="A10993" i="80"/>
  <c r="D23" i="47"/>
  <c r="H6570" i="79"/>
  <c r="A6569" i="80"/>
  <c r="D15" i="61"/>
  <c r="E20" i="3"/>
  <c r="H346" i="79"/>
  <c r="A345" i="80"/>
  <c r="E56" i="3"/>
  <c r="H1108" i="79"/>
  <c r="A1107" i="80"/>
  <c r="G41" i="3"/>
  <c r="H976" i="79"/>
  <c r="A975" i="80"/>
  <c r="I16" i="24"/>
  <c r="I25" i="48"/>
  <c r="D80" i="8"/>
  <c r="G25" i="3"/>
  <c r="H544" i="79"/>
  <c r="A543" i="80"/>
  <c r="E93" i="3"/>
  <c r="H1439" i="79"/>
  <c r="A1438" i="80"/>
  <c r="E47" i="3"/>
  <c r="H886" i="79"/>
  <c r="A885" i="80"/>
  <c r="D16" i="47"/>
  <c r="H6414" i="79"/>
  <c r="A6413" i="80"/>
  <c r="D26" i="61"/>
  <c r="H10940" i="79"/>
  <c r="A10939" i="80"/>
  <c r="C32" i="48"/>
  <c r="L3" i="1"/>
  <c r="K2" i="1"/>
  <c r="C8" i="3"/>
  <c r="H40" i="79"/>
  <c r="A39" i="80"/>
  <c r="G103" i="3"/>
  <c r="I11" i="24"/>
  <c r="G26" i="61"/>
  <c r="H11480" i="79"/>
  <c r="A11479" i="80"/>
  <c r="I10" i="48"/>
  <c r="H6354" i="79"/>
  <c r="A6353" i="80"/>
  <c r="E30" i="47"/>
  <c r="G30" i="3"/>
  <c r="H616" i="79"/>
  <c r="A615" i="80"/>
  <c r="E27" i="47"/>
  <c r="H2832" i="79"/>
  <c r="A2831" i="80"/>
  <c r="H30" i="24"/>
  <c r="G93" i="3"/>
  <c r="H1457" i="79"/>
  <c r="A1456" i="80"/>
  <c r="H1926" i="79"/>
  <c r="A1925" i="80"/>
  <c r="C8" i="51"/>
  <c r="C6" i="51"/>
  <c r="B6" i="51"/>
  <c r="E55" i="3"/>
  <c r="H1102" i="79"/>
  <c r="A1101" i="80"/>
  <c r="C54" i="3"/>
  <c r="C41" i="3"/>
  <c r="H832" i="79"/>
  <c r="A831" i="80"/>
  <c r="D8" i="3"/>
  <c r="H64" i="79"/>
  <c r="A63" i="80"/>
  <c r="E12" i="49"/>
  <c r="H7758" i="79"/>
  <c r="A7757" i="80"/>
  <c r="I20" i="48"/>
  <c r="H7075" i="79"/>
  <c r="A7074" i="80"/>
  <c r="B32" i="48"/>
  <c r="H6721" i="79"/>
  <c r="A6720" i="80"/>
  <c r="H4086" i="79"/>
  <c r="A4085" i="80"/>
  <c r="I21" i="24"/>
  <c r="E22" i="61"/>
  <c r="H11096" i="79"/>
  <c r="A11095" i="80"/>
  <c r="G11" i="61"/>
  <c r="H11390" i="79"/>
  <c r="A11389" i="80"/>
  <c r="D71" i="8"/>
  <c r="B17" i="48"/>
  <c r="H6691" i="79"/>
  <c r="A6690" i="80"/>
  <c r="I8" i="48"/>
  <c r="H7051" i="79"/>
  <c r="A7050" i="80"/>
  <c r="G30" i="61"/>
  <c r="H11504" i="79"/>
  <c r="A11503" i="80"/>
  <c r="E32" i="61"/>
  <c r="H11156" i="79"/>
  <c r="A11155" i="80"/>
  <c r="D91" i="8"/>
  <c r="C32" i="8"/>
  <c r="C9" i="47"/>
  <c r="D17" i="48"/>
  <c r="C37" i="61"/>
  <c r="H10826" i="79"/>
  <c r="A10825" i="80"/>
  <c r="F32" i="48"/>
  <c r="D87" i="8"/>
  <c r="H5756" i="79"/>
  <c r="A5755" i="80"/>
  <c r="E13" i="47"/>
  <c r="D20" i="8"/>
  <c r="H5228" i="79"/>
  <c r="A5227" i="80"/>
  <c r="G86" i="3"/>
  <c r="H1406" i="79"/>
  <c r="A1405" i="80"/>
  <c r="I23" i="24"/>
  <c r="E28" i="47"/>
  <c r="K9" i="1"/>
  <c r="E36" i="3"/>
  <c r="H718" i="79"/>
  <c r="A717" i="80"/>
  <c r="C35" i="3"/>
  <c r="H676" i="79"/>
  <c r="A675" i="80"/>
  <c r="D14" i="51"/>
  <c r="D11" i="51"/>
  <c r="B11" i="51"/>
  <c r="D30" i="61"/>
  <c r="B32" i="61"/>
  <c r="H10616" i="79"/>
  <c r="A10615" i="80"/>
  <c r="I10" i="24"/>
  <c r="H3740" i="79"/>
  <c r="A3739" i="80"/>
  <c r="B9" i="24"/>
  <c r="H3590" i="79"/>
  <c r="A3589" i="80"/>
  <c r="G7" i="7"/>
  <c r="H4639" i="79"/>
  <c r="A4638" i="80"/>
  <c r="H2154" i="79"/>
  <c r="A2153" i="80"/>
  <c r="C104" i="8"/>
  <c r="D104" i="8"/>
  <c r="G8" i="3"/>
  <c r="H112" i="79"/>
  <c r="A111" i="80"/>
  <c r="B14" i="24"/>
  <c r="H3828" i="79"/>
  <c r="A3827" i="80"/>
  <c r="B14" i="49"/>
  <c r="E16" i="49"/>
  <c r="E25" i="47"/>
  <c r="H6624" i="79"/>
  <c r="A6623" i="80"/>
  <c r="H6474" i="79"/>
  <c r="A6473" i="80"/>
  <c r="E17" i="49"/>
  <c r="E79" i="3"/>
  <c r="H1337" i="79"/>
  <c r="A1336" i="80"/>
  <c r="E15" i="3"/>
  <c r="H190" i="79"/>
  <c r="A189" i="80"/>
  <c r="G32" i="48"/>
  <c r="C87" i="8"/>
  <c r="H5588" i="79"/>
  <c r="A5587" i="80"/>
  <c r="D27" i="61"/>
  <c r="H10946" i="79"/>
  <c r="A10945" i="80"/>
  <c r="E103" i="3"/>
  <c r="C20" i="8"/>
  <c r="H5024" i="79"/>
  <c r="A5023" i="80"/>
  <c r="E23" i="3"/>
  <c r="H364" i="79"/>
  <c r="A363" i="80"/>
  <c r="F14" i="24"/>
  <c r="H3948" i="79"/>
  <c r="A3947" i="80"/>
  <c r="C14" i="24"/>
  <c r="D19" i="61"/>
  <c r="C23" i="47"/>
  <c r="H6522" i="79"/>
  <c r="A6521" i="80"/>
  <c r="C9" i="24"/>
  <c r="H3614" i="79"/>
  <c r="A3613" i="80"/>
  <c r="E45" i="3"/>
  <c r="H916" i="79"/>
  <c r="A915" i="80"/>
  <c r="L7" i="1"/>
  <c r="K7" i="1"/>
  <c r="L9" i="1"/>
  <c r="F37" i="61"/>
  <c r="H11366" i="79"/>
  <c r="A11365" i="80"/>
  <c r="G25" i="61"/>
  <c r="H11474" i="79"/>
  <c r="A11473" i="80"/>
  <c r="I25" i="24"/>
  <c r="K6" i="1"/>
  <c r="D54" i="3"/>
  <c r="D17" i="3"/>
  <c r="H328" i="79"/>
  <c r="A327" i="80"/>
  <c r="G79" i="3"/>
  <c r="H1355" i="79"/>
  <c r="A1354" i="80"/>
  <c r="I27" i="24"/>
  <c r="G12" i="61"/>
  <c r="D33" i="8"/>
  <c r="H5288" i="79"/>
  <c r="A5287" i="80"/>
  <c r="I12" i="24"/>
  <c r="I26" i="24"/>
  <c r="I18" i="24"/>
  <c r="E29" i="47"/>
  <c r="I13" i="48"/>
  <c r="G97" i="3"/>
  <c r="H1493" i="79"/>
  <c r="A1492" i="80"/>
  <c r="E12" i="47"/>
  <c r="E13" i="3"/>
  <c r="H178" i="79"/>
  <c r="A177" i="80"/>
  <c r="H39" i="71"/>
  <c r="H7888" i="79"/>
  <c r="A7887" i="80"/>
  <c r="J18" i="37"/>
  <c r="D32" i="61"/>
  <c r="H10976" i="79"/>
  <c r="A10975" i="80"/>
  <c r="H10964" i="79"/>
  <c r="A10963" i="80"/>
  <c r="H19" i="61"/>
  <c r="H11618" i="79"/>
  <c r="A11617" i="80"/>
  <c r="H10898" i="79"/>
  <c r="A10897" i="80"/>
  <c r="H10874" i="79"/>
  <c r="A10873" i="80"/>
  <c r="H6238" i="79"/>
  <c r="A6237" i="80"/>
  <c r="H16" i="61"/>
  <c r="H11594" i="79"/>
  <c r="A11593" i="80"/>
  <c r="H11414" i="79"/>
  <c r="A11413" i="80"/>
  <c r="H11408" i="79"/>
  <c r="A11407" i="80"/>
  <c r="D68" i="4"/>
  <c r="H21" i="61"/>
  <c r="H11630" i="79"/>
  <c r="A11629" i="80"/>
  <c r="H11450" i="79"/>
  <c r="A11449" i="80"/>
  <c r="H6262" i="79"/>
  <c r="A6261" i="80"/>
  <c r="H7704" i="79"/>
  <c r="A7703" i="80"/>
  <c r="E14" i="49"/>
  <c r="E22" i="49"/>
  <c r="H7782" i="79"/>
  <c r="A7781" i="80"/>
  <c r="G75" i="4"/>
  <c r="G29" i="4"/>
  <c r="H1776" i="79"/>
  <c r="A1775" i="80"/>
  <c r="D19" i="4"/>
  <c r="E75" i="4"/>
  <c r="E29" i="4"/>
  <c r="E76" i="4"/>
  <c r="C42" i="42"/>
  <c r="H3858" i="79"/>
  <c r="A3857" i="80"/>
  <c r="D30" i="24"/>
  <c r="H3888" i="79"/>
  <c r="A3887" i="80"/>
  <c r="G114" i="3"/>
  <c r="H1661" i="79"/>
  <c r="A1660" i="80"/>
  <c r="H1577" i="79"/>
  <c r="A1576" i="80"/>
  <c r="E35" i="44"/>
  <c r="H1709" i="79"/>
  <c r="A1708" i="80"/>
  <c r="G58" i="3"/>
  <c r="H1144" i="79"/>
  <c r="A1143" i="80"/>
  <c r="D38" i="8"/>
  <c r="H5300" i="79"/>
  <c r="A5299" i="80"/>
  <c r="D97" i="8"/>
  <c r="H5804" i="79"/>
  <c r="A5803" i="80"/>
  <c r="H5792" i="79"/>
  <c r="A5791" i="80"/>
  <c r="B22" i="49"/>
  <c r="H7692" i="79"/>
  <c r="A7691" i="80"/>
  <c r="H7674" i="79"/>
  <c r="A7673" i="80"/>
  <c r="D72" i="8"/>
  <c r="H5678" i="79"/>
  <c r="A5677" i="80"/>
  <c r="H5672" i="79"/>
  <c r="A5671" i="80"/>
  <c r="D81" i="8"/>
  <c r="H5726" i="79"/>
  <c r="A5725" i="80"/>
  <c r="H5720" i="79"/>
  <c r="A5719" i="80"/>
  <c r="D60" i="8"/>
  <c r="H5492" i="79"/>
  <c r="A5491" i="80"/>
  <c r="H5486" i="79"/>
  <c r="A5485" i="80"/>
  <c r="G9" i="7"/>
  <c r="H4651" i="79"/>
  <c r="A4650" i="80"/>
  <c r="D105" i="8"/>
  <c r="H5876" i="79"/>
  <c r="A5875" i="80"/>
  <c r="H5870" i="79"/>
  <c r="A5869" i="80"/>
  <c r="D92" i="8"/>
  <c r="H5780" i="79"/>
  <c r="A5779" i="80"/>
  <c r="H5774" i="79"/>
  <c r="A5773" i="80"/>
  <c r="G42" i="4"/>
  <c r="H2460" i="79"/>
  <c r="A2459" i="80"/>
  <c r="H2448" i="79"/>
  <c r="A2447" i="80"/>
  <c r="D45" i="8"/>
  <c r="H5348" i="79"/>
  <c r="A5347" i="80"/>
  <c r="H5342" i="79"/>
  <c r="A5341" i="80"/>
  <c r="G42" i="61"/>
  <c r="H784" i="79"/>
  <c r="A783" i="80"/>
  <c r="G13" i="7"/>
  <c r="H4675" i="79"/>
  <c r="A4674" i="80"/>
  <c r="D51" i="8"/>
  <c r="H5408" i="79"/>
  <c r="A5407" i="80"/>
  <c r="H5402" i="79"/>
  <c r="A5401" i="80"/>
  <c r="D9" i="8"/>
  <c r="H5180" i="79"/>
  <c r="A5179" i="80"/>
  <c r="H5168" i="79"/>
  <c r="A5167" i="80"/>
  <c r="E30" i="3"/>
  <c r="H598" i="79"/>
  <c r="A597" i="80"/>
  <c r="M4" i="1"/>
  <c r="C42" i="61"/>
  <c r="H712" i="79"/>
  <c r="A711" i="80"/>
  <c r="F60" i="4"/>
  <c r="H2736" i="79"/>
  <c r="A2735" i="80"/>
  <c r="H2562" i="79"/>
  <c r="A2561" i="80"/>
  <c r="F59" i="4"/>
  <c r="H2706" i="79"/>
  <c r="A2705" i="80"/>
  <c r="H2538" i="79"/>
  <c r="A2537" i="80"/>
  <c r="F18" i="4"/>
  <c r="H1740" i="79"/>
  <c r="A1739" i="80"/>
  <c r="C58" i="3"/>
  <c r="H1150" i="79"/>
  <c r="A1149" i="80"/>
  <c r="H1072" i="79"/>
  <c r="A1071" i="80"/>
  <c r="C33" i="48"/>
  <c r="H6769" i="79"/>
  <c r="A6768" i="80"/>
  <c r="H6775" i="79"/>
  <c r="A6774" i="80"/>
  <c r="D52" i="3"/>
  <c r="H1036" i="79"/>
  <c r="A1035" i="80"/>
  <c r="H880" i="79"/>
  <c r="A879" i="80"/>
  <c r="F19" i="47"/>
  <c r="H6456" i="79"/>
  <c r="A6455" i="80"/>
  <c r="D30" i="4"/>
  <c r="H2190" i="79"/>
  <c r="A2189" i="80"/>
  <c r="D63" i="4"/>
  <c r="H2544" i="79"/>
  <c r="A2543" i="80"/>
  <c r="H2580" i="79"/>
  <c r="A2579" i="80"/>
  <c r="F20" i="47"/>
  <c r="H6462" i="79"/>
  <c r="A6461" i="80"/>
  <c r="E10" i="7"/>
  <c r="H2016" i="79"/>
  <c r="A2015" i="80"/>
  <c r="F27" i="4"/>
  <c r="H1818" i="79"/>
  <c r="A1817" i="80"/>
  <c r="F61" i="4"/>
  <c r="H2568" i="79"/>
  <c r="A2567" i="80"/>
  <c r="F29" i="47"/>
  <c r="H6648" i="79"/>
  <c r="A6647" i="80"/>
  <c r="C105" i="8"/>
  <c r="H5840" i="79"/>
  <c r="A5839" i="80"/>
  <c r="H5834" i="79"/>
  <c r="A5833" i="80"/>
  <c r="F30" i="47"/>
  <c r="H6654" i="79"/>
  <c r="A6653" i="80"/>
  <c r="J25" i="48"/>
  <c r="H7081" i="79"/>
  <c r="A7080" i="80"/>
  <c r="F26" i="47"/>
  <c r="H6630" i="79"/>
  <c r="A6629" i="80"/>
  <c r="D28" i="4"/>
  <c r="H1752" i="79"/>
  <c r="A1751" i="80"/>
  <c r="F32" i="4"/>
  <c r="H2352" i="79"/>
  <c r="A2351" i="80"/>
  <c r="H2196" i="79"/>
  <c r="A2195" i="80"/>
  <c r="F22" i="4"/>
  <c r="H1836" i="79"/>
  <c r="A1835" i="80"/>
  <c r="F71" i="4"/>
  <c r="H2886" i="79"/>
  <c r="A2885" i="80"/>
  <c r="F40" i="4"/>
  <c r="H2400" i="79"/>
  <c r="A2399" i="80"/>
  <c r="H2244" i="79"/>
  <c r="A2243" i="80"/>
  <c r="F15" i="4"/>
  <c r="H1794" i="79"/>
  <c r="A1793" i="80"/>
  <c r="F17" i="4"/>
  <c r="H1734" i="79"/>
  <c r="A1733" i="80"/>
  <c r="F16" i="4"/>
  <c r="H1800" i="79"/>
  <c r="A1799" i="80"/>
  <c r="C22" i="49"/>
  <c r="H7722" i="79"/>
  <c r="A7721" i="80"/>
  <c r="D22" i="49"/>
  <c r="H7752" i="79"/>
  <c r="A7751" i="80"/>
  <c r="D58" i="3"/>
  <c r="H1156" i="79"/>
  <c r="A1155" i="80"/>
  <c r="H1096" i="79"/>
  <c r="A1095" i="80"/>
  <c r="E114" i="3"/>
  <c r="H1655" i="79"/>
  <c r="A1654" i="80"/>
  <c r="H1523" i="79"/>
  <c r="A1522" i="80"/>
  <c r="D33" i="48"/>
  <c r="H6829" i="79"/>
  <c r="A6828" i="80"/>
  <c r="H6799" i="79"/>
  <c r="A6798" i="80"/>
  <c r="H4422" i="79"/>
  <c r="A4421" i="80"/>
  <c r="I20" i="24"/>
  <c r="H4464" i="79"/>
  <c r="A4463" i="80"/>
  <c r="F27" i="47"/>
  <c r="H6636" i="79"/>
  <c r="A6635" i="80"/>
  <c r="J10" i="48"/>
  <c r="H7057" i="79"/>
  <c r="A7056" i="80"/>
  <c r="F21" i="47"/>
  <c r="H6468" i="79"/>
  <c r="A6467" i="80"/>
  <c r="C35" i="44"/>
  <c r="D35" i="44"/>
  <c r="H1703" i="79"/>
  <c r="A1702" i="80"/>
  <c r="E42" i="4"/>
  <c r="H2298" i="79"/>
  <c r="A2297" i="80"/>
  <c r="H2292" i="79"/>
  <c r="A2291" i="80"/>
  <c r="D36" i="4"/>
  <c r="H2256" i="79"/>
  <c r="A2255" i="80"/>
  <c r="H2226" i="79"/>
  <c r="A2225" i="80"/>
  <c r="F67" i="4"/>
  <c r="H2772" i="79"/>
  <c r="A2771" i="80"/>
  <c r="H2598" i="79"/>
  <c r="A2597" i="80"/>
  <c r="E11" i="7"/>
  <c r="H4513" i="79"/>
  <c r="A4512" i="80"/>
  <c r="H2022" i="79"/>
  <c r="A2021" i="80"/>
  <c r="F24" i="4"/>
  <c r="H1830" i="79"/>
  <c r="A1829" i="80"/>
  <c r="F33" i="4"/>
  <c r="H2358" i="79"/>
  <c r="A2357" i="80"/>
  <c r="H2202" i="79"/>
  <c r="A2201" i="80"/>
  <c r="G33" i="48"/>
  <c r="H6991" i="79"/>
  <c r="A6990" i="80"/>
  <c r="H6985" i="79"/>
  <c r="A6984" i="80"/>
  <c r="F28" i="47"/>
  <c r="H6642" i="79"/>
  <c r="A6641" i="80"/>
  <c r="F31" i="47"/>
  <c r="H6660" i="79"/>
  <c r="A6659" i="80"/>
  <c r="F26" i="4"/>
  <c r="H1824" i="79"/>
  <c r="A1823" i="80"/>
  <c r="F58" i="4"/>
  <c r="H2700" i="79"/>
  <c r="A2699" i="80"/>
  <c r="H2532" i="79"/>
  <c r="A2531" i="80"/>
  <c r="F34" i="4"/>
  <c r="H2364" i="79"/>
  <c r="A2363" i="80"/>
  <c r="H2208" i="79"/>
  <c r="A2207" i="80"/>
  <c r="F17" i="49"/>
  <c r="H7776" i="79"/>
  <c r="A7775" i="80"/>
  <c r="J13" i="48"/>
  <c r="H7063" i="79"/>
  <c r="A7062" i="80"/>
  <c r="F16" i="49"/>
  <c r="H7770" i="79"/>
  <c r="A7769" i="80"/>
  <c r="F33" i="48"/>
  <c r="H6937" i="79"/>
  <c r="A6936" i="80"/>
  <c r="H6931" i="79"/>
  <c r="A6930" i="80"/>
  <c r="J29" i="48"/>
  <c r="H7087" i="79"/>
  <c r="A7086" i="80"/>
  <c r="D56" i="4"/>
  <c r="H2604" i="79"/>
  <c r="A2603" i="80"/>
  <c r="H2526" i="79"/>
  <c r="A2525" i="80"/>
  <c r="E33" i="48"/>
  <c r="H6883" i="79"/>
  <c r="A6882" i="80"/>
  <c r="H6877" i="79"/>
  <c r="A6876" i="80"/>
  <c r="H33" i="48"/>
  <c r="H7045" i="79"/>
  <c r="A7044" i="80"/>
  <c r="H7015" i="79"/>
  <c r="A7014" i="80"/>
  <c r="F39" i="4"/>
  <c r="H2394" i="79"/>
  <c r="A2393" i="80"/>
  <c r="H2238" i="79"/>
  <c r="A2237" i="80"/>
  <c r="F25" i="4"/>
  <c r="H1806" i="79"/>
  <c r="A1805" i="80"/>
  <c r="F23" i="4"/>
  <c r="H1842" i="79"/>
  <c r="A1841" i="80"/>
  <c r="F38" i="4"/>
  <c r="H2388" i="79"/>
  <c r="A2387" i="80"/>
  <c r="H2232" i="79"/>
  <c r="A2231" i="80"/>
  <c r="F65" i="4"/>
  <c r="H2760" i="79"/>
  <c r="A2759" i="80"/>
  <c r="H2586" i="79"/>
  <c r="A2585" i="80"/>
  <c r="F66" i="4"/>
  <c r="H2766" i="79"/>
  <c r="A2765" i="80"/>
  <c r="H2592" i="79"/>
  <c r="A2591" i="80"/>
  <c r="M6" i="1"/>
  <c r="H12" i="61"/>
  <c r="H11576" i="79"/>
  <c r="A11575" i="80"/>
  <c r="H11396" i="79"/>
  <c r="A11395" i="80"/>
  <c r="F13" i="47"/>
  <c r="H6328" i="79"/>
  <c r="A6327" i="80"/>
  <c r="F12" i="47"/>
  <c r="H6322" i="79"/>
  <c r="A6321" i="80"/>
  <c r="C72" i="8"/>
  <c r="H5522" i="79"/>
  <c r="A5521" i="80"/>
  <c r="H5516" i="79"/>
  <c r="A5515" i="80"/>
  <c r="C33" i="8"/>
  <c r="H5096" i="79"/>
  <c r="A5095" i="80"/>
  <c r="H5090" i="79"/>
  <c r="A5089" i="80"/>
  <c r="C45" i="8"/>
  <c r="H5156" i="79"/>
  <c r="A5155" i="80"/>
  <c r="H5138" i="79"/>
  <c r="A5137" i="80"/>
  <c r="C81" i="8"/>
  <c r="H5558" i="79"/>
  <c r="A5557" i="80"/>
  <c r="H5552" i="79"/>
  <c r="A5551" i="80"/>
  <c r="C60" i="8"/>
  <c r="H5438" i="79"/>
  <c r="A5437" i="80"/>
  <c r="H5432" i="79"/>
  <c r="A5431" i="80"/>
  <c r="C97" i="8"/>
  <c r="H5636" i="79"/>
  <c r="A5635" i="80"/>
  <c r="H5624" i="79"/>
  <c r="A5623" i="80"/>
  <c r="C51" i="8"/>
  <c r="H5384" i="79"/>
  <c r="A5383" i="80"/>
  <c r="H5378" i="79"/>
  <c r="A5377" i="80"/>
  <c r="C38" i="8"/>
  <c r="H5108" i="79"/>
  <c r="A5107" i="80"/>
  <c r="C92" i="8"/>
  <c r="H5612" i="79"/>
  <c r="A5611" i="80"/>
  <c r="H5606" i="79"/>
  <c r="A5605" i="80"/>
  <c r="C9" i="8"/>
  <c r="H4976" i="79"/>
  <c r="A4975" i="80"/>
  <c r="H4964" i="79"/>
  <c r="A4963" i="80"/>
  <c r="J12" i="24"/>
  <c r="H3752" i="79"/>
  <c r="A3751" i="80"/>
  <c r="J11" i="24"/>
  <c r="H3746" i="79"/>
  <c r="A3745" i="80"/>
  <c r="J27" i="24"/>
  <c r="H4458" i="79"/>
  <c r="A4457" i="80"/>
  <c r="J22" i="24"/>
  <c r="H4428" i="79"/>
  <c r="A4427" i="80"/>
  <c r="J17" i="24"/>
  <c r="H4026" i="79"/>
  <c r="A4025" i="80"/>
  <c r="J26" i="24"/>
  <c r="H4452" i="79"/>
  <c r="A4451" i="80"/>
  <c r="J24" i="24"/>
  <c r="H4440" i="79"/>
  <c r="A4439" i="80"/>
  <c r="J18" i="24"/>
  <c r="H4032" i="79"/>
  <c r="A4031" i="80"/>
  <c r="J25" i="24"/>
  <c r="H4446" i="79"/>
  <c r="A4445" i="80"/>
  <c r="J23" i="24"/>
  <c r="H4434" i="79"/>
  <c r="A4433" i="80"/>
  <c r="J16" i="24"/>
  <c r="H4020" i="79"/>
  <c r="A4019" i="80"/>
  <c r="C43" i="42"/>
  <c r="H4140" i="79"/>
  <c r="A4139" i="80"/>
  <c r="F21" i="4"/>
  <c r="D20" i="4"/>
  <c r="H1758" i="79"/>
  <c r="A1757" i="80"/>
  <c r="H2964" i="79"/>
  <c r="A2963" i="80"/>
  <c r="D11" i="4"/>
  <c r="H1770" i="79"/>
  <c r="A1769" i="80"/>
  <c r="H1746" i="79"/>
  <c r="A1745" i="80"/>
  <c r="H15" i="61"/>
  <c r="M5" i="63"/>
  <c r="M9" i="63"/>
  <c r="F38" i="61"/>
  <c r="H11372" i="79"/>
  <c r="A11371" i="80"/>
  <c r="H35" i="61"/>
  <c r="H11714" i="79"/>
  <c r="A11713" i="80"/>
  <c r="M4" i="63"/>
  <c r="H27" i="61"/>
  <c r="H11666" i="79"/>
  <c r="A11665" i="80"/>
  <c r="G52" i="3"/>
  <c r="F18" i="27"/>
  <c r="F21" i="27"/>
  <c r="H502" i="79"/>
  <c r="A501" i="80"/>
  <c r="M3" i="1"/>
  <c r="E35" i="3"/>
  <c r="H36" i="61"/>
  <c r="H11720" i="79"/>
  <c r="A11719" i="80"/>
  <c r="H25" i="61"/>
  <c r="H11654" i="79"/>
  <c r="A11653" i="80"/>
  <c r="B33" i="48"/>
  <c r="H6715" i="79"/>
  <c r="A6714" i="80"/>
  <c r="P6" i="1"/>
  <c r="B30" i="24"/>
  <c r="E54" i="3"/>
  <c r="M5" i="1"/>
  <c r="M8" i="1"/>
  <c r="D33" i="47"/>
  <c r="D21" i="26"/>
  <c r="D25" i="26"/>
  <c r="E41" i="3"/>
  <c r="H928" i="79"/>
  <c r="A927" i="80"/>
  <c r="G33" i="3"/>
  <c r="H640" i="79"/>
  <c r="A639" i="80"/>
  <c r="E23" i="47"/>
  <c r="H6618" i="79"/>
  <c r="A6617" i="80"/>
  <c r="F25" i="47"/>
  <c r="J15" i="24"/>
  <c r="I14" i="24"/>
  <c r="H4038" i="79"/>
  <c r="A4037" i="80"/>
  <c r="J21" i="24"/>
  <c r="F12" i="49"/>
  <c r="F18" i="47"/>
  <c r="E16" i="47"/>
  <c r="H6444" i="79"/>
  <c r="A6443" i="80"/>
  <c r="F31" i="4"/>
  <c r="D35" i="4"/>
  <c r="M2" i="63"/>
  <c r="O6" i="63"/>
  <c r="K10" i="63"/>
  <c r="H34" i="61"/>
  <c r="H11708" i="79"/>
  <c r="A11707" i="80"/>
  <c r="G37" i="61"/>
  <c r="H11546" i="79"/>
  <c r="A11545" i="80"/>
  <c r="C33" i="47"/>
  <c r="G27" i="7"/>
  <c r="H4741" i="79"/>
  <c r="A4740" i="80"/>
  <c r="F30" i="24"/>
  <c r="C19" i="26"/>
  <c r="C25" i="26"/>
  <c r="B33" i="47"/>
  <c r="D22" i="61"/>
  <c r="H10916" i="79"/>
  <c r="A10915" i="80"/>
  <c r="P9" i="63"/>
  <c r="M3" i="63"/>
  <c r="E69" i="4"/>
  <c r="H2640" i="79"/>
  <c r="A2639" i="80"/>
  <c r="B42" i="61"/>
  <c r="C52" i="3"/>
  <c r="H1030" i="79"/>
  <c r="A1029" i="80"/>
  <c r="I32" i="48"/>
  <c r="H7093" i="79"/>
  <c r="A7092" i="80"/>
  <c r="J20" i="48"/>
  <c r="M2" i="1"/>
  <c r="O6" i="1"/>
  <c r="K10" i="1"/>
  <c r="E9" i="47"/>
  <c r="I39" i="71"/>
  <c r="I41" i="71"/>
  <c r="F11" i="47"/>
  <c r="F37" i="4"/>
  <c r="H2382" i="79"/>
  <c r="A2381" i="80"/>
  <c r="D41" i="4"/>
  <c r="H2250" i="79"/>
  <c r="A2249" i="80"/>
  <c r="P9" i="1"/>
  <c r="E123" i="3"/>
  <c r="H2976" i="79"/>
  <c r="A2975" i="80"/>
  <c r="M9" i="1"/>
  <c r="E38" i="61"/>
  <c r="H11192" i="79"/>
  <c r="A11191" i="80"/>
  <c r="G69" i="4"/>
  <c r="H26" i="61"/>
  <c r="H11660" i="79"/>
  <c r="A11659" i="80"/>
  <c r="D37" i="61"/>
  <c r="H11006" i="79"/>
  <c r="A11005" i="80"/>
  <c r="E17" i="3"/>
  <c r="H376" i="79"/>
  <c r="A375" i="80"/>
  <c r="C38" i="61"/>
  <c r="E25" i="3"/>
  <c r="H514" i="79"/>
  <c r="A513" i="80"/>
  <c r="E8" i="3"/>
  <c r="H88" i="79"/>
  <c r="A87" i="80"/>
  <c r="C33" i="3"/>
  <c r="H622" i="79"/>
  <c r="A621" i="80"/>
  <c r="H2556" i="79"/>
  <c r="A2555" i="80"/>
  <c r="F64" i="4"/>
  <c r="F12" i="4"/>
  <c r="G8" i="7"/>
  <c r="D28" i="61"/>
  <c r="H10952" i="79"/>
  <c r="A10951" i="80"/>
  <c r="O9" i="1"/>
  <c r="M7" i="1"/>
  <c r="N7" i="1"/>
  <c r="C31" i="44"/>
  <c r="C12" i="42"/>
  <c r="J10" i="24"/>
  <c r="I9" i="24"/>
  <c r="C39" i="71"/>
  <c r="C41" i="71"/>
  <c r="I17" i="48"/>
  <c r="H7069" i="79"/>
  <c r="A7068" i="80"/>
  <c r="J8" i="48"/>
  <c r="G22" i="61"/>
  <c r="H11456" i="79"/>
  <c r="A11455" i="80"/>
  <c r="H11" i="61"/>
  <c r="H11570" i="79"/>
  <c r="A11569" i="80"/>
  <c r="D33" i="3"/>
  <c r="G32" i="61"/>
  <c r="H30" i="61"/>
  <c r="H11684" i="79"/>
  <c r="A11683" i="80"/>
  <c r="D12" i="42"/>
  <c r="E31" i="44"/>
  <c r="H2112" i="79"/>
  <c r="A2111" i="80"/>
  <c r="H2952" i="79"/>
  <c r="A2951" i="80"/>
  <c r="O9" i="63"/>
  <c r="M7" i="63"/>
  <c r="N7" i="63"/>
  <c r="P6" i="63"/>
  <c r="L10" i="63"/>
  <c r="H24" i="61"/>
  <c r="H11648" i="79"/>
  <c r="A11647" i="80"/>
  <c r="G28" i="61"/>
  <c r="H11492" i="79"/>
  <c r="A11491" i="80"/>
  <c r="F57" i="4"/>
  <c r="H2574" i="79"/>
  <c r="A2573" i="80"/>
  <c r="H1884" i="79"/>
  <c r="A1883" i="80"/>
  <c r="E12" i="3"/>
  <c r="H202" i="79"/>
  <c r="A201" i="80"/>
  <c r="C30" i="24"/>
  <c r="L10" i="1"/>
  <c r="B38" i="61"/>
  <c r="H10646" i="79"/>
  <c r="A10645" i="80"/>
  <c r="M8" i="63"/>
  <c r="F62" i="4"/>
  <c r="F35" i="44"/>
  <c r="H32" i="61"/>
  <c r="H11696" i="79"/>
  <c r="A11695" i="80"/>
  <c r="H11516" i="79"/>
  <c r="A11515" i="80"/>
  <c r="C44" i="61"/>
  <c r="H10832" i="79"/>
  <c r="A10831" i="80"/>
  <c r="H11588" i="79"/>
  <c r="A11587" i="80"/>
  <c r="Q6" i="1"/>
  <c r="C41" i="42"/>
  <c r="C52" i="42"/>
  <c r="H3758" i="79"/>
  <c r="A3757" i="80"/>
  <c r="H6310" i="79"/>
  <c r="A6309" i="80"/>
  <c r="H7764" i="79"/>
  <c r="A7763" i="80"/>
  <c r="F14" i="49"/>
  <c r="E77" i="4"/>
  <c r="G77" i="4"/>
  <c r="H2010" i="79"/>
  <c r="A2009" i="80"/>
  <c r="F19" i="4"/>
  <c r="H1980" i="79"/>
  <c r="A1979" i="80"/>
  <c r="H1812" i="79"/>
  <c r="A1811" i="80"/>
  <c r="D76" i="4"/>
  <c r="H2958" i="79"/>
  <c r="A2957" i="80"/>
  <c r="F68" i="4"/>
  <c r="H2730" i="79"/>
  <c r="A2729" i="80"/>
  <c r="H1986" i="79"/>
  <c r="A1985" i="80"/>
  <c r="F28" i="4"/>
  <c r="D29" i="4"/>
  <c r="H1764" i="79"/>
  <c r="A1763" i="80"/>
  <c r="D75" i="4"/>
  <c r="E15" i="44"/>
  <c r="E17" i="44"/>
  <c r="H1168" i="79"/>
  <c r="A1167" i="80"/>
  <c r="D11" i="42"/>
  <c r="H1048" i="79"/>
  <c r="A1047" i="80"/>
  <c r="H5312" i="79"/>
  <c r="A5311" i="80"/>
  <c r="D39" i="8"/>
  <c r="G16" i="7"/>
  <c r="G20" i="7"/>
  <c r="H4645" i="79"/>
  <c r="A4644" i="80"/>
  <c r="G29" i="7"/>
  <c r="H4753" i="79"/>
  <c r="A4752" i="80"/>
  <c r="H2808" i="79"/>
  <c r="A2807" i="80"/>
  <c r="F23" i="47"/>
  <c r="F16" i="47"/>
  <c r="J32" i="48"/>
  <c r="J20" i="24"/>
  <c r="D42" i="4"/>
  <c r="H2220" i="79"/>
  <c r="A2219" i="80"/>
  <c r="H2214" i="79"/>
  <c r="A2213" i="80"/>
  <c r="E17" i="7"/>
  <c r="H4549" i="79"/>
  <c r="A4548" i="80"/>
  <c r="H1962" i="79"/>
  <c r="A1961" i="80"/>
  <c r="E12" i="7"/>
  <c r="H4519" i="79"/>
  <c r="A4518" i="80"/>
  <c r="H2028" i="79"/>
  <c r="A2027" i="80"/>
  <c r="H2898" i="79"/>
  <c r="A2897" i="80"/>
  <c r="H3130" i="79"/>
  <c r="A3129" i="80"/>
  <c r="D16" i="39"/>
  <c r="E30" i="7"/>
  <c r="H4609" i="79"/>
  <c r="A4608" i="80"/>
  <c r="E25" i="7"/>
  <c r="H4579" i="79"/>
  <c r="A4578" i="80"/>
  <c r="H2046" i="79"/>
  <c r="A2045" i="80"/>
  <c r="H2268" i="79"/>
  <c r="A2267" i="80"/>
  <c r="H2262" i="79"/>
  <c r="A2261" i="80"/>
  <c r="D60" i="3"/>
  <c r="H1180" i="79"/>
  <c r="A1179" i="80"/>
  <c r="H628" i="79"/>
  <c r="A627" i="80"/>
  <c r="E58" i="3"/>
  <c r="H1120" i="79"/>
  <c r="A1119" i="80"/>
  <c r="E15" i="7"/>
  <c r="H2070" i="79"/>
  <c r="A2069" i="80"/>
  <c r="E18" i="7"/>
  <c r="H4555" i="79"/>
  <c r="A4554" i="80"/>
  <c r="H2058" i="79"/>
  <c r="A2057" i="80"/>
  <c r="H2988" i="79"/>
  <c r="A2987" i="80"/>
  <c r="H2940" i="79"/>
  <c r="A2939" i="80"/>
  <c r="J14" i="24"/>
  <c r="J17" i="48"/>
  <c r="F56" i="4"/>
  <c r="H2712" i="79"/>
  <c r="A2711" i="80"/>
  <c r="H2694" i="79"/>
  <c r="A2693" i="80"/>
  <c r="F63" i="4"/>
  <c r="H2718" i="79"/>
  <c r="A2717" i="80"/>
  <c r="H2754" i="79"/>
  <c r="A2753" i="80"/>
  <c r="F30" i="4"/>
  <c r="H2418" i="79"/>
  <c r="A2417" i="80"/>
  <c r="H2346" i="79"/>
  <c r="A2345" i="80"/>
  <c r="D42" i="61"/>
  <c r="H748" i="79"/>
  <c r="A747" i="80"/>
  <c r="E19" i="7"/>
  <c r="H2034" i="79"/>
  <c r="A2033" i="80"/>
  <c r="E23" i="7"/>
  <c r="H4567" i="79"/>
  <c r="A4566" i="80"/>
  <c r="H2052" i="79"/>
  <c r="A2051" i="80"/>
  <c r="E22" i="7"/>
  <c r="H4627" i="79"/>
  <c r="A4626" i="80"/>
  <c r="H1968" i="79"/>
  <c r="A1967" i="80"/>
  <c r="E14" i="7"/>
  <c r="H2064" i="79"/>
  <c r="A2063" i="80"/>
  <c r="H2742" i="79"/>
  <c r="A2741" i="80"/>
  <c r="H4507" i="79"/>
  <c r="A4506" i="80"/>
  <c r="E24" i="7"/>
  <c r="H4573" i="79"/>
  <c r="A4572" i="80"/>
  <c r="H1974" i="79"/>
  <c r="A1973" i="80"/>
  <c r="J9" i="24"/>
  <c r="N8" i="1"/>
  <c r="F9" i="47"/>
  <c r="H5120" i="79"/>
  <c r="A5119" i="80"/>
  <c r="C39" i="8"/>
  <c r="F41" i="4"/>
  <c r="H2406" i="79"/>
  <c r="A2405" i="80"/>
  <c r="F36" i="4"/>
  <c r="H2412" i="79"/>
  <c r="A2411" i="80"/>
  <c r="F11" i="4"/>
  <c r="H2004" i="79"/>
  <c r="A2003" i="80"/>
  <c r="F20" i="4"/>
  <c r="H1992" i="79"/>
  <c r="A1991" i="80"/>
  <c r="H2040" i="79"/>
  <c r="A2039" i="80"/>
  <c r="E7" i="7"/>
  <c r="H4489" i="79"/>
  <c r="A4488" i="80"/>
  <c r="E13" i="44"/>
  <c r="E33" i="44"/>
  <c r="E43" i="4"/>
  <c r="E52" i="3"/>
  <c r="H1042" i="79"/>
  <c r="A1041" i="80"/>
  <c r="D69" i="4"/>
  <c r="H2550" i="79"/>
  <c r="A2549" i="80"/>
  <c r="B44" i="61"/>
  <c r="E33" i="47"/>
  <c r="Q9" i="63"/>
  <c r="H28" i="61"/>
  <c r="H11672" i="79"/>
  <c r="A11671" i="80"/>
  <c r="I30" i="24"/>
  <c r="C60" i="3"/>
  <c r="H1174" i="79"/>
  <c r="A1173" i="80"/>
  <c r="G43" i="4"/>
  <c r="F23" i="26"/>
  <c r="F25" i="26"/>
  <c r="H2748" i="79"/>
  <c r="A2747" i="80"/>
  <c r="F45" i="34"/>
  <c r="D14" i="39"/>
  <c r="E6" i="7"/>
  <c r="H4483" i="79"/>
  <c r="A4482" i="80"/>
  <c r="D9" i="42"/>
  <c r="G60" i="3"/>
  <c r="H1192" i="79"/>
  <c r="A1191" i="80"/>
  <c r="E9" i="44"/>
  <c r="D13" i="42"/>
  <c r="Q9" i="1"/>
  <c r="M10" i="1"/>
  <c r="N2" i="1"/>
  <c r="N3" i="1"/>
  <c r="N4" i="1"/>
  <c r="N5" i="1"/>
  <c r="N6" i="1"/>
  <c r="C26" i="34"/>
  <c r="F35" i="4"/>
  <c r="H22" i="61"/>
  <c r="H11636" i="79"/>
  <c r="A11635" i="80"/>
  <c r="G38" i="61"/>
  <c r="H11552" i="79"/>
  <c r="A11551" i="80"/>
  <c r="F12" i="42"/>
  <c r="G12" i="42"/>
  <c r="M10" i="63"/>
  <c r="N2" i="63"/>
  <c r="N3" i="63"/>
  <c r="N4" i="63"/>
  <c r="N5" i="63"/>
  <c r="N6" i="63"/>
  <c r="D38" i="61"/>
  <c r="H11012" i="79"/>
  <c r="A11011" i="80"/>
  <c r="I33" i="48"/>
  <c r="H7099" i="79"/>
  <c r="A7098" i="80"/>
  <c r="H37" i="61"/>
  <c r="H11726" i="79"/>
  <c r="A11725" i="80"/>
  <c r="D31" i="44"/>
  <c r="F31" i="44"/>
  <c r="E23" i="26"/>
  <c r="E25" i="26"/>
  <c r="E33" i="3"/>
  <c r="H634" i="79"/>
  <c r="A633" i="80"/>
  <c r="N8" i="63"/>
  <c r="Q6" i="63"/>
  <c r="E9" i="7"/>
  <c r="H4501" i="79"/>
  <c r="A4500" i="80"/>
  <c r="D77" i="4"/>
  <c r="F76" i="4"/>
  <c r="H2970" i="79"/>
  <c r="A2969" i="80"/>
  <c r="F75" i="4"/>
  <c r="F29" i="4"/>
  <c r="C22" i="39"/>
  <c r="H3000" i="79"/>
  <c r="A2999" i="80"/>
  <c r="C27" i="39"/>
  <c r="H5318" i="79"/>
  <c r="A5317" i="80"/>
  <c r="H4693" i="79"/>
  <c r="A4692" i="80"/>
  <c r="J33" i="48"/>
  <c r="J30" i="24"/>
  <c r="D44" i="61"/>
  <c r="H4531" i="79"/>
  <c r="A4530" i="80"/>
  <c r="E13" i="7"/>
  <c r="H4525" i="79"/>
  <c r="A4524" i="80"/>
  <c r="C15" i="44"/>
  <c r="H1162" i="79"/>
  <c r="A1161" i="80"/>
  <c r="F42" i="4"/>
  <c r="H2376" i="79"/>
  <c r="A2375" i="80"/>
  <c r="H2370" i="79"/>
  <c r="A2369" i="80"/>
  <c r="H4561" i="79"/>
  <c r="A4560" i="80"/>
  <c r="H4537" i="79"/>
  <c r="A4536" i="80"/>
  <c r="H2982" i="79"/>
  <c r="A2981" i="80"/>
  <c r="H2934" i="79"/>
  <c r="A2933" i="80"/>
  <c r="C11" i="42"/>
  <c r="C13" i="42"/>
  <c r="G13" i="42"/>
  <c r="D54" i="42"/>
  <c r="C13" i="44"/>
  <c r="F13" i="44"/>
  <c r="G55" i="4"/>
  <c r="G70" i="4"/>
  <c r="H2520" i="79"/>
  <c r="A2519" i="80"/>
  <c r="E55" i="4"/>
  <c r="E70" i="4"/>
  <c r="H2508" i="79"/>
  <c r="A2507" i="80"/>
  <c r="D27" i="39"/>
  <c r="H5126" i="79"/>
  <c r="A5125" i="80"/>
  <c r="E19" i="44"/>
  <c r="F69" i="4"/>
  <c r="D43" i="4"/>
  <c r="G44" i="61"/>
  <c r="H38" i="61"/>
  <c r="H11732" i="79"/>
  <c r="A11731" i="80"/>
  <c r="E60" i="3"/>
  <c r="H1186" i="79"/>
  <c r="A1185" i="80"/>
  <c r="C9" i="42"/>
  <c r="C9" i="44"/>
  <c r="B12" i="35"/>
  <c r="E8" i="7"/>
  <c r="H4495" i="79"/>
  <c r="A4494" i="80"/>
  <c r="H6" i="7"/>
  <c r="F77" i="4"/>
  <c r="F13" i="42"/>
  <c r="C53" i="42"/>
  <c r="G11" i="42"/>
  <c r="G26" i="7"/>
  <c r="H4771" i="79"/>
  <c r="A4770" i="80"/>
  <c r="D13" i="44"/>
  <c r="E27" i="7"/>
  <c r="H4591" i="79"/>
  <c r="A4590" i="80"/>
  <c r="C33" i="44"/>
  <c r="D33" i="44"/>
  <c r="F43" i="4"/>
  <c r="H2514" i="79"/>
  <c r="A2513" i="80"/>
  <c r="H1998" i="79"/>
  <c r="A1997" i="80"/>
  <c r="E29" i="7"/>
  <c r="H4603" i="79"/>
  <c r="A4602" i="80"/>
  <c r="H2724" i="79"/>
  <c r="A2723" i="80"/>
  <c r="C17" i="44"/>
  <c r="D15" i="44"/>
  <c r="F15" i="44"/>
  <c r="H2946" i="79"/>
  <c r="A2945" i="80"/>
  <c r="F11" i="42"/>
  <c r="C15" i="39"/>
  <c r="C18" i="39"/>
  <c r="H2880" i="79"/>
  <c r="A2879" i="80"/>
  <c r="G72" i="4"/>
  <c r="E72" i="4"/>
  <c r="H2916" i="79"/>
  <c r="A2915" i="80"/>
  <c r="H2868" i="79"/>
  <c r="A2867" i="80"/>
  <c r="D55" i="4"/>
  <c r="D70" i="4"/>
  <c r="H2502" i="79"/>
  <c r="A2501" i="80"/>
  <c r="E16" i="7"/>
  <c r="H8" i="7"/>
  <c r="F9" i="42"/>
  <c r="G9" i="42"/>
  <c r="C19" i="44"/>
  <c r="F9" i="44"/>
  <c r="D9" i="44"/>
  <c r="H4543" i="79"/>
  <c r="A4542" i="80"/>
  <c r="E20" i="7"/>
  <c r="F55" i="4"/>
  <c r="F70" i="4"/>
  <c r="H2874" i="79"/>
  <c r="A2873" i="80"/>
  <c r="H4735" i="79"/>
  <c r="A4734" i="80"/>
  <c r="G28" i="7"/>
  <c r="F33" i="44"/>
  <c r="F17" i="44"/>
  <c r="D17" i="44"/>
  <c r="D22" i="39"/>
  <c r="H2994" i="79"/>
  <c r="A2993" i="80"/>
  <c r="B10" i="35"/>
  <c r="G77" i="3"/>
  <c r="H2928" i="79"/>
  <c r="A2927" i="80"/>
  <c r="D72" i="4"/>
  <c r="H2910" i="79"/>
  <c r="A2909" i="80"/>
  <c r="H2862" i="79"/>
  <c r="A2861" i="80"/>
  <c r="F19" i="44"/>
  <c r="D19" i="44"/>
  <c r="H4621" i="79"/>
  <c r="A4620" i="80"/>
  <c r="G78" i="3"/>
  <c r="H1331" i="79"/>
  <c r="A1330" i="80"/>
  <c r="H1325" i="79"/>
  <c r="A1324" i="80"/>
  <c r="F72" i="4"/>
  <c r="H2922" i="79"/>
  <c r="A2921" i="80"/>
  <c r="D15" i="39"/>
  <c r="D18" i="39"/>
  <c r="H4747" i="79"/>
  <c r="A4746" i="80"/>
  <c r="G32" i="7"/>
  <c r="G101" i="3"/>
  <c r="C9" i="39"/>
  <c r="E26" i="7"/>
  <c r="H4585" i="79"/>
  <c r="A4584" i="80"/>
  <c r="C9" i="34"/>
  <c r="E77" i="3"/>
  <c r="B8" i="34"/>
  <c r="H4765" i="79"/>
  <c r="A4764" i="80"/>
  <c r="G36" i="7"/>
  <c r="G37" i="7"/>
  <c r="H4879" i="79"/>
  <c r="A4878" i="80"/>
  <c r="H1517" i="79"/>
  <c r="A1516" i="80"/>
  <c r="E29" i="44"/>
  <c r="G122" i="3"/>
  <c r="D8" i="42"/>
  <c r="D10" i="42"/>
  <c r="D14" i="42"/>
  <c r="E28" i="7"/>
  <c r="H4597" i="79"/>
  <c r="A4596" i="80"/>
  <c r="E78" i="3"/>
  <c r="H1223" i="79"/>
  <c r="A1222" i="80"/>
  <c r="C40" i="34"/>
  <c r="H3403" i="79"/>
  <c r="A3402" i="80"/>
  <c r="H3031" i="79"/>
  <c r="A3030" i="80"/>
  <c r="H3013" i="79"/>
  <c r="A3012" i="80"/>
  <c r="H4873" i="79"/>
  <c r="A4872" i="80"/>
  <c r="G46" i="7"/>
  <c r="E37" i="44"/>
  <c r="E11" i="44"/>
  <c r="H1721" i="79"/>
  <c r="A1720" i="80"/>
  <c r="G61" i="3"/>
  <c r="G124" i="3"/>
  <c r="E32" i="7"/>
  <c r="H4615" i="79"/>
  <c r="A4614" i="80"/>
  <c r="E101" i="3"/>
  <c r="H1229" i="79"/>
  <c r="A1228" i="80"/>
  <c r="D9" i="39"/>
  <c r="H4933" i="79"/>
  <c r="A4932" i="80"/>
  <c r="G22" i="42"/>
  <c r="G21" i="42"/>
  <c r="G38" i="42"/>
  <c r="G56" i="42"/>
  <c r="F58" i="42"/>
  <c r="G48" i="7"/>
  <c r="H4945" i="79"/>
  <c r="A4944" i="80"/>
  <c r="E36" i="7"/>
  <c r="H4789" i="79"/>
  <c r="A4788" i="80"/>
  <c r="E37" i="7"/>
  <c r="H4795" i="79"/>
  <c r="A4794" i="80"/>
  <c r="H1511" i="79"/>
  <c r="A1510" i="80"/>
  <c r="C29" i="44"/>
  <c r="C8" i="42"/>
  <c r="E122" i="3"/>
  <c r="E46" i="7"/>
  <c r="C37" i="44"/>
  <c r="D29" i="44"/>
  <c r="C11" i="44"/>
  <c r="F29" i="44"/>
  <c r="C10" i="42"/>
  <c r="C14" i="42"/>
  <c r="F8" i="42"/>
  <c r="G8" i="42"/>
  <c r="H1715" i="79"/>
  <c r="A1714" i="80"/>
  <c r="E124" i="3"/>
  <c r="E61" i="3"/>
  <c r="E48" i="7"/>
  <c r="H4861" i="79"/>
  <c r="A4860" i="80"/>
  <c r="H4849" i="79"/>
  <c r="A4848" i="80"/>
  <c r="D22" i="42"/>
  <c r="D21" i="42"/>
  <c r="D38" i="42"/>
  <c r="G14" i="42"/>
  <c r="D55" i="42"/>
  <c r="F14" i="42"/>
  <c r="C55" i="42"/>
  <c r="C56" i="42"/>
  <c r="D37" i="44"/>
  <c r="F37" i="44"/>
  <c r="F10" i="42"/>
  <c r="G10" i="42"/>
  <c r="F11" i="44"/>
  <c r="D11" i="44"/>
  <c r="D56" i="42"/>
  <c r="H3160" i="79"/>
  <c r="A3159" i="80"/>
  <c r="B11" i="35"/>
  <c r="B14" i="35"/>
  <c r="B15" i="35"/>
  <c r="B16" i="35"/>
  <c r="C58" i="42"/>
  <c r="C60" i="42"/>
  <c r="H3145" i="79"/>
  <c r="A3144" i="80"/>
  <c r="B18" i="34"/>
  <c r="B40" i="34"/>
  <c r="H8108" i="79"/>
  <c r="A8107" i="80"/>
  <c r="H3397" i="79"/>
  <c r="A3396" i="80"/>
  <c r="B42" i="34"/>
  <c r="B50" i="34"/>
  <c r="H3481" i="79"/>
  <c r="A3480" i="80"/>
  <c r="C43" i="34"/>
  <c r="H3427" i="79"/>
  <c r="A3426" i="80"/>
  <c r="H3409" i="79"/>
  <c r="A3408" i="80"/>
  <c r="H8120" i="79"/>
  <c r="A8119" i="80"/>
  <c r="B18" i="38"/>
  <c r="H8138" i="79"/>
  <c r="A8137" i="80"/>
  <c r="H8174" i="79"/>
  <c r="A8173" i="80"/>
  <c r="D18" i="38"/>
  <c r="H3493" i="79"/>
  <c r="A3492" i="80"/>
  <c r="F43" i="34"/>
  <c r="F47" i="34"/>
  <c r="H8180" i="79"/>
  <c r="A8179" i="80"/>
  <c r="D19" i="38"/>
  <c r="G7" i="71"/>
  <c r="H9080" i="79"/>
  <c r="A9079" i="80"/>
  <c r="H9066" i="79"/>
  <c r="A9065" i="80"/>
  <c r="H41" i="71"/>
  <c r="I5" i="24" l="1"/>
  <c r="I6" i="60"/>
  <c r="F5" i="52"/>
  <c r="J5" i="37"/>
  <c r="L7" i="59"/>
  <c r="H10208" i="79" s="1"/>
  <c r="A10207" i="80" s="1"/>
  <c r="H7" i="26"/>
  <c r="G4" i="42"/>
  <c r="G3" i="3"/>
  <c r="G65" i="3" s="1"/>
  <c r="E6" i="49"/>
  <c r="H3" i="61"/>
  <c r="C7" i="73" s="1"/>
  <c r="I3" i="51"/>
  <c r="D8" i="32"/>
  <c r="D4" i="39"/>
  <c r="E4" i="47"/>
  <c r="F4" i="4"/>
  <c r="D7" i="40"/>
  <c r="E23" i="44"/>
  <c r="E3" i="44"/>
  <c r="C26" i="44" s="1"/>
  <c r="D8" i="41"/>
  <c r="J5" i="27"/>
  <c r="D6" i="38"/>
  <c r="G8" i="71" s="1"/>
  <c r="B5" i="34" l="1"/>
  <c r="F51" i="4"/>
  <c r="D6" i="74"/>
  <c r="B5" i="72"/>
  <c r="H9086" i="79"/>
  <c r="A9085" i="80" s="1"/>
  <c r="J6" i="54"/>
  <c r="H9639" i="79" s="1"/>
  <c r="A9638" i="80" s="1"/>
</calcChain>
</file>

<file path=xl/sharedStrings.xml><?xml version="1.0" encoding="utf-8"?>
<sst xmlns="http://schemas.openxmlformats.org/spreadsheetml/2006/main" count="23028" uniqueCount="2874">
  <si>
    <t>TRESORERIE</t>
  </si>
  <si>
    <t>TOTAL GENERAL ACTIF</t>
  </si>
  <si>
    <t>CAPITAUX PERMAMENTS</t>
  </si>
  <si>
    <t>PASSIF CIRCULANT</t>
  </si>
  <si>
    <t>BESOINS EN FONDS DE  ROULEMENT</t>
  </si>
  <si>
    <t>TOTAL GENERAL PASSIF</t>
  </si>
  <si>
    <t xml:space="preserve"> 1/2</t>
  </si>
  <si>
    <t>Tableau n°15</t>
  </si>
  <si>
    <t>ETAT POUR LE CALCUL DE L'IMPOT DU PAR LES ENTREPRISES BENEFICIANTS DES</t>
  </si>
  <si>
    <t>MESURES D'ENCOURAGEMENTS AUX INVESTISSEMENTS</t>
  </si>
  <si>
    <t>RUBRIQUES</t>
  </si>
  <si>
    <t>Ensemble des produits</t>
  </si>
  <si>
    <t xml:space="preserve">Ensemble des produits </t>
  </si>
  <si>
    <t>correspondant</t>
  </si>
  <si>
    <t>à la base imposable</t>
  </si>
  <si>
    <t xml:space="preserve">au numérateur taxable </t>
  </si>
  <si>
    <t xml:space="preserve">* Ventes </t>
  </si>
  <si>
    <t>* Ventes imposables</t>
  </si>
  <si>
    <t>* Ventes exonérées à 100%</t>
  </si>
  <si>
    <t>* Ventes exonérées à 50%</t>
  </si>
  <si>
    <t>Lotissement et promotion immobilière</t>
  </si>
  <si>
    <t>* Ventes et locations imposables</t>
  </si>
  <si>
    <t>* Ventes et locations exclus à 100%</t>
  </si>
  <si>
    <t>* Ventes et locations exclus à 50%</t>
  </si>
  <si>
    <t>Prestations de services</t>
  </si>
  <si>
    <t xml:space="preserve">Imposables </t>
  </si>
  <si>
    <t>Exonérées à 100%</t>
  </si>
  <si>
    <t>Exonérées à 50%</t>
  </si>
  <si>
    <t>Produits accessoires. Produits financiers, dons et libéralités</t>
  </si>
  <si>
    <t>Subventions d'équipement</t>
  </si>
  <si>
    <t>Subventions d'équilibre</t>
  </si>
  <si>
    <t>12a</t>
  </si>
  <si>
    <t>Imposables</t>
  </si>
  <si>
    <t>12b</t>
  </si>
  <si>
    <t>12e</t>
  </si>
  <si>
    <t>Totaux partiels</t>
  </si>
  <si>
    <t>Profits net global des cessions après abattement pondéré</t>
  </si>
  <si>
    <t>Autres profils exceptionnels</t>
  </si>
  <si>
    <t>Total général (lignes 13+ 14+ 15 )</t>
  </si>
  <si>
    <t>(1) Faire figurer dans ces cases la moitié du montant figuant dans la colonne 3 - même ligne</t>
  </si>
  <si>
    <t>(2) Faire figurer dans ces cases la moitié du montant figuant dans la colonne 2 - même ligne</t>
  </si>
  <si>
    <t>Eléments de calcul de l'impôt :</t>
  </si>
  <si>
    <t>Base cotisation minimale : montant (ligne 13, col, 3)</t>
  </si>
  <si>
    <t xml:space="preserve">Cotisation minimale nette : cotisation brute               x </t>
  </si>
  <si>
    <t>montant (ligne 13, col. 4)</t>
  </si>
  <si>
    <t>Base cotisation minimale</t>
  </si>
  <si>
    <t>Base imposable à l'I.S.  : bénéfice fiscal                 x</t>
  </si>
  <si>
    <t>montant (ligne 16, col. 3)</t>
  </si>
  <si>
    <t>montant (ligne 16 col. 2)</t>
  </si>
  <si>
    <t>Impôt sur les société dû  : impôt brut</t>
  </si>
  <si>
    <t>montant (ligne 16, col. 4)</t>
  </si>
  <si>
    <t>Ecart</t>
  </si>
  <si>
    <t>FRAIS DE CONSTRUCTION</t>
  </si>
  <si>
    <t>FRAIS PREALABLES AU DEMARRAGE</t>
  </si>
  <si>
    <t>FRAIS D'AUGMENTATION DE CAPITAL</t>
  </si>
  <si>
    <t>FRAIS SUR OPERATIONS DE FUSIONS, SCISSIONS ET TRANSFORMATIONS</t>
  </si>
  <si>
    <t>FRAIS DE PROSPECTION</t>
  </si>
  <si>
    <t>FRAIS DE PUBLICITE</t>
  </si>
  <si>
    <t>AUTRES FRAIS PRELIMINAIRES</t>
  </si>
  <si>
    <t>FRAIS D'ACQUISITION DES IMMOBILISATIONS</t>
  </si>
  <si>
    <t>FRAIS D'EMISSION DES EMPRUNTS</t>
  </si>
  <si>
    <t>PRIME DE REMBOURSEMENT DES OBLIGATIONS</t>
  </si>
  <si>
    <t>Exercice clos le :</t>
  </si>
  <si>
    <t>Exercice clos le</t>
  </si>
  <si>
    <t xml:space="preserve">Exercice clos le </t>
  </si>
  <si>
    <t>Débit Cumulé</t>
  </si>
  <si>
    <t>Crédit Cumulé</t>
  </si>
  <si>
    <t>Solde Cumulé</t>
  </si>
  <si>
    <t>ONDUMAR</t>
  </si>
  <si>
    <t xml:space="preserve">* Primes de remboursement obligations </t>
  </si>
  <si>
    <t>* Installat. techniques,matériel et outillage</t>
  </si>
  <si>
    <t xml:space="preserve">* Autres immobilisations corporelles </t>
  </si>
  <si>
    <t>* Autres immobilisations corporelles</t>
  </si>
  <si>
    <t>2. Provisions régle-</t>
  </si>
  <si>
    <t>mentées</t>
  </si>
  <si>
    <t>3. Provisions dura-</t>
  </si>
  <si>
    <t xml:space="preserve">B 6 - TABLEAU DES CREANCES </t>
  </si>
  <si>
    <t>CREANCES</t>
  </si>
  <si>
    <t>ANALYSE PAR ECHEANCE</t>
  </si>
  <si>
    <t>AUTRES ANALYSES</t>
  </si>
  <si>
    <t>Plus d'un an</t>
  </si>
  <si>
    <t>Moins d'un an</t>
  </si>
  <si>
    <t>Echus et non recouvrés</t>
  </si>
  <si>
    <t>Montant en devise</t>
  </si>
  <si>
    <t>Montants l'Etat et organismes publics</t>
  </si>
  <si>
    <t>Montants sur les entreprises liées</t>
  </si>
  <si>
    <t>Montants représentés par des effets</t>
  </si>
  <si>
    <t>DE L'ACTIF IMMOBILISE</t>
  </si>
  <si>
    <t>Prêt immobilisés</t>
  </si>
  <si>
    <t>Autres créances financières</t>
  </si>
  <si>
    <t>DE L'ACTIF CIRCULANT</t>
  </si>
  <si>
    <t>Fournisseurs débiteurs, avances et acomptes</t>
  </si>
  <si>
    <t>Clients et comptes rattachés</t>
  </si>
  <si>
    <t>Personnel</t>
  </si>
  <si>
    <t xml:space="preserve">Etat </t>
  </si>
  <si>
    <t>Comptes d'associés</t>
  </si>
  <si>
    <t>Autres débiteurs</t>
  </si>
  <si>
    <t>Comptes de régularisations - Actif</t>
  </si>
  <si>
    <t>DETTES</t>
  </si>
  <si>
    <t xml:space="preserve">B 7 - TABLEAU DES DETTES </t>
  </si>
  <si>
    <t>Emprunts obligataires</t>
  </si>
  <si>
    <t>Autres dettes de financement</t>
  </si>
  <si>
    <t>DU PASSIF CIRCULANT</t>
  </si>
  <si>
    <t>Fournisseurs et comptes rattachés</t>
  </si>
  <si>
    <t>Clients créditeurs , avances et acomptes</t>
  </si>
  <si>
    <t>Organismes sociaux</t>
  </si>
  <si>
    <t>Etat</t>
  </si>
  <si>
    <t>Autres créanciers</t>
  </si>
  <si>
    <t>Comptes de régularisation - Passif</t>
  </si>
  <si>
    <t>ETAT B8</t>
  </si>
  <si>
    <t>TABLEAU DES SURETES REELLES DONNEES OU RECUES</t>
  </si>
  <si>
    <t>TIERS CREDITEURS OU TIERS</t>
  </si>
  <si>
    <t>Montant couvert</t>
  </si>
  <si>
    <t>Nature (1)</t>
  </si>
  <si>
    <t>Date et lieu</t>
  </si>
  <si>
    <t>Objet</t>
  </si>
  <si>
    <t>Valeur comptable</t>
  </si>
  <si>
    <t>* Cautions</t>
  </si>
  <si>
    <t>Mars</t>
  </si>
  <si>
    <t>DEBITEURS</t>
  </si>
  <si>
    <t>par</t>
  </si>
  <si>
    <t>d'inscription</t>
  </si>
  <si>
    <t>(2) (3)</t>
  </si>
  <si>
    <t>nette de la sûreté donnée à la</t>
  </si>
  <si>
    <t>la sûreté</t>
  </si>
  <si>
    <t>date de clôt.</t>
  </si>
  <si>
    <t>Sûretés données</t>
  </si>
  <si>
    <t>Sûretés reçues</t>
  </si>
  <si>
    <t>(1) - Gage :1 Hypothèque : 2 Nantissement : 3 - Warrant : 4 - Autres : 5 - (à préciser)</t>
  </si>
  <si>
    <t>(2) préciser si la sûreté est donnée au profit d'entreprises ou de personnes tierces ( sûretés données)</t>
  </si>
  <si>
    <t>( entreprises liées, associés, membres du personnel)</t>
  </si>
  <si>
    <t>redevances restantes</t>
  </si>
  <si>
    <t>(3) préciser si la sûreté reçue par l'entreprise provient de personnes tierces autres que le débiteur (sûretés reçues)</t>
  </si>
  <si>
    <t>ETAT B9</t>
  </si>
  <si>
    <t>ENGAGEMENTS FINANCIERS RECUS OU DONNES</t>
  </si>
  <si>
    <t>HORS OPERATIONS DE CREDIT-BAIL</t>
  </si>
  <si>
    <t>ENGAGEMENTS DONNES</t>
  </si>
  <si>
    <t>* Avals et cautions</t>
  </si>
  <si>
    <t>* engagements en matière de pensions de</t>
  </si>
  <si>
    <t>retraites et obligations similaires</t>
  </si>
  <si>
    <t>* autres engagements donnés</t>
  </si>
  <si>
    <t>TOTAL (1)</t>
  </si>
  <si>
    <t>(1) Dont engagements à l'égard d'entreprises</t>
  </si>
  <si>
    <t>liées.................................</t>
  </si>
  <si>
    <t>ENGAGEMENTS RECUS</t>
  </si>
  <si>
    <t>précédents</t>
  </si>
  <si>
    <t>* Bénéfice net</t>
  </si>
  <si>
    <t>* Perte nette</t>
  </si>
  <si>
    <t>* Exercice n-3</t>
  </si>
  <si>
    <t>* Exercice n-2</t>
  </si>
  <si>
    <t>* Exercice n-1</t>
  </si>
  <si>
    <t>ETAT B13</t>
  </si>
  <si>
    <t>DETERMINATION DU RESULTAT COURANT APRES IMPOTS</t>
  </si>
  <si>
    <t>I. DETERMINATION DU RESULTAT</t>
  </si>
  <si>
    <t>* Résultat courant d'après C.P.C. (+/-)</t>
  </si>
  <si>
    <t>* Réintégrations fiscales sur opérations courantes (+)</t>
  </si>
  <si>
    <t>* Déductions fiscales sur opérations courantes (-)</t>
  </si>
  <si>
    <t>* Résultat courant théoriquement imposable courant (=)</t>
  </si>
  <si>
    <t>* Impôt théorique sur résultat (-)</t>
  </si>
  <si>
    <t>* Résultat courant après impôts (=)</t>
  </si>
  <si>
    <t>II. INDICATION DU REGIME FISCAL ET DES AVANTAGES OCTROYES PAR LES CODES</t>
  </si>
  <si>
    <t>DES INVESTISSEMENTS OU PAR DES DISPOSITIONS LEGALES SPECIFIQUES</t>
  </si>
  <si>
    <t>Déclarations</t>
  </si>
  <si>
    <t>C. T.V.A. due ou crédit de</t>
  </si>
  <si>
    <t>Dans les autres cas il y a lieu de ne mentionner que les 10 principaux associés par ordre d'importance décroissante.</t>
  </si>
  <si>
    <t>ETAT C2</t>
  </si>
  <si>
    <t xml:space="preserve"> - Réserve légale</t>
  </si>
  <si>
    <t xml:space="preserve"> - Report à nouveau</t>
  </si>
  <si>
    <t xml:space="preserve"> - Autres réserves</t>
  </si>
  <si>
    <t xml:space="preserve"> - Résultats nets en instance d'affectation</t>
  </si>
  <si>
    <t xml:space="preserve"> - Tantièmes </t>
  </si>
  <si>
    <t xml:space="preserve"> - Résultat net de l'exercice</t>
  </si>
  <si>
    <t xml:space="preserve"> - Dividendes</t>
  </si>
  <si>
    <t xml:space="preserve"> - Prélèvements sur les réserves</t>
  </si>
  <si>
    <t xml:space="preserve"> - Autres affectations</t>
  </si>
  <si>
    <t xml:space="preserve"> - Autres prélèvements</t>
  </si>
  <si>
    <t>ETAT C3</t>
  </si>
  <si>
    <t>RESULTATS ET AUTRES ELEMENTS CARACTERISTIQUES</t>
  </si>
  <si>
    <t>DE L'ENTREPRISE AU COURS DES TROIS DERNIERS EXERCICES</t>
  </si>
  <si>
    <t>N A TU R E   D E S    I N D I C A T I O N S</t>
  </si>
  <si>
    <t xml:space="preserve">Exercice </t>
  </si>
  <si>
    <t>n  -  2</t>
  </si>
  <si>
    <t>n  -  1</t>
  </si>
  <si>
    <t xml:space="preserve">n  </t>
  </si>
  <si>
    <t xml:space="preserve"> SITUATION NETTE DE L'ENTREPRISE </t>
  </si>
  <si>
    <t xml:space="preserve">    Capitaux propres plus capitaux propres assimilés moins immobilisation en</t>
  </si>
  <si>
    <t xml:space="preserve">    non valeurs</t>
  </si>
  <si>
    <t xml:space="preserve"> * OPERATIONS ET RESULTAT DE L'EXERCICE</t>
  </si>
  <si>
    <t xml:space="preserve">   1. Chiffre d'affaires hors taxes</t>
  </si>
  <si>
    <t xml:space="preserve">   2. Résultat avant impôts</t>
  </si>
  <si>
    <t>ETAT B1</t>
  </si>
  <si>
    <t>DETAIL DES NON-VALEURS</t>
  </si>
  <si>
    <t>COMPTE</t>
  </si>
  <si>
    <t>INTITULE</t>
  </si>
  <si>
    <t>PRINCIPAL</t>
  </si>
  <si>
    <t>AUTRES CHARGES A REPARTIR</t>
  </si>
  <si>
    <t xml:space="preserve">   3. Impôts sur les résultats</t>
  </si>
  <si>
    <t xml:space="preserve">   4. Bénéfices distribués</t>
  </si>
  <si>
    <t xml:space="preserve">   5. Résultats non distribués (mis en réserves ou en instances d'affectation)</t>
  </si>
  <si>
    <t xml:space="preserve"> * RESULTAT PAR TITRE (Pour les sociétés par actions et SARL)</t>
  </si>
  <si>
    <t xml:space="preserve">   . Résultat net par action ou par sociale</t>
  </si>
  <si>
    <t xml:space="preserve">   . Bénéfices distribués par action ou part sociale</t>
  </si>
  <si>
    <t xml:space="preserve"> * PERSONNEL</t>
  </si>
  <si>
    <t xml:space="preserve">   . Montant des salaires bruts de l'exercice</t>
  </si>
  <si>
    <t xml:space="preserve">   . Effectif moyen des salariés employés pendant l'exercice</t>
  </si>
  <si>
    <t>ETAT C4</t>
  </si>
  <si>
    <t>TABLEAU DES OPERATIONS EN DEVISES COMPTABILISEES</t>
  </si>
  <si>
    <t>PENDANT L'EXERCICE</t>
  </si>
  <si>
    <t>Entrée</t>
  </si>
  <si>
    <t>Sortie</t>
  </si>
  <si>
    <t>Contre-valeur</t>
  </si>
  <si>
    <t>en DH</t>
  </si>
  <si>
    <t xml:space="preserve">  *  Financement permanent</t>
  </si>
  <si>
    <t xml:space="preserve">  *  Immobilisations brutes</t>
  </si>
  <si>
    <t xml:space="preserve">  *  Rentrées sur immobilisations</t>
  </si>
  <si>
    <t xml:space="preserve">  *  Remboursement des dettes de financement</t>
  </si>
  <si>
    <t xml:space="preserve">  * Produits</t>
  </si>
  <si>
    <t xml:space="preserve">  * Charges</t>
  </si>
  <si>
    <t xml:space="preserve">          TOTAL DES ENTREES</t>
  </si>
  <si>
    <t xml:space="preserve">          TOTAL DES SORTIES</t>
  </si>
  <si>
    <t xml:space="preserve">          BALANCE DEVISES</t>
  </si>
  <si>
    <t xml:space="preserve">          TOTAL</t>
  </si>
  <si>
    <t>C5 DATATION ET EVENEMENTS POSTERIEURS</t>
  </si>
  <si>
    <t xml:space="preserve">  Date de clôture (1)</t>
  </si>
  <si>
    <t xml:space="preserve">  Date d'établissement des états de synthèse (2)</t>
  </si>
  <si>
    <t xml:space="preserve">  (1) Justification en cas de changement de la date de clôture de l'exercice</t>
  </si>
  <si>
    <t xml:space="preserve">  (2) Justification en cas de dépassement du délai réglementaire </t>
  </si>
  <si>
    <t xml:space="preserve">EVENEMENTS NES POSTERIEUREMENT A LA DATE DE CLOTURE </t>
  </si>
  <si>
    <t xml:space="preserve">NON RATTACHABLES A CET EXERCICE ET CONNUS AVANT LA DATE  </t>
  </si>
  <si>
    <t>DE COMMUNICATION EXTERNE DES ETATS DE SYNTHESE</t>
  </si>
  <si>
    <t>Dates</t>
  </si>
  <si>
    <t>événements</t>
  </si>
  <si>
    <t xml:space="preserve">  * Favorables</t>
  </si>
  <si>
    <t xml:space="preserve">  * Défavorables</t>
  </si>
  <si>
    <t xml:space="preserve">                                            TABLEAU DE FINANCEMENT DE L'EXERCICE</t>
  </si>
  <si>
    <t>I SYNTHESE DES MASSES DU BILAN</t>
  </si>
  <si>
    <t xml:space="preserve">           Variations a-b</t>
  </si>
  <si>
    <t>MASSES</t>
  </si>
  <si>
    <t>Emplois</t>
  </si>
  <si>
    <t>Ressources</t>
  </si>
  <si>
    <t>c</t>
  </si>
  <si>
    <t>d</t>
  </si>
  <si>
    <t xml:space="preserve">  Financement Permanent</t>
  </si>
  <si>
    <t xml:space="preserve">  Moins actif immobilisé</t>
  </si>
  <si>
    <t xml:space="preserve">  = Fonds de Roulement Fonctionnel (1-2)  (A)</t>
  </si>
  <si>
    <t xml:space="preserve">  Actif circulant</t>
  </si>
  <si>
    <t xml:space="preserve">  Moins passif circulant</t>
  </si>
  <si>
    <t xml:space="preserve">  = Besoin de Financement global (4-5)      (B)</t>
  </si>
  <si>
    <t xml:space="preserve">  TRESORERIE NETTE (Actif-Passif)        = A-B</t>
  </si>
  <si>
    <t>II EMPLOIS ET RESSOURCES</t>
  </si>
  <si>
    <t>EMPLOIS</t>
  </si>
  <si>
    <t>RESSOURCES</t>
  </si>
  <si>
    <t>EMPLOI</t>
  </si>
  <si>
    <t xml:space="preserve">I RESSOURCES STABLES DE </t>
  </si>
  <si>
    <t xml:space="preserve">  L'EXERCICE (FLUX)</t>
  </si>
  <si>
    <t>*  AUTOFINANCEMENT                             (A)</t>
  </si>
  <si>
    <t xml:space="preserve">          + Capacité d'autofinancement</t>
  </si>
  <si>
    <t xml:space="preserve">          - Distributions de bénéfices</t>
  </si>
  <si>
    <t>* CESSIONS ET REDUCTIONS</t>
  </si>
  <si>
    <t xml:space="preserve">  D'IMMOBILISATIONS                             (B)</t>
  </si>
  <si>
    <t xml:space="preserve">          + Cessions d'immobilisations incorporelles</t>
  </si>
  <si>
    <t xml:space="preserve">          + Cessions d'immobilisations corporelles</t>
  </si>
  <si>
    <t xml:space="preserve">          + Cessions d'immobilisations financières</t>
  </si>
  <si>
    <t xml:space="preserve">          + récupérations sur créances immobilisées</t>
  </si>
  <si>
    <t xml:space="preserve">* AUGMENTATION DES CAPITAUX </t>
  </si>
  <si>
    <t xml:space="preserve">   PROPRES ET ASSIMILES                     (C)</t>
  </si>
  <si>
    <t xml:space="preserve">          + Augmentation du capital , apports</t>
  </si>
  <si>
    <t xml:space="preserve">          + Subventions d'investissement</t>
  </si>
  <si>
    <t xml:space="preserve">   AUGMENTATION DES DETTES</t>
  </si>
  <si>
    <t xml:space="preserve">   DE FINANCEMENT                                 (D)</t>
  </si>
  <si>
    <t>(nettes de primes de remboursement)</t>
  </si>
  <si>
    <t xml:space="preserve"> TOTAL RESSOURCES STABLES</t>
  </si>
  <si>
    <t xml:space="preserve">  (A+B+C+D)</t>
  </si>
  <si>
    <t>II EMPLOIS STABLES DE L'EXERCICE (FLUX)</t>
  </si>
  <si>
    <t xml:space="preserve">   ACQUISITIONS ET AUGMENTATIONS</t>
  </si>
  <si>
    <t xml:space="preserve">   D'IMMOBILISATIONS                           (E)</t>
  </si>
  <si>
    <t xml:space="preserve">          + Acquisitions d'immobilisations incorpor.</t>
  </si>
  <si>
    <t xml:space="preserve">          + Acquisitions d'immobilisation corporelles</t>
  </si>
  <si>
    <t xml:space="preserve">          + Acquisitions d'immobilisation financières</t>
  </si>
  <si>
    <t xml:space="preserve">          + Augmentation des créances immob.</t>
  </si>
  <si>
    <t>* REMBOURSEMENT DES CAPITAUX</t>
  </si>
  <si>
    <t xml:space="preserve">  PROPRES                                               (F)</t>
  </si>
  <si>
    <t xml:space="preserve">* REMBOURSEMENTS DES DETTES </t>
  </si>
  <si>
    <t xml:space="preserve">  DE FINANCEMENT                                (G)</t>
  </si>
  <si>
    <t>* EMPLOIS EN NON VALEURS               (H)</t>
  </si>
  <si>
    <t>TOTAL II  - EMPLOIS STABLES</t>
  </si>
  <si>
    <t>(E+F+G+H)</t>
  </si>
  <si>
    <t>III VARIATION DU BESOIN DE FINANCEMENT</t>
  </si>
  <si>
    <t>GLOBAL (B.F.G)</t>
  </si>
  <si>
    <t>IV VARIATION DE LA TRESORERIE</t>
  </si>
  <si>
    <t>TOTAL GENERAL</t>
  </si>
  <si>
    <t>Débit Période</t>
  </si>
  <si>
    <t>Crédit Période</t>
  </si>
  <si>
    <t>Solde</t>
  </si>
  <si>
    <t>Numero</t>
  </si>
  <si>
    <t>Libellé</t>
  </si>
  <si>
    <t>*  Marchandises</t>
  </si>
  <si>
    <t>*  Matières et fournitures, consommables</t>
  </si>
  <si>
    <t>*  Produits en cours</t>
  </si>
  <si>
    <t>*  produits intermédiaires et produits résiduels</t>
  </si>
  <si>
    <t>*  Produits finis</t>
  </si>
  <si>
    <t>*  Terrains</t>
  </si>
  <si>
    <t>*  Constructions</t>
  </si>
  <si>
    <t>*   Installations techniques, matériel et outillage</t>
  </si>
  <si>
    <t>*  Matériel transport</t>
  </si>
  <si>
    <t>*  Mobilier, matériel de bureau et aménagements divers</t>
  </si>
  <si>
    <t>*  Autres immobilisations corporelles</t>
  </si>
  <si>
    <t>Tableau n° 1</t>
  </si>
  <si>
    <t>BILAN (ACTIF)</t>
  </si>
  <si>
    <t xml:space="preserve">(modèle normal)     </t>
  </si>
  <si>
    <t xml:space="preserve">          Exercice clos le :</t>
  </si>
  <si>
    <t>ACTIF</t>
  </si>
  <si>
    <t xml:space="preserve">             </t>
  </si>
  <si>
    <t>Exercice</t>
  </si>
  <si>
    <t>Exercice Précédent</t>
  </si>
  <si>
    <t xml:space="preserve"> </t>
  </si>
  <si>
    <t>Amortissement</t>
  </si>
  <si>
    <t>Brut</t>
  </si>
  <si>
    <t>et</t>
  </si>
  <si>
    <t>Net</t>
  </si>
  <si>
    <t>provisions</t>
  </si>
  <si>
    <t xml:space="preserve">IMMOBILISATIONS EN NON VALEURS  (A)     </t>
  </si>
  <si>
    <t>*  Frais préliminaires</t>
  </si>
  <si>
    <t>*  Charges à repartir sur plusieurs  exercices</t>
  </si>
  <si>
    <t>s</t>
  </si>
  <si>
    <t>*  Primes de remboursement des obligations</t>
  </si>
  <si>
    <t>e</t>
  </si>
  <si>
    <t xml:space="preserve">IMMOBILISATIONS INCORPORELLES  (B)     </t>
  </si>
  <si>
    <t>é</t>
  </si>
  <si>
    <t>*  Immobilisation en recherche et développement</t>
  </si>
  <si>
    <t>*  Brevets, marques, droits et valeurs similaires</t>
  </si>
  <si>
    <t>i</t>
  </si>
  <si>
    <t>*  Fonds commercial</t>
  </si>
  <si>
    <t>l</t>
  </si>
  <si>
    <t>*  Autres immobilisations incorporelles</t>
  </si>
  <si>
    <t xml:space="preserve">IMMOBILISATIONS CORPORELLES (C)     </t>
  </si>
  <si>
    <t>b</t>
  </si>
  <si>
    <t>o</t>
  </si>
  <si>
    <t>m</t>
  </si>
  <si>
    <t>I</t>
  </si>
  <si>
    <t>*  Immobilisations corporelles en cours</t>
  </si>
  <si>
    <t>r</t>
  </si>
  <si>
    <t xml:space="preserve">IMMOBILISATIONS FINANCIERES  (D)     </t>
  </si>
  <si>
    <t>u</t>
  </si>
  <si>
    <t>*  Prêts immobilisés</t>
  </si>
  <si>
    <t>*  Autres créances financières</t>
  </si>
  <si>
    <t>*  Titres de participation</t>
  </si>
  <si>
    <t>a</t>
  </si>
  <si>
    <t>*  Autres titres immobilisés</t>
  </si>
  <si>
    <t>V</t>
  </si>
  <si>
    <t xml:space="preserve">ECARTS DE CONVERSION -ACTIF  (E)    </t>
  </si>
  <si>
    <t>*  Diminution des créances immobilisées</t>
  </si>
  <si>
    <t>*  Augmentation des dettes financières</t>
  </si>
  <si>
    <t>TOTAL I (A+B+C+D+E)</t>
  </si>
  <si>
    <t xml:space="preserve">STOCKS (F)     </t>
  </si>
  <si>
    <t xml:space="preserve">CREANCES DE L'ACTIF CIRCULANT  (G)     </t>
  </si>
  <si>
    <t>*  Fournis. débiteurs, avances et acomptes</t>
  </si>
  <si>
    <t>*   Clients et comptes rattachés</t>
  </si>
  <si>
    <t>*  Personnel</t>
  </si>
  <si>
    <t>*  Etat</t>
  </si>
  <si>
    <t>*  Comptes d'associés</t>
  </si>
  <si>
    <t>A …………………  Le …/…/……..</t>
  </si>
  <si>
    <t xml:space="preserve">   (Décision du AGO  du …./…../……...)</t>
  </si>
  <si>
    <t>*  Autres débiteurs</t>
  </si>
  <si>
    <t>*  Comptes de régularisation-Actif</t>
  </si>
  <si>
    <t xml:space="preserve">TITRES VALEURS DE PLACEMENT  ( H)     </t>
  </si>
  <si>
    <t xml:space="preserve">ECARTS DE CONVERSION-ACTIF  ( I )     </t>
  </si>
  <si>
    <t xml:space="preserve">.   (Eléments circulants)     </t>
  </si>
  <si>
    <t>* Nantissement de marchandises</t>
  </si>
  <si>
    <t xml:space="preserve">TOTAL II  ( F+G+H+I )     </t>
  </si>
  <si>
    <t>TRESORERIE-ACTIF</t>
  </si>
  <si>
    <t>*  Chéques et valeurs à encaisser</t>
  </si>
  <si>
    <t>*  Banques, TG et CCP</t>
  </si>
  <si>
    <t>*  Caisse, Régie d'avances et accréditifs</t>
  </si>
  <si>
    <t>TOTAL III</t>
  </si>
  <si>
    <t>TOTAL GENERAL I+II+III</t>
  </si>
  <si>
    <t>BILAN (PASSIF)</t>
  </si>
  <si>
    <t>PASSIF</t>
  </si>
  <si>
    <t>CAPITAUX PROPRES</t>
  </si>
  <si>
    <t>*  Capital social ou personnel (1)</t>
  </si>
  <si>
    <t>* Moins : actionnaires, caital souscrit non applé</t>
  </si>
  <si>
    <t>* Capital appelé, dont versé</t>
  </si>
  <si>
    <t>* Primes d'émission, de fusion, d'apport</t>
  </si>
  <si>
    <t>* Ecart de réévaluation</t>
  </si>
  <si>
    <t>* Réserve légale</t>
  </si>
  <si>
    <t>* Autres Réserves</t>
  </si>
  <si>
    <t>* Report à nouveau (2)</t>
  </si>
  <si>
    <t>* Résultats nets en instance d'affectation (2)</t>
  </si>
  <si>
    <t>* Résultat net de l'exercice (2)</t>
  </si>
  <si>
    <t>Total des capitaux propres   (A)</t>
  </si>
  <si>
    <t>CAPITAUX PROPRES ASSIMILES</t>
  </si>
  <si>
    <t>(B)</t>
  </si>
  <si>
    <t>* Subvensions d'investissement</t>
  </si>
  <si>
    <t>* Provisions réglementées</t>
  </si>
  <si>
    <t>DETTES DE FINANCEMENT</t>
  </si>
  <si>
    <t>(C)</t>
  </si>
  <si>
    <t>* Emprunts obligataires</t>
  </si>
  <si>
    <t>* Autres dettes de financement</t>
  </si>
  <si>
    <t>PROVISIONS DURABLES POUR RISQUE ET CHARGES</t>
  </si>
  <si>
    <t>(D)</t>
  </si>
  <si>
    <t>* Provisions pour risques</t>
  </si>
  <si>
    <t>* Provisions pour charges</t>
  </si>
  <si>
    <t>ECRATS DE CONVERSION - PASSIF</t>
  </si>
  <si>
    <t>(E)</t>
  </si>
  <si>
    <t>* Augmentation des créances immobilisées</t>
  </si>
  <si>
    <t>* Diminution des dettes de financement</t>
  </si>
  <si>
    <t>Total I ( A + B + C + D + E )</t>
  </si>
  <si>
    <t>DETTES DU PASSIF CIRCULANT</t>
  </si>
  <si>
    <t>(F)</t>
  </si>
  <si>
    <t>* Fournisseurs et comptes rattachés</t>
  </si>
  <si>
    <t>* Clients créditeurs, avances et acomptes</t>
  </si>
  <si>
    <t>* Personnel</t>
  </si>
  <si>
    <t>* Organismes sociaux</t>
  </si>
  <si>
    <t>* Etat</t>
  </si>
  <si>
    <t>* Comptes d'associés</t>
  </si>
  <si>
    <t>* Autres créanciers</t>
  </si>
  <si>
    <t>* Comptes de régularisation passif</t>
  </si>
  <si>
    <t>AUTRES PROVISIONS POUR RISQUES ET CHARGES</t>
  </si>
  <si>
    <t>(G)</t>
  </si>
  <si>
    <t>ECARTS DE CONVERSION - PASSIF (Eléments circulants)</t>
  </si>
  <si>
    <t>(H)</t>
  </si>
  <si>
    <t>Total II (F + G + H )</t>
  </si>
  <si>
    <t>TRESORERIE - PASSIF</t>
  </si>
  <si>
    <t>(I)</t>
  </si>
  <si>
    <t>* Crédit d'escompte</t>
  </si>
  <si>
    <t>* Crédit de trésorerie</t>
  </si>
  <si>
    <t>* Banques (soldes créditeurs)</t>
  </si>
  <si>
    <t>Total III</t>
  </si>
  <si>
    <t>TOTAL GENERAL I + II + III</t>
  </si>
  <si>
    <t>(1) Capital personnel débiteur                                     (2) bénéficiaire (+); déficitaire (-)</t>
  </si>
  <si>
    <t>Tableau n° 2</t>
  </si>
  <si>
    <t>COMPTE DE PRODUITS ET CHARGES (hors taxes)</t>
  </si>
  <si>
    <t>(modèle normal)</t>
  </si>
  <si>
    <t>OPERATIONS</t>
  </si>
  <si>
    <t xml:space="preserve">Propres à    l'exercice </t>
  </si>
  <si>
    <t>concernant les</t>
  </si>
  <si>
    <t>TOTAUX DE</t>
  </si>
  <si>
    <t>NATURE</t>
  </si>
  <si>
    <t>exercices précédent</t>
  </si>
  <si>
    <t>L'EXERCICE</t>
  </si>
  <si>
    <t>3=2+1</t>
  </si>
  <si>
    <t>E</t>
  </si>
  <si>
    <t xml:space="preserve"> PRODUITS D'EXPLOITATION</t>
  </si>
  <si>
    <t>X</t>
  </si>
  <si>
    <t>*  Ventes de marchandises (en l'état)</t>
  </si>
  <si>
    <t>P</t>
  </si>
  <si>
    <t>*  Ventes de biens et services produits chiffre d'affaires</t>
  </si>
  <si>
    <t>O</t>
  </si>
  <si>
    <t>*  Variation des stocks de produits (1)</t>
  </si>
  <si>
    <t>*  Immobilisations produites par l'entreprise pour elle-même</t>
  </si>
  <si>
    <t>A</t>
  </si>
  <si>
    <t>*  Subventions d'exploitation</t>
  </si>
  <si>
    <t>T</t>
  </si>
  <si>
    <t>*  Autres produits d'exploitation</t>
  </si>
  <si>
    <t>*  Reprises d'exploitation; Transsferts de charges</t>
  </si>
  <si>
    <t xml:space="preserve">                                   Total I  </t>
  </si>
  <si>
    <t>N</t>
  </si>
  <si>
    <t>II</t>
  </si>
  <si>
    <t xml:space="preserve"> CHARGES D'EXPLOITATION</t>
  </si>
  <si>
    <t>*  Achats revendus(2) de marchandises</t>
  </si>
  <si>
    <t>*  Achats consommés(2) de matières et fournitures</t>
  </si>
  <si>
    <t>*  Autres charges externes</t>
  </si>
  <si>
    <t>*  Impôts et taxes</t>
  </si>
  <si>
    <t>*  Charges de personnel</t>
  </si>
  <si>
    <t>*  Autres charges d'exploitation</t>
  </si>
  <si>
    <t>*  Dotations d'exploitation</t>
  </si>
  <si>
    <t xml:space="preserve">                                  Total II  </t>
  </si>
  <si>
    <t>III</t>
  </si>
  <si>
    <t>RESULTAT D'EXPLOITATION (I-II)</t>
  </si>
  <si>
    <t>IV</t>
  </si>
  <si>
    <t>PRODUITS FINANCIERS</t>
  </si>
  <si>
    <t>F</t>
  </si>
  <si>
    <t>*  Produits des titres de partic. et autres titres immobilisés</t>
  </si>
  <si>
    <t>*  Gains de change</t>
  </si>
  <si>
    <t>*  Interêts et autres produits financiers</t>
  </si>
  <si>
    <t>*  Reprises financier;  transferts de charges</t>
  </si>
  <si>
    <t>C</t>
  </si>
  <si>
    <t xml:space="preserve">                                     Total IV  </t>
  </si>
  <si>
    <t xml:space="preserve"> CHARGES FINANCIERES</t>
  </si>
  <si>
    <t>*  Charges d'interêts</t>
  </si>
  <si>
    <t>R</t>
  </si>
  <si>
    <t>*  Pertes de change</t>
  </si>
  <si>
    <t>*  Autres charges financières</t>
  </si>
  <si>
    <t>*  Dotations finacières</t>
  </si>
  <si>
    <t xml:space="preserve">                                     Total V  </t>
  </si>
  <si>
    <t>VI</t>
  </si>
  <si>
    <t xml:space="preserve">RESULTAT FINANCIER (IV-V)  </t>
  </si>
  <si>
    <t>VII</t>
  </si>
  <si>
    <t xml:space="preserve">RESULTAT COURANT (III+VI)  </t>
  </si>
  <si>
    <t>1) Variation de stocks :stock final - stock initial ; augmentation (+) ; diminution (-)</t>
  </si>
  <si>
    <t>PRECEDENT</t>
  </si>
  <si>
    <t>2) Achats revendu ou consommés : achats -variation de stocks</t>
  </si>
  <si>
    <t>COMPTE DE PRODUITS ET CHARGES (hors taxes) (suite)</t>
  </si>
  <si>
    <t>Propres à l'exercice</t>
  </si>
  <si>
    <t>exercices précédents</t>
  </si>
  <si>
    <t>TOTAUX DE L'EXERCICE</t>
  </si>
  <si>
    <t>.3=2+1</t>
  </si>
  <si>
    <t xml:space="preserve">VII </t>
  </si>
  <si>
    <t>RESULTAT COURANT (reports)</t>
  </si>
  <si>
    <t>VIII</t>
  </si>
  <si>
    <t xml:space="preserve"> PRODUITS NON COURANTS</t>
  </si>
  <si>
    <t>*  Produits des cessions d'immobilisations</t>
  </si>
  <si>
    <t>*  Subventions d'équilibre</t>
  </si>
  <si>
    <t>*  Reprises sur subventions d'investissement</t>
  </si>
  <si>
    <t>*  Autres produits non courants</t>
  </si>
  <si>
    <t>*  Reprises non courantes  ; transferts de charges</t>
  </si>
  <si>
    <t xml:space="preserve">                                   Total VIII  </t>
  </si>
  <si>
    <t>IX</t>
  </si>
  <si>
    <t xml:space="preserve"> CHARGES NON COURANTES</t>
  </si>
  <si>
    <t>*  Valeurs nettes d'amortissements des immobilisations cédées</t>
  </si>
  <si>
    <t>*  Subventions accordées</t>
  </si>
  <si>
    <t>*  Autres charges non courantes</t>
  </si>
  <si>
    <t>*  Dotations non courantes aux amortissements et aux provisions</t>
  </si>
  <si>
    <t xml:space="preserve">                                     Total IX  </t>
  </si>
  <si>
    <t>RESULTAT NON COURANT (VIII-IX)</t>
  </si>
  <si>
    <t>XI</t>
  </si>
  <si>
    <t>RESULTAT AVANT IMPÔTS (VII+X)</t>
  </si>
  <si>
    <t>Modèle 100/IS/N</t>
  </si>
  <si>
    <t xml:space="preserve">PIECES ANNEXES A LA </t>
  </si>
  <si>
    <t>DECLARATION FISCALE</t>
  </si>
  <si>
    <t xml:space="preserve">IMPOT SUR LES SOCIETES </t>
  </si>
  <si>
    <t>(Modèle Comptable Normal)</t>
  </si>
  <si>
    <r>
      <t xml:space="preserve"> Raison sociale</t>
    </r>
    <r>
      <rPr>
        <sz val="10"/>
        <rFont val="Times New Roman"/>
        <family val="1"/>
      </rPr>
      <t xml:space="preserve"> : </t>
    </r>
    <r>
      <rPr>
        <sz val="12"/>
        <rFont val="Arial"/>
        <family val="2"/>
      </rPr>
      <t xml:space="preserve"> </t>
    </r>
  </si>
  <si>
    <t xml:space="preserve"> Article I.F.</t>
  </si>
  <si>
    <r>
      <t xml:space="preserve"> Adresse</t>
    </r>
    <r>
      <rPr>
        <sz val="10"/>
        <rFont val="Times New Roman"/>
        <family val="1"/>
      </rPr>
      <t xml:space="preserve"> :    </t>
    </r>
    <r>
      <rPr>
        <sz val="12"/>
        <rFont val="Arial"/>
        <family val="2"/>
      </rPr>
      <t xml:space="preserve"> </t>
    </r>
  </si>
  <si>
    <t xml:space="preserve">                       </t>
  </si>
  <si>
    <t xml:space="preserve"> R.C. n°  </t>
  </si>
  <si>
    <t>Signature</t>
  </si>
  <si>
    <t>CADRE RESERVE A L'ADMINISTRATION</t>
  </si>
  <si>
    <t xml:space="preserve"> Numéro d'Enregistrement de la Déclaration : .............................................</t>
  </si>
  <si>
    <t xml:space="preserve"> Date : ...................................................</t>
  </si>
  <si>
    <t xml:space="preserve">Signature </t>
  </si>
  <si>
    <r>
      <t xml:space="preserve"> N.B.</t>
    </r>
    <r>
      <rPr>
        <sz val="9"/>
        <rFont val="Arial"/>
        <family val="2"/>
      </rPr>
      <t xml:space="preserve"> : Les tableaux de  1 à 14 sont conformes aux états prévus par la loi n° 9-88 relative aux obligations </t>
    </r>
  </si>
  <si>
    <t>Montant de l'IS</t>
  </si>
  <si>
    <t xml:space="preserve">         comptables des commerçants promulguée par le Dahir n° 1,92,138 du 3 Joumada II 1413 (15,12,1992)</t>
  </si>
  <si>
    <t>DECLARATION AU TITRE DE L'ANNEE</t>
  </si>
  <si>
    <t>Du</t>
  </si>
  <si>
    <t>Au</t>
  </si>
  <si>
    <t>XII</t>
  </si>
  <si>
    <t>IMPÔTS SUR LES BENEFICES</t>
  </si>
  <si>
    <t>XIII</t>
  </si>
  <si>
    <t>RESULTAT NET (XI-XII)</t>
  </si>
  <si>
    <t>XIV</t>
  </si>
  <si>
    <t>TOTAL DES PRODUITS (I+IV+VIII)</t>
  </si>
  <si>
    <t>XV</t>
  </si>
  <si>
    <t>TOTAL DES CHARGES (II+V+IX+XIII)</t>
  </si>
  <si>
    <t>XVI</t>
  </si>
  <si>
    <t>TRESORERIE NETTE</t>
  </si>
  <si>
    <t>RESULTAT NET (total des produits-total des charges)</t>
  </si>
  <si>
    <t>PASSAGE DU RESULTAT NET COMPTABLE AU RESULTAT NET FISCAL</t>
  </si>
  <si>
    <t>INTITULES</t>
  </si>
  <si>
    <t>MONTANT</t>
  </si>
  <si>
    <t>I. RESULTAT NET COMPTABLE</t>
  </si>
  <si>
    <t>II. REINTEGRATIONS FISCALES</t>
  </si>
  <si>
    <t>1. Courantes</t>
  </si>
  <si>
    <t xml:space="preserve"> -</t>
  </si>
  <si>
    <t>2. Non courantes</t>
  </si>
  <si>
    <t>II. DEDUCTIONS FISCALES</t>
  </si>
  <si>
    <t>Total</t>
  </si>
  <si>
    <t>IV. RESULTAT BRUT FISCAL</t>
  </si>
  <si>
    <t>Montants</t>
  </si>
  <si>
    <t>Bénéfice brut si T1&gt; T2 (A)</t>
  </si>
  <si>
    <t>Déficit brut fiscal si T2&gt; T1 (B)</t>
  </si>
  <si>
    <t>V. REPORTS DEFICITAIRES IMPUTES (C) (1)</t>
  </si>
  <si>
    <t>* Exercice n-4</t>
  </si>
  <si>
    <t>VI. RESULTAT NET FISCAL</t>
  </si>
  <si>
    <t>Bénéfice net fiscal (A-C)</t>
  </si>
  <si>
    <t>ou déficit net fiscal (B)</t>
  </si>
  <si>
    <t>VII. CUMUL DES AMORTISSEMENTS FISCALEMENT DIFFERES</t>
  </si>
  <si>
    <t>Autres  charges non courantes</t>
  </si>
  <si>
    <t xml:space="preserve">Au </t>
  </si>
  <si>
    <t>VIII. CUMUL DES DEFICITS FISCAUX RESTANT A REPORTER</t>
  </si>
  <si>
    <t>(1) Dans la limite du montant du bénéfice brut fiscal (A)</t>
  </si>
  <si>
    <t>TABLEAU DES IMMOBILISATIONS AUTRES QUE FINANCIERES</t>
  </si>
  <si>
    <t xml:space="preserve">MONTANT BRUT </t>
  </si>
  <si>
    <t>AUGMENTATION</t>
  </si>
  <si>
    <t>DIMINUTION</t>
  </si>
  <si>
    <t xml:space="preserve">MONTANT </t>
  </si>
  <si>
    <t xml:space="preserve">Production par l'entreprise </t>
  </si>
  <si>
    <t>BRUT</t>
  </si>
  <si>
    <t>IS</t>
  </si>
  <si>
    <t>CM</t>
  </si>
  <si>
    <t>DEBUT EXERCICE</t>
  </si>
  <si>
    <t>Acquisition</t>
  </si>
  <si>
    <t>pour elle-même</t>
  </si>
  <si>
    <t>Virement</t>
  </si>
  <si>
    <t>Cession</t>
  </si>
  <si>
    <t>Retrait</t>
  </si>
  <si>
    <t>FIN EXERCICE</t>
  </si>
  <si>
    <t xml:space="preserve">IMMOBILISATION EN NON-VALEURS </t>
  </si>
  <si>
    <t>* IMMOBILISATIONS INCORPORELLES</t>
  </si>
  <si>
    <t xml:space="preserve">* Immobilisation en recherche et développement </t>
  </si>
  <si>
    <t xml:space="preserve">* Brevets, marques, droits et valeurs similaires </t>
  </si>
  <si>
    <t>* Fonds commercial</t>
  </si>
  <si>
    <t>*Autres immobilisations incorporelles</t>
  </si>
  <si>
    <t>IMMOBILISATIONS CORPORELLES</t>
  </si>
  <si>
    <t>* Terrains</t>
  </si>
  <si>
    <t>* Matériel de transport</t>
  </si>
  <si>
    <t>* Mobilier, matériel bureau et aménagements</t>
  </si>
  <si>
    <t>Tableau 5</t>
  </si>
  <si>
    <t>ETAT DES SOLDES DE GESTION (E.S.G)</t>
  </si>
  <si>
    <t>I. Tableau de formation des Résultats (T.F.R )</t>
  </si>
  <si>
    <t>Précédent</t>
  </si>
  <si>
    <t>+</t>
  </si>
  <si>
    <t>Ventes de Marchandises ( en l'état)</t>
  </si>
  <si>
    <t>-</t>
  </si>
  <si>
    <t>Achats revendus de marchandises</t>
  </si>
  <si>
    <t>=</t>
  </si>
  <si>
    <t>MARGE BRUTES VENTES EN L'ETAT</t>
  </si>
  <si>
    <t>PRODUCTION DE L'EXERCICE (3+4+5)</t>
  </si>
  <si>
    <t>Ventes de biens et services produits</t>
  </si>
  <si>
    <t>Variation stocks produits</t>
  </si>
  <si>
    <t>Immobilisations produites par l'entreprise pour elle même</t>
  </si>
  <si>
    <t>CONSOMMATIONS DE L'EXERCICE(6+7)</t>
  </si>
  <si>
    <t>Achats consommés de matières et fournitures</t>
  </si>
  <si>
    <t xml:space="preserve">Autres charges externes </t>
  </si>
  <si>
    <t>VALEUR AJOUTEE (I+II-III)</t>
  </si>
  <si>
    <t>Subventions d'exploitation</t>
  </si>
  <si>
    <t>Impôts et taxes</t>
  </si>
  <si>
    <t>Charges de personnel</t>
  </si>
  <si>
    <t>EXCEDENT BRUT D'EXPLOITATION (EBE)</t>
  </si>
  <si>
    <t>OU INSUFFISANCE BRUTE D'EXPLOITATION(IBE)</t>
  </si>
  <si>
    <t>Autres produits d'exploitation</t>
  </si>
  <si>
    <t>Autres charges d'exploitation</t>
  </si>
  <si>
    <t>Reprises d'exploitation, transferts de charges</t>
  </si>
  <si>
    <t>Dotations d'exploitation</t>
  </si>
  <si>
    <t>RESULTAT D'EXPLOITATION(+ou-)</t>
  </si>
  <si>
    <t>+/-</t>
  </si>
  <si>
    <t>RESULTAT FINANCIER</t>
  </si>
  <si>
    <t>RESULTAT COURANT</t>
  </si>
  <si>
    <t>RESULTAT NON COURANT(+ou-)</t>
  </si>
  <si>
    <t>Impôts sur les résultats</t>
  </si>
  <si>
    <t>RESULTAT NET DE L'EXERCICE</t>
  </si>
  <si>
    <t>II. CAPACITE D'AUTOFINANCEMENT (C.A.F.) - AUTOFINANCEMENT</t>
  </si>
  <si>
    <t>Résultat net de l'exercice</t>
  </si>
  <si>
    <t>Bénéfice +</t>
  </si>
  <si>
    <t>Perte -</t>
  </si>
  <si>
    <t xml:space="preserve"> +</t>
  </si>
  <si>
    <t>Dotations d'exploitation (1)</t>
  </si>
  <si>
    <t>Dotations financières (1)</t>
  </si>
  <si>
    <t>Dotations non courantes(1)</t>
  </si>
  <si>
    <t>Reprises d'exploitation(2)</t>
  </si>
  <si>
    <t>Reprises financières(2)</t>
  </si>
  <si>
    <t>Reprises non courantes(2)</t>
  </si>
  <si>
    <t>Produits des cessions d'immobilisation</t>
  </si>
  <si>
    <t>Valeurs nettes d'amortiss. des immo. cédées</t>
  </si>
  <si>
    <t>CAPACITE D'AUTOFINANCEMENT (C.A.F.)</t>
  </si>
  <si>
    <t>Distributions de bénéfices</t>
  </si>
  <si>
    <t>AUTOFINANCEMENT</t>
  </si>
  <si>
    <t>(1) à l'exclusion des dotations relatives aux actifs et passifs circulants et à la trésorerie</t>
  </si>
  <si>
    <t>(2) à l'exclusion des reprises relatives aux actifs et passifs circulants et à la trésorerie</t>
  </si>
  <si>
    <t>(3) Ycompris reprises sur subventions d'investissement</t>
  </si>
  <si>
    <t>Tableau n° 6</t>
  </si>
  <si>
    <t>DETAIL DES POSTES DU C.P.C.</t>
  </si>
  <si>
    <t>POSTE</t>
  </si>
  <si>
    <t>CHARGES D'EXPLOITATION</t>
  </si>
  <si>
    <t xml:space="preserve">* Achats de marchandises </t>
  </si>
  <si>
    <t>* Variation des stocks de marchandises (±)</t>
  </si>
  <si>
    <t xml:space="preserve">Total </t>
  </si>
  <si>
    <t>* Achat de matières premières</t>
  </si>
  <si>
    <t>* Variation des stocks de matières, fournitures et emballages (±)</t>
  </si>
  <si>
    <t>* Achats non stockés de matières et de fournitures</t>
  </si>
  <si>
    <t>* Achats de travaux, études et prestations de services</t>
  </si>
  <si>
    <t>* Achats de matières et fournitures des exercices antérieurs</t>
  </si>
  <si>
    <t>* R.R.R. obtenus sur achats consommés de matières et fournitures</t>
  </si>
  <si>
    <t>613/614</t>
  </si>
  <si>
    <t>Autres charges externes</t>
  </si>
  <si>
    <t>* Locations et charges locatives</t>
  </si>
  <si>
    <t>* Redevances de crédit-bail</t>
  </si>
  <si>
    <t>* Entretien et réparations</t>
  </si>
  <si>
    <t>* Primes d'assurances</t>
  </si>
  <si>
    <t>* Rémunérations du personnel extérieur à l'entreprise</t>
  </si>
  <si>
    <t>* Rémunérations d'intermédiaires et honoraires</t>
  </si>
  <si>
    <t>* Redevances pour brevets, marques, droits et valeurs similaires</t>
  </si>
  <si>
    <t>* Transports</t>
  </si>
  <si>
    <t>* Déplacements, missions et réceptions</t>
  </si>
  <si>
    <t>* Reste du poste des autres charges externes</t>
  </si>
  <si>
    <t>* Rémunération du personnel</t>
  </si>
  <si>
    <t>* Charges sociales</t>
  </si>
  <si>
    <t>* Reste du poste des charges de personnel</t>
  </si>
  <si>
    <t>* Jetons de présence</t>
  </si>
  <si>
    <t>* Pertes sur créances irrécouvrabels</t>
  </si>
  <si>
    <t>* Reste du poste des autres charges d'exploitation</t>
  </si>
  <si>
    <t>A.0 . Présentation de la société</t>
  </si>
  <si>
    <t>1.1 Présentation :</t>
  </si>
  <si>
    <t>A.1. Principales méthodes d'évaluation spécifiques à l'entreprise</t>
  </si>
  <si>
    <t>A.1.1 Immobilisations en non valeurs :</t>
  </si>
  <si>
    <t>A.1.2 Immobilisations incorporelles :</t>
  </si>
  <si>
    <t xml:space="preserve">A.1.3 Immobilisations corporelles : </t>
  </si>
  <si>
    <t>A.1.4 Immobilisations financières  :</t>
  </si>
  <si>
    <t>A.1.5 Stocks :</t>
  </si>
  <si>
    <t>A.1.6 Créances clients :</t>
  </si>
  <si>
    <t>A.1.7 Les créances et dettes libellées en monnaie étrangère:</t>
  </si>
  <si>
    <t>A.1.8 Engagements de retraite</t>
  </si>
  <si>
    <t>Etat A 2 :  Etat des dérogations</t>
  </si>
  <si>
    <t>Indication  des</t>
  </si>
  <si>
    <t>Justification des</t>
  </si>
  <si>
    <t>Influence des dérogations  sur</t>
  </si>
  <si>
    <t>Dérogations</t>
  </si>
  <si>
    <t xml:space="preserve">le patrimoine , la situation </t>
  </si>
  <si>
    <t>financière  et  les résultats</t>
  </si>
  <si>
    <t>I. Dérogations aux Principes comptables fondamentaux</t>
  </si>
  <si>
    <t xml:space="preserve">II.Dérogations aux Méthodes </t>
  </si>
  <si>
    <t xml:space="preserve">          d'évaluation</t>
  </si>
  <si>
    <t>III. Dérogations aux Règles</t>
  </si>
  <si>
    <t xml:space="preserve">   d'établissement et de Présentation</t>
  </si>
  <si>
    <t xml:space="preserve">          des états de synthèse</t>
  </si>
  <si>
    <t>Etat A 3 : Etat des changements de méthodes</t>
  </si>
  <si>
    <t>Nature  des</t>
  </si>
  <si>
    <t xml:space="preserve">Justification  des </t>
  </si>
  <si>
    <t>Influence sur le patrimoine , la</t>
  </si>
  <si>
    <t>Changements</t>
  </si>
  <si>
    <t>situation financière et les résultats</t>
  </si>
  <si>
    <t xml:space="preserve">Changements affectant  les </t>
  </si>
  <si>
    <t xml:space="preserve">     Méthodes d'évaluation</t>
  </si>
  <si>
    <t>Changements affectant  les</t>
  </si>
  <si>
    <t xml:space="preserve">    Règles de présentation</t>
  </si>
  <si>
    <t>NEANT</t>
  </si>
  <si>
    <t>CHARGES FINANCIERS</t>
  </si>
  <si>
    <t>Autres charges financières</t>
  </si>
  <si>
    <t>* Charges nettes sur cessions de titres et valeurs de placement</t>
  </si>
  <si>
    <t>* Reste du poste des autres charges financières</t>
  </si>
  <si>
    <t>CHARGES NON COURANTES</t>
  </si>
  <si>
    <t>* Pénalités sur marchés et dédits</t>
  </si>
  <si>
    <t>* Rappels d'impôts (autres qu'impôts sur les résultats)</t>
  </si>
  <si>
    <t>* Pénalités et amendes fiscales</t>
  </si>
  <si>
    <t>* Créances devenues irrècouvrabels</t>
  </si>
  <si>
    <t>* Reste du poste des autres charges non courantes</t>
  </si>
  <si>
    <t xml:space="preserve">Tableau n° 6 </t>
  </si>
  <si>
    <t>EXERCICE</t>
  </si>
  <si>
    <t>EXERCICE PRECEDENT</t>
  </si>
  <si>
    <t>PRODUITS D'EXPLOITATION</t>
  </si>
  <si>
    <t>* Ventes de marchandises</t>
  </si>
  <si>
    <t>* Ventes de marchandises au Maroc</t>
  </si>
  <si>
    <t>* Ventes de marchandises à l'étranger</t>
  </si>
  <si>
    <t>* Reste du poste des ventes de marchandises</t>
  </si>
  <si>
    <t>* Ventes de biens et services produits</t>
  </si>
  <si>
    <t>*Ventes de marchandise au Maroc</t>
  </si>
  <si>
    <t>*Ventes de marchandise à l'étranger</t>
  </si>
  <si>
    <t>Tableau n° 18</t>
  </si>
  <si>
    <t>ETAT DES INTERETS DES EMPRUNTS CONTRACTES AUPRES DES ASSOCIES ET</t>
  </si>
  <si>
    <t>DES TIERS AUTRES QUE LES ORGANISMES DE BANQUE OU DE CREDIT</t>
  </si>
  <si>
    <t>Noms prénoms</t>
  </si>
  <si>
    <t>N° C.I.N</t>
  </si>
  <si>
    <t xml:space="preserve">Montant </t>
  </si>
  <si>
    <t>Date du</t>
  </si>
  <si>
    <t xml:space="preserve">Durée </t>
  </si>
  <si>
    <t xml:space="preserve">Taux </t>
  </si>
  <si>
    <t xml:space="preserve">Charge </t>
  </si>
  <si>
    <t xml:space="preserve">  Remboursement</t>
  </si>
  <si>
    <t xml:space="preserve"> Remboursement</t>
  </si>
  <si>
    <t xml:space="preserve">ou raison </t>
  </si>
  <si>
    <t xml:space="preserve">ou </t>
  </si>
  <si>
    <t>du prêt</t>
  </si>
  <si>
    <t>prêt</t>
  </si>
  <si>
    <t>d'interêts</t>
  </si>
  <si>
    <t xml:space="preserve">financière </t>
  </si>
  <si>
    <t xml:space="preserve">        Exercices </t>
  </si>
  <si>
    <t xml:space="preserve"> Exercice Actuel</t>
  </si>
  <si>
    <t>Article I.S</t>
  </si>
  <si>
    <t>(en mois)</t>
  </si>
  <si>
    <t>globale</t>
  </si>
  <si>
    <t xml:space="preserve">       antérieurs</t>
  </si>
  <si>
    <t>Principal</t>
  </si>
  <si>
    <t xml:space="preserve"> Intérêts</t>
  </si>
  <si>
    <t>A. Associés</t>
  </si>
  <si>
    <t>B. Tiers</t>
  </si>
  <si>
    <t xml:space="preserve">  TABLEAU DES LOCATIONS ET BAUX AUTRES QUE LE CREDIT-BAIL</t>
  </si>
  <si>
    <t xml:space="preserve">       Nature du contrat (1)</t>
  </si>
  <si>
    <t>Nature du</t>
  </si>
  <si>
    <t>Lieu de</t>
  </si>
  <si>
    <t>Noms et prénoms ou Raison sociale et</t>
  </si>
  <si>
    <t>Date de conclusion</t>
  </si>
  <si>
    <t>Montant annuel de</t>
  </si>
  <si>
    <t>Montant du loyer</t>
  </si>
  <si>
    <t>bien loué</t>
  </si>
  <si>
    <t>situation</t>
  </si>
  <si>
    <t>adresse du propriétaire</t>
  </si>
  <si>
    <t xml:space="preserve">de l'acte de </t>
  </si>
  <si>
    <t>location</t>
  </si>
  <si>
    <t>compris dans les</t>
  </si>
  <si>
    <t>Bail-ordinaire</t>
  </si>
  <si>
    <t>(Néme période)</t>
  </si>
  <si>
    <t>charges de l'exercice</t>
  </si>
  <si>
    <r>
      <t xml:space="preserve">                    </t>
    </r>
    <r>
      <rPr>
        <b/>
        <sz val="10"/>
        <rFont val="Arial"/>
        <family val="2"/>
      </rPr>
      <t xml:space="preserve">  TOTAL</t>
    </r>
  </si>
  <si>
    <t>(1) Marquer d'une croix la colonne adéquate</t>
  </si>
  <si>
    <t xml:space="preserve">     Au cas où le nombre de propriétaires dépasserait quinze, veuillez ajouter des annexes d'une contexture identique à celle du présent état.</t>
  </si>
  <si>
    <t xml:space="preserve">                                                                                   ETAT DETAILLE DES STOCKS</t>
  </si>
  <si>
    <t xml:space="preserve">                        STOCK FINAL</t>
  </si>
  <si>
    <t xml:space="preserve">                          STOCK INITIAL</t>
  </si>
  <si>
    <t xml:space="preserve">Variation de </t>
  </si>
  <si>
    <t>STOCKS</t>
  </si>
  <si>
    <t xml:space="preserve">Provision  </t>
  </si>
  <si>
    <t xml:space="preserve">Provision </t>
  </si>
  <si>
    <r>
      <t>Stock en</t>
    </r>
    <r>
      <rPr>
        <sz val="10"/>
        <rFont val="Times New Roman"/>
        <family val="1"/>
      </rPr>
      <t xml:space="preserve"> </t>
    </r>
  </si>
  <si>
    <t>Montant Brut</t>
  </si>
  <si>
    <t>pour</t>
  </si>
  <si>
    <t>Montant Net</t>
  </si>
  <si>
    <t xml:space="preserve">Montant Brut </t>
  </si>
  <si>
    <t>valeur (+ ou - )</t>
  </si>
  <si>
    <t>dépréciation</t>
  </si>
  <si>
    <t xml:space="preserve">dépréciation </t>
  </si>
  <si>
    <t xml:space="preserve">7 = 6 - 3 </t>
  </si>
  <si>
    <t xml:space="preserve">      * Biens immeubles ;</t>
  </si>
  <si>
    <t xml:space="preserve">      * Biens meubles.</t>
  </si>
  <si>
    <t>B.15</t>
  </si>
  <si>
    <t>Passif éventuel</t>
  </si>
  <si>
    <t xml:space="preserve">    - Emballages</t>
  </si>
  <si>
    <t xml:space="preserve">                                                                                   (ligne 10 + 15 + 18 + 22)</t>
  </si>
  <si>
    <t>*Ventes des services au Maroc</t>
  </si>
  <si>
    <t>*Ventes des services à l'étranger</t>
  </si>
  <si>
    <t>*Redevances pour brevets, marques, droits..</t>
  </si>
  <si>
    <t>* Reste du poste des ventes et services produits</t>
  </si>
  <si>
    <t>*Variation des stocks de produits</t>
  </si>
  <si>
    <t>* Variation des stocks des biens produits (+/-)</t>
  </si>
  <si>
    <t>*Variation des stocks des services produits (+/-)</t>
  </si>
  <si>
    <t>*Variation des stocks des produits en cours (+/-)</t>
  </si>
  <si>
    <t>* Autres produits d'exploitation</t>
  </si>
  <si>
    <t>* Jetons de présence reçus</t>
  </si>
  <si>
    <t>*Reste du poste (produits divers)</t>
  </si>
  <si>
    <t>Reprises d'exploitation transferts de charges</t>
  </si>
  <si>
    <t>*Reprises</t>
  </si>
  <si>
    <t>*Transferts de charges</t>
  </si>
  <si>
    <t>* Intérêts et autres produits financiers</t>
  </si>
  <si>
    <t>*Intérêts et produits assimilés</t>
  </si>
  <si>
    <t>*Revenus des créances rattachées à des participations</t>
  </si>
  <si>
    <t>*Produits nets sur cessions de titres et valeurs de placement</t>
  </si>
  <si>
    <t>*Reste du poste intérêts et autres produits financiers</t>
  </si>
  <si>
    <t>TABLEAU DES BIENS EN CREDIT-BAIL</t>
  </si>
  <si>
    <t>Date</t>
  </si>
  <si>
    <t>Durée</t>
  </si>
  <si>
    <t>Valeur</t>
  </si>
  <si>
    <t>Cumul des</t>
  </si>
  <si>
    <t>Montant de</t>
  </si>
  <si>
    <t>Prix d'achat</t>
  </si>
  <si>
    <t>de la 1ère</t>
  </si>
  <si>
    <t>du contrat</t>
  </si>
  <si>
    <t xml:space="preserve">estimée du </t>
  </si>
  <si>
    <t>théorique</t>
  </si>
  <si>
    <t>exercices</t>
  </si>
  <si>
    <t xml:space="preserve">l'exercice </t>
  </si>
  <si>
    <t>à payer</t>
  </si>
  <si>
    <t>résiduel</t>
  </si>
  <si>
    <t>Observations</t>
  </si>
  <si>
    <t>Rubriques</t>
  </si>
  <si>
    <t>échéance</t>
  </si>
  <si>
    <t>en mois</t>
  </si>
  <si>
    <t>bien à la</t>
  </si>
  <si>
    <t>d'amortis-</t>
  </si>
  <si>
    <t xml:space="preserve">des </t>
  </si>
  <si>
    <t>A moins</t>
  </si>
  <si>
    <t>A plus</t>
  </si>
  <si>
    <t>en fin de</t>
  </si>
  <si>
    <t xml:space="preserve">date du </t>
  </si>
  <si>
    <t>sement du</t>
  </si>
  <si>
    <t>des</t>
  </si>
  <si>
    <t>redevances</t>
  </si>
  <si>
    <t>d'un an</t>
  </si>
  <si>
    <t>contrat</t>
  </si>
  <si>
    <t>bien</t>
  </si>
  <si>
    <t>TABLEAU DES AMORTISSEMENTS</t>
  </si>
  <si>
    <t>Cumul début</t>
  </si>
  <si>
    <t xml:space="preserve">Dotation de </t>
  </si>
  <si>
    <t>Amortissements</t>
  </si>
  <si>
    <t>Cumul d'amor-</t>
  </si>
  <si>
    <t>exercice</t>
  </si>
  <si>
    <t>l'exercice</t>
  </si>
  <si>
    <t>sur immobilis-</t>
  </si>
  <si>
    <t>tissement fin</t>
  </si>
  <si>
    <t>sorties</t>
  </si>
  <si>
    <t>4 = 1+2-3</t>
  </si>
  <si>
    <t>IMMOBILISATION EN NON-VALEURS</t>
  </si>
  <si>
    <t>* Frais préliminaires</t>
  </si>
  <si>
    <t xml:space="preserve">          Exercices clos le :</t>
  </si>
  <si>
    <t>Exercice précédent</t>
  </si>
  <si>
    <t>* Charges à répartir sur plusieurs exercices</t>
  </si>
  <si>
    <t>* Primes de remboursement des obligations</t>
  </si>
  <si>
    <t>IMMOBILISATIONS INCORPORELLES</t>
  </si>
  <si>
    <t>* Immobilisation en recherche et développement</t>
  </si>
  <si>
    <t>* Brevets, marques droits et valeurs similaires</t>
  </si>
  <si>
    <t>* Autres immobilisations incorporelles</t>
  </si>
  <si>
    <t>* Constructions</t>
  </si>
  <si>
    <t>* Installations techniques; matériel et outillage</t>
  </si>
  <si>
    <t>* Mobilier, matériel de bureau et aménagements</t>
  </si>
  <si>
    <t>* Immobilisations corporelles en cours</t>
  </si>
  <si>
    <t>TABLEAU DES PROVISIONS</t>
  </si>
  <si>
    <t>Montant début</t>
  </si>
  <si>
    <t>DOTATIONS</t>
  </si>
  <si>
    <t>REPRISES</t>
  </si>
  <si>
    <t>Montant fin</t>
  </si>
  <si>
    <t>D'exploitation</t>
  </si>
  <si>
    <t>financières</t>
  </si>
  <si>
    <t>Non courantes</t>
  </si>
  <si>
    <t>d'exploitation</t>
  </si>
  <si>
    <t>1. Provisions pour</t>
  </si>
  <si>
    <t>dépréciation de</t>
  </si>
  <si>
    <t>l'actif immobilisé</t>
  </si>
  <si>
    <t>bles pour risques</t>
  </si>
  <si>
    <t>et charges</t>
  </si>
  <si>
    <t>SOUS TOTAL (A)</t>
  </si>
  <si>
    <t>4. Provisions pour</t>
  </si>
  <si>
    <t>l'actif circulant</t>
  </si>
  <si>
    <t>(hors trésorerie)</t>
  </si>
  <si>
    <t>5. Autres</t>
  </si>
  <si>
    <t>Provisions pour</t>
  </si>
  <si>
    <t>risques et charge</t>
  </si>
  <si>
    <t>6. Provisions pour</t>
  </si>
  <si>
    <t>dépréciation des</t>
  </si>
  <si>
    <t>comptes de</t>
  </si>
  <si>
    <t>trésorerie</t>
  </si>
  <si>
    <t>SOUS TOTAL (B)</t>
  </si>
  <si>
    <t>TOTAL (A+B)</t>
  </si>
  <si>
    <t>TABLEAU DES PLUS OU MOINS VALUES SUR CESSIONS OU RETRAITS</t>
  </si>
  <si>
    <t>D'IMMOBILISATIONS</t>
  </si>
  <si>
    <t>Date de cession</t>
  </si>
  <si>
    <t>Compte</t>
  </si>
  <si>
    <t>Montant</t>
  </si>
  <si>
    <t>Valeur nette</t>
  </si>
  <si>
    <t>Produit de</t>
  </si>
  <si>
    <t>Plus</t>
  </si>
  <si>
    <t>Moins</t>
  </si>
  <si>
    <t>ou de retrait</t>
  </si>
  <si>
    <t>principal</t>
  </si>
  <si>
    <t>brut</t>
  </si>
  <si>
    <t>cumulés</t>
  </si>
  <si>
    <t>d'amortissements</t>
  </si>
  <si>
    <t>cession</t>
  </si>
  <si>
    <t>values</t>
  </si>
  <si>
    <t>TOTAL</t>
  </si>
  <si>
    <t>TABLEAU DES TITRES DE PARTICIPATION</t>
  </si>
  <si>
    <t>Raison sociale</t>
  </si>
  <si>
    <t>Secteur</t>
  </si>
  <si>
    <t xml:space="preserve">Capital </t>
  </si>
  <si>
    <t>Partici-</t>
  </si>
  <si>
    <t>Prix</t>
  </si>
  <si>
    <t>Extrait des derniers états de</t>
  </si>
  <si>
    <t>Produits</t>
  </si>
  <si>
    <t>de la</t>
  </si>
  <si>
    <t>d'activité</t>
  </si>
  <si>
    <t>social</t>
  </si>
  <si>
    <t>pation</t>
  </si>
  <si>
    <t>d'acquisition</t>
  </si>
  <si>
    <t xml:space="preserve">comptable </t>
  </si>
  <si>
    <t>synthèse de la société émettrice</t>
  </si>
  <si>
    <t>inscrits</t>
  </si>
  <si>
    <t>société émettrice</t>
  </si>
  <si>
    <t>au capital</t>
  </si>
  <si>
    <t>global</t>
  </si>
  <si>
    <t>nette</t>
  </si>
  <si>
    <t>Date de</t>
  </si>
  <si>
    <t>Situation</t>
  </si>
  <si>
    <t>résultat</t>
  </si>
  <si>
    <t>au C.P.C</t>
  </si>
  <si>
    <t>%</t>
  </si>
  <si>
    <t>N-1</t>
  </si>
  <si>
    <t>clôture</t>
  </si>
  <si>
    <t>net</t>
  </si>
  <si>
    <t>de l'exercice</t>
  </si>
  <si>
    <t>DETAIL DE LA TAXE SUR LA VALEUR AJOUTEE</t>
  </si>
  <si>
    <t xml:space="preserve">solde au début </t>
  </si>
  <si>
    <t>Opérations</t>
  </si>
  <si>
    <t>Solde fin d'exercice</t>
  </si>
  <si>
    <t>comptables</t>
  </si>
  <si>
    <t>T.V.A</t>
  </si>
  <si>
    <t>(1+2-3=4)</t>
  </si>
  <si>
    <t>A. T.V.A. Facturée</t>
  </si>
  <si>
    <t>B. T.V.A. Récupérable</t>
  </si>
  <si>
    <t>* sur charges</t>
  </si>
  <si>
    <t>* sur immobilisations</t>
  </si>
  <si>
    <t>T.V.A = (A - B )</t>
  </si>
  <si>
    <t>ETAT DE REPARTITION DU CAPITAL SOCIAL</t>
  </si>
  <si>
    <t xml:space="preserve">Nom, prénom ou </t>
  </si>
  <si>
    <t>NOMBRE DE TITRES</t>
  </si>
  <si>
    <t>Valeur nominale</t>
  </si>
  <si>
    <t>MONTANT DU CAPITAL</t>
  </si>
  <si>
    <t>raison sociale</t>
  </si>
  <si>
    <t>Adresse</t>
  </si>
  <si>
    <t>de chaque</t>
  </si>
  <si>
    <t>Souscrit</t>
  </si>
  <si>
    <t>Appelé</t>
  </si>
  <si>
    <t>libéré</t>
  </si>
  <si>
    <t>des principaux</t>
  </si>
  <si>
    <t>action ou part</t>
  </si>
  <si>
    <t>associés (1)</t>
  </si>
  <si>
    <t>précédent</t>
  </si>
  <si>
    <t>actuel</t>
  </si>
  <si>
    <t>sociale</t>
  </si>
  <si>
    <t>(1) Quand le nombre des associés est inférieur ou égal à 10, l'entreprise doit déclarer tous les participants au capital.</t>
  </si>
  <si>
    <t xml:space="preserve">             TABLEAU D'AFFECTATION DES RESULTATS INTERVENUE AU COURS DE L'EXERCICE</t>
  </si>
  <si>
    <t>A. ORIGINE DES RESULTATS A AFFECTER</t>
  </si>
  <si>
    <t>B. AFFECTATION DES RESULTATS</t>
  </si>
  <si>
    <t>TOTAL   A</t>
  </si>
  <si>
    <t>TOTAL  B</t>
  </si>
  <si>
    <t>TOTAL   A = TOTAL   B</t>
  </si>
  <si>
    <t>*</t>
  </si>
  <si>
    <t xml:space="preserve">    Exercice du :</t>
  </si>
  <si>
    <t>Débit P.</t>
  </si>
  <si>
    <t>Crédit P.</t>
  </si>
  <si>
    <t>Tableau n° 16</t>
  </si>
  <si>
    <t>ETAT DE DOTATIONS AUX AMORTISSEMENTS RELATIFS AUX IMMOBILISATIONS</t>
  </si>
  <si>
    <t xml:space="preserve">                                                 </t>
  </si>
  <si>
    <t>Date d'entrée (1)</t>
  </si>
  <si>
    <t>Taux</t>
  </si>
  <si>
    <t>Durée (4)</t>
  </si>
  <si>
    <t>Observations (5)</t>
  </si>
  <si>
    <t>Totaux</t>
  </si>
  <si>
    <t>Tableau n°17</t>
  </si>
  <si>
    <t xml:space="preserve"> ETAT DES PLUS-VALUES CONSTATEES EN CAS DE  FUSIONS</t>
  </si>
  <si>
    <t xml:space="preserve">Eléments </t>
  </si>
  <si>
    <t>Valeur d'apport</t>
  </si>
  <si>
    <t>Valeur nette comptable</t>
  </si>
  <si>
    <t>Plus-value constatée et différée</t>
  </si>
  <si>
    <t>Fraction de la plus-value rapportée aux l' exercices antérieurs (cumul) (2)</t>
  </si>
  <si>
    <t>Fraction de la plus-value rapportée à  l' exercices actuel</t>
  </si>
  <si>
    <t>Cumul des plus-values rapportées</t>
  </si>
  <si>
    <t>Solde des plus-values non imputées</t>
  </si>
  <si>
    <t>Terrains (1)</t>
  </si>
  <si>
    <t>Constructions</t>
  </si>
  <si>
    <t>Matériel et outillage</t>
  </si>
  <si>
    <t>Matériel de transport</t>
  </si>
  <si>
    <t>Agencements-installations</t>
  </si>
  <si>
    <t>Brevets</t>
  </si>
  <si>
    <t>Autres éléments amortissables</t>
  </si>
  <si>
    <t>Titres de participation</t>
  </si>
  <si>
    <t>Fonds de commerce</t>
  </si>
  <si>
    <t>Autres éléments non amortissables</t>
  </si>
  <si>
    <t>(1)</t>
  </si>
  <si>
    <t>Imposition différée jusqu'à la date de cession</t>
  </si>
  <si>
    <t>(2)</t>
  </si>
  <si>
    <t>Fraction correspondant à l'imputation de la plus-value constatée lors de la fusion majorée le cas échéant du reliquat de la plus-value se rapportant à l'élément cédé au cours de l'exercice.</t>
  </si>
  <si>
    <t>Exercice en cours</t>
  </si>
  <si>
    <t>EN DH</t>
  </si>
  <si>
    <t>L</t>
  </si>
  <si>
    <t>U</t>
  </si>
  <si>
    <t xml:space="preserve">VARIATION </t>
  </si>
  <si>
    <t xml:space="preserve">IMMOBILISATIONS </t>
  </si>
  <si>
    <t xml:space="preserve">FONDS DE ROULEMENT </t>
  </si>
  <si>
    <t>ACTIF CIRCULANT</t>
  </si>
  <si>
    <t>SD N-1</t>
  </si>
  <si>
    <t>SC N-1</t>
  </si>
  <si>
    <t>SD N</t>
  </si>
  <si>
    <t>SC N</t>
  </si>
  <si>
    <t>Tableau n° 3</t>
  </si>
  <si>
    <t>Tableau n° 4</t>
  </si>
  <si>
    <t>Tableau n° 7</t>
  </si>
  <si>
    <t>Tableau n° 8</t>
  </si>
  <si>
    <t>Tableau n° 9</t>
  </si>
  <si>
    <t>Tableau n° 10</t>
  </si>
  <si>
    <t>Tableau n° 11</t>
  </si>
  <si>
    <t>Tableau n° 12</t>
  </si>
  <si>
    <t>Tableau n° 13</t>
  </si>
  <si>
    <t>Tableau n° 14</t>
  </si>
  <si>
    <t>Tableau n° 19</t>
  </si>
  <si>
    <t>Tableau n° 20</t>
  </si>
  <si>
    <t>Etat B11</t>
  </si>
  <si>
    <t>Etat B12</t>
  </si>
  <si>
    <t>Etat B2</t>
  </si>
  <si>
    <t>Etat B10</t>
  </si>
  <si>
    <t>Etat B2 Bis</t>
  </si>
  <si>
    <t>Etat B5</t>
  </si>
  <si>
    <t>Etat B3</t>
  </si>
  <si>
    <t>Etat B4</t>
  </si>
  <si>
    <t>Etat B14</t>
  </si>
  <si>
    <t>Etat C1</t>
  </si>
  <si>
    <t>Etat C2</t>
  </si>
  <si>
    <t>Cadrage crédit bail avec détail CPC</t>
  </si>
  <si>
    <t>Cadrage T4 Immobilisations</t>
  </si>
  <si>
    <t>Cadrage T8 Amortissements</t>
  </si>
  <si>
    <t>Cadrage T2 CPC</t>
  </si>
  <si>
    <t>Cadrage T1 Bilan</t>
  </si>
  <si>
    <t>Cadrage T6 détail CPC</t>
  </si>
  <si>
    <t>T 5 : ESG</t>
  </si>
  <si>
    <t>Identification société</t>
  </si>
  <si>
    <t>Dénomination sociale</t>
  </si>
  <si>
    <t>Siège social</t>
  </si>
  <si>
    <t>Exercice social</t>
  </si>
  <si>
    <t>du</t>
  </si>
  <si>
    <t>au</t>
  </si>
  <si>
    <t>IF</t>
  </si>
  <si>
    <t>TP</t>
  </si>
  <si>
    <t>RC</t>
  </si>
  <si>
    <t>Période</t>
  </si>
  <si>
    <t>TVA Facturée</t>
  </si>
  <si>
    <t>TVA Récupérable / Charges</t>
  </si>
  <si>
    <t>TVA Récupérable / Immobilisations</t>
  </si>
  <si>
    <t>Janvier</t>
  </si>
  <si>
    <t>Février</t>
  </si>
  <si>
    <t>Avril</t>
  </si>
  <si>
    <t>Mai</t>
  </si>
  <si>
    <t>Juin</t>
  </si>
  <si>
    <t>Juillet</t>
  </si>
  <si>
    <t>Août</t>
  </si>
  <si>
    <t>Septembre</t>
  </si>
  <si>
    <t>Octobre</t>
  </si>
  <si>
    <t>Novembre</t>
  </si>
  <si>
    <t>Décembre</t>
  </si>
  <si>
    <t>&lt;Liasse&gt;</t>
  </si>
  <si>
    <t>&lt;modele&gt;</t>
  </si>
  <si>
    <t>&lt;/modele&gt;</t>
  </si>
  <si>
    <t>&lt;resultatFiscal&gt;</t>
  </si>
  <si>
    <t>&lt;/resultatFiscal&gt;</t>
  </si>
  <si>
    <t>&lt;!-- Partie 2 : Liasse Fiscale  --&gt;</t>
  </si>
  <si>
    <t>&lt;!-- Les valeurs de chaque tableau de la liasse  --&gt;</t>
  </si>
  <si>
    <t>&lt;groupeValeursTableau&gt;</t>
  </si>
  <si>
    <t>&lt;ValeursTableau&gt;</t>
  </si>
  <si>
    <t>&lt;groupeValeurs&gt;</t>
  </si>
  <si>
    <t>&lt;ValeurCellule&gt;</t>
  </si>
  <si>
    <t>&lt;cellule&gt;</t>
  </si>
  <si>
    <t>&lt;/cellule&gt;</t>
  </si>
  <si>
    <t>&lt;/ValeurCellule&gt;</t>
  </si>
  <si>
    <t>&lt;/groupeValeurs&gt;</t>
  </si>
  <si>
    <t>&lt;extraFieldvaleurs&gt;</t>
  </si>
  <si>
    <t>&lt;/extraFieldvaleurs&gt;</t>
  </si>
  <si>
    <t>&lt;/ValeursTableau&gt;</t>
  </si>
  <si>
    <t>&lt;ExtraFieldValeur&gt;</t>
  </si>
  <si>
    <t xml:space="preserve"> &lt;extraField&gt;</t>
  </si>
  <si>
    <t xml:space="preserve">&lt;/extraField&gt; </t>
  </si>
  <si>
    <t>&lt;/ExtraFieldValeur&gt;</t>
  </si>
  <si>
    <t>&lt;/groupeValeursTableau&gt;</t>
  </si>
  <si>
    <t>&lt;/Liasse&gt;</t>
  </si>
  <si>
    <t>&lt;codeEdi&gt;238&lt;/codeEdi&gt;</t>
  </si>
  <si>
    <t>&lt;codeEdi&gt;239&lt;/codeEdi&gt;</t>
  </si>
  <si>
    <t>&lt;codeEdi&gt;240&lt;/codeEdi&gt;</t>
  </si>
  <si>
    <t>&lt;id&gt;1&lt;/id&gt;</t>
  </si>
  <si>
    <t>&lt;tableau&gt;&lt;id&gt;2&lt;/id&gt;&lt;/tableau&gt;</t>
  </si>
  <si>
    <t>&lt;codeEdi&gt;497&lt;/codeEdi&gt;</t>
  </si>
  <si>
    <t>&lt;codeEdi&gt;241&lt;/codeEdi&gt;</t>
  </si>
  <si>
    <t>&lt;codeEdi&gt;242&lt;/codeEdi&gt;</t>
  </si>
  <si>
    <t>&lt;codeEdi&gt;243&lt;/codeEdi&gt;</t>
  </si>
  <si>
    <t>&lt;codeEdi&gt;498&lt;/codeEdi&gt;</t>
  </si>
  <si>
    <t>&lt;codeEdi&gt;244&lt;/codeEdi&gt;</t>
  </si>
  <si>
    <t>&lt;codeEdi&gt;245&lt;/codeEdi&gt;</t>
  </si>
  <si>
    <t>&lt;codeEdi&gt;246&lt;/codeEdi&gt;</t>
  </si>
  <si>
    <t>&lt;codeEdi&gt;499&lt;/codeEdi&gt;</t>
  </si>
  <si>
    <t>&lt;codeEdi&gt;247&lt;/codeEdi&gt;</t>
  </si>
  <si>
    <t>&lt;codeEdi&gt;248&lt;/codeEdi&gt;</t>
  </si>
  <si>
    <t>&lt;codeEdi&gt;249&lt;/codeEdi&gt;</t>
  </si>
  <si>
    <t>&lt;codeEdi&gt;500&lt;/codeEdi&gt;</t>
  </si>
  <si>
    <t>&lt;codeEdi&gt;274&lt;/codeEdi&gt;</t>
  </si>
  <si>
    <t>&lt;codeEdi&gt;275&lt;/codeEdi&gt;</t>
  </si>
  <si>
    <t>&lt;codeEdi&gt;276&lt;/codeEdi&gt;</t>
  </si>
  <si>
    <t>&lt;codeEdi&gt;277&lt;/codeEdi&gt;</t>
  </si>
  <si>
    <t>&lt;codeEdi&gt;502&lt;/codeEdi&gt;</t>
  </si>
  <si>
    <t>&lt;codeEdi&gt;278&lt;/codeEdi&gt;</t>
  </si>
  <si>
    <t>&lt;codeEdi&gt;279&lt;/codeEdi&gt;</t>
  </si>
  <si>
    <t>&lt;codeEdi&gt;280&lt;/codeEdi&gt;</t>
  </si>
  <si>
    <t>&lt;codeEdi&gt;281&lt;/codeEdi&gt;</t>
  </si>
  <si>
    <t>&lt;codeEdi&gt;503&lt;/codeEdi&gt;</t>
  </si>
  <si>
    <t>&lt;codeEdi&gt;282&lt;/codeEdi&gt;</t>
  </si>
  <si>
    <t>&lt;codeEdi&gt;283&lt;/codeEdi&gt;</t>
  </si>
  <si>
    <t>&lt;codeEdi&gt;284&lt;/codeEdi&gt;</t>
  </si>
  <si>
    <t>&lt;codeEdi&gt;285&lt;/codeEdi&gt;</t>
  </si>
  <si>
    <t>&lt;codeEdi&gt;504&lt;/codeEdi&gt;</t>
  </si>
  <si>
    <t>&lt;codeEdi&gt;286&lt;/codeEdi&gt;</t>
  </si>
  <si>
    <t>&lt;codeEdi&gt;287&lt;/codeEdi&gt;</t>
  </si>
  <si>
    <t>&lt;codeEdi&gt;288&lt;/codeEdi&gt;</t>
  </si>
  <si>
    <t>&lt;codeEdi&gt;289&lt;/codeEdi&gt;</t>
  </si>
  <si>
    <t>&lt;codeEdi&gt;505&lt;/codeEdi&gt;</t>
  </si>
  <si>
    <t>&lt;codeEdi&gt;207&lt;/codeEdi&gt;</t>
  </si>
  <si>
    <t>&lt;codeEdi&gt;208&lt;/codeEdi&gt;</t>
  </si>
  <si>
    <t>&lt;codeEdi&gt;209&lt;/codeEdi&gt;</t>
  </si>
  <si>
    <t>&lt;codeEdi&gt;210&lt;/codeEdi&gt;</t>
  </si>
  <si>
    <t>&lt;codeEdi&gt;211&lt;/codeEdi&gt;</t>
  </si>
  <si>
    <t>&lt;codeEdi&gt;212&lt;/codeEdi&gt;</t>
  </si>
  <si>
    <t>&lt;codeEdi&gt;213&lt;/codeEdi&gt;</t>
  </si>
  <si>
    <t>&lt;codeEdi&gt;507&lt;/codeEdi&gt;</t>
  </si>
  <si>
    <t>&lt;codeEdi&gt;214&lt;/codeEdi&gt;</t>
  </si>
  <si>
    <t>&lt;codeEdi&gt;215&lt;/codeEdi&gt;</t>
  </si>
  <si>
    <t>&lt;codeEdi&gt;216&lt;/codeEdi&gt;</t>
  </si>
  <si>
    <t>&lt;codeEdi&gt;217&lt;/codeEdi&gt;</t>
  </si>
  <si>
    <t>&lt;codeEdi&gt;218&lt;/codeEdi&gt;</t>
  </si>
  <si>
    <t>&lt;codeEdi&gt;219&lt;/codeEdi&gt;</t>
  </si>
  <si>
    <t>&lt;codeEdi&gt;220&lt;/codeEdi&gt;</t>
  </si>
  <si>
    <t>&lt;codeEdi&gt;508&lt;/codeEdi&gt;</t>
  </si>
  <si>
    <t>&lt;codeEdi&gt;221&lt;/codeEdi&gt;</t>
  </si>
  <si>
    <t>&lt;codeEdi&gt;222&lt;/codeEdi&gt;</t>
  </si>
  <si>
    <t>&lt;codeEdi&gt;223&lt;/codeEdi&gt;</t>
  </si>
  <si>
    <t>&lt;codeEdi&gt;224&lt;/codeEdi&gt;</t>
  </si>
  <si>
    <t>&lt;codeEdi&gt;225&lt;/codeEdi&gt;</t>
  </si>
  <si>
    <t>&lt;codeEdi&gt;226&lt;/codeEdi&gt;</t>
  </si>
  <si>
    <t>&lt;codeEdi&gt;227&lt;/codeEdi&gt;</t>
  </si>
  <si>
    <t>&lt;codeEdi&gt;509&lt;/codeEdi&gt;</t>
  </si>
  <si>
    <t>&lt;codeEdi&gt;228&lt;/codeEdi&gt;</t>
  </si>
  <si>
    <t>&lt;codeEdi&gt;229&lt;/codeEdi&gt;</t>
  </si>
  <si>
    <t>&lt;codeEdi&gt;230&lt;/codeEdi&gt;</t>
  </si>
  <si>
    <t>&lt;codeEdi&gt;231&lt;/codeEdi&gt;</t>
  </si>
  <si>
    <t>&lt;codeEdi&gt;232&lt;/codeEdi&gt;</t>
  </si>
  <si>
    <t>&lt;codeEdi&gt;233&lt;/codeEdi&gt;</t>
  </si>
  <si>
    <t>&lt;codeEdi&gt;234&lt;/codeEdi&gt;</t>
  </si>
  <si>
    <t>&lt;codeEdi&gt;510&lt;/codeEdi&gt;</t>
  </si>
  <si>
    <t>&lt;codeEdi&gt;254&lt;/codeEdi&gt;</t>
  </si>
  <si>
    <t>&lt;codeEdi&gt;255&lt;/codeEdi&gt;</t>
  </si>
  <si>
    <t>&lt;codeEdi&gt;256&lt;/codeEdi&gt;</t>
  </si>
  <si>
    <t>&lt;codeEdi&gt;257&lt;/codeEdi&gt;</t>
  </si>
  <si>
    <t>&lt;codeEdi&gt;512&lt;/codeEdi&gt;</t>
  </si>
  <si>
    <t>&lt;codeEdi&gt;258&lt;/codeEdi&gt;</t>
  </si>
  <si>
    <t>&lt;codeEdi&gt;259&lt;/codeEdi&gt;</t>
  </si>
  <si>
    <t>&lt;codeEdi&gt;260&lt;/codeEdi&gt;</t>
  </si>
  <si>
    <t>&lt;codeEdi&gt;261&lt;/codeEdi&gt;</t>
  </si>
  <si>
    <t>&lt;codeEdi&gt;513&lt;/codeEdi&gt;</t>
  </si>
  <si>
    <t>&lt;codeEdi&gt;262&lt;/codeEdi&gt;</t>
  </si>
  <si>
    <t>&lt;codeEdi&gt;263&lt;/codeEdi&gt;</t>
  </si>
  <si>
    <t>&lt;codeEdi&gt;264&lt;/codeEdi&gt;</t>
  </si>
  <si>
    <t>&lt;codeEdi&gt;265&lt;/codeEdi&gt;</t>
  </si>
  <si>
    <t>&lt;codeEdi&gt;514&lt;/codeEdi&gt;</t>
  </si>
  <si>
    <t>&lt;codeEdi&gt;266&lt;/codeEdi&gt;</t>
  </si>
  <si>
    <t>&lt;codeEdi&gt;267&lt;/codeEdi&gt;</t>
  </si>
  <si>
    <t>&lt;codeEdi&gt;268&lt;/codeEdi&gt;</t>
  </si>
  <si>
    <t>&lt;codeEdi&gt;269&lt;/codeEdi&gt;</t>
  </si>
  <si>
    <t>&lt;codeEdi&gt;515&lt;/codeEdi&gt;</t>
  </si>
  <si>
    <t>&lt;codeEdi&gt;192&lt;/codeEdi&gt;</t>
  </si>
  <si>
    <t>&lt;codeEdi&gt;193&lt;/codeEdi&gt;</t>
  </si>
  <si>
    <t>&lt;codeEdi&gt;517&lt;/codeEdi&gt;</t>
  </si>
  <si>
    <t>&lt;codeEdi&gt;194&lt;/codeEdi&gt;</t>
  </si>
  <si>
    <t>&lt;codeEdi&gt;195&lt;/codeEdi&gt;</t>
  </si>
  <si>
    <t>&lt;codeEdi&gt;518&lt;/codeEdi&gt;</t>
  </si>
  <si>
    <t>&lt;codeEdi&gt;196&lt;/codeEdi&gt;</t>
  </si>
  <si>
    <t>&lt;codeEdi&gt;197&lt;/codeEdi&gt;</t>
  </si>
  <si>
    <t>&lt;codeEdi&gt;519&lt;/codeEdi&gt;</t>
  </si>
  <si>
    <t>&lt;codeEdi&gt;198&lt;/codeEdi&gt;</t>
  </si>
  <si>
    <t>&lt;codeEdi&gt;199&lt;/codeEdi&gt;</t>
  </si>
  <si>
    <t>&lt;codeEdi&gt;520&lt;/codeEdi&gt;</t>
  </si>
  <si>
    <t>&lt;codeEdi&gt;291&lt;/codeEdi&gt;</t>
  </si>
  <si>
    <t>&lt;codeEdi&gt;292&lt;/codeEdi&gt;</t>
  </si>
  <si>
    <t>&lt;codeEdi&gt;293&lt;/codeEdi&gt;</t>
  </si>
  <si>
    <t>&lt;codeEdi&gt;294&lt;/codeEdi&gt;</t>
  </si>
  <si>
    <t>&lt;codeEdi&gt;160&lt;/codeEdi&gt;</t>
  </si>
  <si>
    <t>&lt;codeEdi&gt;161&lt;/codeEdi&gt;</t>
  </si>
  <si>
    <t>&lt;codeEdi&gt;162&lt;/codeEdi&gt;</t>
  </si>
  <si>
    <t>&lt;codeEdi&gt;163&lt;/codeEdi&gt;</t>
  </si>
  <si>
    <t>&lt;codeEdi&gt;164&lt;/codeEdi&gt;</t>
  </si>
  <si>
    <t>&lt;codeEdi&gt;522&lt;/codeEdi&gt;</t>
  </si>
  <si>
    <t>&lt;codeEdi&gt;165&lt;/codeEdi&gt;</t>
  </si>
  <si>
    <t>&lt;codeEdi&gt;166&lt;/codeEdi&gt;</t>
  </si>
  <si>
    <t>&lt;codeEdi&gt;167&lt;/codeEdi&gt;</t>
  </si>
  <si>
    <t>&lt;codeEdi&gt;168&lt;/codeEdi&gt;</t>
  </si>
  <si>
    <t>&lt;codeEdi&gt;169&lt;/codeEdi&gt;</t>
  </si>
  <si>
    <t>&lt;codeEdi&gt;523&lt;/codeEdi&gt;</t>
  </si>
  <si>
    <t>&lt;codeEdi&gt;170&lt;/codeEdi&gt;</t>
  </si>
  <si>
    <t>&lt;codeEdi&gt;171&lt;/codeEdi&gt;</t>
  </si>
  <si>
    <t>&lt;codeEdi&gt;172&lt;/codeEdi&gt;</t>
  </si>
  <si>
    <t>&lt;codeEdi&gt;173&lt;/codeEdi&gt;</t>
  </si>
  <si>
    <t>&lt;codeEdi&gt;174&lt;/codeEdi&gt;</t>
  </si>
  <si>
    <t>&lt;codeEdi&gt;524&lt;/codeEdi&gt;</t>
  </si>
  <si>
    <t>&lt;codeEdi&gt;175&lt;/codeEdi&gt;</t>
  </si>
  <si>
    <t>&lt;codeEdi&gt;176&lt;/codeEdi&gt;</t>
  </si>
  <si>
    <t>&lt;codeEdi&gt;177&lt;/codeEdi&gt;</t>
  </si>
  <si>
    <t>&lt;codeEdi&gt;178&lt;/codeEdi&gt;</t>
  </si>
  <si>
    <t>&lt;codeEdi&gt;179&lt;/codeEdi&gt;</t>
  </si>
  <si>
    <t>&lt;codeEdi&gt;525&lt;/codeEdi&gt;</t>
  </si>
  <si>
    <t>&lt;codeEdi&gt;122&lt;/codeEdi&gt;</t>
  </si>
  <si>
    <t>&lt;codeEdi&gt;123&lt;/codeEdi&gt;</t>
  </si>
  <si>
    <t>&lt;codeEdi&gt;124&lt;/codeEdi&gt;</t>
  </si>
  <si>
    <t>&lt;codeEdi&gt;125&lt;/codeEdi&gt;</t>
  </si>
  <si>
    <t>&lt;codeEdi&gt;126&lt;/codeEdi&gt;</t>
  </si>
  <si>
    <t>&lt;codeEdi&gt;127&lt;/codeEdi&gt;</t>
  </si>
  <si>
    <t>&lt;codeEdi&gt;128&lt;/codeEdi&gt;</t>
  </si>
  <si>
    <t>&lt;codeEdi&gt;527&lt;/codeEdi&gt;</t>
  </si>
  <si>
    <t>&lt;codeEdi&gt;129&lt;/codeEdi&gt;</t>
  </si>
  <si>
    <t>&lt;codeEdi&gt;130&lt;/codeEdi&gt;</t>
  </si>
  <si>
    <t>&lt;codeEdi&gt;131&lt;/codeEdi&gt;</t>
  </si>
  <si>
    <t>&lt;codeEdi&gt;132&lt;/codeEdi&gt;</t>
  </si>
  <si>
    <t>&lt;codeEdi&gt;133&lt;/codeEdi&gt;</t>
  </si>
  <si>
    <t>&lt;codeEdi&gt;134&lt;/codeEdi&gt;</t>
  </si>
  <si>
    <t>&lt;codeEdi&gt;135&lt;/codeEdi&gt;</t>
  </si>
  <si>
    <t>&lt;codeEdi&gt;528&lt;/codeEdi&gt;</t>
  </si>
  <si>
    <t>&lt;codeEdi&gt;141&lt;/codeEdi&gt;</t>
  </si>
  <si>
    <t>&lt;codeEdi&gt;142&lt;/codeEdi&gt;</t>
  </si>
  <si>
    <t>&lt;codeEdi&gt;136&lt;/codeEdi&gt;</t>
  </si>
  <si>
    <t>&lt;codeEdi&gt;137&lt;/codeEdi&gt;</t>
  </si>
  <si>
    <t>&lt;codeEdi&gt;138&lt;/codeEdi&gt;</t>
  </si>
  <si>
    <t>&lt;codeEdi&gt;139&lt;/codeEdi&gt;</t>
  </si>
  <si>
    <t>&lt;codeEdi&gt;140&lt;/codeEdi&gt;</t>
  </si>
  <si>
    <t>&lt;codeEdi&gt;529&lt;/codeEdi&gt;</t>
  </si>
  <si>
    <t>&lt;codeEdi&gt;143&lt;/codeEdi&gt;</t>
  </si>
  <si>
    <t>&lt;codeEdi&gt;144&lt;/codeEdi&gt;</t>
  </si>
  <si>
    <t>&lt;codeEdi&gt;145&lt;/codeEdi&gt;</t>
  </si>
  <si>
    <t>&lt;codeEdi&gt;146&lt;/codeEdi&gt;</t>
  </si>
  <si>
    <t>&lt;codeEdi&gt;147&lt;/codeEdi&gt;</t>
  </si>
  <si>
    <t>&lt;codeEdi&gt;148&lt;/codeEdi&gt;</t>
  </si>
  <si>
    <t>&lt;codeEdi&gt;149&lt;/codeEdi&gt;</t>
  </si>
  <si>
    <t>&lt;codeEdi&gt;530&lt;/codeEdi&gt;</t>
  </si>
  <si>
    <t>&lt;codeEdi&gt;181&lt;/codeEdi&gt;</t>
  </si>
  <si>
    <t>&lt;codeEdi&gt;182&lt;/codeEdi&gt;</t>
  </si>
  <si>
    <t>&lt;codeEdi&gt;183&lt;/codeEdi&gt;</t>
  </si>
  <si>
    <t>&lt;codeEdi&gt;184&lt;/codeEdi&gt;</t>
  </si>
  <si>
    <t>&lt;codeEdi&gt;151&lt;/codeEdi&gt;</t>
  </si>
  <si>
    <t>&lt;codeEdi&gt;152&lt;/codeEdi&gt;</t>
  </si>
  <si>
    <t>&lt;codeEdi&gt;153&lt;/codeEdi&gt;</t>
  </si>
  <si>
    <t>&lt;codeEdi&gt;154&lt;/codeEdi&gt;</t>
  </si>
  <si>
    <t>&lt;codeEdi&gt;296&lt;/codeEdi&gt;</t>
  </si>
  <si>
    <t>&lt;codeEdi&gt;297&lt;/codeEdi&gt;</t>
  </si>
  <si>
    <t>&lt;codeEdi&gt;298&lt;/codeEdi&gt;</t>
  </si>
  <si>
    <t>&lt;codeEdi&gt;299&lt;/codeEdi&gt;</t>
  </si>
  <si>
    <t>&lt;codeEdi&gt;303&lt;/codeEdi&gt;</t>
  </si>
  <si>
    <t>&lt;codeEdi&gt;304&lt;/codeEdi&gt;</t>
  </si>
  <si>
    <t>&lt;codeEdi&gt;305&lt;/codeEdi&gt;</t>
  </si>
  <si>
    <t>&lt;codeEdi&gt;532&lt;/codeEdi&gt;</t>
  </si>
  <si>
    <t>&lt;codeEdi&gt;306&lt;/codeEdi&gt;</t>
  </si>
  <si>
    <t>&lt;codeEdi&gt;307&lt;/codeEdi&gt;</t>
  </si>
  <si>
    <t>&lt;codeEdi&gt;308&lt;/codeEdi&gt;</t>
  </si>
  <si>
    <t>&lt;codeEdi&gt;533&lt;/codeEdi&gt;</t>
  </si>
  <si>
    <t>&lt;codeEdi&gt;309&lt;/codeEdi&gt;</t>
  </si>
  <si>
    <t>&lt;codeEdi&gt;310&lt;/codeEdi&gt;</t>
  </si>
  <si>
    <t>&lt;codeEdi&gt;311&lt;/codeEdi&gt;</t>
  </si>
  <si>
    <t>&lt;codeEdi&gt;534&lt;/codeEdi&gt;</t>
  </si>
  <si>
    <t>&lt;codeEdi&gt;312&lt;/codeEdi&gt;</t>
  </si>
  <si>
    <t>&lt;codeEdi&gt;313&lt;/codeEdi&gt;</t>
  </si>
  <si>
    <t>&lt;codeEdi&gt;314&lt;/codeEdi&gt;</t>
  </si>
  <si>
    <t>&lt;codeEdi&gt;535&lt;/codeEdi&gt;</t>
  </si>
  <si>
    <t>&lt;codeEdi&gt;316&lt;/codeEdi&gt;</t>
  </si>
  <si>
    <t>&lt;codeEdi&gt;317&lt;/codeEdi&gt;</t>
  </si>
  <si>
    <t>&lt;codeEdi&gt;318&lt;/codeEdi&gt;</t>
  </si>
  <si>
    <t>&lt;codeEdi&gt;319&lt;/codeEdi&gt;</t>
  </si>
  <si>
    <t>&lt;codeEdi&gt;186&lt;/codeEdi&gt;</t>
  </si>
  <si>
    <t>&lt;codeEdi&gt;187&lt;/codeEdi&gt;</t>
  </si>
  <si>
    <t>&lt;codeEdi&gt;188&lt;/codeEdi&gt;</t>
  </si>
  <si>
    <t>&lt;codeEdi&gt;189&lt;/codeEdi&gt;</t>
  </si>
  <si>
    <t>&lt;tableau&gt;&lt;id&gt;1&lt;/id&gt;&lt;/tableau&gt;</t>
  </si>
  <si>
    <t>&lt;codeEdi&gt;13406&lt;/codeEdi&gt;</t>
  </si>
  <si>
    <t>&lt;codeEdi&gt;13407&lt;/codeEdi&gt;</t>
  </si>
  <si>
    <t>&lt;codeEdi&gt;13408&lt;/codeEdi&gt;</t>
  </si>
  <si>
    <t>&lt;codeEdi&gt;13409&lt;/codeEdi&gt;</t>
  </si>
  <si>
    <t>&lt;codeEdi&gt;13410&lt;/codeEdi&gt;</t>
  </si>
  <si>
    <t>&lt;codeEdi&gt;13400&lt;/codeEdi&gt;</t>
  </si>
  <si>
    <t>&lt;codeEdi&gt;13401&lt;/codeEdi&gt;</t>
  </si>
  <si>
    <t>&lt;codeEdi&gt;13402&lt;/codeEdi&gt;</t>
  </si>
  <si>
    <t>&lt;codeEdi&gt;13403&lt;/codeEdi&gt;</t>
  </si>
  <si>
    <t>&lt;codeEdi&gt;13404&lt;/codeEdi&gt;</t>
  </si>
  <si>
    <t>&lt;codeEdi&gt;13405&lt;/codeEdi&gt;</t>
  </si>
  <si>
    <t>&lt;codeEdi&gt;13411&lt;/codeEdi&gt;</t>
  </si>
  <si>
    <t>&lt;codeEdi&gt;13412&lt;/codeEdi&gt;</t>
  </si>
  <si>
    <t>&lt;codeEdi&gt;13413&lt;/codeEdi&gt;</t>
  </si>
  <si>
    <t>&lt;codeEdi&gt;13414&lt;/codeEdi&gt;</t>
  </si>
  <si>
    <t>&lt;codeEdi&gt;13415&lt;/codeEdi&gt;</t>
  </si>
  <si>
    <t>&lt;codeEdi&gt;13416&lt;/codeEdi&gt;</t>
  </si>
  <si>
    <t>&lt;codeEdi&gt;13417&lt;/codeEdi&gt;</t>
  </si>
  <si>
    <t>&lt;codeEdi&gt;13418&lt;/codeEdi&gt;</t>
  </si>
  <si>
    <t>&lt;codeEdi&gt;13419&lt;/codeEdi&gt;</t>
  </si>
  <si>
    <t>&lt;codeEdi&gt;13420&lt;/codeEdi&gt;</t>
  </si>
  <si>
    <t>&lt;codeEdi&gt;13421&lt;/codeEdi&gt;</t>
  </si>
  <si>
    <t>&lt;codeEdi&gt;13397&lt;/codeEdi&gt;</t>
  </si>
  <si>
    <t>&lt;codeEdi&gt;13398&lt;/codeEdi&gt;</t>
  </si>
  <si>
    <t>&lt;codeEdi&gt;13399&lt;/codeEdi&gt;</t>
  </si>
  <si>
    <t>&lt;codeEdi&gt;13422&lt;/codeEdi&gt;</t>
  </si>
  <si>
    <t>&lt;codeEdi&gt;13423&lt;/codeEdi&gt;</t>
  </si>
  <si>
    <t>&lt;codeEdi&gt;13424&lt;/codeEdi&gt;</t>
  </si>
  <si>
    <t>&lt;cellule&gt;&lt;codeEdi&gt;13339&lt;/codeEdi&gt;&lt;/cellule&gt;</t>
  </si>
  <si>
    <t>&lt;numeroLigne&gt;1&lt;/numeroLigne&gt;</t>
  </si>
  <si>
    <t>&lt;cellule&gt;&lt;codeEdi&gt;13396&lt;/codeEdi&gt;&lt;/cellule&gt;</t>
  </si>
  <si>
    <t>&lt;cellule&gt;&lt;codeEdi&gt;13425&lt;/codeEdi&gt;&lt;/cellule&gt;</t>
  </si>
  <si>
    <t>&lt;codeEdi&gt;13393&lt;/codeEdi&gt;</t>
  </si>
  <si>
    <t>&lt;codeEdi&gt;13394&lt;/codeEdi&gt;</t>
  </si>
  <si>
    <t>&lt;codeEdi&gt;13395&lt;/codeEdi&gt;</t>
  </si>
  <si>
    <t>&lt;codeEdi&gt;13426&lt;/codeEdi&gt;</t>
  </si>
  <si>
    <t>&lt;codeEdi&gt;13427&lt;/codeEdi&gt;</t>
  </si>
  <si>
    <t>&lt;codeEdi&gt;13428&lt;/codeEdi&gt;</t>
  </si>
  <si>
    <t>&lt;cellule&gt;&lt;codeEdi&gt;13343&lt;/codeEdi&gt;&lt;/cellule&gt;</t>
  </si>
  <si>
    <t>&lt;cellule&gt;&lt;codeEdi&gt;13392&lt;/codeEdi&gt;&lt;/cellule&gt;</t>
  </si>
  <si>
    <t>&lt;cellule&gt;&lt;codeEdi&gt;13429&lt;/codeEdi&gt;&lt;/cellule&gt;</t>
  </si>
  <si>
    <t>&lt;codeEdi&gt;13389&lt;/codeEdi&gt;</t>
  </si>
  <si>
    <t>&lt;codeEdi&gt;13390&lt;/codeEdi&gt;</t>
  </si>
  <si>
    <t>&lt;codeEdi&gt;13391&lt;/codeEdi&gt;</t>
  </si>
  <si>
    <t>&lt;codeEdi&gt;13430&lt;/codeEdi&gt;</t>
  </si>
  <si>
    <t>&lt;codeEdi&gt;13431&lt;/codeEdi&gt;</t>
  </si>
  <si>
    <t>&lt;codeEdi&gt;13432&lt;/codeEdi&gt;</t>
  </si>
  <si>
    <t>&lt;codeEdi&gt;13386&lt;/codeEdi&gt;</t>
  </si>
  <si>
    <t>&lt;codeEdi&gt;13387&lt;/codeEdi&gt;</t>
  </si>
  <si>
    <t>&lt;codeEdi&gt;13388&lt;/codeEdi&gt;</t>
  </si>
  <si>
    <t>&lt;codeEdi&gt;13433&lt;/codeEdi&gt;</t>
  </si>
  <si>
    <t>&lt;codeEdi&gt;13434&lt;/codeEdi&gt;</t>
  </si>
  <si>
    <t>&lt;codeEdi&gt;13435&lt;/codeEdi&gt;</t>
  </si>
  <si>
    <t>&lt;codeEdi&gt;13385&lt;/codeEdi&gt;</t>
  </si>
  <si>
    <t>&lt;codeEdi&gt;13436&lt;/codeEdi&gt;</t>
  </si>
  <si>
    <t>&lt;codeEdi&gt;13376&lt;/codeEdi&gt;</t>
  </si>
  <si>
    <t>&lt;codeEdi&gt;13377&lt;/codeEdi&gt;</t>
  </si>
  <si>
    <t>&lt;codeEdi&gt;13378&lt;/codeEdi&gt;</t>
  </si>
  <si>
    <t>&lt;codeEdi&gt;13379&lt;/codeEdi&gt;</t>
  </si>
  <si>
    <t>&lt;codeEdi&gt;13380&lt;/codeEdi&gt;</t>
  </si>
  <si>
    <t>&lt;codeEdi&gt;13381&lt;/codeEdi&gt;</t>
  </si>
  <si>
    <t>&lt;codeEdi&gt;13382&lt;/codeEdi&gt;</t>
  </si>
  <si>
    <t>&lt;codeEdi&gt;13383&lt;/codeEdi&gt;</t>
  </si>
  <si>
    <t>&lt;codeEdi&gt;13384&lt;/codeEdi&gt;</t>
  </si>
  <si>
    <t>&lt;codeEdi&gt;13437&lt;/codeEdi&gt;</t>
  </si>
  <si>
    <t>&lt;codeEdi&gt;13438&lt;/codeEdi&gt;</t>
  </si>
  <si>
    <t>&lt;codeEdi&gt;13439&lt;/codeEdi&gt;</t>
  </si>
  <si>
    <t>&lt;codeEdi&gt;13440&lt;/codeEdi&gt;</t>
  </si>
  <si>
    <t>&lt;codeEdi&gt;13441&lt;/codeEdi&gt;</t>
  </si>
  <si>
    <t>&lt;codeEdi&gt;13442&lt;/codeEdi&gt;</t>
  </si>
  <si>
    <t>&lt;codeEdi&gt;13443&lt;/codeEdi&gt;</t>
  </si>
  <si>
    <t>&lt;codeEdi&gt;13444&lt;/codeEdi&gt;</t>
  </si>
  <si>
    <t>&lt;codeEdi&gt;13445&lt;/codeEdi&gt;</t>
  </si>
  <si>
    <t>&lt;codeEdi&gt;13375&lt;/codeEdi&gt;</t>
  </si>
  <si>
    <t>&lt;codeEdi&gt;13446&lt;/codeEdi&gt;</t>
  </si>
  <si>
    <t>&lt;codeEdi&gt;13374&lt;/codeEdi&gt;</t>
  </si>
  <si>
    <t>&lt;codeEdi&gt;13447&lt;/codeEdi&gt;</t>
  </si>
  <si>
    <t>&lt;codeEdi&gt;13373&lt;/codeEdi&gt;</t>
  </si>
  <si>
    <t>&lt;codeEdi&gt;13448&lt;/codeEdi&gt;</t>
  </si>
  <si>
    <t>&lt;codeEdi&gt;13370&lt;/codeEdi&gt;</t>
  </si>
  <si>
    <t>&lt;codeEdi&gt;13371&lt;/codeEdi&gt;</t>
  </si>
  <si>
    <t>&lt;codeEdi&gt;13372&lt;/codeEdi&gt;</t>
  </si>
  <si>
    <t>&lt;codeEdi&gt;13449&lt;/codeEdi&gt;</t>
  </si>
  <si>
    <t>&lt;codeEdi&gt;13450&lt;/codeEdi&gt;</t>
  </si>
  <si>
    <t>&lt;codeEdi&gt;13451&lt;/codeEdi&gt;</t>
  </si>
  <si>
    <t>&lt;codeEdi&gt;13369&lt;/codeEdi&gt;</t>
  </si>
  <si>
    <t>&lt;codeEdi&gt;13452&lt;/codeEdi&gt;</t>
  </si>
  <si>
    <t>&lt;codeEdi&gt;13368&lt;/codeEdi&gt;</t>
  </si>
  <si>
    <t>&lt;codeEdi&gt;13453&lt;/codeEdi&gt;</t>
  </si>
  <si>
    <t>&lt;tableau&gt;&lt;id&gt;6&lt;/id&gt;&lt;/tableau&gt;</t>
  </si>
  <si>
    <t>&lt;codeEdi&gt;11206&lt;/codeEdi&gt;</t>
  </si>
  <si>
    <t>&lt;codeEdi&gt;11211&lt;/codeEdi&gt;</t>
  </si>
  <si>
    <t>&lt;codeEdi&gt;11216&lt;/codeEdi&gt;</t>
  </si>
  <si>
    <t>&lt;codeEdi&gt;11221&lt;/codeEdi&gt;</t>
  </si>
  <si>
    <t>&lt;codeEdi&gt;11226&lt;/codeEdi&gt;</t>
  </si>
  <si>
    <t>&lt;codeEdi&gt;11231&lt;/codeEdi&gt;</t>
  </si>
  <si>
    <t>&lt;codeEdi&gt;11176&lt;/codeEdi&gt;</t>
  </si>
  <si>
    <t>&lt;codeEdi&gt;11181&lt;/codeEdi&gt;</t>
  </si>
  <si>
    <t>&lt;codeEdi&gt;11186&lt;/codeEdi&gt;</t>
  </si>
  <si>
    <t>&lt;codeEdi&gt;11191&lt;/codeEdi&gt;</t>
  </si>
  <si>
    <t>&lt;codeEdi&gt;11196&lt;/codeEdi&gt;</t>
  </si>
  <si>
    <t>&lt;codeEdi&gt;11201&lt;/codeEdi&gt;</t>
  </si>
  <si>
    <t>&lt;codeEdi&gt;11266&lt;/codeEdi&gt;</t>
  </si>
  <si>
    <t>&lt;codeEdi&gt;11236&lt;/codeEdi&gt;</t>
  </si>
  <si>
    <t>&lt;codeEdi&gt;11241&lt;/codeEdi&gt;</t>
  </si>
  <si>
    <t>&lt;codeEdi&gt;11246&lt;/codeEdi&gt;</t>
  </si>
  <si>
    <t>&lt;codeEdi&gt;11251&lt;/codeEdi&gt;</t>
  </si>
  <si>
    <t>&lt;codeEdi&gt;11256&lt;/codeEdi&gt;</t>
  </si>
  <si>
    <t>&lt;codeEdi&gt;11261&lt;/codeEdi&gt;</t>
  </si>
  <si>
    <t>&lt;codeEdi&gt;11202&lt;/codeEdi&gt;</t>
  </si>
  <si>
    <t>&lt;codeEdi&gt;11207&lt;/codeEdi&gt;</t>
  </si>
  <si>
    <t>&lt;codeEdi&gt;11212&lt;/codeEdi&gt;</t>
  </si>
  <si>
    <t>&lt;codeEdi&gt;11217&lt;/codeEdi&gt;</t>
  </si>
  <si>
    <t>&lt;codeEdi&gt;11222&lt;/codeEdi&gt;</t>
  </si>
  <si>
    <t>&lt;codeEdi&gt;11227&lt;/codeEdi&gt;</t>
  </si>
  <si>
    <t>&lt;codeEdi&gt;11232&lt;/codeEdi&gt;</t>
  </si>
  <si>
    <t>&lt;codeEdi&gt;11177&lt;/codeEdi&gt;</t>
  </si>
  <si>
    <t>&lt;codeEdi&gt;11182&lt;/codeEdi&gt;</t>
  </si>
  <si>
    <t>&lt;codeEdi&gt;11187&lt;/codeEdi&gt;</t>
  </si>
  <si>
    <t>&lt;codeEdi&gt;11192&lt;/codeEdi&gt;</t>
  </si>
  <si>
    <t>&lt;codeEdi&gt;11197&lt;/codeEdi&gt;</t>
  </si>
  <si>
    <t>&lt;codeEdi&gt;11267&lt;/codeEdi&gt;</t>
  </si>
  <si>
    <t>&lt;codeEdi&gt;11237&lt;/codeEdi&gt;</t>
  </si>
  <si>
    <t>&lt;codeEdi&gt;11242&lt;/codeEdi&gt;</t>
  </si>
  <si>
    <t>&lt;codeEdi&gt;11247&lt;/codeEdi&gt;</t>
  </si>
  <si>
    <t>&lt;codeEdi&gt;11252&lt;/codeEdi&gt;</t>
  </si>
  <si>
    <t>&lt;codeEdi&gt;11257&lt;/codeEdi&gt;</t>
  </si>
  <si>
    <t>&lt;codeEdi&gt;11262&lt;/codeEdi&gt;</t>
  </si>
  <si>
    <t>&lt;codeEdi&gt;11203&lt;/codeEdi&gt;</t>
  </si>
  <si>
    <t>&lt;codeEdi&gt;11208&lt;/codeEdi&gt;</t>
  </si>
  <si>
    <t>&lt;codeEdi&gt;11213&lt;/codeEdi&gt;</t>
  </si>
  <si>
    <t>&lt;codeEdi&gt;11218&lt;/codeEdi&gt;</t>
  </si>
  <si>
    <t>&lt;codeEdi&gt;11223&lt;/codeEdi&gt;</t>
  </si>
  <si>
    <t>&lt;codeEdi&gt;11228&lt;/codeEdi&gt;</t>
  </si>
  <si>
    <t>&lt;codeEdi&gt;11233&lt;/codeEdi&gt;</t>
  </si>
  <si>
    <t>&lt;codeEdi&gt;11178&lt;/codeEdi&gt;</t>
  </si>
  <si>
    <t>&lt;codeEdi&gt;11183&lt;/codeEdi&gt;</t>
  </si>
  <si>
    <t>&lt;codeEdi&gt;11188&lt;/codeEdi&gt;</t>
  </si>
  <si>
    <t>&lt;codeEdi&gt;11193&lt;/codeEdi&gt;</t>
  </si>
  <si>
    <t>&lt;codeEdi&gt;11198&lt;/codeEdi&gt;</t>
  </si>
  <si>
    <t>&lt;codeEdi&gt;11268&lt;/codeEdi&gt;</t>
  </si>
  <si>
    <t>&lt;codeEdi&gt;11238&lt;/codeEdi&gt;</t>
  </si>
  <si>
    <t>&lt;codeEdi&gt;11243&lt;/codeEdi&gt;</t>
  </si>
  <si>
    <t>&lt;codeEdi&gt;11248&lt;/codeEdi&gt;</t>
  </si>
  <si>
    <t>&lt;codeEdi&gt;11253&lt;/codeEdi&gt;</t>
  </si>
  <si>
    <t>&lt;codeEdi&gt;11258&lt;/codeEdi&gt;</t>
  </si>
  <si>
    <t>&lt;codeEdi&gt;11263&lt;/codeEdi&gt;</t>
  </si>
  <si>
    <t>&lt;codeEdi&gt;11204&lt;/codeEdi&gt;</t>
  </si>
  <si>
    <t>&lt;codeEdi&gt;11209&lt;/codeEdi&gt;</t>
  </si>
  <si>
    <t>&lt;codeEdi&gt;11214&lt;/codeEdi&gt;</t>
  </si>
  <si>
    <t>&lt;codeEdi&gt;11219&lt;/codeEdi&gt;</t>
  </si>
  <si>
    <t>&lt;codeEdi&gt;11224&lt;/codeEdi&gt;</t>
  </si>
  <si>
    <t>&lt;codeEdi&gt;11229&lt;/codeEdi&gt;</t>
  </si>
  <si>
    <t>&lt;codeEdi&gt;11234&lt;/codeEdi&gt;</t>
  </si>
  <si>
    <t>&lt;codeEdi&gt;11179&lt;/codeEdi&gt;</t>
  </si>
  <si>
    <t>&lt;codeEdi&gt;11184&lt;/codeEdi&gt;</t>
  </si>
  <si>
    <t>&lt;codeEdi&gt;11189&lt;/codeEdi&gt;</t>
  </si>
  <si>
    <t>&lt;codeEdi&gt;11194&lt;/codeEdi&gt;</t>
  </si>
  <si>
    <t>&lt;codeEdi&gt;11199&lt;/codeEdi&gt;</t>
  </si>
  <si>
    <t>&lt;codeEdi&gt;11269&lt;/codeEdi&gt;</t>
  </si>
  <si>
    <t>&lt;codeEdi&gt;11239&lt;/codeEdi&gt;</t>
  </si>
  <si>
    <t>&lt;codeEdi&gt;11244&lt;/codeEdi&gt;</t>
  </si>
  <si>
    <t>&lt;codeEdi&gt;11249&lt;/codeEdi&gt;</t>
  </si>
  <si>
    <t>&lt;codeEdi&gt;11254&lt;/codeEdi&gt;</t>
  </si>
  <si>
    <t>&lt;codeEdi&gt;11259&lt;/codeEdi&gt;</t>
  </si>
  <si>
    <t>&lt;codeEdi&gt;11264&lt;/codeEdi&gt;</t>
  </si>
  <si>
    <t>&lt;codeEdi&gt;11271&lt;/codeEdi&gt;</t>
  </si>
  <si>
    <t>&lt;codeEdi&gt;11276&lt;/codeEdi&gt;</t>
  </si>
  <si>
    <t>&lt;codeEdi&gt;11281&lt;/codeEdi&gt;</t>
  </si>
  <si>
    <t>&lt;codeEdi&gt;11286&lt;/codeEdi&gt;</t>
  </si>
  <si>
    <t>&lt;codeEdi&gt;11291&lt;/codeEdi&gt;</t>
  </si>
  <si>
    <t>&lt;codeEdi&gt;11331&lt;/codeEdi&gt;</t>
  </si>
  <si>
    <t>&lt;codeEdi&gt;11296&lt;/codeEdi&gt;</t>
  </si>
  <si>
    <t>&lt;codeEdi&gt;11301&lt;/codeEdi&gt;</t>
  </si>
  <si>
    <t>&lt;codeEdi&gt;11306&lt;/codeEdi&gt;</t>
  </si>
  <si>
    <t>&lt;codeEdi&gt;11311&lt;/codeEdi&gt;</t>
  </si>
  <si>
    <t>&lt;codeEdi&gt;11316&lt;/codeEdi&gt;</t>
  </si>
  <si>
    <t>&lt;codeEdi&gt;11321&lt;/codeEdi&gt;</t>
  </si>
  <si>
    <t>&lt;codeEdi&gt;11326&lt;/codeEdi&gt;</t>
  </si>
  <si>
    <t>&lt;codeEdi&gt;11272&lt;/codeEdi&gt;</t>
  </si>
  <si>
    <t>&lt;codeEdi&gt;11277&lt;/codeEdi&gt;</t>
  </si>
  <si>
    <t>&lt;codeEdi&gt;11282&lt;/codeEdi&gt;</t>
  </si>
  <si>
    <t>&lt;codeEdi&gt;11287&lt;/codeEdi&gt;</t>
  </si>
  <si>
    <t>&lt;codeEdi&gt;11292&lt;/codeEdi&gt;</t>
  </si>
  <si>
    <t>&lt;codeEdi&gt;11332&lt;/codeEdi&gt;</t>
  </si>
  <si>
    <t>&lt;codeEdi&gt;11297&lt;/codeEdi&gt;</t>
  </si>
  <si>
    <t>&lt;codeEdi&gt;11302&lt;/codeEdi&gt;</t>
  </si>
  <si>
    <t>&lt;codeEdi&gt;11307&lt;/codeEdi&gt;</t>
  </si>
  <si>
    <t>&lt;codeEdi&gt;11312&lt;/codeEdi&gt;</t>
  </si>
  <si>
    <t>&lt;codeEdi&gt;11317&lt;/codeEdi&gt;</t>
  </si>
  <si>
    <t>&lt;codeEdi&gt;11322&lt;/codeEdi&gt;</t>
  </si>
  <si>
    <t>&lt;codeEdi&gt;11327&lt;/codeEdi&gt;</t>
  </si>
  <si>
    <t>&lt;codeEdi&gt;11273&lt;/codeEdi&gt;</t>
  </si>
  <si>
    <t>&lt;codeEdi&gt;11278&lt;/codeEdi&gt;</t>
  </si>
  <si>
    <t>&lt;codeEdi&gt;11283&lt;/codeEdi&gt;</t>
  </si>
  <si>
    <t>&lt;codeEdi&gt;11288&lt;/codeEdi&gt;</t>
  </si>
  <si>
    <t>&lt;codeEdi&gt;11293&lt;/codeEdi&gt;</t>
  </si>
  <si>
    <t>&lt;codeEdi&gt;11333&lt;/codeEdi&gt;</t>
  </si>
  <si>
    <t>&lt;codeEdi&gt;11298&lt;/codeEdi&gt;</t>
  </si>
  <si>
    <t>&lt;codeEdi&gt;11303&lt;/codeEdi&gt;</t>
  </si>
  <si>
    <t>&lt;codeEdi&gt;11308&lt;/codeEdi&gt;</t>
  </si>
  <si>
    <t>&lt;codeEdi&gt;11313&lt;/codeEdi&gt;</t>
  </si>
  <si>
    <t>&lt;codeEdi&gt;11318&lt;/codeEdi&gt;</t>
  </si>
  <si>
    <t>&lt;codeEdi&gt;11323&lt;/codeEdi&gt;</t>
  </si>
  <si>
    <t>&lt;codeEdi&gt;11328&lt;/codeEdi&gt;</t>
  </si>
  <si>
    <t>&lt;codeEdi&gt;11274&lt;/codeEdi&gt;</t>
  </si>
  <si>
    <t>&lt;codeEdi&gt;11279&lt;/codeEdi&gt;</t>
  </si>
  <si>
    <t>&lt;codeEdi&gt;11284&lt;/codeEdi&gt;</t>
  </si>
  <si>
    <t>&lt;codeEdi&gt;11289&lt;/codeEdi&gt;</t>
  </si>
  <si>
    <t>&lt;codeEdi&gt;11294&lt;/codeEdi&gt;</t>
  </si>
  <si>
    <t>&lt;codeEdi&gt;11329&lt;/codeEdi&gt;</t>
  </si>
  <si>
    <t>&lt;codeEdi&gt;11334&lt;/codeEdi&gt;</t>
  </si>
  <si>
    <t>&lt;codeEdi&gt;11299&lt;/codeEdi&gt;</t>
  </si>
  <si>
    <t>&lt;codeEdi&gt;11304&lt;/codeEdi&gt;</t>
  </si>
  <si>
    <t>&lt;codeEdi&gt;11309&lt;/codeEdi&gt;</t>
  </si>
  <si>
    <t>&lt;codeEdi&gt;11314&lt;/codeEdi&gt;</t>
  </si>
  <si>
    <t>&lt;codeEdi&gt;11319&lt;/codeEdi&gt;</t>
  </si>
  <si>
    <t>&lt;codeEdi&gt;11324&lt;/codeEdi&gt;</t>
  </si>
  <si>
    <t>&lt;codeEdi&gt;11336&lt;/codeEdi&gt;</t>
  </si>
  <si>
    <t>&lt;codeEdi&gt;11337&lt;/codeEdi&gt;</t>
  </si>
  <si>
    <t>&lt;codeEdi&gt;11338&lt;/codeEdi&gt;</t>
  </si>
  <si>
    <t>&lt;codeEdi&gt;11339&lt;/codeEdi&gt;</t>
  </si>
  <si>
    <t>&lt;codeEdi&gt;11341&lt;/codeEdi&gt;</t>
  </si>
  <si>
    <t>&lt;codeEdi&gt;11346&lt;/codeEdi&gt;</t>
  </si>
  <si>
    <t>&lt;codeEdi&gt;11351&lt;/codeEdi&gt;</t>
  </si>
  <si>
    <t>&lt;codeEdi&gt;11396&lt;/codeEdi&gt;</t>
  </si>
  <si>
    <t>&lt;codeEdi&gt;11401&lt;/codeEdi&gt;</t>
  </si>
  <si>
    <t>&lt;codeEdi&gt;11406&lt;/codeEdi&gt;</t>
  </si>
  <si>
    <t>&lt;codeEdi&gt;11356&lt;/codeEdi&gt;</t>
  </si>
  <si>
    <t>&lt;codeEdi&gt;11361&lt;/codeEdi&gt;</t>
  </si>
  <si>
    <t>&lt;codeEdi&gt;11366&lt;/codeEdi&gt;</t>
  </si>
  <si>
    <t>&lt;codeEdi&gt;11371&lt;/codeEdi&gt;</t>
  </si>
  <si>
    <t>&lt;codeEdi&gt;11376&lt;/codeEdi&gt;</t>
  </si>
  <si>
    <t>&lt;codeEdi&gt;11381&lt;/codeEdi&gt;</t>
  </si>
  <si>
    <t>&lt;codeEdi&gt;11386&lt;/codeEdi&gt;</t>
  </si>
  <si>
    <t>&lt;codeEdi&gt;11391&lt;/codeEdi&gt;</t>
  </si>
  <si>
    <t>&lt;codeEdi&gt;11342&lt;/codeEdi&gt;</t>
  </si>
  <si>
    <t>&lt;codeEdi&gt;11347&lt;/codeEdi&gt;</t>
  </si>
  <si>
    <t>&lt;codeEdi&gt;11352&lt;/codeEdi&gt;</t>
  </si>
  <si>
    <t>&lt;codeEdi&gt;11392&lt;/codeEdi&gt;</t>
  </si>
  <si>
    <t>&lt;codeEdi&gt;11397&lt;/codeEdi&gt;</t>
  </si>
  <si>
    <t>&lt;codeEdi&gt;11402&lt;/codeEdi&gt;</t>
  </si>
  <si>
    <t>&lt;codeEdi&gt;11407&lt;/codeEdi&gt;</t>
  </si>
  <si>
    <t>&lt;codeEdi&gt;11357&lt;/codeEdi&gt;</t>
  </si>
  <si>
    <t>&lt;codeEdi&gt;11362&lt;/codeEdi&gt;</t>
  </si>
  <si>
    <t>&lt;codeEdi&gt;11367&lt;/codeEdi&gt;</t>
  </si>
  <si>
    <t>&lt;codeEdi&gt;11372&lt;/codeEdi&gt;</t>
  </si>
  <si>
    <t>&lt;codeEdi&gt;11377&lt;/codeEdi&gt;</t>
  </si>
  <si>
    <t>&lt;codeEdi&gt;11382&lt;/codeEdi&gt;</t>
  </si>
  <si>
    <t>&lt;codeEdi&gt;11387&lt;/codeEdi&gt;</t>
  </si>
  <si>
    <t>&lt;codeEdi&gt;11343&lt;/codeEdi&gt;</t>
  </si>
  <si>
    <t>&lt;codeEdi&gt;11348&lt;/codeEdi&gt;</t>
  </si>
  <si>
    <t>&lt;codeEdi&gt;11353&lt;/codeEdi&gt;</t>
  </si>
  <si>
    <t>&lt;codeEdi&gt;11393&lt;/codeEdi&gt;</t>
  </si>
  <si>
    <t>&lt;codeEdi&gt;11398&lt;/codeEdi&gt;</t>
  </si>
  <si>
    <t>&lt;codeEdi&gt;11403&lt;/codeEdi&gt;</t>
  </si>
  <si>
    <t>&lt;codeEdi&gt;11408&lt;/codeEdi&gt;</t>
  </si>
  <si>
    <t>&lt;codeEdi&gt;11358&lt;/codeEdi&gt;</t>
  </si>
  <si>
    <t>&lt;codeEdi&gt;11363&lt;/codeEdi&gt;</t>
  </si>
  <si>
    <t>&lt;codeEdi&gt;11368&lt;/codeEdi&gt;</t>
  </si>
  <si>
    <t>&lt;codeEdi&gt;11373&lt;/codeEdi&gt;</t>
  </si>
  <si>
    <t>&lt;codeEdi&gt;11378&lt;/codeEdi&gt;</t>
  </si>
  <si>
    <t>&lt;codeEdi&gt;11383&lt;/codeEdi&gt;</t>
  </si>
  <si>
    <t>&lt;codeEdi&gt;11388&lt;/codeEdi&gt;</t>
  </si>
  <si>
    <t>&lt;codeEdi&gt;11344&lt;/codeEdi&gt;</t>
  </si>
  <si>
    <t>&lt;codeEdi&gt;11349&lt;/codeEdi&gt;</t>
  </si>
  <si>
    <t>&lt;codeEdi&gt;11354&lt;/codeEdi&gt;</t>
  </si>
  <si>
    <t>&lt;codeEdi&gt;11394&lt;/codeEdi&gt;</t>
  </si>
  <si>
    <t>&lt;codeEdi&gt;11399&lt;/codeEdi&gt;</t>
  </si>
  <si>
    <t>&lt;codeEdi&gt;11404&lt;/codeEdi&gt;</t>
  </si>
  <si>
    <t>&lt;codeEdi&gt;11409&lt;/codeEdi&gt;</t>
  </si>
  <si>
    <t>&lt;codeEdi&gt;11359&lt;/codeEdi&gt;</t>
  </si>
  <si>
    <t>&lt;codeEdi&gt;11364&lt;/codeEdi&gt;</t>
  </si>
  <si>
    <t>&lt;codeEdi&gt;11369&lt;/codeEdi&gt;</t>
  </si>
  <si>
    <t>&lt;codeEdi&gt;11374&lt;/codeEdi&gt;</t>
  </si>
  <si>
    <t>&lt;codeEdi&gt;11379&lt;/codeEdi&gt;</t>
  </si>
  <si>
    <t>&lt;codeEdi&gt;11384&lt;/codeEdi&gt;</t>
  </si>
  <si>
    <t>&lt;codeEdi&gt;11389&lt;/codeEdi&gt;</t>
  </si>
  <si>
    <t>&lt;codeEdi&gt;11411&lt;/codeEdi&gt;</t>
  </si>
  <si>
    <t>&lt;codeEdi&gt;11412&lt;/codeEdi&gt;</t>
  </si>
  <si>
    <t>&lt;codeEdi&gt;11413&lt;/codeEdi&gt;</t>
  </si>
  <si>
    <t>&lt;codeEdi&gt;11414&lt;/codeEdi&gt;</t>
  </si>
  <si>
    <t>&lt;codeEdi&gt;11416&lt;/codeEdi&gt;</t>
  </si>
  <si>
    <t>&lt;codeEdi&gt;11417&lt;/codeEdi&gt;</t>
  </si>
  <si>
    <t>&lt;codeEdi&gt;11418&lt;/codeEdi&gt;</t>
  </si>
  <si>
    <t>&lt;codeEdi&gt;11419&lt;/codeEdi&gt;</t>
  </si>
  <si>
    <t>&lt;codeEdi&gt;11421&lt;/codeEdi&gt;</t>
  </si>
  <si>
    <t>&lt;codeEdi&gt;11422&lt;/codeEdi&gt;</t>
  </si>
  <si>
    <t>&lt;codeEdi&gt;11423&lt;/codeEdi&gt;</t>
  </si>
  <si>
    <t>&lt;codeEdi&gt;11424&lt;/codeEdi&gt;</t>
  </si>
  <si>
    <t>&lt;codeEdi&gt;11426&lt;/codeEdi&gt;</t>
  </si>
  <si>
    <t>&lt;codeEdi&gt;11427&lt;/codeEdi&gt;</t>
  </si>
  <si>
    <t>&lt;codeEdi&gt;11428&lt;/codeEdi&gt;</t>
  </si>
  <si>
    <t>&lt;codeEdi&gt;11429&lt;/codeEdi&gt;</t>
  </si>
  <si>
    <t>&lt;codeEdi&gt;11431&lt;/codeEdi&gt;</t>
  </si>
  <si>
    <t>&lt;codeEdi&gt;11432&lt;/codeEdi&gt;</t>
  </si>
  <si>
    <t>&lt;codeEdi&gt;11433&lt;/codeEdi&gt;</t>
  </si>
  <si>
    <t>&lt;codeEdi&gt;11434&lt;/codeEdi&gt;</t>
  </si>
  <si>
    <t>&lt;codeEdi&gt;11436&lt;/codeEdi&gt;</t>
  </si>
  <si>
    <t>&lt;codeEdi&gt;11437&lt;/codeEdi&gt;</t>
  </si>
  <si>
    <t>&lt;codeEdi&gt;11438&lt;/codeEdi&gt;</t>
  </si>
  <si>
    <t>&lt;codeEdi&gt;11439&lt;/codeEdi&gt;</t>
  </si>
  <si>
    <t>&lt;tableau&gt;&lt;id&gt;7&lt;/id&gt;&lt;/tableau&gt;</t>
  </si>
  <si>
    <t>&lt;codeEdi&gt;817&lt;/codeEdi&gt;</t>
  </si>
  <si>
    <t>&lt;codeEdi&gt;818&lt;/codeEdi&gt;</t>
  </si>
  <si>
    <t>&lt;codeEdi&gt;819&lt;/codeEdi&gt;</t>
  </si>
  <si>
    <t>&lt;codeEdi&gt;820&lt;/codeEdi&gt;</t>
  </si>
  <si>
    <t>&lt;cellule&gt;&lt;codeEdi&gt;821&lt;/codeEdi&gt;&lt;/cellule&gt;</t>
  </si>
  <si>
    <t>&lt;cellule&gt;&lt;codeEdi&gt;822&lt;/codeEdi&gt;&lt;/cellule&gt;</t>
  </si>
  <si>
    <t>&lt;cellule&gt;&lt;codeEdi&gt;823&lt;/codeEdi&gt;&lt;/cellule&gt;</t>
  </si>
  <si>
    <t>&lt;cellule&gt;&lt;codeEdi&gt;824&lt;/codeEdi&gt;&lt;/cellule&gt;</t>
  </si>
  <si>
    <t>&lt;cellule&gt;&lt;codeEdi&gt;825&lt;/codeEdi&gt;&lt;/cellule&gt;</t>
  </si>
  <si>
    <t>&lt;cellule&gt;&lt;codeEdi&gt;826&lt;/codeEdi&gt;&lt;/cellule&gt;</t>
  </si>
  <si>
    <t>&lt;cellule&gt;&lt;codeEdi&gt;827&lt;/codeEdi&gt;&lt;/cellule&gt;</t>
  </si>
  <si>
    <t>&lt;cellule&gt;&lt;codeEdi&gt;828&lt;/codeEdi&gt;&lt;/cellule&gt;</t>
  </si>
  <si>
    <t>&lt;cellule&gt;&lt;codeEdi&gt;830&lt;/codeEdi&gt;&lt;/cellule&gt;</t>
  </si>
  <si>
    <t>&lt;cellule&gt;&lt;codeEdi&gt;829&lt;/codeEdi&gt;&lt;/cellule&gt;</t>
  </si>
  <si>
    <t>&lt;cellule&gt;&lt;codeEdi&gt;831&lt;/codeEdi&gt;&lt;/cellule&gt;</t>
  </si>
  <si>
    <t>&lt;cellule&gt;&lt;codeEdi&gt;7830&lt;/codeEdi&gt;&lt;/cellule&gt;</t>
  </si>
  <si>
    <t>&lt;codeEdi&gt;833&lt;/codeEdi&gt;</t>
  </si>
  <si>
    <t>&lt;codeEdi&gt;834&lt;/codeEdi&gt;</t>
  </si>
  <si>
    <t>&lt;codeEdi&gt;837&lt;/codeEdi&gt;</t>
  </si>
  <si>
    <t>&lt;codeEdi&gt;838&lt;/codeEdi&gt;</t>
  </si>
  <si>
    <t>&lt;codeEdi&gt;839&lt;/codeEdi&gt;</t>
  </si>
  <si>
    <t>&lt;codeEdi&gt;840&lt;/codeEdi&gt;</t>
  </si>
  <si>
    <t>&lt;codeEdi&gt;845&lt;/codeEdi&gt;</t>
  </si>
  <si>
    <t>&lt;codeEdi&gt;846&lt;/codeEdi&gt;</t>
  </si>
  <si>
    <t>&lt;codeEdi&gt;847&lt;/codeEdi&gt;</t>
  </si>
  <si>
    <t>&lt;codeEdi&gt;848&lt;/codeEdi&gt;</t>
  </si>
  <si>
    <t>&lt;codeEdi&gt;849&lt;/codeEdi&gt;</t>
  </si>
  <si>
    <t>&lt;codeEdi&gt;850&lt;/codeEdi&gt;</t>
  </si>
  <si>
    <t>&lt;codeEdi&gt;851&lt;/codeEdi&gt;</t>
  </si>
  <si>
    <t>&lt;codeEdi&gt;852&lt;/codeEdi&gt;</t>
  </si>
  <si>
    <t>&lt;codeEdi&gt;6872&lt;/codeEdi&gt;</t>
  </si>
  <si>
    <t>&lt;codeEdi&gt;6873&lt;/codeEdi&gt;</t>
  </si>
  <si>
    <t>&lt;codeEdi&gt;6874&lt;/codeEdi&gt;</t>
  </si>
  <si>
    <t>&lt;codeEdi&gt;6875&lt;/codeEdi&gt;</t>
  </si>
  <si>
    <t>&lt;codeEdi&gt;854&lt;/codeEdi&gt;</t>
  </si>
  <si>
    <t>&lt;codeEdi&gt;855&lt;/codeEdi&gt;</t>
  </si>
  <si>
    <t>&lt;codeEdi&gt;860&lt;/codeEdi&gt;</t>
  </si>
  <si>
    <t>&lt;codeEdi&gt;861&lt;/codeEdi&gt;</t>
  </si>
  <si>
    <t>&lt;codeEdi&gt;862&lt;/codeEdi&gt;</t>
  </si>
  <si>
    <t>&lt;codeEdi&gt;863&lt;/codeEdi&gt;</t>
  </si>
  <si>
    <t>&lt;codeEdi&gt;864&lt;/codeEdi&gt;</t>
  </si>
  <si>
    <t>&lt;codeEdi&gt;865&lt;/codeEdi&gt;</t>
  </si>
  <si>
    <t>&lt;codeEdi&gt;866&lt;/codeEdi&gt;</t>
  </si>
  <si>
    <t>&lt;codeEdi&gt;867&lt;/codeEdi&gt;</t>
  </si>
  <si>
    <t>&lt;tableau&gt;&lt;id&gt;11&lt;/id&gt;&lt;/tableau&gt;</t>
  </si>
  <si>
    <t>&lt;codeEdi&gt;966&lt;/codeEdi&gt;</t>
  </si>
  <si>
    <t>&lt;codeEdi&gt;967&lt;/codeEdi&gt;</t>
  </si>
  <si>
    <t>&lt;codeEdi&gt;968&lt;/codeEdi&gt;</t>
  </si>
  <si>
    <t>&lt;codeEdi&gt;10064&lt;/codeEdi&gt;</t>
  </si>
  <si>
    <t>&lt;codeEdi&gt;980&lt;/codeEdi&gt;</t>
  </si>
  <si>
    <t>&lt;codeEdi&gt;981&lt;/codeEdi&gt;</t>
  </si>
  <si>
    <t>&lt;codeEdi&gt;982&lt;/codeEdi&gt;</t>
  </si>
  <si>
    <t>&lt;codeEdi&gt;10065&lt;/codeEdi&gt;</t>
  </si>
  <si>
    <t>&lt;codeEdi&gt;994&lt;/codeEdi&gt;</t>
  </si>
  <si>
    <t>&lt;codeEdi&gt;995&lt;/codeEdi&gt;</t>
  </si>
  <si>
    <t>&lt;codeEdi&gt;996&lt;/codeEdi&gt;</t>
  </si>
  <si>
    <t>&lt;codeEdi&gt;10066&lt;/codeEdi&gt;</t>
  </si>
  <si>
    <t>&lt;codeEdi&gt;1008&lt;/codeEdi&gt;</t>
  </si>
  <si>
    <t>&lt;codeEdi&gt;1009&lt;/codeEdi&gt;</t>
  </si>
  <si>
    <t>&lt;codeEdi&gt;1010&lt;/codeEdi&gt;</t>
  </si>
  <si>
    <t>&lt;codeEdi&gt;10067&lt;/codeEdi&gt;</t>
  </si>
  <si>
    <t>&lt;codeEdi&gt;1022&lt;/codeEdi&gt;</t>
  </si>
  <si>
    <t>&lt;codeEdi&gt;1023&lt;/codeEdi&gt;</t>
  </si>
  <si>
    <t>&lt;codeEdi&gt;1024&lt;/codeEdi&gt;</t>
  </si>
  <si>
    <t>&lt;codeEdi&gt;10068&lt;/codeEdi&gt;</t>
  </si>
  <si>
    <t>&lt;codeEdi&gt;1036&lt;/codeEdi&gt;</t>
  </si>
  <si>
    <t>&lt;codeEdi&gt;1037&lt;/codeEdi&gt;</t>
  </si>
  <si>
    <t>&lt;codeEdi&gt;1038&lt;/codeEdi&gt;</t>
  </si>
  <si>
    <t>&lt;codeEdi&gt;10069&lt;/codeEdi&gt;</t>
  </si>
  <si>
    <t>&lt;codeEdi&gt;1050&lt;/codeEdi&gt;</t>
  </si>
  <si>
    <t>&lt;codeEdi&gt;1051&lt;/codeEdi&gt;</t>
  </si>
  <si>
    <t>&lt;codeEdi&gt;1052&lt;/codeEdi&gt;</t>
  </si>
  <si>
    <t>&lt;codeEdi&gt;10070&lt;/codeEdi&gt;</t>
  </si>
  <si>
    <t>&lt;codeEdi&gt;1064&lt;/codeEdi&gt;</t>
  </si>
  <si>
    <t>&lt;codeEdi&gt;1065&lt;/codeEdi&gt;</t>
  </si>
  <si>
    <t>&lt;codeEdi&gt;1066&lt;/codeEdi&gt;</t>
  </si>
  <si>
    <t>&lt;codeEdi&gt;10071&lt;/codeEdi&gt;</t>
  </si>
  <si>
    <t>&lt;cellule&gt;&lt;codeEdi&gt;13506&lt;/codeEdi&gt;&lt;/cellule&gt;</t>
  </si>
  <si>
    <t>&lt;cellule&gt;&lt;codeEdi&gt;13507&lt;/codeEdi&gt;&lt;/cellule&gt;</t>
  </si>
  <si>
    <t>&lt;cellule&gt;&lt;codeEdi&gt;13508&lt;/codeEdi&gt;&lt;/cellule&gt;</t>
  </si>
  <si>
    <t>&lt;cellule&gt;&lt;codeEdi&gt;13509&lt;/codeEdi&gt;&lt;/cellule&gt;</t>
  </si>
  <si>
    <t>&lt;cellule&gt;&lt;codeEdi&gt;13510&lt;/codeEdi&gt;&lt;/cellule&gt;</t>
  </si>
  <si>
    <t>&lt;cellule&gt;&lt;codeEdi&gt;13511&lt;/codeEdi&gt;&lt;/cellule&gt;</t>
  </si>
  <si>
    <t>&lt;cellule&gt;&lt;codeEdi&gt;13512&lt;/codeEdi&gt;&lt;/cellule&gt;</t>
  </si>
  <si>
    <t>&lt;cellule&gt;&lt;codeEdi&gt;13513&lt;/codeEdi&gt;&lt;/cellule&gt;</t>
  </si>
  <si>
    <t>&lt;codeEdi&gt;969&lt;/codeEdi&gt;</t>
  </si>
  <si>
    <t>&lt;codeEdi&gt;970&lt;/codeEdi&gt;</t>
  </si>
  <si>
    <t>&lt;codeEdi&gt;971&lt;/codeEdi&gt;</t>
  </si>
  <si>
    <t>&lt;codeEdi&gt;972&lt;/codeEdi&gt;</t>
  </si>
  <si>
    <t>&lt;codeEdi&gt;10073&lt;/codeEdi&gt;</t>
  </si>
  <si>
    <t>&lt;codeEdi&gt;983&lt;/codeEdi&gt;</t>
  </si>
  <si>
    <t>&lt;codeEdi&gt;984&lt;/codeEdi&gt;</t>
  </si>
  <si>
    <t>&lt;codeEdi&gt;985&lt;/codeEdi&gt;</t>
  </si>
  <si>
    <t>&lt;codeEdi&gt;986&lt;/codeEdi&gt;</t>
  </si>
  <si>
    <t>&lt;codeEdi&gt;10074&lt;/codeEdi&gt;</t>
  </si>
  <si>
    <t>&lt;codeEdi&gt;997&lt;/codeEdi&gt;</t>
  </si>
  <si>
    <t>&lt;codeEdi&gt;998&lt;/codeEdi&gt;</t>
  </si>
  <si>
    <t>&lt;codeEdi&gt;999&lt;/codeEdi&gt;</t>
  </si>
  <si>
    <t>&lt;codeEdi&gt;1000&lt;/codeEdi&gt;</t>
  </si>
  <si>
    <t>&lt;codeEdi&gt;10075&lt;/codeEdi&gt;</t>
  </si>
  <si>
    <t>&lt;codeEdi&gt;1011&lt;/codeEdi&gt;</t>
  </si>
  <si>
    <t>&lt;codeEdi&gt;1012&lt;/codeEdi&gt;</t>
  </si>
  <si>
    <t>&lt;codeEdi&gt;1013&lt;/codeEdi&gt;</t>
  </si>
  <si>
    <t>&lt;codeEdi&gt;1014&lt;/codeEdi&gt;</t>
  </si>
  <si>
    <t>&lt;codeEdi&gt;10076&lt;/codeEdi&gt;</t>
  </si>
  <si>
    <t>&lt;codeEdi&gt;1025&lt;/codeEdi&gt;</t>
  </si>
  <si>
    <t>&lt;codeEdi&gt;1026&lt;/codeEdi&gt;</t>
  </si>
  <si>
    <t>&lt;codeEdi&gt;1027&lt;/codeEdi&gt;</t>
  </si>
  <si>
    <t>&lt;codeEdi&gt;1028&lt;/codeEdi&gt;</t>
  </si>
  <si>
    <t>&lt;codeEdi&gt;10077&lt;/codeEdi&gt;</t>
  </si>
  <si>
    <t>&lt;codeEdi&gt;1039&lt;/codeEdi&gt;</t>
  </si>
  <si>
    <t>&lt;codeEdi&gt;1040&lt;/codeEdi&gt;</t>
  </si>
  <si>
    <t>&lt;codeEdi&gt;1041&lt;/codeEdi&gt;</t>
  </si>
  <si>
    <t>&lt;codeEdi&gt;1042&lt;/codeEdi&gt;</t>
  </si>
  <si>
    <t>&lt;codeEdi&gt;10078&lt;/codeEdi&gt;</t>
  </si>
  <si>
    <t>&lt;codeEdi&gt;1053&lt;/codeEdi&gt;</t>
  </si>
  <si>
    <t>&lt;codeEdi&gt;1054&lt;/codeEdi&gt;</t>
  </si>
  <si>
    <t>&lt;codeEdi&gt;1055&lt;/codeEdi&gt;</t>
  </si>
  <si>
    <t>&lt;codeEdi&gt;1056&lt;/codeEdi&gt;</t>
  </si>
  <si>
    <t>&lt;codeEdi&gt;10079&lt;/codeEdi&gt;</t>
  </si>
  <si>
    <t>&lt;codeEdi&gt;1067&lt;/codeEdi&gt;</t>
  </si>
  <si>
    <t>&lt;codeEdi&gt;1068&lt;/codeEdi&gt;</t>
  </si>
  <si>
    <t>&lt;codeEdi&gt;1069&lt;/codeEdi&gt;</t>
  </si>
  <si>
    <t>&lt;codeEdi&gt;1070&lt;/codeEdi&gt;</t>
  </si>
  <si>
    <t>&lt;codeEdi&gt;10080&lt;/codeEdi&gt;</t>
  </si>
  <si>
    <t>&lt;codeEdi&gt;973&lt;/codeEdi&gt;</t>
  </si>
  <si>
    <t>&lt;codeEdi&gt;974&lt;/codeEdi&gt;</t>
  </si>
  <si>
    <t>&lt;codeEdi&gt;975&lt;/codeEdi&gt;</t>
  </si>
  <si>
    <t>&lt;codeEdi&gt;976&lt;/codeEdi&gt;</t>
  </si>
  <si>
    <t>&lt;codeEdi&gt;977&lt;/codeEdi&gt;</t>
  </si>
  <si>
    <t>&lt;codeEdi&gt;978&lt;/codeEdi&gt;</t>
  </si>
  <si>
    <t>&lt;codeEdi&gt;979&lt;/codeEdi&gt;</t>
  </si>
  <si>
    <t>&lt;codeEdi&gt;10082&lt;/codeEdi&gt;</t>
  </si>
  <si>
    <t>&lt;codeEdi&gt;12597&lt;/codeEdi&gt;</t>
  </si>
  <si>
    <t>&lt;codeEdi&gt;987&lt;/codeEdi&gt;</t>
  </si>
  <si>
    <t>&lt;codeEdi&gt;988&lt;/codeEdi&gt;</t>
  </si>
  <si>
    <t>&lt;codeEdi&gt;989&lt;/codeEdi&gt;</t>
  </si>
  <si>
    <t>&lt;codeEdi&gt;990&lt;/codeEdi&gt;</t>
  </si>
  <si>
    <t>&lt;codeEdi&gt;991&lt;/codeEdi&gt;</t>
  </si>
  <si>
    <t>&lt;codeEdi&gt;992&lt;/codeEdi&gt;</t>
  </si>
  <si>
    <t>&lt;codeEdi&gt;993&lt;/codeEdi&gt;</t>
  </si>
  <si>
    <t>&lt;codeEdi&gt;10083&lt;/codeEdi&gt;</t>
  </si>
  <si>
    <t>&lt;codeEdi&gt;12598&lt;/codeEdi&gt;</t>
  </si>
  <si>
    <t>&lt;codeEdi&gt;1001&lt;/codeEdi&gt;</t>
  </si>
  <si>
    <t>&lt;codeEdi&gt;1002&lt;/codeEdi&gt;</t>
  </si>
  <si>
    <t>&lt;codeEdi&gt;1003&lt;/codeEdi&gt;</t>
  </si>
  <si>
    <t>&lt;codeEdi&gt;1004&lt;/codeEdi&gt;</t>
  </si>
  <si>
    <t>&lt;codeEdi&gt;1005&lt;/codeEdi&gt;</t>
  </si>
  <si>
    <t>&lt;codeEdi&gt;1006&lt;/codeEdi&gt;</t>
  </si>
  <si>
    <t>&lt;codeEdi&gt;1007&lt;/codeEdi&gt;</t>
  </si>
  <si>
    <t>&lt;codeEdi&gt;10084&lt;/codeEdi&gt;</t>
  </si>
  <si>
    <t>&lt;codeEdi&gt;12599&lt;/codeEdi&gt;</t>
  </si>
  <si>
    <t>&lt;codeEdi&gt;1015&lt;/codeEdi&gt;</t>
  </si>
  <si>
    <t>&lt;codeEdi&gt;1016&lt;/codeEdi&gt;</t>
  </si>
  <si>
    <t>&lt;codeEdi&gt;1017&lt;/codeEdi&gt;</t>
  </si>
  <si>
    <t>&lt;codeEdi&gt;1018&lt;/codeEdi&gt;</t>
  </si>
  <si>
    <t>&lt;codeEdi&gt;1019&lt;/codeEdi&gt;</t>
  </si>
  <si>
    <t>&lt;codeEdi&gt;1020&lt;/codeEdi&gt;</t>
  </si>
  <si>
    <t>&lt;codeEdi&gt;1021&lt;/codeEdi&gt;</t>
  </si>
  <si>
    <t>&lt;codeEdi&gt;10085&lt;/codeEdi&gt;</t>
  </si>
  <si>
    <t>&lt;codeEdi&gt;12600&lt;/codeEdi&gt;</t>
  </si>
  <si>
    <t>&lt;codeEdi&gt;1029&lt;/codeEdi&gt;</t>
  </si>
  <si>
    <t>&lt;codeEdi&gt;1030&lt;/codeEdi&gt;</t>
  </si>
  <si>
    <t>&lt;codeEdi&gt;1031&lt;/codeEdi&gt;</t>
  </si>
  <si>
    <t>&lt;codeEdi&gt;1032&lt;/codeEdi&gt;</t>
  </si>
  <si>
    <t>&lt;codeEdi&gt;1033&lt;/codeEdi&gt;</t>
  </si>
  <si>
    <t>&lt;codeEdi&gt;1034&lt;/codeEdi&gt;</t>
  </si>
  <si>
    <t>&lt;codeEdi&gt;1035&lt;/codeEdi&gt;</t>
  </si>
  <si>
    <t>&lt;codeEdi&gt;10086&lt;/codeEdi&gt;</t>
  </si>
  <si>
    <t>&lt;codeEdi&gt;12601&lt;/codeEdi&gt;</t>
  </si>
  <si>
    <t>&lt;codeEdi&gt;1043&lt;/codeEdi&gt;</t>
  </si>
  <si>
    <t>&lt;codeEdi&gt;1044&lt;/codeEdi&gt;</t>
  </si>
  <si>
    <t>&lt;codeEdi&gt;1045&lt;/codeEdi&gt;</t>
  </si>
  <si>
    <t>&lt;codeEdi&gt;1046&lt;/codeEdi&gt;</t>
  </si>
  <si>
    <t>&lt;codeEdi&gt;1047&lt;/codeEdi&gt;</t>
  </si>
  <si>
    <t>&lt;codeEdi&gt;1048&lt;/codeEdi&gt;</t>
  </si>
  <si>
    <t>&lt;codeEdi&gt;1049&lt;/codeEdi&gt;</t>
  </si>
  <si>
    <t>&lt;codeEdi&gt;10087&lt;/codeEdi&gt;</t>
  </si>
  <si>
    <t>&lt;codeEdi&gt;12602&lt;/codeEdi&gt;</t>
  </si>
  <si>
    <t>&lt;codeEdi&gt;1057&lt;/codeEdi&gt;</t>
  </si>
  <si>
    <t>&lt;codeEdi&gt;1058&lt;/codeEdi&gt;</t>
  </si>
  <si>
    <t>&lt;codeEdi&gt;1059&lt;/codeEdi&gt;</t>
  </si>
  <si>
    <t>&lt;codeEdi&gt;1060&lt;/codeEdi&gt;</t>
  </si>
  <si>
    <t>&lt;codeEdi&gt;1061&lt;/codeEdi&gt;</t>
  </si>
  <si>
    <t>&lt;codeEdi&gt;1062&lt;/codeEdi&gt;</t>
  </si>
  <si>
    <t>&lt;codeEdi&gt;1063&lt;/codeEdi&gt;</t>
  </si>
  <si>
    <t>&lt;codeEdi&gt;10088&lt;/codeEdi&gt;</t>
  </si>
  <si>
    <t>&lt;codeEdi&gt;12603&lt;/codeEdi&gt;</t>
  </si>
  <si>
    <t>&lt;codeEdi&gt;1071&lt;/codeEdi&gt;</t>
  </si>
  <si>
    <t>&lt;codeEdi&gt;1072&lt;/codeEdi&gt;</t>
  </si>
  <si>
    <t>&lt;codeEdi&gt;1073&lt;/codeEdi&gt;</t>
  </si>
  <si>
    <t>&lt;codeEdi&gt;1074&lt;/codeEdi&gt;</t>
  </si>
  <si>
    <t>&lt;codeEdi&gt;1075&lt;/codeEdi&gt;</t>
  </si>
  <si>
    <t>&lt;codeEdi&gt;1076&lt;/codeEdi&gt;</t>
  </si>
  <si>
    <t>&lt;codeEdi&gt;1077&lt;/codeEdi&gt;</t>
  </si>
  <si>
    <t>&lt;codeEdi&gt;10089&lt;/codeEdi&gt;</t>
  </si>
  <si>
    <t>&lt;codeEdi&gt;12604&lt;/codeEdi&gt;</t>
  </si>
  <si>
    <t>&lt;tableau&gt;&lt;id&gt;32&lt;/id&gt;&lt;/tableau&gt;</t>
  </si>
  <si>
    <t>&lt;codeEdi&gt;1308&lt;/codeEdi&gt;</t>
  </si>
  <si>
    <t>&lt;codeEdi&gt;1309&lt;/codeEdi&gt;</t>
  </si>
  <si>
    <t>&lt;codeEdi&gt;1310&lt;/codeEdi&gt;</t>
  </si>
  <si>
    <t>&lt;codeEdi&gt;1311&lt;/codeEdi&gt;</t>
  </si>
  <si>
    <t>&lt;codeEdi&gt;1312&lt;/codeEdi&gt;</t>
  </si>
  <si>
    <t>&lt;codeEdi&gt;1313&lt;/codeEdi&gt;</t>
  </si>
  <si>
    <t>&lt;codeEdi&gt;1314&lt;/codeEdi&gt;</t>
  </si>
  <si>
    <t>&lt;codeEdi&gt;1315&lt;/codeEdi&gt;</t>
  </si>
  <si>
    <t>&lt;codeEdi&gt;1316&lt;/codeEdi&gt;</t>
  </si>
  <si>
    <t>&lt;codeEdi&gt;1317&lt;/codeEdi&gt;</t>
  </si>
  <si>
    <t>&lt;codeEdi&gt;1318&lt;/codeEdi&gt;</t>
  </si>
  <si>
    <t>&lt;codeEdi&gt;1319&lt;/codeEdi&gt;</t>
  </si>
  <si>
    <t>&lt;codeEdi&gt;1320&lt;/codeEdi&gt;</t>
  </si>
  <si>
    <t>&lt;codeEdi&gt;1321&lt;/codeEdi&gt;</t>
  </si>
  <si>
    <t>&lt;codeEdi&gt;1324&lt;/codeEdi&gt;</t>
  </si>
  <si>
    <t>&lt;codeEdi&gt;1325&lt;/codeEdi&gt;</t>
  </si>
  <si>
    <t>&lt;codeEdi&gt;1326&lt;/codeEdi&gt;</t>
  </si>
  <si>
    <t>&lt;codeEdi&gt;1327&lt;/codeEdi&gt;</t>
  </si>
  <si>
    <t>&lt;codeEdi&gt;1328&lt;/codeEdi&gt;</t>
  </si>
  <si>
    <t>&lt;codeEdi&gt;1329&lt;/codeEdi&gt;</t>
  </si>
  <si>
    <t>&lt;codeEdi&gt;1330&lt;/codeEdi&gt;</t>
  </si>
  <si>
    <t>&lt;codeEdi&gt;1331&lt;/codeEdi&gt;</t>
  </si>
  <si>
    <t>&lt;codeEdi&gt;1332&lt;/codeEdi&gt;</t>
  </si>
  <si>
    <t>&lt;codeEdi&gt;4063&lt;/codeEdi&gt;</t>
  </si>
  <si>
    <t>&lt;codeEdi&gt;4066&lt;/codeEdi&gt;</t>
  </si>
  <si>
    <t>&lt;codeEdi&gt;1333&lt;/codeEdi&gt;</t>
  </si>
  <si>
    <t>&lt;codeEdi&gt;1334&lt;/codeEdi&gt;</t>
  </si>
  <si>
    <t>&lt;codeEdi&gt;1335&lt;/codeEdi&gt;</t>
  </si>
  <si>
    <t>&lt;codeEdi&gt;1336&lt;/codeEdi&gt;</t>
  </si>
  <si>
    <t>&lt;codeEdi&gt;1337&lt;/codeEdi&gt;</t>
  </si>
  <si>
    <t>&lt;codeEdi&gt;1338&lt;/codeEdi&gt;</t>
  </si>
  <si>
    <t>&lt;codeEdi&gt;1339&lt;/codeEdi&gt;</t>
  </si>
  <si>
    <t>&lt;codeEdi&gt;1340&lt;/codeEdi&gt;</t>
  </si>
  <si>
    <t>&lt;codeEdi&gt;1341&lt;/codeEdi&gt;</t>
  </si>
  <si>
    <t>&lt;codeEdi&gt;1342&lt;/codeEdi&gt;</t>
  </si>
  <si>
    <t>&lt;codeEdi&gt;1343&lt;/codeEdi&gt;</t>
  </si>
  <si>
    <t>&lt;codeEdi&gt;1344&lt;/codeEdi&gt;</t>
  </si>
  <si>
    <t>&lt;codeEdi&gt;1345&lt;/codeEdi&gt;</t>
  </si>
  <si>
    <t>&lt;codeEdi&gt;1346&lt;/codeEdi&gt;</t>
  </si>
  <si>
    <t>&lt;codeEdi&gt;1349&lt;/codeEdi&gt;</t>
  </si>
  <si>
    <t>&lt;codeEdi&gt;1350&lt;/codeEdi&gt;</t>
  </si>
  <si>
    <t>&lt;codeEdi&gt;1351&lt;/codeEdi&gt;</t>
  </si>
  <si>
    <t>&lt;codeEdi&gt;1352&lt;/codeEdi&gt;</t>
  </si>
  <si>
    <t>&lt;codeEdi&gt;1353&lt;/codeEdi&gt;</t>
  </si>
  <si>
    <t>&lt;codeEdi&gt;1354&lt;/codeEdi&gt;</t>
  </si>
  <si>
    <t>&lt;codeEdi&gt;1355&lt;/codeEdi&gt;</t>
  </si>
  <si>
    <t>&lt;codeEdi&gt;1356&lt;/codeEdi&gt;</t>
  </si>
  <si>
    <t>&lt;codeEdi&gt;1357&lt;/codeEdi&gt;</t>
  </si>
  <si>
    <t>&lt;codeEdi&gt;4064&lt;/codeEdi&gt;</t>
  </si>
  <si>
    <t>&lt;codeEdi&gt;4067&lt;/codeEdi&gt;</t>
  </si>
  <si>
    <t>&lt;codeEdi&gt;1372&lt;/codeEdi&gt;</t>
  </si>
  <si>
    <t>&lt;codeEdi&gt;1373&lt;/codeEdi&gt;</t>
  </si>
  <si>
    <t>&lt;codeEdi&gt;1374&lt;/codeEdi&gt;</t>
  </si>
  <si>
    <t>&lt;codeEdi&gt;1375&lt;/codeEdi&gt;</t>
  </si>
  <si>
    <t>&lt;codeEdi&gt;1376&lt;/codeEdi&gt;</t>
  </si>
  <si>
    <t>&lt;codeEdi&gt;1377&lt;/codeEdi&gt;</t>
  </si>
  <si>
    <t>&lt;codeEdi&gt;1378&lt;/codeEdi&gt;</t>
  </si>
  <si>
    <t>&lt;codeEdi&gt;1379&lt;/codeEdi&gt;</t>
  </si>
  <si>
    <t>&lt;codeEdi&gt;1380&lt;/codeEdi&gt;</t>
  </si>
  <si>
    <t>&lt;codeEdi&gt;1381&lt;/codeEdi&gt;</t>
  </si>
  <si>
    <t>&lt;codeEdi&gt;1382&lt;/codeEdi&gt;</t>
  </si>
  <si>
    <t>&lt;codeEdi&gt;1383&lt;/codeEdi&gt;</t>
  </si>
  <si>
    <t>&lt;codeEdi&gt;1384&lt;/codeEdi&gt;</t>
  </si>
  <si>
    <t>&lt;codeEdi&gt;1385&lt;/codeEdi&gt;</t>
  </si>
  <si>
    <t>&lt;codeEdi&gt;1386&lt;/codeEdi&gt;</t>
  </si>
  <si>
    <t>&lt;codeEdi&gt;1387&lt;/codeEdi&gt;</t>
  </si>
  <si>
    <t>&lt;codeEdi&gt;1388&lt;/codeEdi&gt;</t>
  </si>
  <si>
    <t>&lt;codeEdi&gt;1389&lt;/codeEdi&gt;</t>
  </si>
  <si>
    <t>&lt;codeEdi&gt;1390&lt;/codeEdi&gt;</t>
  </si>
  <si>
    <t>&lt;codeEdi&gt;1391&lt;/codeEdi&gt;</t>
  </si>
  <si>
    <t>&lt;codeEdi&gt;1392&lt;/codeEdi&gt;</t>
  </si>
  <si>
    <t>&lt;codeEdi&gt;1393&lt;/codeEdi&gt;</t>
  </si>
  <si>
    <t>&lt;codeEdi&gt;1394&lt;/codeEdi&gt;</t>
  </si>
  <si>
    <t>&lt;codeEdi&gt;1395&lt;/codeEdi&gt;</t>
  </si>
  <si>
    <t>&lt;codeEdi&gt;1396&lt;/codeEdi&gt;</t>
  </si>
  <si>
    <t>&lt;codeEdi&gt;1397&lt;/codeEdi&gt;</t>
  </si>
  <si>
    <t>&lt;codeEdi&gt;1398&lt;/codeEdi&gt;</t>
  </si>
  <si>
    <t>&lt;codeEdi&gt;1399&lt;/codeEdi&gt;</t>
  </si>
  <si>
    <t>&lt;tableau&gt;&lt;id&gt;34&lt;/id&gt;&lt;/tableau&gt;</t>
  </si>
  <si>
    <t>&lt;codeEdi&gt;1521&lt;/codeEdi&gt;</t>
  </si>
  <si>
    <t>&lt;codeEdi&gt;1522&lt;/codeEdi&gt;</t>
  </si>
  <si>
    <t>&lt;codeEdi&gt;1523&lt;/codeEdi&gt;</t>
  </si>
  <si>
    <t>&lt;codeEdi&gt;1524&lt;/codeEdi&gt;</t>
  </si>
  <si>
    <t>&lt;codeEdi&gt;1525&lt;/codeEdi&gt;</t>
  </si>
  <si>
    <t>&lt;codeEdi&gt;1526&lt;/codeEdi&gt;</t>
  </si>
  <si>
    <t>&lt;codeEdi&gt;1527&lt;/codeEdi&gt;</t>
  </si>
  <si>
    <t>&lt;codeEdi&gt;1528&lt;/codeEdi&gt;</t>
  </si>
  <si>
    <t>&lt;codeEdi&gt;1529&lt;/codeEdi&gt;</t>
  </si>
  <si>
    <t>&lt;codeEdi&gt;1530&lt;/codeEdi&gt;</t>
  </si>
  <si>
    <t>&lt;codeEdi&gt;1531&lt;/codeEdi&gt;</t>
  </si>
  <si>
    <t>&lt;codeEdi&gt;1532&lt;/codeEdi&gt;</t>
  </si>
  <si>
    <t>&lt;codeEdi&gt;1533&lt;/codeEdi&gt;</t>
  </si>
  <si>
    <t>&lt;codeEdi&gt;1534&lt;/codeEdi&gt;</t>
  </si>
  <si>
    <t>&lt;codeEdi&gt;1535&lt;/codeEdi&gt;</t>
  </si>
  <si>
    <t>&lt;codeEdi&gt;1536&lt;/codeEdi&gt;</t>
  </si>
  <si>
    <t>&lt;codeEdi&gt;1537&lt;/codeEdi&gt;</t>
  </si>
  <si>
    <t>&lt;codeEdi&gt;1538&lt;/codeEdi&gt;</t>
  </si>
  <si>
    <t>&lt;codeEdi&gt;1539&lt;/codeEdi&gt;</t>
  </si>
  <si>
    <t>&lt;codeEdi&gt;1540&lt;/codeEdi&gt;</t>
  </si>
  <si>
    <t>&lt;codeEdi&gt;1541&lt;/codeEdi&gt;</t>
  </si>
  <si>
    <t>&lt;codeEdi&gt;1542&lt;/codeEdi&gt;</t>
  </si>
  <si>
    <t>&lt;codeEdi&gt;1543&lt;/codeEdi&gt;</t>
  </si>
  <si>
    <t>&lt;codeEdi&gt;1544&lt;/codeEdi&gt;</t>
  </si>
  <si>
    <t>&lt;codeEdi&gt;1545&lt;/codeEdi&gt;</t>
  </si>
  <si>
    <t>&lt;codeEdi&gt;1546&lt;/codeEdi&gt;</t>
  </si>
  <si>
    <t>&lt;codeEdi&gt;1547&lt;/codeEdi&gt;</t>
  </si>
  <si>
    <t>&lt;codeEdi&gt;1548&lt;/codeEdi&gt;</t>
  </si>
  <si>
    <t>&lt;codeEdi&gt;1549&lt;/codeEdi&gt;</t>
  </si>
  <si>
    <t>&lt;codeEdi&gt;1552&lt;/codeEdi&gt;</t>
  </si>
  <si>
    <t>&lt;codeEdi&gt;1553&lt;/codeEdi&gt;</t>
  </si>
  <si>
    <t>&lt;codeEdi&gt;1550&lt;/codeEdi&gt;</t>
  </si>
  <si>
    <t>&lt;codeEdi&gt;1551&lt;/codeEdi&gt;</t>
  </si>
  <si>
    <t>&lt;codeEdi&gt;1733&lt;/codeEdi&gt;</t>
  </si>
  <si>
    <t>&lt;codeEdi&gt;1562&lt;/codeEdi&gt;</t>
  </si>
  <si>
    <t>&lt;codeEdi&gt;1563&lt;/codeEdi&gt;</t>
  </si>
  <si>
    <t>&lt;codeEdi&gt;1564&lt;/codeEdi&gt;</t>
  </si>
  <si>
    <t>&lt;codeEdi&gt;1565&lt;/codeEdi&gt;</t>
  </si>
  <si>
    <t>&lt;codeEdi&gt;1566&lt;/codeEdi&gt;</t>
  </si>
  <si>
    <t>&lt;codeEdi&gt;1567&lt;/codeEdi&gt;</t>
  </si>
  <si>
    <t>&lt;codeEdi&gt;1568&lt;/codeEdi&gt;</t>
  </si>
  <si>
    <t>&lt;codeEdi&gt;1569&lt;/codeEdi&gt;</t>
  </si>
  <si>
    <t>&lt;codeEdi&gt;1570&lt;/codeEdi&gt;</t>
  </si>
  <si>
    <t>&lt;codeEdi&gt;1571&lt;/codeEdi&gt;</t>
  </si>
  <si>
    <t>&lt;codeEdi&gt;1572&lt;/codeEdi&gt;</t>
  </si>
  <si>
    <t>&lt;codeEdi&gt;1573&lt;/codeEdi&gt;</t>
  </si>
  <si>
    <t>&lt;codeEdi&gt;1574&lt;/codeEdi&gt;</t>
  </si>
  <si>
    <t>&lt;codeEdi&gt;1575&lt;/codeEdi&gt;</t>
  </si>
  <si>
    <t>&lt;codeEdi&gt;1576&lt;/codeEdi&gt;</t>
  </si>
  <si>
    <t>&lt;codeEdi&gt;1577&lt;/codeEdi&gt;</t>
  </si>
  <si>
    <t>&lt;codeEdi&gt;1578&lt;/codeEdi&gt;</t>
  </si>
  <si>
    <t>&lt;codeEdi&gt;1579&lt;/codeEdi&gt;</t>
  </si>
  <si>
    <t>&lt;codeEdi&gt;1582&lt;/codeEdi&gt;</t>
  </si>
  <si>
    <t>&lt;codeEdi&gt;1583&lt;/codeEdi&gt;</t>
  </si>
  <si>
    <t>&lt;codeEdi&gt;1584&lt;/codeEdi&gt;</t>
  </si>
  <si>
    <t>&lt;codeEdi&gt;1585&lt;/codeEdi&gt;</t>
  </si>
  <si>
    <t>&lt;codeEdi&gt;1586&lt;/codeEdi&gt;</t>
  </si>
  <si>
    <t>&lt;codeEdi&gt;1587&lt;/codeEdi&gt;</t>
  </si>
  <si>
    <t>&lt;codeEdi&gt;1588&lt;/codeEdi&gt;</t>
  </si>
  <si>
    <t>&lt;codeEdi&gt;1589&lt;/codeEdi&gt;</t>
  </si>
  <si>
    <t>&lt;codeEdi&gt;1590&lt;/codeEdi&gt;</t>
  </si>
  <si>
    <t>&lt;codeEdi&gt;1591&lt;/codeEdi&gt;</t>
  </si>
  <si>
    <t>&lt;codeEdi&gt;1592&lt;/codeEdi&gt;</t>
  </si>
  <si>
    <t>&lt;codeEdi&gt;1593&lt;/codeEdi&gt;</t>
  </si>
  <si>
    <t>&lt;codeEdi&gt;1594&lt;/codeEdi&gt;</t>
  </si>
  <si>
    <t>&lt;codeEdi&gt;1734&lt;/codeEdi&gt;</t>
  </si>
  <si>
    <t>&lt;codeEdi&gt;10091&lt;/codeEdi&gt;</t>
  </si>
  <si>
    <t>&lt;codeEdi&gt;10420&lt;/codeEdi&gt;</t>
  </si>
  <si>
    <t>&lt;codeEdi&gt;1764&lt;/codeEdi&gt;</t>
  </si>
  <si>
    <t>&lt;codeEdi&gt;1765&lt;/codeEdi&gt;</t>
  </si>
  <si>
    <t>&lt;codeEdi&gt;1766&lt;/codeEdi&gt;</t>
  </si>
  <si>
    <t>&lt;codeEdi&gt;1767&lt;/codeEdi&gt;</t>
  </si>
  <si>
    <t>&lt;codeEdi&gt;1814&lt;/codeEdi&gt;</t>
  </si>
  <si>
    <t>&lt;codeEdi&gt;1815&lt;/codeEdi&gt;</t>
  </si>
  <si>
    <t>&lt;codeEdi&gt;1816&lt;/codeEdi&gt;</t>
  </si>
  <si>
    <t>&lt;codeEdi&gt;1817&lt;/codeEdi&gt;</t>
  </si>
  <si>
    <t>&lt;codeEdi&gt;1794&lt;/codeEdi&gt;</t>
  </si>
  <si>
    <t>&lt;codeEdi&gt;1795&lt;/codeEdi&gt;</t>
  </si>
  <si>
    <t>&lt;codeEdi&gt;1796&lt;/codeEdi&gt;</t>
  </si>
  <si>
    <t>&lt;codeEdi&gt;1797&lt;/codeEdi&gt;</t>
  </si>
  <si>
    <t>&lt;codeEdi&gt;1798&lt;/codeEdi&gt;</t>
  </si>
  <si>
    <t>&lt;codeEdi&gt;1792&lt;/codeEdi&gt;</t>
  </si>
  <si>
    <t>&lt;codeEdi&gt;1793&lt;/codeEdi&gt;</t>
  </si>
  <si>
    <t>&lt;codeEdi&gt;1807&lt;/codeEdi&gt;</t>
  </si>
  <si>
    <t>&lt;codeEdi&gt;1808&lt;/codeEdi&gt;</t>
  </si>
  <si>
    <t>&lt;codeEdi&gt;1809&lt;/codeEdi&gt;</t>
  </si>
  <si>
    <t>&lt;codeEdi&gt;1810&lt;/codeEdi&gt;</t>
  </si>
  <si>
    <t>&lt;codeEdi&gt;1811&lt;/codeEdi&gt;</t>
  </si>
  <si>
    <t>&lt;codeEdi&gt;1812&lt;/codeEdi&gt;</t>
  </si>
  <si>
    <t>&lt;codeEdi&gt;1813&lt;/codeEdi&gt;</t>
  </si>
  <si>
    <t>&lt;codeEdi&gt;1963&lt;/codeEdi&gt;</t>
  </si>
  <si>
    <t>&lt;codeEdi&gt;1964&lt;/codeEdi&gt;</t>
  </si>
  <si>
    <t>&lt;codeEdi&gt;1965&lt;/codeEdi&gt;</t>
  </si>
  <si>
    <t>&lt;codeEdi&gt;1966&lt;/codeEdi&gt;</t>
  </si>
  <si>
    <t>&lt;codeEdi&gt;1967&lt;/codeEdi&gt;</t>
  </si>
  <si>
    <t>&lt;codeEdi&gt;1968&lt;/codeEdi&gt;</t>
  </si>
  <si>
    <t>&lt;codeEdi&gt;1969&lt;/codeEdi&gt;</t>
  </si>
  <si>
    <t>&lt;codeEdi&gt;1970&lt;/codeEdi&gt;</t>
  </si>
  <si>
    <t>&lt;codeEdi&gt;1971&lt;/codeEdi&gt;</t>
  </si>
  <si>
    <t>&lt;codeEdi&gt;1974&lt;/codeEdi&gt;</t>
  </si>
  <si>
    <t>&lt;codeEdi&gt;1975&lt;/codeEdi&gt;</t>
  </si>
  <si>
    <t>&lt;codeEdi&gt;1976&lt;/codeEdi&gt;</t>
  </si>
  <si>
    <t>&lt;codeEdi&gt;1977&lt;/codeEdi&gt;</t>
  </si>
  <si>
    <t>&lt;codeEdi&gt;1978&lt;/codeEdi&gt;</t>
  </si>
  <si>
    <t>&lt;codeEdi&gt;1979&lt;/codeEdi&gt;</t>
  </si>
  <si>
    <t>&lt;codeEdi&gt;1980&lt;/codeEdi&gt;</t>
  </si>
  <si>
    <t>&lt;codeEdi&gt;1981&lt;/codeEdi&gt;</t>
  </si>
  <si>
    <t>&lt;codeEdi&gt;1982&lt;/codeEdi&gt;</t>
  </si>
  <si>
    <t>&lt;codeEdi&gt;1983&lt;/codeEdi&gt;</t>
  </si>
  <si>
    <t>&lt;codeEdi&gt;1984&lt;/codeEdi&gt;</t>
  </si>
  <si>
    <t>&lt;codeEdi&gt;1985&lt;/codeEdi&gt;</t>
  </si>
  <si>
    <t>&lt;codeEdi&gt;1986&lt;/codeEdi&gt;</t>
  </si>
  <si>
    <t>&lt;codeEdi&gt;1987&lt;/codeEdi&gt;</t>
  </si>
  <si>
    <t>&lt;codeEdi&gt;1988&lt;/codeEdi&gt;</t>
  </si>
  <si>
    <t>&lt;codeEdi&gt;1972&lt;/codeEdi&gt;</t>
  </si>
  <si>
    <t>&lt;codeEdi&gt;1973&lt;/codeEdi&gt;</t>
  </si>
  <si>
    <t>&lt;codeEdi&gt;1989&lt;/codeEdi&gt;</t>
  </si>
  <si>
    <t>&lt;codeEdi&gt;1990&lt;/codeEdi&gt;</t>
  </si>
  <si>
    <t>&lt;codeEdi&gt;1991&lt;/codeEdi&gt;</t>
  </si>
  <si>
    <t>&lt;codeEdi&gt;1992&lt;/codeEdi&gt;</t>
  </si>
  <si>
    <t>&lt;codeEdi&gt;1993&lt;/codeEdi&gt;</t>
  </si>
  <si>
    <t>&lt;codeEdi&gt;1994&lt;/codeEdi&gt;</t>
  </si>
  <si>
    <t>&lt;codeEdi&gt;1995&lt;/codeEdi&gt;</t>
  </si>
  <si>
    <t>&lt;codeEdi&gt;1996&lt;/codeEdi&gt;</t>
  </si>
  <si>
    <t>&lt;codeEdi&gt;1997&lt;/codeEdi&gt;</t>
  </si>
  <si>
    <t>&lt;codeEdi&gt;1998&lt;/codeEdi&gt;</t>
  </si>
  <si>
    <t>&lt;codeEdi&gt;1999&lt;/codeEdi&gt;</t>
  </si>
  <si>
    <t>&lt;codeEdi&gt;2000&lt;/codeEdi&gt;</t>
  </si>
  <si>
    <t>&lt;codeEdi&gt;2001&lt;/codeEdi&gt;</t>
  </si>
  <si>
    <t>&lt;codeEdi&gt;2002&lt;/codeEdi&gt;</t>
  </si>
  <si>
    <t>&lt;codeEdi&gt;2003&lt;/codeEdi&gt;</t>
  </si>
  <si>
    <t>&lt;codeEdi&gt;2004&lt;/codeEdi&gt;</t>
  </si>
  <si>
    <t>&lt;codeEdi&gt;2005&lt;/codeEdi&gt;</t>
  </si>
  <si>
    <t>&lt;codeEdi&gt;2006&lt;/codeEdi&gt;</t>
  </si>
  <si>
    <t>&lt;codeEdi&gt;2007&lt;/codeEdi&gt;</t>
  </si>
  <si>
    <t>&lt;codeEdi&gt;2008&lt;/codeEdi&gt;</t>
  </si>
  <si>
    <t>&lt;codeEdi&gt;2009&lt;/codeEdi&gt;</t>
  </si>
  <si>
    <t>&lt;codeEdi&gt;2010&lt;/codeEdi&gt;</t>
  </si>
  <si>
    <t>&lt;codeEdi&gt;2011&lt;/codeEdi&gt;</t>
  </si>
  <si>
    <t>&lt;codeEdi&gt;2012&lt;/codeEdi&gt;</t>
  </si>
  <si>
    <t>&lt;codeEdi&gt;2013&lt;/codeEdi&gt;</t>
  </si>
  <si>
    <t>&lt;codeEdi&gt;2014&lt;/codeEdi&gt;</t>
  </si>
  <si>
    <t>&lt;codeEdi&gt;2022&lt;/codeEdi&gt;</t>
  </si>
  <si>
    <t>&lt;codeEdi&gt;2024&lt;/codeEdi&gt;</t>
  </si>
  <si>
    <t>&lt;codeEdi&gt;2025&lt;/codeEdi&gt;</t>
  </si>
  <si>
    <t>&lt;codeEdi&gt;2026&lt;/codeEdi&gt;</t>
  </si>
  <si>
    <t>&lt;codeEdi&gt;2027&lt;/codeEdi&gt;</t>
  </si>
  <si>
    <t>&lt;codeEdi&gt;2028&lt;/codeEdi&gt;</t>
  </si>
  <si>
    <t>&lt;codeEdi&gt;2029&lt;/codeEdi&gt;</t>
  </si>
  <si>
    <t>&lt;codeEdi&gt;2031&lt;/codeEdi&gt;</t>
  </si>
  <si>
    <t>&lt;codeEdi&gt;2032&lt;/codeEdi&gt;</t>
  </si>
  <si>
    <t>&lt;codeEdi&gt;2033&lt;/codeEdi&gt;</t>
  </si>
  <si>
    <t>&lt;codeEdi&gt;2034&lt;/codeEdi&gt;</t>
  </si>
  <si>
    <t>&lt;codeEdi&gt;2035&lt;/codeEdi&gt;</t>
  </si>
  <si>
    <t>&lt;code&gt;70&lt;/code&gt;</t>
  </si>
  <si>
    <t>&lt;tableau&gt;&lt;id&gt;24&lt;/id&gt;&lt;/tableau&gt;</t>
  </si>
  <si>
    <t>&lt;codeEdi&gt;1231&lt;/codeEdi&gt;</t>
  </si>
  <si>
    <t>&lt;codeEdi&gt;1241&lt;/codeEdi&gt;</t>
  </si>
  <si>
    <t>&lt;codeEdi&gt;1246&lt;/codeEdi&gt;</t>
  </si>
  <si>
    <t>&lt;codeEdi&gt;1236&lt;/codeEdi&gt;</t>
  </si>
  <si>
    <t>&lt;codeEdi&gt;1232&lt;/codeEdi&gt;</t>
  </si>
  <si>
    <t>&lt;codeEdi&gt;1242&lt;/codeEdi&gt;</t>
  </si>
  <si>
    <t>&lt;codeEdi&gt;1247&lt;/codeEdi&gt;</t>
  </si>
  <si>
    <t>&lt;codeEdi&gt;1237&lt;/codeEdi&gt;</t>
  </si>
  <si>
    <t>&lt;codeEdi&gt;1233&lt;/codeEdi&gt;</t>
  </si>
  <si>
    <t>&lt;codeEdi&gt;1238&lt;/codeEdi&gt;</t>
  </si>
  <si>
    <t>&lt;codeEdi&gt;1243&lt;/codeEdi&gt;</t>
  </si>
  <si>
    <t>&lt;codeEdi&gt;1248&lt;/codeEdi&gt;</t>
  </si>
  <si>
    <t>&lt;codeEdi&gt;1234&lt;/codeEdi&gt;</t>
  </si>
  <si>
    <t>&lt;codeEdi&gt;1239&lt;/codeEdi&gt;</t>
  </si>
  <si>
    <t>&lt;codeEdi&gt;1244&lt;/codeEdi&gt;</t>
  </si>
  <si>
    <t>&lt;codeEdi&gt;1249&lt;/codeEdi&gt;</t>
  </si>
  <si>
    <t>&lt;cellule&gt;&lt;codeEdi&gt;12122&lt;/codeEdi&gt;&lt;/cellule&gt;</t>
  </si>
  <si>
    <t>&lt;cellule&gt;&lt;codeEdi&gt;12123&lt;/codeEdi&gt;&lt;/cellule&gt;</t>
  </si>
  <si>
    <t>&lt;cellule&gt;&lt;codeEdi&gt;12124&lt;/codeEdi&gt;&lt;/cellule&gt;</t>
  </si>
  <si>
    <t>&lt;cellule&gt;&lt;codeEdi&gt;12125&lt;/codeEdi&gt;&lt;/cellule&gt;</t>
  </si>
  <si>
    <t>&lt;codeEdi&gt;1624&lt;/codeEdi&gt;</t>
  </si>
  <si>
    <t>&lt;codeEdi&gt;1625&lt;/codeEdi&gt;</t>
  </si>
  <si>
    <t>&lt;codeEdi&gt;1626&lt;/codeEdi&gt;</t>
  </si>
  <si>
    <t>&lt;codeEdi&gt;1627&lt;/codeEdi&gt;</t>
  </si>
  <si>
    <t>&lt;codeEdi&gt;1628&lt;/codeEdi&gt;</t>
  </si>
  <si>
    <t>&lt;codeEdi&gt;1629&lt;/codeEdi&gt;</t>
  </si>
  <si>
    <t>&lt;codeEdi&gt;1630&lt;/codeEdi&gt;</t>
  </si>
  <si>
    <t>&lt;codeEdi&gt;1631&lt;/codeEdi&gt;</t>
  </si>
  <si>
    <t>&lt;codeEdi&gt;1632&lt;/codeEdi&gt;</t>
  </si>
  <si>
    <t>&lt;codeEdi&gt;1633&lt;/codeEdi&gt;</t>
  </si>
  <si>
    <t>&lt;codeEdi&gt;1650&lt;/codeEdi&gt;</t>
  </si>
  <si>
    <t>&lt;codeEdi&gt;1651&lt;/codeEdi&gt;</t>
  </si>
  <si>
    <t>&lt;codeEdi&gt;1652&lt;/codeEdi&gt;</t>
  </si>
  <si>
    <t>&lt;codeEdi&gt;1653&lt;/codeEdi&gt;</t>
  </si>
  <si>
    <t>&lt;codeEdi&gt;1654&lt;/codeEdi&gt;</t>
  </si>
  <si>
    <t>&lt;codeEdi&gt;1679&lt;/codeEdi&gt;</t>
  </si>
  <si>
    <t>&lt;codeEdi&gt;1680&lt;/codeEdi&gt;</t>
  </si>
  <si>
    <t>&lt;codeEdi&gt;1681&lt;/codeEdi&gt;</t>
  </si>
  <si>
    <t>&lt;codeEdi&gt;1682&lt;/codeEdi&gt;</t>
  </si>
  <si>
    <t>&lt;codeEdi&gt;1683&lt;/codeEdi&gt;</t>
  </si>
  <si>
    <t>&lt;codeEdi&gt;1700&lt;/codeEdi&gt;</t>
  </si>
  <si>
    <t>&lt;codeEdi&gt;1701&lt;/codeEdi&gt;</t>
  </si>
  <si>
    <t>&lt;codeEdi&gt;1702&lt;/codeEdi&gt;</t>
  </si>
  <si>
    <t>&lt;codeEdi&gt;1703&lt;/codeEdi&gt;</t>
  </si>
  <si>
    <t>&lt;codeEdi&gt;1704&lt;/codeEdi&gt;</t>
  </si>
  <si>
    <t>&lt;codeEdi&gt;1705&lt;/codeEdi&gt;</t>
  </si>
  <si>
    <t>&lt;codeEdi&gt;1706&lt;/codeEdi&gt;</t>
  </si>
  <si>
    <t>&lt;codeEdi&gt;1707&lt;/codeEdi&gt;</t>
  </si>
  <si>
    <t>&lt;codeEdi&gt;1708&lt;/codeEdi&gt;</t>
  </si>
  <si>
    <t>&lt;codeEdi&gt;1709&lt;/codeEdi&gt;</t>
  </si>
  <si>
    <t>&lt;codeEdi&gt;1710&lt;/codeEdi&gt;</t>
  </si>
  <si>
    <t>&lt;codeEdi&gt;1711&lt;/codeEdi&gt;</t>
  </si>
  <si>
    <t>&lt;codeEdi&gt;1712&lt;/codeEdi&gt;</t>
  </si>
  <si>
    <t>&lt;codeEdi&gt;1713&lt;/codeEdi&gt;</t>
  </si>
  <si>
    <t>&lt;codeEdi&gt;1714&lt;/codeEdi&gt;</t>
  </si>
  <si>
    <t>&lt;codeEdi&gt;1715&lt;/codeEdi&gt;</t>
  </si>
  <si>
    <t>&lt;codeEdi&gt;1716&lt;/codeEdi&gt;</t>
  </si>
  <si>
    <t>&lt;codeEdi&gt;1717&lt;/codeEdi&gt;</t>
  </si>
  <si>
    <t>&lt;codeEdi&gt;1718&lt;/codeEdi&gt;</t>
  </si>
  <si>
    <t>&lt;codeEdi&gt;1719&lt;/codeEdi&gt;</t>
  </si>
  <si>
    <t>&lt;codeEdi&gt;1720&lt;/codeEdi&gt;</t>
  </si>
  <si>
    <t>&lt;codeEdi&gt;1721&lt;/codeEdi&gt;</t>
  </si>
  <si>
    <t>&lt;codeEdi&gt;1722&lt;/codeEdi&gt;</t>
  </si>
  <si>
    <t>&lt;codeEdi&gt;1723&lt;/codeEdi&gt;</t>
  </si>
  <si>
    <t>&lt;codeEdi&gt;1724&lt;/codeEdi&gt;</t>
  </si>
  <si>
    <t>&lt;codeEdi&gt;1725&lt;/codeEdi&gt;</t>
  </si>
  <si>
    <t>&lt;codeEdi&gt;1726&lt;/codeEdi&gt;</t>
  </si>
  <si>
    <t>&lt;codeEdi&gt;1727&lt;/codeEdi&gt;</t>
  </si>
  <si>
    <t>&lt;codeEdi&gt;1728&lt;/codeEdi&gt;</t>
  </si>
  <si>
    <t>&lt;codeEdi&gt;1729&lt;/codeEdi&gt;</t>
  </si>
  <si>
    <t>&lt;codeEdi&gt;1730&lt;/codeEdi&gt;</t>
  </si>
  <si>
    <t>&lt;codeEdi&gt;1731&lt;/codeEdi&gt;</t>
  </si>
  <si>
    <t>&lt;tableau&gt;&lt;id&gt;37&lt;/id&gt;&lt;/tableau&gt;</t>
  </si>
  <si>
    <t>&lt;codeEdi&gt;1748&lt;/codeEdi&gt;</t>
  </si>
  <si>
    <t>&lt;codeEdi&gt;1784&lt;/codeEdi&gt;</t>
  </si>
  <si>
    <t>&lt;codeEdi&gt;1827&lt;/codeEdi&gt;</t>
  </si>
  <si>
    <t>&lt;codeEdi&gt;1844&lt;/codeEdi&gt;</t>
  </si>
  <si>
    <t>&lt;codeEdi&gt;1877&lt;/codeEdi&gt;</t>
  </si>
  <si>
    <t>&lt;codeEdi&gt;1894&lt;/codeEdi&gt;</t>
  </si>
  <si>
    <t>&lt;codeEdi&gt;1903&lt;/codeEdi&gt;</t>
  </si>
  <si>
    <t>&lt;codeEdi&gt;1921&lt;/codeEdi&gt;</t>
  </si>
  <si>
    <t>&lt;codeEdi&gt;1912&lt;/codeEdi&gt;</t>
  </si>
  <si>
    <t>&lt;codeEdi&gt;1749&lt;/codeEdi&gt;</t>
  </si>
  <si>
    <t>&lt;codeEdi&gt;1785&lt;/codeEdi&gt;</t>
  </si>
  <si>
    <t>&lt;codeEdi&gt;1828&lt;/codeEdi&gt;</t>
  </si>
  <si>
    <t>&lt;codeEdi&gt;1845&lt;/codeEdi&gt;</t>
  </si>
  <si>
    <t>&lt;codeEdi&gt;1878&lt;/codeEdi&gt;</t>
  </si>
  <si>
    <t>&lt;codeEdi&gt;1895&lt;/codeEdi&gt;</t>
  </si>
  <si>
    <t>&lt;codeEdi&gt;1904&lt;/codeEdi&gt;</t>
  </si>
  <si>
    <t>&lt;codeEdi&gt;1922&lt;/codeEdi&gt;</t>
  </si>
  <si>
    <t>&lt;codeEdi&gt;1913&lt;/codeEdi&gt;</t>
  </si>
  <si>
    <t>&lt;codeEdi&gt;1750&lt;/codeEdi&gt;</t>
  </si>
  <si>
    <t>&lt;codeEdi&gt;1786&lt;/codeEdi&gt;</t>
  </si>
  <si>
    <t>&lt;codeEdi&gt;1829&lt;/codeEdi&gt;</t>
  </si>
  <si>
    <t>&lt;codeEdi&gt;1846&lt;/codeEdi&gt;</t>
  </si>
  <si>
    <t>&lt;codeEdi&gt;1879&lt;/codeEdi&gt;</t>
  </si>
  <si>
    <t>&lt;codeEdi&gt;1896&lt;/codeEdi&gt;</t>
  </si>
  <si>
    <t>&lt;codeEdi&gt;1905&lt;/codeEdi&gt;</t>
  </si>
  <si>
    <t>&lt;codeEdi&gt;1914&lt;/codeEdi&gt;</t>
  </si>
  <si>
    <t>&lt;codeEdi&gt;1923&lt;/codeEdi&gt;</t>
  </si>
  <si>
    <t>&lt;codeEdi&gt;1751&lt;/codeEdi&gt;</t>
  </si>
  <si>
    <t>&lt;codeEdi&gt;1787&lt;/codeEdi&gt;</t>
  </si>
  <si>
    <t>&lt;codeEdi&gt;1830&lt;/codeEdi&gt;</t>
  </si>
  <si>
    <t>&lt;codeEdi&gt;1847&lt;/codeEdi&gt;</t>
  </si>
  <si>
    <t>&lt;codeEdi&gt;1880&lt;/codeEdi&gt;</t>
  </si>
  <si>
    <t>&lt;codeEdi&gt;1897&lt;/codeEdi&gt;</t>
  </si>
  <si>
    <t>&lt;codeEdi&gt;1906&lt;/codeEdi&gt;</t>
  </si>
  <si>
    <t>&lt;codeEdi&gt;1915&lt;/codeEdi&gt;</t>
  </si>
  <si>
    <t>&lt;codeEdi&gt;1924&lt;/codeEdi&gt;</t>
  </si>
  <si>
    <t>&lt;codeEdi&gt;1752&lt;/codeEdi&gt;</t>
  </si>
  <si>
    <t>&lt;codeEdi&gt;1788&lt;/codeEdi&gt;</t>
  </si>
  <si>
    <t>&lt;codeEdi&gt;1831&lt;/codeEdi&gt;</t>
  </si>
  <si>
    <t>&lt;codeEdi&gt;1848&lt;/codeEdi&gt;</t>
  </si>
  <si>
    <t>&lt;codeEdi&gt;1881&lt;/codeEdi&gt;</t>
  </si>
  <si>
    <t>&lt;codeEdi&gt;1898&lt;/codeEdi&gt;</t>
  </si>
  <si>
    <t>&lt;codeEdi&gt;1907&lt;/codeEdi&gt;</t>
  </si>
  <si>
    <t>&lt;codeEdi&gt;1916&lt;/codeEdi&gt;</t>
  </si>
  <si>
    <t>&lt;codeEdi&gt;1925&lt;/codeEdi&gt;</t>
  </si>
  <si>
    <t>&lt;codeEdi&gt;1753&lt;/codeEdi&gt;</t>
  </si>
  <si>
    <t>&lt;codeEdi&gt;1789&lt;/codeEdi&gt;</t>
  </si>
  <si>
    <t>&lt;codeEdi&gt;1832&lt;/codeEdi&gt;</t>
  </si>
  <si>
    <t>&lt;codeEdi&gt;1849&lt;/codeEdi&gt;</t>
  </si>
  <si>
    <t>&lt;codeEdi&gt;1882&lt;/codeEdi&gt;</t>
  </si>
  <si>
    <t>&lt;codeEdi&gt;1899&lt;/codeEdi&gt;</t>
  </si>
  <si>
    <t>&lt;codeEdi&gt;1908&lt;/codeEdi&gt;</t>
  </si>
  <si>
    <t>&lt;codeEdi&gt;1917&lt;/codeEdi&gt;</t>
  </si>
  <si>
    <t>&lt;codeEdi&gt;1926&lt;/codeEdi&gt;</t>
  </si>
  <si>
    <t>&lt;codeEdi&gt;1754&lt;/codeEdi&gt;</t>
  </si>
  <si>
    <t>&lt;codeEdi&gt;1790&lt;/codeEdi&gt;</t>
  </si>
  <si>
    <t>&lt;codeEdi&gt;1833&lt;/codeEdi&gt;</t>
  </si>
  <si>
    <t>&lt;codeEdi&gt;1850&lt;/codeEdi&gt;</t>
  </si>
  <si>
    <t>&lt;codeEdi&gt;1883&lt;/codeEdi&gt;</t>
  </si>
  <si>
    <t>&lt;codeEdi&gt;1900&lt;/codeEdi&gt;</t>
  </si>
  <si>
    <t>&lt;codeEdi&gt;1909&lt;/codeEdi&gt;</t>
  </si>
  <si>
    <t>&lt;codeEdi&gt;1918&lt;/codeEdi&gt;</t>
  </si>
  <si>
    <t>&lt;codeEdi&gt;1927&lt;/codeEdi&gt;</t>
  </si>
  <si>
    <t>&lt;codeEdi&gt;1755&lt;/codeEdi&gt;</t>
  </si>
  <si>
    <t>&lt;codeEdi&gt;1791&lt;/codeEdi&gt;</t>
  </si>
  <si>
    <t>&lt;codeEdi&gt;1834&lt;/codeEdi&gt;</t>
  </si>
  <si>
    <t>&lt;codeEdi&gt;1851&lt;/codeEdi&gt;</t>
  </si>
  <si>
    <t>&lt;codeEdi&gt;1884&lt;/codeEdi&gt;</t>
  </si>
  <si>
    <t>&lt;codeEdi&gt;1901&lt;/codeEdi&gt;</t>
  </si>
  <si>
    <t>&lt;codeEdi&gt;1910&lt;/codeEdi&gt;</t>
  </si>
  <si>
    <t>&lt;codeEdi&gt;1919&lt;/codeEdi&gt;</t>
  </si>
  <si>
    <t>&lt;codeEdi&gt;1928&lt;/codeEdi&gt;</t>
  </si>
  <si>
    <t>&lt;code&gt;71&lt;/code&gt;</t>
  </si>
  <si>
    <t>&lt;tableau&gt;&lt;id&gt;38&lt;/id&gt;&lt;/tableau&gt;</t>
  </si>
  <si>
    <t>&lt;cellule&gt;&lt;codeEdi&gt;1929&lt;/codeEdi&gt;&lt;/cellule&gt;</t>
  </si>
  <si>
    <t>&lt;cellule&gt;&lt;codeEdi&gt;1930&lt;/codeEdi&gt;&lt;/cellule&gt;</t>
  </si>
  <si>
    <t>&lt;cellule&gt;&lt;codeEdi&gt;1931&lt;/codeEdi&gt;&lt;/cellule&gt;</t>
  </si>
  <si>
    <t>&lt;cellule&gt;&lt;codeEdi&gt;1932&lt;/codeEdi&gt;&lt;/cellule&gt;</t>
  </si>
  <si>
    <t>&lt;cellule&gt;&lt;codeEdi&gt;1933&lt;/codeEdi&gt;&lt;/cellule&gt;</t>
  </si>
  <si>
    <t>&lt;cellule&gt;&lt;codeEdi&gt;1934&lt;/codeEdi&gt;&lt;/cellule&gt;</t>
  </si>
  <si>
    <t>&lt;cellule&gt;&lt;codeEdi&gt;1935&lt;/codeEdi&gt;&lt;/cellule&gt;</t>
  </si>
  <si>
    <t>&lt;cellule&gt;&lt;codeEdi&gt;1936&lt;/codeEdi&gt;&lt;/cellule&gt;</t>
  </si>
  <si>
    <t>&lt;codeEdi&gt;2037&lt;/codeEdi&gt;</t>
  </si>
  <si>
    <t>&lt;codeEdi&gt;2038&lt;/codeEdi&gt;</t>
  </si>
  <si>
    <t>&lt;codeEdi&gt;2039&lt;/codeEdi&gt;</t>
  </si>
  <si>
    <t>&lt;codeEdi&gt;2040&lt;/codeEdi&gt;</t>
  </si>
  <si>
    <t>&lt;codeEdi&gt;2041&lt;/codeEdi&gt;</t>
  </si>
  <si>
    <t>&lt;codeEdi&gt;2042&lt;/codeEdi&gt;</t>
  </si>
  <si>
    <t>&lt;codeEdi&gt;2043&lt;/codeEdi&gt;</t>
  </si>
  <si>
    <t>&lt;code&gt;72&lt;/code&gt;</t>
  </si>
  <si>
    <t>&lt;tableau&gt;&lt;id&gt;39&lt;/id&gt;&lt;/tableau&gt;</t>
  </si>
  <si>
    <t>&lt;cellule&gt;&lt;codeEdi&gt;2044&lt;/codeEdi&gt;&lt;/cellule&gt;</t>
  </si>
  <si>
    <t>&lt;cellule&gt;&lt;codeEdi&gt;2045&lt;/codeEdi&gt;&lt;/cellule&gt;</t>
  </si>
  <si>
    <t>&lt;cellule&gt;&lt;codeEdi&gt;2046&lt;/codeEdi&gt;&lt;/cellule&gt;</t>
  </si>
  <si>
    <t>&lt;cellule&gt;&lt;codeEdi&gt;2047&lt;/codeEdi&gt;&lt;/cellule&gt;</t>
  </si>
  <si>
    <t>&lt;cellule&gt;&lt;codeEdi&gt;2048&lt;/codeEdi&gt;&lt;/cellule&gt;</t>
  </si>
  <si>
    <t>&lt;cellule&gt;&lt;codeEdi&gt;2049&lt;/codeEdi&gt;&lt;/cellule&gt;</t>
  </si>
  <si>
    <t>&lt;cellule&gt;&lt;codeEdi&gt;2050&lt;/codeEdi&gt;&lt;/cellule&gt;</t>
  </si>
  <si>
    <t>&lt;cellule&gt;&lt;codeEdi&gt;2051&lt;/codeEdi&gt;&lt;/cellule&gt;</t>
  </si>
  <si>
    <t>&lt;cellule&gt;&lt;codeEdi&gt;2052&lt;/codeEdi&gt;&lt;/cellule&gt;</t>
  </si>
  <si>
    <t>&lt;cellule&gt;&lt;codeEdi&gt;2053&lt;/codeEdi&gt;&lt;/cellule&gt;</t>
  </si>
  <si>
    <t>&lt;codeEdi&gt;2056&lt;/codeEdi&gt;</t>
  </si>
  <si>
    <t>&lt;codeEdi&gt;2057&lt;/codeEdi&gt;</t>
  </si>
  <si>
    <t>&lt;codeEdi&gt;2058&lt;/codeEdi&gt;</t>
  </si>
  <si>
    <t>&lt;codeEdi&gt;2059&lt;/codeEdi&gt;</t>
  </si>
  <si>
    <t>&lt;codeEdi&gt;2060&lt;/codeEdi&gt;</t>
  </si>
  <si>
    <t>&lt;codeEdi&gt;2061&lt;/codeEdi&gt;</t>
  </si>
  <si>
    <t>&lt;codeEdi&gt;2062&lt;/codeEdi&gt;</t>
  </si>
  <si>
    <t>&lt;codeEdi&gt;2063&lt;/codeEdi&gt;</t>
  </si>
  <si>
    <t>&lt;tableau&gt;&lt;id&gt;40&lt;/id&gt;&lt;/tableau&gt;</t>
  </si>
  <si>
    <t>&lt;codeEdi&gt;2065&lt;/codeEdi&gt;</t>
  </si>
  <si>
    <t>&lt;codeEdi&gt;2070&lt;/codeEdi&gt;</t>
  </si>
  <si>
    <t>&lt;codeEdi&gt;2075&lt;/codeEdi&gt;</t>
  </si>
  <si>
    <t>&lt;codeEdi&gt;2080&lt;/codeEdi&gt;</t>
  </si>
  <si>
    <t>&lt;codeEdi&gt;2085&lt;/codeEdi&gt;</t>
  </si>
  <si>
    <t>&lt;codeEdi&gt;2066&lt;/codeEdi&gt;</t>
  </si>
  <si>
    <t>&lt;codeEdi&gt;2071&lt;/codeEdi&gt;</t>
  </si>
  <si>
    <t>&lt;codeEdi&gt;2076&lt;/codeEdi&gt;</t>
  </si>
  <si>
    <t>&lt;codeEdi&gt;2081&lt;/codeEdi&gt;</t>
  </si>
  <si>
    <t>&lt;codeEdi&gt;2086&lt;/codeEdi&gt;</t>
  </si>
  <si>
    <t>&lt;codeEdi&gt;2067&lt;/codeEdi&gt;</t>
  </si>
  <si>
    <t>&lt;codeEdi&gt;2072&lt;/codeEdi&gt;</t>
  </si>
  <si>
    <t>&lt;codeEdi&gt;2077&lt;/codeEdi&gt;</t>
  </si>
  <si>
    <t>&lt;codeEdi&gt;2082&lt;/codeEdi&gt;</t>
  </si>
  <si>
    <t>&lt;codeEdi&gt;2087&lt;/codeEdi&gt;</t>
  </si>
  <si>
    <t>&lt;codeEdi&gt;2068&lt;/codeEdi&gt;</t>
  </si>
  <si>
    <t>&lt;codeEdi&gt;2073&lt;/codeEdi&gt;</t>
  </si>
  <si>
    <t>&lt;codeEdi&gt;2078&lt;/codeEdi&gt;</t>
  </si>
  <si>
    <t>&lt;codeEdi&gt;2083&lt;/codeEdi&gt;</t>
  </si>
  <si>
    <t>&lt;codeEdi&gt;2088&lt;/codeEdi&gt;</t>
  </si>
  <si>
    <t>&lt;tableau&gt;&lt;id&gt;5&lt;/id&gt;&lt;/tableau&gt;</t>
  </si>
  <si>
    <t>&lt;codeEdi&gt;471&lt;/codeEdi&gt;</t>
  </si>
  <si>
    <t>&lt;codeEdi&gt;473&lt;/codeEdi&gt;</t>
  </si>
  <si>
    <t>&lt;codeEdi&gt;475&lt;/codeEdi&gt;</t>
  </si>
  <si>
    <t>&lt;codeEdi&gt;477&lt;/codeEdi&gt;</t>
  </si>
  <si>
    <t>&lt;codeEdi&gt;479&lt;/codeEdi&gt;</t>
  </si>
  <si>
    <t>&lt;codeEdi&gt;481&lt;/codeEdi&gt;</t>
  </si>
  <si>
    <t>&lt;codeEdi&gt;483&lt;/codeEdi&gt;</t>
  </si>
  <si>
    <t>&lt;codeEdi&gt;485&lt;/codeEdi&gt;</t>
  </si>
  <si>
    <t>&lt;codeEdi&gt;487&lt;/codeEdi&gt;</t>
  </si>
  <si>
    <t>&lt;codeEdi&gt;489&lt;/codeEdi&gt;</t>
  </si>
  <si>
    <t>&lt;codeEdi&gt;491&lt;/codeEdi&gt;</t>
  </si>
  <si>
    <t>&lt;codeEdi&gt;493&lt;/codeEdi&gt;</t>
  </si>
  <si>
    <t>&lt;codeEdi&gt;495&lt;/codeEdi&gt;</t>
  </si>
  <si>
    <t>&lt;tableau&gt;&lt;id&gt;10&lt;/id&gt;&lt;/tableau&gt;</t>
  </si>
  <si>
    <t>&lt;codeEdi&gt;873&lt;/codeEdi&gt;</t>
  </si>
  <si>
    <t>&lt;codeEdi&gt;877&lt;/codeEdi&gt;</t>
  </si>
  <si>
    <t>&lt;codeEdi&gt;881&lt;/codeEdi&gt;</t>
  </si>
  <si>
    <t>&lt;codeEdi&gt;874&lt;/codeEdi&gt;</t>
  </si>
  <si>
    <t>&lt;codeEdi&gt;878&lt;/codeEdi&gt;</t>
  </si>
  <si>
    <t>&lt;codeEdi&gt;882&lt;/codeEdi&gt;</t>
  </si>
  <si>
    <t>&lt;codeEdi&gt;875&lt;/codeEdi&gt;</t>
  </si>
  <si>
    <t>&lt;codeEdi&gt;879&lt;/codeEdi&gt;</t>
  </si>
  <si>
    <t>&lt;codeEdi&gt;883&lt;/codeEdi&gt;</t>
  </si>
  <si>
    <t>&lt;codeEdi&gt;885&lt;/codeEdi&gt;</t>
  </si>
  <si>
    <t>&lt;codeEdi&gt;893&lt;/codeEdi&gt;</t>
  </si>
  <si>
    <t>&lt;codeEdi&gt;897&lt;/codeEdi&gt;</t>
  </si>
  <si>
    <t>&lt;codeEdi&gt;886&lt;/codeEdi&gt;</t>
  </si>
  <si>
    <t>&lt;codeEdi&gt;894&lt;/codeEdi&gt;</t>
  </si>
  <si>
    <t>&lt;codeEdi&gt;898&lt;/codeEdi&gt;</t>
  </si>
  <si>
    <t>&lt;codeEdi&gt;887&lt;/codeEdi&gt;</t>
  </si>
  <si>
    <t>&lt;codeEdi&gt;895&lt;/codeEdi&gt;</t>
  </si>
  <si>
    <t>&lt;codeEdi&gt;899&lt;/codeEdi&gt;</t>
  </si>
  <si>
    <t>&lt;codeEdi&gt;901&lt;/codeEdi&gt;</t>
  </si>
  <si>
    <t>&lt;codeEdi&gt;905&lt;/codeEdi&gt;</t>
  </si>
  <si>
    <t>&lt;codeEdi&gt;909&lt;/codeEdi&gt;</t>
  </si>
  <si>
    <t>&lt;codeEdi&gt;902&lt;/codeEdi&gt;</t>
  </si>
  <si>
    <t>&lt;codeEdi&gt;906&lt;/codeEdi&gt;</t>
  </si>
  <si>
    <t>&lt;codeEdi&gt;910&lt;/codeEdi&gt;</t>
  </si>
  <si>
    <t>&lt;codeEdi&gt;903&lt;/codeEdi&gt;</t>
  </si>
  <si>
    <t>&lt;codeEdi&gt;907&lt;/codeEdi&gt;</t>
  </si>
  <si>
    <t>&lt;codeEdi&gt;911&lt;/codeEdi&gt;</t>
  </si>
  <si>
    <t>&lt;codeEdi&gt;10040&lt;/codeEdi&gt;</t>
  </si>
  <si>
    <t>&lt;codeEdi&gt;10041&lt;/codeEdi&gt;</t>
  </si>
  <si>
    <t>&lt;codeEdi&gt;10042&lt;/codeEdi&gt;</t>
  </si>
  <si>
    <t>&lt;codeEdi&gt;10043&lt;/codeEdi&gt;</t>
  </si>
  <si>
    <t>&lt;codeEdi&gt;10028&lt;/codeEdi&gt;</t>
  </si>
  <si>
    <t>&lt;codeEdi&gt;10029&lt;/codeEdi&gt;</t>
  </si>
  <si>
    <t>&lt;codeEdi&gt;921&lt;/codeEdi&gt;</t>
  </si>
  <si>
    <t>&lt;codeEdi&gt;925&lt;/codeEdi&gt;</t>
  </si>
  <si>
    <t>&lt;codeEdi&gt;929&lt;/codeEdi&gt;</t>
  </si>
  <si>
    <t>&lt;codeEdi&gt;933&lt;/codeEdi&gt;</t>
  </si>
  <si>
    <t>&lt;codeEdi&gt;922&lt;/codeEdi&gt;</t>
  </si>
  <si>
    <t>&lt;codeEdi&gt;926&lt;/codeEdi&gt;</t>
  </si>
  <si>
    <t>&lt;codeEdi&gt;930&lt;/codeEdi&gt;</t>
  </si>
  <si>
    <t>&lt;codeEdi&gt;934&lt;/codeEdi&gt;</t>
  </si>
  <si>
    <t>&lt;codeEdi&gt;923&lt;/codeEdi&gt;</t>
  </si>
  <si>
    <t>&lt;codeEdi&gt;927&lt;/codeEdi&gt;</t>
  </si>
  <si>
    <t>&lt;codeEdi&gt;931&lt;/codeEdi&gt;</t>
  </si>
  <si>
    <t>&lt;codeEdi&gt;935&lt;/codeEdi&gt;</t>
  </si>
  <si>
    <t>&lt;codeEdi&gt;937&lt;/codeEdi&gt;</t>
  </si>
  <si>
    <t>&lt;codeEdi&gt;938&lt;/codeEdi&gt;</t>
  </si>
  <si>
    <t>&lt;codeEdi&gt;939&lt;/codeEdi&gt;</t>
  </si>
  <si>
    <t>&lt;codeEdi&gt;10022&lt;/codeEdi&gt;</t>
  </si>
  <si>
    <t>&lt;codeEdi&gt;10023&lt;/codeEdi&gt;</t>
  </si>
  <si>
    <t>&lt;codeEdi&gt;10024&lt;/codeEdi&gt;</t>
  </si>
  <si>
    <t>&lt;codeEdi&gt;10025&lt;/codeEdi&gt;</t>
  </si>
  <si>
    <t>&lt;codeEdi&gt;10026&lt;/codeEdi&gt;</t>
  </si>
  <si>
    <t>&lt;codeEdi&gt;10027&lt;/codeEdi&gt;</t>
  </si>
  <si>
    <t>&lt;codeEdi&gt;949&lt;/codeEdi&gt;</t>
  </si>
  <si>
    <t>&lt;codeEdi&gt;950&lt;/codeEdi&gt;</t>
  </si>
  <si>
    <t>&lt;codeEdi&gt;951&lt;/codeEdi&gt;</t>
  </si>
  <si>
    <t>&lt;tableau&gt;&lt;id&gt;12&lt;/id&gt;&lt;/tableau&gt;</t>
  </si>
  <si>
    <t>&lt;cellule&gt;&lt;codeEdi&gt;10061&lt;/codeEdi&gt;&lt;/cellule&gt;</t>
  </si>
  <si>
    <t>&lt;cellule&gt;&lt;codeEdi&gt;1078&lt;/codeEdi&gt;&lt;/cellule&gt;</t>
  </si>
  <si>
    <t>&lt;cellule&gt;&lt;codeEdi&gt;1079&lt;/codeEdi&gt;&lt;/cellule&gt;</t>
  </si>
  <si>
    <t>&lt;cellule&gt;&lt;codeEdi&gt;1080&lt;/codeEdi&gt;&lt;/cellule&gt;</t>
  </si>
  <si>
    <t>&lt;cellule&gt;&lt;codeEdi&gt;1081&lt;/codeEdi&gt;&lt;/cellule&gt;</t>
  </si>
  <si>
    <t>&lt;cellule&gt;&lt;codeEdi&gt;1082&lt;/codeEdi&gt;&lt;/cellule&gt;</t>
  </si>
  <si>
    <t>&lt;cellule&gt;&lt;codeEdi&gt;1083&lt;/codeEdi&gt;&lt;/cellule&gt;</t>
  </si>
  <si>
    <t>&lt;cellule&gt;&lt;codeEdi&gt;1084&lt;/codeEdi&gt;&lt;/cellule&gt;</t>
  </si>
  <si>
    <t>&lt;cellule&gt;&lt;codeEdi&gt;1085&lt;/codeEdi&gt;&lt;/cellule&gt;</t>
  </si>
  <si>
    <t>&lt;cellule&gt;&lt;codeEdi&gt;1086&lt;/codeEdi&gt;&lt;/cellule&gt;</t>
  </si>
  <si>
    <t>&lt;codeEdi&gt;1088&lt;/codeEdi&gt;</t>
  </si>
  <si>
    <t>&lt;codeEdi&gt;1089&lt;/codeEdi&gt;</t>
  </si>
  <si>
    <t>&lt;codeEdi&gt;1090&lt;/codeEdi&gt;</t>
  </si>
  <si>
    <t>&lt;codeEdi&gt;1091&lt;/codeEdi&gt;</t>
  </si>
  <si>
    <t>&lt;codeEdi&gt;1093&lt;/codeEdi&gt;</t>
  </si>
  <si>
    <t>&lt;codeEdi&gt;1094&lt;/codeEdi&gt;</t>
  </si>
  <si>
    <t>&lt;code&gt;22&lt;/code&gt;</t>
  </si>
  <si>
    <t>&lt;code&gt;50&lt;/code&gt;</t>
  </si>
  <si>
    <t>&lt;code&gt;51&lt;/code&gt;</t>
  </si>
  <si>
    <t>&lt;code&gt;52&lt;/code&gt;</t>
  </si>
  <si>
    <t>&lt;tableau&gt;&lt;id&gt;26&lt;/id&gt;&lt;/tableau&gt;</t>
  </si>
  <si>
    <t>&lt;codeEdi&gt;1110&lt;/codeEdi&gt;</t>
  </si>
  <si>
    <t>&lt;codeEdi&gt;1119&lt;/codeEdi&gt;</t>
  </si>
  <si>
    <t>&lt;codeEdi&gt;1128&lt;/codeEdi&gt;</t>
  </si>
  <si>
    <t>&lt;codeEdi&gt;1137&lt;/codeEdi&gt;</t>
  </si>
  <si>
    <t>&lt;codeEdi&gt;1146&lt;/codeEdi&gt;</t>
  </si>
  <si>
    <t>&lt;codeEdi&gt;1155&lt;/codeEdi&gt;</t>
  </si>
  <si>
    <t>&lt;codeEdi&gt;1164&lt;/codeEdi&gt;</t>
  </si>
  <si>
    <t>&lt;codeEdi&gt;1173&lt;/codeEdi&gt;</t>
  </si>
  <si>
    <t>&lt;codeEdi&gt;1182&lt;/codeEdi&gt;</t>
  </si>
  <si>
    <t>&lt;codeEdi&gt;1191&lt;/codeEdi&gt;</t>
  </si>
  <si>
    <t>&lt;codeEdi&gt;1200&lt;/codeEdi&gt;</t>
  </si>
  <si>
    <t>&lt;codeEdi&gt;1111&lt;/codeEdi&gt;</t>
  </si>
  <si>
    <t>&lt;codeEdi&gt;1120&lt;/codeEdi&gt;</t>
  </si>
  <si>
    <t>&lt;codeEdi&gt;1129&lt;/codeEdi&gt;</t>
  </si>
  <si>
    <t>&lt;codeEdi&gt;1138&lt;/codeEdi&gt;</t>
  </si>
  <si>
    <t>&lt;codeEdi&gt;1147&lt;/codeEdi&gt;</t>
  </si>
  <si>
    <t>&lt;codeEdi&gt;1156&lt;/codeEdi&gt;</t>
  </si>
  <si>
    <t>&lt;codeEdi&gt;1165&lt;/codeEdi&gt;</t>
  </si>
  <si>
    <t>&lt;codeEdi&gt;1174&lt;/codeEdi&gt;</t>
  </si>
  <si>
    <t>&lt;codeEdi&gt;1183&lt;/codeEdi&gt;</t>
  </si>
  <si>
    <t>&lt;codeEdi&gt;1192&lt;/codeEdi&gt;</t>
  </si>
  <si>
    <t>&lt;codeEdi&gt;1201&lt;/codeEdi&gt;</t>
  </si>
  <si>
    <t>&lt;codeEdi&gt;1112&lt;/codeEdi&gt;</t>
  </si>
  <si>
    <t>&lt;codeEdi&gt;1121&lt;/codeEdi&gt;</t>
  </si>
  <si>
    <t>&lt;codeEdi&gt;1130&lt;/codeEdi&gt;</t>
  </si>
  <si>
    <t>&lt;codeEdi&gt;1139&lt;/codeEdi&gt;</t>
  </si>
  <si>
    <t>&lt;codeEdi&gt;1148&lt;/codeEdi&gt;</t>
  </si>
  <si>
    <t>&lt;codeEdi&gt;1157&lt;/codeEdi&gt;</t>
  </si>
  <si>
    <t>&lt;codeEdi&gt;1166&lt;/codeEdi&gt;</t>
  </si>
  <si>
    <t>&lt;codeEdi&gt;1184&lt;/codeEdi&gt;</t>
  </si>
  <si>
    <t>&lt;codeEdi&gt;1193&lt;/codeEdi&gt;</t>
  </si>
  <si>
    <t>&lt;codeEdi&gt;1202&lt;/codeEdi&gt;</t>
  </si>
  <si>
    <t>&lt;codeEdi&gt;1175&lt;/codeEdi&gt;</t>
  </si>
  <si>
    <t>&lt;codeEdi&gt;1113&lt;/codeEdi&gt;</t>
  </si>
  <si>
    <t>&lt;codeEdi&gt;1122&lt;/codeEdi&gt;</t>
  </si>
  <si>
    <t>&lt;codeEdi&gt;1131&lt;/codeEdi&gt;</t>
  </si>
  <si>
    <t>&lt;codeEdi&gt;1140&lt;/codeEdi&gt;</t>
  </si>
  <si>
    <t>&lt;codeEdi&gt;1149&lt;/codeEdi&gt;</t>
  </si>
  <si>
    <t>&lt;codeEdi&gt;1158&lt;/codeEdi&gt;</t>
  </si>
  <si>
    <t>&lt;codeEdi&gt;1167&lt;/codeEdi&gt;</t>
  </si>
  <si>
    <t>&lt;codeEdi&gt;1185&lt;/codeEdi&gt;</t>
  </si>
  <si>
    <t>&lt;codeEdi&gt;1194&lt;/codeEdi&gt;</t>
  </si>
  <si>
    <t>&lt;codeEdi&gt;1203&lt;/codeEdi&gt;</t>
  </si>
  <si>
    <t>&lt;codeEdi&gt;1176&lt;/codeEdi&gt;</t>
  </si>
  <si>
    <t>&lt;codeEdi&gt;1114&lt;/codeEdi&gt;</t>
  </si>
  <si>
    <t>&lt;codeEdi&gt;1123&lt;/codeEdi&gt;</t>
  </si>
  <si>
    <t>&lt;codeEdi&gt;1132&lt;/codeEdi&gt;</t>
  </si>
  <si>
    <t>&lt;codeEdi&gt;1141&lt;/codeEdi&gt;</t>
  </si>
  <si>
    <t>&lt;codeEdi&gt;1150&lt;/codeEdi&gt;</t>
  </si>
  <si>
    <t>&lt;codeEdi&gt;1159&lt;/codeEdi&gt;</t>
  </si>
  <si>
    <t>&lt;codeEdi&gt;1168&lt;/codeEdi&gt;</t>
  </si>
  <si>
    <t>&lt;codeEdi&gt;1177&lt;/codeEdi&gt;</t>
  </si>
  <si>
    <t>&lt;codeEdi&gt;1186&lt;/codeEdi&gt;</t>
  </si>
  <si>
    <t>&lt;codeEdi&gt;1195&lt;/codeEdi&gt;</t>
  </si>
  <si>
    <t>&lt;codeEdi&gt;1204&lt;/codeEdi&gt;</t>
  </si>
  <si>
    <t>&lt;codeEdi&gt;1115&lt;/codeEdi&gt;</t>
  </si>
  <si>
    <t>&lt;codeEdi&gt;1124&lt;/codeEdi&gt;</t>
  </si>
  <si>
    <t>&lt;codeEdi&gt;1133&lt;/codeEdi&gt;</t>
  </si>
  <si>
    <t>&lt;codeEdi&gt;1142&lt;/codeEdi&gt;</t>
  </si>
  <si>
    <t>&lt;codeEdi&gt;1151&lt;/codeEdi&gt;</t>
  </si>
  <si>
    <t>&lt;codeEdi&gt;1160&lt;/codeEdi&gt;</t>
  </si>
  <si>
    <t>&lt;codeEdi&gt;1169&lt;/codeEdi&gt;</t>
  </si>
  <si>
    <t>&lt;codeEdi&gt;1178&lt;/codeEdi&gt;</t>
  </si>
  <si>
    <t>&lt;codeEdi&gt;1187&lt;/codeEdi&gt;</t>
  </si>
  <si>
    <t>&lt;codeEdi&gt;1196&lt;/codeEdi&gt;</t>
  </si>
  <si>
    <t>&lt;codeEdi&gt;1205&lt;/codeEdi&gt;</t>
  </si>
  <si>
    <t>&lt;codeEdi&gt;1116&lt;/codeEdi&gt;</t>
  </si>
  <si>
    <t>&lt;codeEdi&gt;1125&lt;/codeEdi&gt;</t>
  </si>
  <si>
    <t>&lt;codeEdi&gt;1134&lt;/codeEdi&gt;</t>
  </si>
  <si>
    <t>&lt;codeEdi&gt;1143&lt;/codeEdi&gt;</t>
  </si>
  <si>
    <t>&lt;codeEdi&gt;1152&lt;/codeEdi&gt;</t>
  </si>
  <si>
    <t>&lt;codeEdi&gt;1161&lt;/codeEdi&gt;</t>
  </si>
  <si>
    <t>&lt;codeEdi&gt;1170&lt;/codeEdi&gt;</t>
  </si>
  <si>
    <t>&lt;codeEdi&gt;1179&lt;/codeEdi&gt;</t>
  </si>
  <si>
    <t>&lt;codeEdi&gt;1188&lt;/codeEdi&gt;</t>
  </si>
  <si>
    <t>&lt;codeEdi&gt;1197&lt;/codeEdi&gt;</t>
  </si>
  <si>
    <t>&lt;codeEdi&gt;1206&lt;/codeEdi&gt;</t>
  </si>
  <si>
    <t>&lt;codeEdi&gt;1117&lt;/codeEdi&gt;</t>
  </si>
  <si>
    <t>&lt;codeEdi&gt;1126&lt;/codeEdi&gt;</t>
  </si>
  <si>
    <t>&lt;codeEdi&gt;1135&lt;/codeEdi&gt;</t>
  </si>
  <si>
    <t>&lt;codeEdi&gt;1144&lt;/codeEdi&gt;</t>
  </si>
  <si>
    <t>&lt;codeEdi&gt;1153&lt;/codeEdi&gt;</t>
  </si>
  <si>
    <t>&lt;codeEdi&gt;1162&lt;/codeEdi&gt;</t>
  </si>
  <si>
    <t>&lt;codeEdi&gt;1171&lt;/codeEdi&gt;</t>
  </si>
  <si>
    <t>&lt;codeEdi&gt;1180&lt;/codeEdi&gt;</t>
  </si>
  <si>
    <t>&lt;codeEdi&gt;1189&lt;/codeEdi&gt;</t>
  </si>
  <si>
    <t>&lt;codeEdi&gt;1198&lt;/codeEdi&gt;</t>
  </si>
  <si>
    <t>&lt;codeEdi&gt;1207&lt;/codeEdi&gt;</t>
  </si>
  <si>
    <t>&lt;code&gt;54&lt;/code&gt;</t>
  </si>
  <si>
    <t>&lt;tableau&gt;&lt;id&gt;27&lt;/id&gt;&lt;/tableau&gt;</t>
  </si>
  <si>
    <t>&lt;cellule&gt;&lt;codeEdi&gt;1208&lt;/codeEdi&gt;&lt;/cellule&gt;</t>
  </si>
  <si>
    <t>&lt;cellule&gt;&lt;codeEdi&gt;1209&lt;/codeEdi&gt;&lt;/cellule&gt;</t>
  </si>
  <si>
    <t>&lt;cellule&gt;&lt;codeEdi&gt;1210&lt;/codeEdi&gt;&lt;/cellule&gt;</t>
  </si>
  <si>
    <t>&lt;cellule&gt;&lt;codeEdi&gt;1211&lt;/codeEdi&gt;&lt;/cellule&gt;</t>
  </si>
  <si>
    <t>&lt;cellule&gt;&lt;codeEdi&gt;1212&lt;/codeEdi&gt;&lt;/cellule&gt;</t>
  </si>
  <si>
    <t>&lt;cellule&gt;&lt;codeEdi&gt;1213&lt;/codeEdi&gt;&lt;/cellule&gt;</t>
  </si>
  <si>
    <t>&lt;cellule&gt;&lt;codeEdi&gt;1214&lt;/codeEdi&gt;&lt;/cellule&gt;</t>
  </si>
  <si>
    <t>&lt;cellule&gt;&lt;codeEdi&gt;1215&lt;/codeEdi&gt;&lt;/cellule&gt;</t>
  </si>
  <si>
    <t>&lt;cellule&gt;&lt;codeEdi&gt;1216&lt;/codeEdi&gt;&lt;/cellule&gt;</t>
  </si>
  <si>
    <t>&lt;cellule&gt;&lt;codeEdi&gt;1217&lt;/codeEdi&gt;&lt;/cellule&gt;</t>
  </si>
  <si>
    <t>&lt;cellule&gt;&lt;codeEdi&gt;1218&lt;/codeEdi&gt;&lt;/cellule&gt;</t>
  </si>
  <si>
    <t>&lt;cellule&gt;&lt;codeEdi&gt;1219&lt;/codeEdi&gt;&lt;/cellule&gt;</t>
  </si>
  <si>
    <t>&lt;cellule&gt;&lt;codeEdi&gt;1220&lt;/codeEdi&gt;&lt;/cellule&gt;</t>
  </si>
  <si>
    <t>&lt;cellule&gt;&lt;codeEdi&gt;1221&lt;/codeEdi&gt;&lt;/cellule&gt;</t>
  </si>
  <si>
    <t>&lt;cellule&gt;&lt;codeEdi&gt;1222&lt;/codeEdi&gt;&lt;/cellule&gt;</t>
  </si>
  <si>
    <t>&lt;cellule&gt;&lt;codeEdi&gt;1223&lt;/codeEdi&gt;&lt;/cellule&gt;</t>
  </si>
  <si>
    <t>&lt;cellule&gt;&lt;codeEdi&gt;1224&lt;/codeEdi&gt;&lt;/cellule&gt;</t>
  </si>
  <si>
    <t>&lt;cellule&gt;&lt;codeEdi&gt;1225&lt;/codeEdi&gt;&lt;/cellule&gt;</t>
  </si>
  <si>
    <t>&lt;cellule&gt;&lt;codeEdi&gt;1226&lt;/codeEdi&gt;&lt;/cellule&gt;</t>
  </si>
  <si>
    <t>&lt;cellule&gt;&lt;codeEdi&gt;1227&lt;/codeEdi&gt;&lt;/cellule&gt;</t>
  </si>
  <si>
    <t>&lt;cellule&gt;&lt;codeEdi&gt;1228&lt;/codeEdi&gt;&lt;/cellule&gt;</t>
  </si>
  <si>
    <t>&lt;cellule&gt;&lt;codeEdi&gt;1229&lt;/codeEdi&gt;&lt;/cellule&gt;</t>
  </si>
  <si>
    <t>&lt;cellule&gt;&lt;codeEdi&gt;1250&lt;/codeEdi&gt;&lt;/cellule&gt;</t>
  </si>
  <si>
    <t>&lt;cellule&gt;&lt;codeEdi&gt;1251&lt;/codeEdi&gt;&lt;/cellule&gt;</t>
  </si>
  <si>
    <t>&lt;cellule&gt;&lt;codeEdi&gt;1252&lt;/codeEdi&gt;&lt;/cellule&gt;</t>
  </si>
  <si>
    <t>&lt;cellule&gt;&lt;codeEdi&gt;1253&lt;/codeEdi&gt;&lt;/cellule&gt;</t>
  </si>
  <si>
    <t>&lt;codeEdi&gt;1257&lt;/codeEdi&gt;</t>
  </si>
  <si>
    <t>&lt;codeEdi&gt;1261&lt;/codeEdi&gt;</t>
  </si>
  <si>
    <t>&lt;codeEdi&gt;1262&lt;/codeEdi&gt;</t>
  </si>
  <si>
    <t>&lt;codeEdi&gt;1263&lt;/codeEdi&gt;</t>
  </si>
  <si>
    <t>&lt;codeEdi&gt;1264&lt;/codeEdi&gt;</t>
  </si>
  <si>
    <t>&lt;codeEdi&gt;1265&lt;/codeEdi&gt;</t>
  </si>
  <si>
    <t>&lt;code&gt;55&lt;/code&gt;</t>
  </si>
  <si>
    <t>&lt;tableau&gt;&lt;id&gt;28&lt;/id&gt;&lt;/tableau&gt;</t>
  </si>
  <si>
    <t>&lt;cellule&gt;&lt;codeEdi&gt;1267&lt;/codeEdi&gt;&lt;/cellule&gt;</t>
  </si>
  <si>
    <t>&lt;cellule&gt;&lt;codeEdi&gt;1268&lt;/codeEdi&gt;&lt;/cellule&gt;</t>
  </si>
  <si>
    <t>&lt;cellule&gt;&lt;codeEdi&gt;1269&lt;/codeEdi&gt;&lt;/cellule&gt;</t>
  </si>
  <si>
    <t>&lt;cellule&gt;&lt;codeEdi&gt;1270&lt;/codeEdi&gt;&lt;/cellule&gt;</t>
  </si>
  <si>
    <t>&lt;cellule&gt;&lt;codeEdi&gt;1271&lt;/codeEdi&gt;&lt;/cellule&gt;</t>
  </si>
  <si>
    <t>&lt;cellule&gt;&lt;codeEdi&gt;1272&lt;/codeEdi&gt;&lt;/cellule&gt;</t>
  </si>
  <si>
    <t>&lt;cellule&gt;&lt;codeEdi&gt;1273&lt;/codeEdi&gt;&lt;/cellule&gt;</t>
  </si>
  <si>
    <t>&lt;cellule&gt;&lt;codeEdi&gt;1274&lt;/codeEdi&gt;&lt;/cellule&gt;</t>
  </si>
  <si>
    <t>&lt;codeEdi&gt;1279&lt;/codeEdi&gt;</t>
  </si>
  <si>
    <t>&lt;codeEdi&gt;1280&lt;/codeEdi&gt;</t>
  </si>
  <si>
    <t>&lt;tableau&gt;&lt;id&gt;36&lt;/id&gt;&lt;/tableau&gt;</t>
  </si>
  <si>
    <t>&lt;codeEdi&gt;1401&lt;/codeEdi&gt;</t>
  </si>
  <si>
    <t>&lt;codeEdi&gt;1409&lt;/codeEdi&gt;</t>
  </si>
  <si>
    <t>&lt;codeEdi&gt;1417&lt;/codeEdi&gt;</t>
  </si>
  <si>
    <t>&lt;codeEdi&gt;1425&lt;/codeEdi&gt;</t>
  </si>
  <si>
    <t>&lt;codeEdi&gt;1433&lt;/codeEdi&gt;</t>
  </si>
  <si>
    <t>&lt;codeEdi&gt;1449&lt;/codeEdi&gt;</t>
  </si>
  <si>
    <t>&lt;codeEdi&gt;1457&lt;/codeEdi&gt;</t>
  </si>
  <si>
    <t>&lt;codeEdi&gt;1465&lt;/codeEdi&gt;</t>
  </si>
  <si>
    <t>&lt;codeEdi&gt;1473&lt;/codeEdi&gt;</t>
  </si>
  <si>
    <t>&lt;codeEdi&gt;1481&lt;/codeEdi&gt;</t>
  </si>
  <si>
    <t>&lt;codeEdi&gt;1555&lt;/codeEdi&gt;</t>
  </si>
  <si>
    <t>&lt;codeEdi&gt;1596&lt;/codeEdi&gt;</t>
  </si>
  <si>
    <t>&lt;codeEdi&gt;1604&lt;/codeEdi&gt;</t>
  </si>
  <si>
    <t>&lt;codeEdi&gt;1635&lt;/codeEdi&gt;</t>
  </si>
  <si>
    <t>&lt;codeEdi&gt;1643&lt;/codeEdi&gt;</t>
  </si>
  <si>
    <t>&lt;codeEdi&gt;1656&lt;/codeEdi&gt;</t>
  </si>
  <si>
    <t>&lt;codeEdi&gt;1664&lt;/codeEdi&gt;</t>
  </si>
  <si>
    <t>&lt;codeEdi&gt;1612&lt;/codeEdi&gt;</t>
  </si>
  <si>
    <t>&lt;codeEdi&gt;1685&lt;/codeEdi&gt;</t>
  </si>
  <si>
    <t>&lt;codeEdi&gt;1672&lt;/codeEdi&gt;</t>
  </si>
  <si>
    <t>&lt;codeEdi&gt;1736&lt;/codeEdi&gt;</t>
  </si>
  <si>
    <t>&lt;codeEdi&gt;1757&lt;/codeEdi&gt;</t>
  </si>
  <si>
    <t>&lt;codeEdi&gt;1769&lt;/codeEdi&gt;</t>
  </si>
  <si>
    <t>&lt;codeEdi&gt;1800&lt;/codeEdi&gt;</t>
  </si>
  <si>
    <t>&lt;codeEdi&gt;1819&lt;/codeEdi&gt;</t>
  </si>
  <si>
    <t>&lt;codeEdi&gt;1836&lt;/codeEdi&gt;</t>
  </si>
  <si>
    <t>&lt;codeEdi&gt;1861&lt;/codeEdi&gt;</t>
  </si>
  <si>
    <t>&lt;codeEdi&gt;1869&lt;/codeEdi&gt;</t>
  </si>
  <si>
    <t>&lt;codeEdi&gt;1886&lt;/codeEdi&gt;</t>
  </si>
  <si>
    <t>&lt;codeEdi&gt;1853&lt;/codeEdi&gt;</t>
  </si>
  <si>
    <t>&lt;codeEdi&gt;1402&lt;/codeEdi&gt;</t>
  </si>
  <si>
    <t>&lt;codeEdi&gt;1410&lt;/codeEdi&gt;</t>
  </si>
  <si>
    <t>&lt;codeEdi&gt;1418&lt;/codeEdi&gt;</t>
  </si>
  <si>
    <t>&lt;codeEdi&gt;1426&lt;/codeEdi&gt;</t>
  </si>
  <si>
    <t>&lt;codeEdi&gt;1434&lt;/codeEdi&gt;</t>
  </si>
  <si>
    <t>&lt;codeEdi&gt;1450&lt;/codeEdi&gt;</t>
  </si>
  <si>
    <t>&lt;codeEdi&gt;1458&lt;/codeEdi&gt;</t>
  </si>
  <si>
    <t>&lt;codeEdi&gt;1466&lt;/codeEdi&gt;</t>
  </si>
  <si>
    <t>&lt;codeEdi&gt;1474&lt;/codeEdi&gt;</t>
  </si>
  <si>
    <t>&lt;codeEdi&gt;1482&lt;/codeEdi&gt;</t>
  </si>
  <si>
    <t>&lt;codeEdi&gt;1556&lt;/codeEdi&gt;</t>
  </si>
  <si>
    <t>&lt;codeEdi&gt;1597&lt;/codeEdi&gt;</t>
  </si>
  <si>
    <t>&lt;codeEdi&gt;1605&lt;/codeEdi&gt;</t>
  </si>
  <si>
    <t>&lt;codeEdi&gt;1636&lt;/codeEdi&gt;</t>
  </si>
  <si>
    <t>&lt;codeEdi&gt;1644&lt;/codeEdi&gt;</t>
  </si>
  <si>
    <t>&lt;codeEdi&gt;1657&lt;/codeEdi&gt;</t>
  </si>
  <si>
    <t>&lt;codeEdi&gt;1665&lt;/codeEdi&gt;</t>
  </si>
  <si>
    <t>&lt;codeEdi&gt;1613&lt;/codeEdi&gt;</t>
  </si>
  <si>
    <t>&lt;codeEdi&gt;1686&lt;/codeEdi&gt;</t>
  </si>
  <si>
    <t>&lt;codeEdi&gt;1673&lt;/codeEdi&gt;</t>
  </si>
  <si>
    <t>&lt;codeEdi&gt;1737&lt;/codeEdi&gt;</t>
  </si>
  <si>
    <t>&lt;codeEdi&gt;1758&lt;/codeEdi&gt;</t>
  </si>
  <si>
    <t>&lt;codeEdi&gt;1770&lt;/codeEdi&gt;</t>
  </si>
  <si>
    <t>&lt;codeEdi&gt;1801&lt;/codeEdi&gt;</t>
  </si>
  <si>
    <t>&lt;codeEdi&gt;1820&lt;/codeEdi&gt;</t>
  </si>
  <si>
    <t>&lt;codeEdi&gt;1837&lt;/codeEdi&gt;</t>
  </si>
  <si>
    <t>&lt;codeEdi&gt;1854&lt;/codeEdi&gt;</t>
  </si>
  <si>
    <t>&lt;codeEdi&gt;1862&lt;/codeEdi&gt;</t>
  </si>
  <si>
    <t>&lt;codeEdi&gt;1870&lt;/codeEdi&gt;</t>
  </si>
  <si>
    <t>&lt;codeEdi&gt;1887&lt;/codeEdi&gt;</t>
  </si>
  <si>
    <t>&lt;codeEdi&gt;1403&lt;/codeEdi&gt;</t>
  </si>
  <si>
    <t>&lt;codeEdi&gt;1411&lt;/codeEdi&gt;</t>
  </si>
  <si>
    <t>&lt;codeEdi&gt;1419&lt;/codeEdi&gt;</t>
  </si>
  <si>
    <t>&lt;codeEdi&gt;1427&lt;/codeEdi&gt;</t>
  </si>
  <si>
    <t>&lt;codeEdi&gt;1435&lt;/codeEdi&gt;</t>
  </si>
  <si>
    <t>&lt;codeEdi&gt;1451&lt;/codeEdi&gt;</t>
  </si>
  <si>
    <t>&lt;codeEdi&gt;1459&lt;/codeEdi&gt;</t>
  </si>
  <si>
    <t>&lt;codeEdi&gt;1467&lt;/codeEdi&gt;</t>
  </si>
  <si>
    <t>&lt;codeEdi&gt;1475&lt;/codeEdi&gt;</t>
  </si>
  <si>
    <t>&lt;codeEdi&gt;1483&lt;/codeEdi&gt;</t>
  </si>
  <si>
    <t>&lt;codeEdi&gt;1557&lt;/codeEdi&gt;</t>
  </si>
  <si>
    <t>&lt;codeEdi&gt;1598&lt;/codeEdi&gt;</t>
  </si>
  <si>
    <t>&lt;codeEdi&gt;1606&lt;/codeEdi&gt;</t>
  </si>
  <si>
    <t>&lt;codeEdi&gt;1614&lt;/codeEdi&gt;</t>
  </si>
  <si>
    <t>&lt;codeEdi&gt;1637&lt;/codeEdi&gt;</t>
  </si>
  <si>
    <t>&lt;codeEdi&gt;1645&lt;/codeEdi&gt;</t>
  </si>
  <si>
    <t>&lt;codeEdi&gt;1658&lt;/codeEdi&gt;</t>
  </si>
  <si>
    <t>&lt;codeEdi&gt;1666&lt;/codeEdi&gt;</t>
  </si>
  <si>
    <t>&lt;codeEdi&gt;1674&lt;/codeEdi&gt;</t>
  </si>
  <si>
    <t>&lt;codeEdi&gt;1687&lt;/codeEdi&gt;</t>
  </si>
  <si>
    <t>&lt;codeEdi&gt;1738&lt;/codeEdi&gt;</t>
  </si>
  <si>
    <t>&lt;codeEdi&gt;1759&lt;/codeEdi&gt;</t>
  </si>
  <si>
    <t>&lt;codeEdi&gt;1771&lt;/codeEdi&gt;</t>
  </si>
  <si>
    <t>&lt;codeEdi&gt;1802&lt;/codeEdi&gt;</t>
  </si>
  <si>
    <t>&lt;codeEdi&gt;1821&lt;/codeEdi&gt;</t>
  </si>
  <si>
    <t>&lt;codeEdi&gt;1838&lt;/codeEdi&gt;</t>
  </si>
  <si>
    <t>&lt;codeEdi&gt;1855&lt;/codeEdi&gt;</t>
  </si>
  <si>
    <t>&lt;codeEdi&gt;1863&lt;/codeEdi&gt;</t>
  </si>
  <si>
    <t>&lt;codeEdi&gt;1871&lt;/codeEdi&gt;</t>
  </si>
  <si>
    <t>&lt;codeEdi&gt;1888&lt;/codeEdi&gt;</t>
  </si>
  <si>
    <t>&lt;codeEdi&gt;1404&lt;/codeEdi&gt;</t>
  </si>
  <si>
    <t>&lt;codeEdi&gt;1412&lt;/codeEdi&gt;</t>
  </si>
  <si>
    <t>&lt;codeEdi&gt;1420&lt;/codeEdi&gt;</t>
  </si>
  <si>
    <t>&lt;codeEdi&gt;1428&lt;/codeEdi&gt;</t>
  </si>
  <si>
    <t>&lt;codeEdi&gt;1436&lt;/codeEdi&gt;</t>
  </si>
  <si>
    <t>&lt;codeEdi&gt;1452&lt;/codeEdi&gt;</t>
  </si>
  <si>
    <t>&lt;codeEdi&gt;1460&lt;/codeEdi&gt;</t>
  </si>
  <si>
    <t>&lt;codeEdi&gt;1468&lt;/codeEdi&gt;</t>
  </si>
  <si>
    <t>&lt;codeEdi&gt;1476&lt;/codeEdi&gt;</t>
  </si>
  <si>
    <t>&lt;codeEdi&gt;1484&lt;/codeEdi&gt;</t>
  </si>
  <si>
    <t>&lt;codeEdi&gt;1558&lt;/codeEdi&gt;</t>
  </si>
  <si>
    <t>&lt;codeEdi&gt;1599&lt;/codeEdi&gt;</t>
  </si>
  <si>
    <t>&lt;codeEdi&gt;1607&lt;/codeEdi&gt;</t>
  </si>
  <si>
    <t>&lt;codeEdi&gt;1615&lt;/codeEdi&gt;</t>
  </si>
  <si>
    <t>&lt;codeEdi&gt;1638&lt;/codeEdi&gt;</t>
  </si>
  <si>
    <t>&lt;codeEdi&gt;1646&lt;/codeEdi&gt;</t>
  </si>
  <si>
    <t>&lt;codeEdi&gt;1659&lt;/codeEdi&gt;</t>
  </si>
  <si>
    <t>&lt;codeEdi&gt;1667&lt;/codeEdi&gt;</t>
  </si>
  <si>
    <t>&lt;codeEdi&gt;1675&lt;/codeEdi&gt;</t>
  </si>
  <si>
    <t>&lt;codeEdi&gt;1688&lt;/codeEdi&gt;</t>
  </si>
  <si>
    <t>&lt;codeEdi&gt;1739&lt;/codeEdi&gt;</t>
  </si>
  <si>
    <t>&lt;codeEdi&gt;1760&lt;/codeEdi&gt;</t>
  </si>
  <si>
    <t>&lt;codeEdi&gt;1772&lt;/codeEdi&gt;</t>
  </si>
  <si>
    <t>&lt;codeEdi&gt;1803&lt;/codeEdi&gt;</t>
  </si>
  <si>
    <t>&lt;codeEdi&gt;1822&lt;/codeEdi&gt;</t>
  </si>
  <si>
    <t>&lt;codeEdi&gt;1839&lt;/codeEdi&gt;</t>
  </si>
  <si>
    <t>&lt;codeEdi&gt;1856&lt;/codeEdi&gt;</t>
  </si>
  <si>
    <t>&lt;codeEdi&gt;1864&lt;/codeEdi&gt;</t>
  </si>
  <si>
    <t>&lt;codeEdi&gt;1872&lt;/codeEdi&gt;</t>
  </si>
  <si>
    <t>&lt;codeEdi&gt;1889&lt;/codeEdi&gt;</t>
  </si>
  <si>
    <t>&lt;codeEdi&gt;1405&lt;/codeEdi&gt;</t>
  </si>
  <si>
    <t>&lt;codeEdi&gt;1413&lt;/codeEdi&gt;</t>
  </si>
  <si>
    <t>&lt;codeEdi&gt;1421&lt;/codeEdi&gt;</t>
  </si>
  <si>
    <t>&lt;codeEdi&gt;1429&lt;/codeEdi&gt;</t>
  </si>
  <si>
    <t>&lt;codeEdi&gt;1437&lt;/codeEdi&gt;</t>
  </si>
  <si>
    <t>&lt;codeEdi&gt;1453&lt;/codeEdi&gt;</t>
  </si>
  <si>
    <t>&lt;codeEdi&gt;1461&lt;/codeEdi&gt;</t>
  </si>
  <si>
    <t>&lt;codeEdi&gt;1469&lt;/codeEdi&gt;</t>
  </si>
  <si>
    <t>&lt;codeEdi&gt;1477&lt;/codeEdi&gt;</t>
  </si>
  <si>
    <t>&lt;codeEdi&gt;1485&lt;/codeEdi&gt;</t>
  </si>
  <si>
    <t>&lt;codeEdi&gt;1559&lt;/codeEdi&gt;</t>
  </si>
  <si>
    <t>&lt;codeEdi&gt;1600&lt;/codeEdi&gt;</t>
  </si>
  <si>
    <t>&lt;codeEdi&gt;1608&lt;/codeEdi&gt;</t>
  </si>
  <si>
    <t>&lt;codeEdi&gt;1616&lt;/codeEdi&gt;</t>
  </si>
  <si>
    <t>&lt;codeEdi&gt;1639&lt;/codeEdi&gt;</t>
  </si>
  <si>
    <t>&lt;codeEdi&gt;1647&lt;/codeEdi&gt;</t>
  </si>
  <si>
    <t>&lt;codeEdi&gt;1660&lt;/codeEdi&gt;</t>
  </si>
  <si>
    <t>&lt;codeEdi&gt;1668&lt;/codeEdi&gt;</t>
  </si>
  <si>
    <t>&lt;codeEdi&gt;1676&lt;/codeEdi&gt;</t>
  </si>
  <si>
    <t>&lt;codeEdi&gt;1689&lt;/codeEdi&gt;</t>
  </si>
  <si>
    <t>&lt;codeEdi&gt;1740&lt;/codeEdi&gt;</t>
  </si>
  <si>
    <t>&lt;codeEdi&gt;1761&lt;/codeEdi&gt;</t>
  </si>
  <si>
    <t>&lt;codeEdi&gt;1773&lt;/codeEdi&gt;</t>
  </si>
  <si>
    <t>&lt;codeEdi&gt;1804&lt;/codeEdi&gt;</t>
  </si>
  <si>
    <t>&lt;codeEdi&gt;1823&lt;/codeEdi&gt;</t>
  </si>
  <si>
    <t>&lt;codeEdi&gt;1840&lt;/codeEdi&gt;</t>
  </si>
  <si>
    <t>&lt;codeEdi&gt;1857&lt;/codeEdi&gt;</t>
  </si>
  <si>
    <t>&lt;codeEdi&gt;1865&lt;/codeEdi&gt;</t>
  </si>
  <si>
    <t>&lt;codeEdi&gt;1873&lt;/codeEdi&gt;</t>
  </si>
  <si>
    <t>&lt;codeEdi&gt;1890&lt;/codeEdi&gt;</t>
  </si>
  <si>
    <t>&lt;codeEdi&gt;1406&lt;/codeEdi&gt;</t>
  </si>
  <si>
    <t>&lt;codeEdi&gt;1414&lt;/codeEdi&gt;</t>
  </si>
  <si>
    <t>&lt;codeEdi&gt;1430&lt;/codeEdi&gt;</t>
  </si>
  <si>
    <t>&lt;codeEdi&gt;1438&lt;/codeEdi&gt;</t>
  </si>
  <si>
    <t>&lt;codeEdi&gt;1454&lt;/codeEdi&gt;</t>
  </si>
  <si>
    <t>&lt;codeEdi&gt;1462&lt;/codeEdi&gt;</t>
  </si>
  <si>
    <t>&lt;codeEdi&gt;1470&lt;/codeEdi&gt;</t>
  </si>
  <si>
    <t>&lt;codeEdi&gt;1478&lt;/codeEdi&gt;</t>
  </si>
  <si>
    <t>&lt;codeEdi&gt;1486&lt;/codeEdi&gt;</t>
  </si>
  <si>
    <t>&lt;codeEdi&gt;1422&lt;/codeEdi&gt;</t>
  </si>
  <si>
    <t>&lt;codeEdi&gt;1560&lt;/codeEdi&gt;</t>
  </si>
  <si>
    <t>&lt;codeEdi&gt;1601&lt;/codeEdi&gt;</t>
  </si>
  <si>
    <t>&lt;codeEdi&gt;1609&lt;/codeEdi&gt;</t>
  </si>
  <si>
    <t>&lt;codeEdi&gt;1617&lt;/codeEdi&gt;</t>
  </si>
  <si>
    <t>&lt;codeEdi&gt;1640&lt;/codeEdi&gt;</t>
  </si>
  <si>
    <t>&lt;codeEdi&gt;1648&lt;/codeEdi&gt;</t>
  </si>
  <si>
    <t>&lt;codeEdi&gt;1661&lt;/codeEdi&gt;</t>
  </si>
  <si>
    <t>&lt;codeEdi&gt;1669&lt;/codeEdi&gt;</t>
  </si>
  <si>
    <t>&lt;codeEdi&gt;1677&lt;/codeEdi&gt;</t>
  </si>
  <si>
    <t>&lt;codeEdi&gt;1690&lt;/codeEdi&gt;</t>
  </si>
  <si>
    <t>&lt;codeEdi&gt;1741&lt;/codeEdi&gt;</t>
  </si>
  <si>
    <t>&lt;codeEdi&gt;1762&lt;/codeEdi&gt;</t>
  </si>
  <si>
    <t>&lt;codeEdi&gt;1774&lt;/codeEdi&gt;</t>
  </si>
  <si>
    <t>&lt;codeEdi&gt;1805&lt;/codeEdi&gt;</t>
  </si>
  <si>
    <t>&lt;codeEdi&gt;1824&lt;/codeEdi&gt;</t>
  </si>
  <si>
    <t>&lt;codeEdi&gt;1841&lt;/codeEdi&gt;</t>
  </si>
  <si>
    <t>&lt;codeEdi&gt;1858&lt;/codeEdi&gt;</t>
  </si>
  <si>
    <t>&lt;codeEdi&gt;1866&lt;/codeEdi&gt;</t>
  </si>
  <si>
    <t>&lt;codeEdi&gt;1874&lt;/codeEdi&gt;</t>
  </si>
  <si>
    <t>&lt;codeEdi&gt;1891&lt;/codeEdi&gt;</t>
  </si>
  <si>
    <t>&lt;codeEdi&gt;1407&lt;/codeEdi&gt;</t>
  </si>
  <si>
    <t>&lt;codeEdi&gt;1415&lt;/codeEdi&gt;</t>
  </si>
  <si>
    <t>&lt;codeEdi&gt;1431&lt;/codeEdi&gt;</t>
  </si>
  <si>
    <t>&lt;codeEdi&gt;1439&lt;/codeEdi&gt;</t>
  </si>
  <si>
    <t>&lt;codeEdi&gt;1455&lt;/codeEdi&gt;</t>
  </si>
  <si>
    <t>&lt;codeEdi&gt;1463&lt;/codeEdi&gt;</t>
  </si>
  <si>
    <t>&lt;codeEdi&gt;1471&lt;/codeEdi&gt;</t>
  </si>
  <si>
    <t>&lt;codeEdi&gt;1479&lt;/codeEdi&gt;</t>
  </si>
  <si>
    <t>&lt;codeEdi&gt;1487&lt;/codeEdi&gt;</t>
  </si>
  <si>
    <t>&lt;codeEdi&gt;1423&lt;/codeEdi&gt;</t>
  </si>
  <si>
    <t>&lt;codeEdi&gt;1561&lt;/codeEdi&gt;</t>
  </si>
  <si>
    <t>&lt;codeEdi&gt;1602&lt;/codeEdi&gt;</t>
  </si>
  <si>
    <t>&lt;codeEdi&gt;1610&lt;/codeEdi&gt;</t>
  </si>
  <si>
    <t>&lt;codeEdi&gt;1618&lt;/codeEdi&gt;</t>
  </si>
  <si>
    <t>&lt;codeEdi&gt;1641&lt;/codeEdi&gt;</t>
  </si>
  <si>
    <t>&lt;codeEdi&gt;1649&lt;/codeEdi&gt;</t>
  </si>
  <si>
    <t>&lt;codeEdi&gt;1662&lt;/codeEdi&gt;</t>
  </si>
  <si>
    <t>&lt;codeEdi&gt;1670&lt;/codeEdi&gt;</t>
  </si>
  <si>
    <t>&lt;codeEdi&gt;1678&lt;/codeEdi&gt;</t>
  </si>
  <si>
    <t>&lt;codeEdi&gt;1691&lt;/codeEdi&gt;</t>
  </si>
  <si>
    <t>&lt;codeEdi&gt;1742&lt;/codeEdi&gt;</t>
  </si>
  <si>
    <t>&lt;codeEdi&gt;1763&lt;/codeEdi&gt;</t>
  </si>
  <si>
    <t>&lt;codeEdi&gt;1775&lt;/codeEdi&gt;</t>
  </si>
  <si>
    <t>&lt;codeEdi&gt;1806&lt;/codeEdi&gt;</t>
  </si>
  <si>
    <t>&lt;codeEdi&gt;1825&lt;/codeEdi&gt;</t>
  </si>
  <si>
    <t>&lt;codeEdi&gt;1842&lt;/codeEdi&gt;</t>
  </si>
  <si>
    <t>&lt;codeEdi&gt;1859&lt;/codeEdi&gt;</t>
  </si>
  <si>
    <t>&lt;codeEdi&gt;1867&lt;/codeEdi&gt;</t>
  </si>
  <si>
    <t>&lt;codeEdi&gt;1875&lt;/codeEdi&gt;</t>
  </si>
  <si>
    <t>&lt;codeEdi&gt;1892&lt;/codeEdi&gt;</t>
  </si>
  <si>
    <t>* Matériel informatique</t>
  </si>
  <si>
    <t>* Variation des stocks de matières premières</t>
  </si>
  <si>
    <t>* Achats de matières et fournitures consommables et d'emballage</t>
  </si>
  <si>
    <t xml:space="preserve">   1 - Biens et produits destinés à la revente en l'état :</t>
  </si>
  <si>
    <t xml:space="preserve">   2 - Biens et Matières Premières destinés aux activités de production et de transformation :</t>
  </si>
  <si>
    <t xml:space="preserve">   3 - Matières Premières</t>
  </si>
  <si>
    <t xml:space="preserve">   4 - Matières consommables</t>
  </si>
  <si>
    <t xml:space="preserve">   5 - Pièces détachées</t>
  </si>
  <si>
    <t xml:space="preserve">   6 - Carburants, lubrifiants pour véhicules de transport</t>
  </si>
  <si>
    <t xml:space="preserve">     7 * récupérables</t>
  </si>
  <si>
    <t xml:space="preserve">     8 * vendus</t>
  </si>
  <si>
    <t xml:space="preserve">     9 * perdus</t>
  </si>
  <si>
    <t>T01 Actif</t>
  </si>
  <si>
    <t>T01 Passif</t>
  </si>
  <si>
    <t>T02 CPC</t>
  </si>
  <si>
    <t>T03 Résultat fiscal</t>
  </si>
  <si>
    <t>T04 Immobilisations</t>
  </si>
  <si>
    <t>T05 ESG</t>
  </si>
  <si>
    <t>T06 Détail CPC</t>
  </si>
  <si>
    <t>T09 Provisions</t>
  </si>
  <si>
    <t>T10 +/- Values</t>
  </si>
  <si>
    <t>T11 Titres participation</t>
  </si>
  <si>
    <t>T12 TVA</t>
  </si>
  <si>
    <t>T14 Affectation résultat</t>
  </si>
  <si>
    <t>T15 Encouragement</t>
  </si>
  <si>
    <t>T16 Dotations aux amort</t>
  </si>
  <si>
    <t>T17 Fusion</t>
  </si>
  <si>
    <t>T18 Emprunts</t>
  </si>
  <si>
    <t>T19 Locations</t>
  </si>
  <si>
    <t>T20 Stocks</t>
  </si>
  <si>
    <t>N° Odre</t>
  </si>
  <si>
    <t>Tableau</t>
  </si>
  <si>
    <t>B</t>
  </si>
  <si>
    <t>D</t>
  </si>
  <si>
    <t>G</t>
  </si>
  <si>
    <t>T08 Amortissements</t>
  </si>
  <si>
    <t>PG</t>
  </si>
  <si>
    <t>ZZ</t>
  </si>
  <si>
    <t>&lt;numeroLigne&gt;2&lt;/numeroLigne&gt;</t>
  </si>
  <si>
    <t>&lt;numeroLigne&gt;3&lt;/numeroLigne&gt;</t>
  </si>
  <si>
    <t>&lt;numeroLigne&gt;4&lt;/numeroLigne&gt;</t>
  </si>
  <si>
    <t>&lt;numeroLigne&gt;5&lt;/numeroLigne&gt;</t>
  </si>
  <si>
    <t>&lt;numeroLigne&gt;6&lt;/numeroLigne&gt;</t>
  </si>
  <si>
    <t>T4+T8</t>
  </si>
  <si>
    <t>Excédent voiture de tourisme</t>
  </si>
  <si>
    <t>Impôt sur les sociétés</t>
  </si>
  <si>
    <t>Pénalités</t>
  </si>
  <si>
    <t>Autres charges non courantes</t>
  </si>
  <si>
    <t>Abattement sur dividendes</t>
  </si>
  <si>
    <t>Abattement sur cession de titres</t>
  </si>
  <si>
    <t>Reprise sur autres Provisions</t>
  </si>
  <si>
    <t/>
  </si>
  <si>
    <t>&lt;?xml version="1.0" encoding="utf-8"?&gt;</t>
  </si>
  <si>
    <t>II. Stock en cours Production de biens et services</t>
  </si>
  <si>
    <t>I. Stocks Approvisionnement</t>
  </si>
  <si>
    <t xml:space="preserve">    11- Produits en cours</t>
  </si>
  <si>
    <t xml:space="preserve">    12- Etudes en cours</t>
  </si>
  <si>
    <t xml:space="preserve">   13 - Travaux en cours</t>
  </si>
  <si>
    <t xml:space="preserve">   14 - Services en cours</t>
  </si>
  <si>
    <t>15- Total Stocks des encours</t>
  </si>
  <si>
    <t>10- Total Stocks des approvisionnements</t>
  </si>
  <si>
    <t>III. Stock Produits finis</t>
  </si>
  <si>
    <t xml:space="preserve">   16 - Produits finis</t>
  </si>
  <si>
    <t xml:space="preserve">   17 - Biens finis</t>
  </si>
  <si>
    <t xml:space="preserve">                                                                            18- Total Stocks Produits et Biens Finis</t>
  </si>
  <si>
    <t>IV. Stock Produits résiduels</t>
  </si>
  <si>
    <t xml:space="preserve">   19 - Déchets</t>
  </si>
  <si>
    <t xml:space="preserve">   20 - Rebuts</t>
  </si>
  <si>
    <t xml:space="preserve">  21  - Matières de récupération</t>
  </si>
  <si>
    <t>22 - Total Stocks Produits Résiduels</t>
  </si>
  <si>
    <t>23- TOTAL GENERAL</t>
  </si>
  <si>
    <t>N° IF</t>
  </si>
  <si>
    <t>N° CIN ou CE</t>
  </si>
  <si>
    <t xml:space="preserve">Montant du capital  DH </t>
  </si>
  <si>
    <t>Immobilisation concernée</t>
  </si>
  <si>
    <t>Valeur à amortir (Prix d'acquisition (2))</t>
  </si>
  <si>
    <t>Valeur à amortir (Valeur comptable après réévaluation)</t>
  </si>
  <si>
    <t>Amortissements antérieurs (3)</t>
  </si>
  <si>
    <t>Amortissements normaux ou accélérés de l'exercice</t>
  </si>
  <si>
    <t>Total des amortissements à la fin de l'exercice (col. 4 + col. 7)</t>
  </si>
  <si>
    <t>Montant Global</t>
  </si>
  <si>
    <t>Amortissement de l'exercide du</t>
  </si>
  <si>
    <t>Amortissement de l'exercide au</t>
  </si>
  <si>
    <t>&lt;numeroLigne&gt;7&lt;/numeroLigne&gt;</t>
  </si>
  <si>
    <t>&lt;numeroLigne&gt;8&lt;/numeroLigne&gt;</t>
  </si>
  <si>
    <t>&lt;numeroLigne&gt;9&lt;/numeroLigne&gt;</t>
  </si>
  <si>
    <t>&lt;numeroLigne&gt;10&lt;/numeroLigne&gt;</t>
  </si>
  <si>
    <t>T13 Répartition Capital</t>
  </si>
  <si>
    <t>&lt;tableau&gt;&lt;id&gt;41&lt;/id&gt;&lt;/tableau&gt;</t>
  </si>
  <si>
    <t>&lt;cellule&gt;&lt;codeEdi&gt;2094&lt;/codeEdi&gt;&lt;/cellule&gt;</t>
  </si>
  <si>
    <t>&lt;cellule&gt;&lt;codeEdi&gt;13536&lt;/codeEdi&gt;&lt;/cellule&gt;</t>
  </si>
  <si>
    <t>&lt;cellule&gt;&lt;codeEdi&gt;13537&lt;/codeEdi&gt;&lt;/cellule&gt;</t>
  </si>
  <si>
    <t>&lt;cellule&gt;&lt;codeEdi&gt;2095&lt;/codeEdi&gt;&lt;/cellule&gt;</t>
  </si>
  <si>
    <t>&lt;cellule&gt;&lt;codeEdi&gt;2096&lt;/codeEdi&gt;&lt;/cellule&gt;</t>
  </si>
  <si>
    <t>&lt;cellule&gt;&lt;codeEdi&gt;2097&lt;/codeEdi&gt;&lt;/cellule&gt;</t>
  </si>
  <si>
    <t>&lt;cellule&gt;&lt;codeEdi&gt;2098&lt;/codeEdi&gt;&lt;/cellule&gt;</t>
  </si>
  <si>
    <t>&lt;cellule&gt;&lt;codeEdi&gt;2099&lt;/codeEdi&gt;&lt;/cellule&gt;</t>
  </si>
  <si>
    <t>&lt;cellule&gt;&lt;codeEdi&gt;2100&lt;/codeEdi&gt;&lt;/cellule&gt;</t>
  </si>
  <si>
    <t>&lt;cellule&gt;&lt;codeEdi&gt;2101&lt;/codeEdi&gt;&lt;/cellule&gt;</t>
  </si>
  <si>
    <t>&lt;code&gt;18&lt;/code&gt;</t>
  </si>
  <si>
    <t>T07 Crédit bail</t>
  </si>
  <si>
    <t>&lt;tableau&gt;&lt;id&gt;23&lt;/id&gt;&lt;/tableau&gt;</t>
  </si>
  <si>
    <t>&lt;cellule&gt;&lt;codeEdi&gt;1098&lt;/codeEdi&gt;&lt;/cellule&gt;</t>
  </si>
  <si>
    <t>&lt;cellule&gt;&lt;codeEdi&gt;1099&lt;/codeEdi&gt;&lt;/cellule&gt;</t>
  </si>
  <si>
    <t>&lt;cellule&gt;&lt;codeEdi&gt;1100&lt;/codeEdi&gt;&lt;/cellule&gt;</t>
  </si>
  <si>
    <t>&lt;cellule&gt;&lt;codeEdi&gt;1101&lt;/codeEdi&gt;&lt;/cellule&gt;</t>
  </si>
  <si>
    <t>&lt;cellule&gt;&lt;codeEdi&gt;1102&lt;/codeEdi&gt;&lt;/cellule&gt;</t>
  </si>
  <si>
    <t>&lt;cellule&gt;&lt;codeEdi&gt;1103&lt;/codeEdi&gt;&lt;/cellule&gt;</t>
  </si>
  <si>
    <t>&lt;cellule&gt;&lt;codeEdi&gt;1104&lt;/codeEdi&gt;&lt;/cellule&gt;</t>
  </si>
  <si>
    <t>&lt;cellule&gt;&lt;codeEdi&gt;1105&lt;/codeEdi&gt;&lt;/cellule&gt;</t>
  </si>
  <si>
    <t>&lt;cellule&gt;&lt;codeEdi&gt;1106&lt;/codeEdi&gt;&lt;/cellule&gt;</t>
  </si>
  <si>
    <t>&lt;cellule&gt;&lt;codeEdi&gt;1107&lt;/codeEdi&gt;&lt;/cellule&gt;</t>
  </si>
  <si>
    <t>&lt;cellule&gt;&lt;codeEdi&gt;1108&lt;/codeEdi&gt;&lt;/cellule&gt;</t>
  </si>
  <si>
    <t>&lt;code&gt;53&lt;/code&gt;</t>
  </si>
  <si>
    <t>Etats de synthèse</t>
  </si>
  <si>
    <t xml:space="preserve"> Taxe Professionnelle n°  </t>
  </si>
  <si>
    <t>Débit Période N</t>
  </si>
  <si>
    <t>Crédit Période N</t>
  </si>
  <si>
    <t>Solde Débit N</t>
  </si>
  <si>
    <t>Solde Crédit N</t>
  </si>
  <si>
    <t>CAPITAL</t>
  </si>
  <si>
    <t>Frais  constitution</t>
  </si>
  <si>
    <t>Amort  frais constitution</t>
  </si>
  <si>
    <t>TVA10 %</t>
  </si>
  <si>
    <t>SALAIRE NET</t>
  </si>
  <si>
    <t>COT CNSS</t>
  </si>
  <si>
    <t>COT AMO</t>
  </si>
  <si>
    <t>IR</t>
  </si>
  <si>
    <t>COMPTE COURANT D'ASSOCIE</t>
  </si>
  <si>
    <t>ATTIJARIWAFA BANK</t>
  </si>
  <si>
    <t>CAISSE</t>
  </si>
  <si>
    <t>loyer</t>
  </si>
  <si>
    <t>frais bancaire</t>
  </si>
  <si>
    <t>SALAIRE BRUT</t>
  </si>
  <si>
    <t>COT P P</t>
  </si>
  <si>
    <t>DEA FRAIS CONSTITUTION</t>
  </si>
  <si>
    <t>ANV DEBITEUR</t>
  </si>
  <si>
    <t>WAFASALAF</t>
  </si>
  <si>
    <t>RCI FIN</t>
  </si>
  <si>
    <t>SOFAC CREDIT</t>
  </si>
  <si>
    <t>MATERIEL ET OUTILLAGE</t>
  </si>
  <si>
    <t>MATRIEL DE TRANSPORT</t>
  </si>
  <si>
    <t>AMOT MATERIEL ET OULILLAGE</t>
  </si>
  <si>
    <t>AMPORT MAT DE TRANSP</t>
  </si>
  <si>
    <t>Frs avances et acompte</t>
  </si>
  <si>
    <t>clients collectiive</t>
  </si>
  <si>
    <t>tva 20%</t>
  </si>
  <si>
    <t>CREDIT TVA</t>
  </si>
  <si>
    <t>FOURNISSEUR LOCAUX</t>
  </si>
  <si>
    <t>IMPOT IS DUE</t>
  </si>
  <si>
    <t>TVA FACTURE</t>
  </si>
  <si>
    <t>TVA DUE</t>
  </si>
  <si>
    <t>ENTRETIEN ET REPARATION</t>
  </si>
  <si>
    <t>PRIME ASSURANCE</t>
  </si>
  <si>
    <t>TELEPHONE</t>
  </si>
  <si>
    <t>impot et taxes</t>
  </si>
  <si>
    <t>VIGNETTE</t>
  </si>
  <si>
    <t>AMORT MAT CORPORELLE</t>
  </si>
  <si>
    <t>INTERETS SUR EMPRUNETS</t>
  </si>
  <si>
    <t>IMPOT SUR LE BENIFICE</t>
  </si>
  <si>
    <t>vente  prod prestation  de services</t>
  </si>
  <si>
    <t>Bilan d'ouverture</t>
  </si>
  <si>
    <t>FRAIS DECONSTITUTION</t>
  </si>
  <si>
    <t>MAT ET OULILLAGE</t>
  </si>
  <si>
    <t>MAT DE TRANSPORST</t>
  </si>
  <si>
    <t>31/112/17</t>
  </si>
  <si>
    <t>CINN°PB4536</t>
  </si>
  <si>
    <t>MATDE TRANSPORT</t>
  </si>
  <si>
    <t>sfsfsffsfs</t>
  </si>
  <si>
    <t>ssfsfsfs</t>
  </si>
  <si>
    <t>ffsfsfs</t>
  </si>
  <si>
    <t>fsfsff</t>
  </si>
  <si>
    <t>fdfdfdfd de location</t>
  </si>
  <si>
    <t xml:space="preserve">dfdfd </t>
  </si>
  <si>
    <t>CLUB DE COMPTA</t>
  </si>
  <si>
    <t>MAROC</t>
  </si>
  <si>
    <t>31/12/2022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</si>
</sst>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4">
    <numFmt numFmtId="164" formatCode="_-* #,##0.00\ _€_-;\-* #,##0.00\ _€_-;_-* &quot;-&quot;??\ _€_-;_-@_-"/>
    <numFmt numFmtId="165" formatCode="_-* #,##0.00\ _F_-;\-* #,##0.00\ _F_-;_-* &quot;-&quot;??\ _F_-;_-@_-"/>
    <numFmt numFmtId="166" formatCode="d\ mmmm\ yyyy"/>
    <numFmt numFmtId="167" formatCode="mmmm\-yy"/>
    <numFmt numFmtId="168" formatCode="d\-mmm\-yy"/>
    <numFmt numFmtId="169" formatCode="_-* #,##0.00\ [$€-1]_-;\-* #,##0.00\ [$€-1]_-;_-* &quot;-&quot;??\ [$€-1]_-"/>
    <numFmt numFmtId="170" formatCode="_-* #,##0\ _F_-;\-* #,##0\ _F_-;_-* &quot;-&quot;??\ _F_-;_-@_-"/>
    <numFmt numFmtId="171" formatCode="_-* #,##0.00\ _D_h_s_-;\-* #,##0.00\ _D_h_s_-;_-* &quot;-&quot;??\ _D_h_s_-;_-@_-"/>
    <numFmt numFmtId="172" formatCode="dd/mm/yy"/>
    <numFmt numFmtId="173" formatCode="[$-40C]mmm\-yy;@"/>
    <numFmt numFmtId="174" formatCode="#\."/>
    <numFmt numFmtId="175" formatCode="yyyy\-mm\-dd"/>
    <numFmt numFmtId="176" formatCode="_-* #,##0.00000\ _F_-;\-* #,##0.00000\ _F_-;_-* &quot;-&quot;??\ _F_-;_-@_-"/>
    <numFmt numFmtId="177" formatCode="_-* #,##0.00000000\ _F_-;\-* #,##0.00000000\ _F_-;_-* &quot;-&quot;??\ _F_-;_-@_-"/>
  </numFmts>
  <fonts count="87" x14ac:knownFonts="1">
    <font>
      <sz val="10"/>
      <name val="Times New Roman"/>
    </font>
    <font>
      <b/>
      <sz val="10"/>
      <name val="Times New Roman"/>
      <family val="1"/>
    </font>
    <font>
      <i/>
      <sz val="10"/>
      <name val="Times New Roman"/>
      <family val="1"/>
    </font>
    <font>
      <b/>
      <i/>
      <sz val="10"/>
      <name val="Times New Roman"/>
      <family val="1"/>
    </font>
    <font>
      <sz val="10"/>
      <name val="Times New Roman"/>
      <family val="1"/>
    </font>
    <font>
      <b/>
      <i/>
      <sz val="9"/>
      <name val="Times New Roman"/>
      <family val="1"/>
    </font>
    <font>
      <i/>
      <sz val="9"/>
      <name val="Times New Roman"/>
      <family val="1"/>
    </font>
    <font>
      <b/>
      <i/>
      <sz val="12"/>
      <name val="Times New Roman"/>
      <family val="1"/>
    </font>
    <font>
      <b/>
      <i/>
      <sz val="8"/>
      <name val="Times New Roman"/>
      <family val="1"/>
    </font>
    <font>
      <i/>
      <sz val="9"/>
      <name val="Times New Roman"/>
      <family val="1"/>
    </font>
    <font>
      <b/>
      <i/>
      <sz val="10"/>
      <name val="Times New Roman"/>
      <family val="1"/>
    </font>
    <font>
      <i/>
      <sz val="10"/>
      <name val="Times New Roman"/>
      <family val="1"/>
    </font>
    <font>
      <b/>
      <i/>
      <sz val="12"/>
      <name val="Times New Roman"/>
      <family val="1"/>
    </font>
    <font>
      <i/>
      <sz val="12"/>
      <name val="Times New Roman"/>
      <family val="1"/>
    </font>
    <font>
      <b/>
      <i/>
      <sz val="9"/>
      <name val="Times New Roman"/>
      <family val="1"/>
    </font>
    <font>
      <b/>
      <i/>
      <sz val="8"/>
      <name val="Times New Roman"/>
      <family val="1"/>
    </font>
    <font>
      <i/>
      <sz val="8"/>
      <name val="Times New Roman"/>
      <family val="1"/>
    </font>
    <font>
      <sz val="8"/>
      <name val="Times New Roman"/>
      <family val="1"/>
    </font>
    <font>
      <sz val="12"/>
      <name val="Times New Roman"/>
      <family val="1"/>
    </font>
    <font>
      <i/>
      <sz val="9"/>
      <color indexed="9"/>
      <name val="Times New Roman"/>
      <family val="1"/>
    </font>
    <font>
      <b/>
      <sz val="10"/>
      <name val="Times New Roman"/>
      <family val="1"/>
    </font>
    <font>
      <b/>
      <i/>
      <sz val="9"/>
      <color indexed="9"/>
      <name val="Times New Roman"/>
      <family val="1"/>
    </font>
    <font>
      <sz val="10"/>
      <name val="MS Sans Serif"/>
      <family val="2"/>
    </font>
    <font>
      <sz val="8"/>
      <name val="MS Sans Serif"/>
      <family val="2"/>
    </font>
    <font>
      <b/>
      <sz val="12"/>
      <name val="Arial"/>
      <family val="2"/>
    </font>
    <font>
      <sz val="9"/>
      <name val="Arial"/>
      <family val="2"/>
    </font>
    <font>
      <b/>
      <sz val="9"/>
      <name val="Arial"/>
      <family val="2"/>
    </font>
    <font>
      <b/>
      <sz val="10"/>
      <name val="Arial"/>
      <family val="2"/>
    </font>
    <font>
      <sz val="10"/>
      <name val="Arial"/>
      <family val="2"/>
    </font>
    <font>
      <sz val="8"/>
      <name val="Arial"/>
      <family val="2"/>
    </font>
    <font>
      <sz val="7"/>
      <name val="Arial"/>
      <family val="2"/>
    </font>
    <font>
      <b/>
      <sz val="11"/>
      <name val="Arial"/>
      <family val="2"/>
    </font>
    <font>
      <sz val="11"/>
      <name val="Arial"/>
      <family val="2"/>
    </font>
    <font>
      <b/>
      <sz val="9"/>
      <name val="Arial"/>
      <family val="2"/>
    </font>
    <font>
      <sz val="11"/>
      <name val="MS Sans Serif"/>
      <family val="2"/>
    </font>
    <font>
      <b/>
      <sz val="9"/>
      <name val="MS Sans Serif"/>
      <family val="2"/>
    </font>
    <font>
      <b/>
      <u/>
      <sz val="10"/>
      <name val="Arial"/>
      <family val="2"/>
    </font>
    <font>
      <u/>
      <sz val="10"/>
      <name val="Arial"/>
      <family val="2"/>
    </font>
    <font>
      <b/>
      <sz val="8"/>
      <name val="Arial"/>
      <family val="2"/>
    </font>
    <font>
      <b/>
      <sz val="10"/>
      <name val="Arial"/>
      <family val="2"/>
    </font>
    <font>
      <b/>
      <sz val="8"/>
      <name val="Arial"/>
      <family val="2"/>
    </font>
    <font>
      <b/>
      <sz val="12"/>
      <name val="Times New Roman"/>
      <family val="1"/>
    </font>
    <font>
      <sz val="9"/>
      <name val="Arial"/>
      <family val="2"/>
    </font>
    <font>
      <sz val="10"/>
      <name val="Times New Roman"/>
      <family val="1"/>
    </font>
    <font>
      <sz val="10"/>
      <name val="Arial"/>
      <family val="2"/>
    </font>
    <font>
      <b/>
      <sz val="12"/>
      <name val="Arial"/>
      <family val="2"/>
    </font>
    <font>
      <b/>
      <u/>
      <sz val="10"/>
      <name val="Arial"/>
      <family val="2"/>
    </font>
    <font>
      <sz val="8"/>
      <name val="Arial"/>
      <family val="2"/>
    </font>
    <font>
      <i/>
      <sz val="8"/>
      <name val="Times New Roman"/>
      <family val="1"/>
    </font>
    <font>
      <i/>
      <sz val="7"/>
      <name val="Times New Roman"/>
      <family val="1"/>
    </font>
    <font>
      <b/>
      <i/>
      <sz val="7"/>
      <name val="Times New Roman"/>
      <family val="1"/>
    </font>
    <font>
      <b/>
      <i/>
      <sz val="11"/>
      <name val="Times New Roman"/>
      <family val="1"/>
    </font>
    <font>
      <b/>
      <sz val="12"/>
      <name val="MS Sans Serif"/>
      <family val="2"/>
    </font>
    <font>
      <b/>
      <sz val="10"/>
      <name val="MS Sans Serif"/>
      <family val="2"/>
    </font>
    <font>
      <b/>
      <sz val="10"/>
      <color indexed="10"/>
      <name val="Arial"/>
      <family val="2"/>
    </font>
    <font>
      <b/>
      <sz val="14"/>
      <name val="Arial"/>
      <family val="2"/>
    </font>
    <font>
      <sz val="14"/>
      <name val="Arial"/>
      <family val="2"/>
    </font>
    <font>
      <b/>
      <sz val="14"/>
      <name val="Arial"/>
      <family val="2"/>
    </font>
    <font>
      <sz val="20"/>
      <name val="Arial"/>
      <family val="2"/>
    </font>
    <font>
      <b/>
      <i/>
      <sz val="9"/>
      <name val="Arial"/>
      <family val="2"/>
    </font>
    <font>
      <b/>
      <sz val="18"/>
      <name val="Arial Black"/>
      <family val="2"/>
    </font>
    <font>
      <b/>
      <sz val="18"/>
      <name val="Times New Roman"/>
      <family val="1"/>
    </font>
    <font>
      <b/>
      <sz val="24"/>
      <name val="Arial"/>
      <family val="2"/>
    </font>
    <font>
      <b/>
      <sz val="16"/>
      <name val="Arial"/>
      <family val="2"/>
    </font>
    <font>
      <sz val="14"/>
      <name val="Arial"/>
      <family val="2"/>
    </font>
    <font>
      <sz val="12"/>
      <name val="Arial"/>
      <family val="2"/>
    </font>
    <font>
      <b/>
      <sz val="12"/>
      <name val="Arial Black"/>
      <family val="2"/>
    </font>
    <font>
      <b/>
      <i/>
      <sz val="9"/>
      <color indexed="10"/>
      <name val="Arial"/>
      <family val="2"/>
    </font>
    <font>
      <sz val="9"/>
      <color indexed="10"/>
      <name val="Arial"/>
      <family val="2"/>
    </font>
    <font>
      <b/>
      <sz val="11"/>
      <name val="Times New Roman"/>
      <family val="1"/>
    </font>
    <font>
      <b/>
      <i/>
      <sz val="14"/>
      <name val="Times New Roman"/>
      <family val="1"/>
    </font>
    <font>
      <sz val="1"/>
      <color indexed="18"/>
      <name val="Courier"/>
      <family val="3"/>
    </font>
    <font>
      <sz val="10"/>
      <name val="Times New Roman"/>
      <family val="1"/>
    </font>
    <font>
      <sz val="9"/>
      <name val="Helv"/>
    </font>
    <font>
      <b/>
      <i/>
      <sz val="14"/>
      <color indexed="62"/>
      <name val="Arial"/>
      <family val="2"/>
    </font>
    <font>
      <b/>
      <i/>
      <sz val="10"/>
      <name val="Arial"/>
      <family val="2"/>
    </font>
    <font>
      <b/>
      <i/>
      <sz val="12"/>
      <color indexed="12"/>
      <name val="Arial"/>
      <family val="2"/>
    </font>
    <font>
      <b/>
      <i/>
      <sz val="11"/>
      <color indexed="62"/>
      <name val="Arial"/>
      <family val="2"/>
    </font>
    <font>
      <b/>
      <i/>
      <sz val="12"/>
      <name val="Arial"/>
      <family val="2"/>
    </font>
    <font>
      <b/>
      <i/>
      <sz val="11"/>
      <color indexed="10"/>
      <name val="Arial"/>
      <family val="2"/>
    </font>
    <font>
      <sz val="11"/>
      <color indexed="62"/>
      <name val="Arial"/>
      <family val="2"/>
    </font>
    <font>
      <b/>
      <i/>
      <sz val="11"/>
      <name val="Arial"/>
      <family val="2"/>
    </font>
    <font>
      <sz val="11"/>
      <name val="Arial"/>
      <family val="2"/>
    </font>
    <font>
      <b/>
      <sz val="11"/>
      <name val="Arial"/>
      <family val="2"/>
    </font>
    <font>
      <i/>
      <sz val="9"/>
      <name val="Arial"/>
      <family val="2"/>
    </font>
    <font>
      <sz val="14"/>
      <name val="Times New Roman"/>
      <family val="1"/>
    </font>
    <font>
      <b/>
      <sz val="14"/>
      <color rgb="FFFFFFFF"/>
      <name val="Calibri"/>
      <family val="2"/>
    </font>
  </fonts>
  <fills count="11">
    <fill>
      <patternFill patternType="none"/>
    </fill>
    <fill>
      <patternFill patternType="gray125"/>
    </fill>
    <fill>
      <patternFill patternType="solid">
        <fgColor indexed="9"/>
        <bgColor indexed="64"/>
      </patternFill>
    </fill>
    <fill>
      <patternFill patternType="gray125">
        <bgColor indexed="9"/>
      </patternFill>
    </fill>
    <fill>
      <patternFill patternType="solid">
        <fgColor indexed="47"/>
        <bgColor indexed="64"/>
      </patternFill>
    </fill>
    <fill>
      <patternFill patternType="solid">
        <fgColor indexed="43"/>
        <bgColor indexed="64"/>
      </patternFill>
    </fill>
    <fill>
      <patternFill patternType="solid">
        <fgColor indexed="22"/>
        <bgColor indexed="64"/>
      </patternFill>
    </fill>
    <fill>
      <patternFill patternType="mediumGray">
        <bgColor indexed="9"/>
      </patternFill>
    </fill>
    <fill>
      <patternFill patternType="solid">
        <fgColor theme="0"/>
        <bgColor indexed="64"/>
      </patternFill>
    </fill>
    <fill>
      <patternFill patternType="solid">
        <fgColor rgb="FFFFFF00"/>
        <bgColor indexed="64"/>
      </patternFill>
    </fill>
    <fill>
      <patternFill patternType="solid">
        <fgColor theme="3" tint="0.79998168889431442"/>
        <bgColor indexed="64"/>
      </patternFill>
    </fill>
  </fills>
  <borders count="91">
    <border>
      <left/>
      <right/>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ck">
        <color indexed="64"/>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thick">
        <color indexed="64"/>
      </left>
      <right/>
      <top/>
      <bottom/>
      <diagonal/>
    </border>
    <border>
      <left style="medium">
        <color indexed="64"/>
      </left>
      <right style="medium">
        <color indexed="64"/>
      </right>
      <top/>
      <bottom/>
      <diagonal/>
    </border>
    <border>
      <left style="thick">
        <color indexed="64"/>
      </left>
      <right/>
      <top/>
      <bottom style="medium">
        <color indexed="64"/>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right style="thick">
        <color indexed="64"/>
      </right>
      <top style="medium">
        <color indexed="64"/>
      </top>
      <bottom style="medium">
        <color indexed="64"/>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thick">
        <color indexed="64"/>
      </left>
      <right/>
      <top style="thin">
        <color indexed="64"/>
      </top>
      <bottom/>
      <diagonal/>
    </border>
    <border>
      <left style="thick">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top style="medium">
        <color indexed="64"/>
      </top>
      <bottom/>
      <diagonal/>
    </border>
    <border>
      <left style="thick">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dotted">
        <color indexed="64"/>
      </top>
      <bottom/>
      <diagonal/>
    </border>
    <border>
      <left/>
      <right style="thin">
        <color indexed="64"/>
      </right>
      <top style="dotted">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right style="thin">
        <color indexed="64"/>
      </right>
      <top style="dotted">
        <color indexed="64"/>
      </top>
      <bottom/>
      <diagonal/>
    </border>
    <border>
      <left/>
      <right style="thin">
        <color indexed="64"/>
      </right>
      <top/>
      <bottom style="dotted">
        <color indexed="64"/>
      </bottom>
      <diagonal/>
    </border>
    <border>
      <left style="thin">
        <color indexed="64"/>
      </left>
      <right style="thin">
        <color indexed="64"/>
      </right>
      <top/>
      <bottom style="hair">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bottom style="thick">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diagonal/>
    </border>
    <border>
      <left/>
      <right/>
      <top style="thick">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style="thick">
        <color indexed="64"/>
      </bottom>
      <diagonal/>
    </border>
    <border>
      <left style="medium">
        <color indexed="64"/>
      </left>
      <right style="thin">
        <color indexed="64"/>
      </right>
      <top style="thick">
        <color indexed="64"/>
      </top>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bottom style="thick">
        <color indexed="64"/>
      </bottom>
      <diagonal/>
    </border>
    <border>
      <left style="thin">
        <color indexed="64"/>
      </left>
      <right/>
      <top style="thick">
        <color indexed="64"/>
      </top>
      <bottom style="thick">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thin">
        <color indexed="64"/>
      </left>
      <right style="thin">
        <color indexed="64"/>
      </right>
      <top style="thin">
        <color indexed="64"/>
      </top>
      <bottom style="dashed">
        <color indexed="64"/>
      </bottom>
      <diagonal/>
    </border>
    <border>
      <left style="thin">
        <color indexed="64"/>
      </left>
      <right style="thin">
        <color indexed="64"/>
      </right>
      <top style="dashed">
        <color indexed="64"/>
      </top>
      <bottom style="dashed">
        <color indexed="64"/>
      </bottom>
      <diagonal/>
    </border>
  </borders>
  <cellStyleXfs count="10">
    <xf numFmtId="0" fontId="0" fillId="0" borderId="0"/>
    <xf numFmtId="169" fontId="4" fillId="0" borderId="0" applyFont="0" applyFill="0" applyBorder="0" applyAlignment="0" applyProtection="0"/>
    <xf numFmtId="165" fontId="4" fillId="0" borderId="0" applyFont="0" applyFill="0" applyBorder="0" applyAlignment="0" applyProtection="0"/>
    <xf numFmtId="174" fontId="71" fillId="0" borderId="0">
      <protection locked="0"/>
    </xf>
    <xf numFmtId="174" fontId="71" fillId="0" borderId="0">
      <protection locked="0"/>
    </xf>
    <xf numFmtId="0" fontId="72" fillId="0" borderId="0"/>
    <xf numFmtId="0" fontId="44" fillId="0" borderId="0"/>
    <xf numFmtId="0" fontId="22" fillId="0" borderId="0"/>
    <xf numFmtId="9" fontId="4" fillId="0" borderId="0" applyFont="0" applyFill="0" applyBorder="0" applyAlignment="0" applyProtection="0"/>
    <xf numFmtId="0" fontId="73" fillId="0" borderId="0"/>
  </cellStyleXfs>
  <cellXfs count="1204">
    <xf numFmtId="0" fontId="0" fillId="0" borderId="0" xfId="0"/>
    <xf numFmtId="4" fontId="6" fillId="2" borderId="0" xfId="0" applyNumberFormat="1" applyFont="1" applyFill="1" applyBorder="1" applyAlignment="1">
      <alignment horizontal="center"/>
    </xf>
    <xf numFmtId="0" fontId="0" fillId="2" borderId="0" xfId="0" applyFill="1"/>
    <xf numFmtId="0" fontId="5" fillId="2" borderId="0" xfId="0" applyFont="1" applyFill="1"/>
    <xf numFmtId="0" fontId="28" fillId="2" borderId="0" xfId="7" applyFont="1" applyFill="1"/>
    <xf numFmtId="0" fontId="14" fillId="2" borderId="0" xfId="0" applyFont="1" applyFill="1" applyAlignment="1">
      <alignment horizontal="left"/>
    </xf>
    <xf numFmtId="0" fontId="3" fillId="2" borderId="0" xfId="0" applyFont="1" applyFill="1"/>
    <xf numFmtId="0" fontId="24" fillId="2" borderId="0" xfId="7" applyFont="1" applyFill="1"/>
    <xf numFmtId="0" fontId="45" fillId="2" borderId="0" xfId="7" applyFont="1" applyFill="1"/>
    <xf numFmtId="0" fontId="27" fillId="2" borderId="0" xfId="7" applyFont="1" applyFill="1"/>
    <xf numFmtId="0" fontId="44" fillId="2" borderId="0" xfId="7" applyFont="1" applyFill="1"/>
    <xf numFmtId="0" fontId="39" fillId="2" borderId="0" xfId="7" applyFont="1" applyFill="1"/>
    <xf numFmtId="0" fontId="44" fillId="2" borderId="0" xfId="0" applyFont="1" applyFill="1"/>
    <xf numFmtId="0" fontId="14" fillId="2" borderId="0" xfId="0" applyFont="1" applyFill="1"/>
    <xf numFmtId="0" fontId="15" fillId="2" borderId="0" xfId="0" applyFont="1" applyFill="1" applyBorder="1"/>
    <xf numFmtId="0" fontId="2" fillId="2" borderId="0" xfId="0" applyFont="1" applyFill="1"/>
    <xf numFmtId="165" fontId="0" fillId="2" borderId="0" xfId="2" applyFont="1" applyFill="1"/>
    <xf numFmtId="0" fontId="12" fillId="2" borderId="0" xfId="0" applyFont="1" applyFill="1"/>
    <xf numFmtId="4" fontId="41" fillId="2" borderId="0" xfId="0" applyNumberFormat="1" applyFont="1" applyFill="1" applyAlignment="1">
      <alignment horizontal="center"/>
    </xf>
    <xf numFmtId="4" fontId="12" fillId="2" borderId="0" xfId="0" applyNumberFormat="1" applyFont="1" applyFill="1" applyBorder="1" applyAlignment="1">
      <alignment horizontal="center"/>
    </xf>
    <xf numFmtId="4" fontId="12" fillId="2" borderId="0" xfId="0" applyNumberFormat="1" applyFont="1" applyFill="1" applyAlignment="1">
      <alignment horizontal="center"/>
    </xf>
    <xf numFmtId="0" fontId="6" fillId="2" borderId="0" xfId="0" applyFont="1" applyFill="1" applyBorder="1"/>
    <xf numFmtId="0" fontId="6" fillId="2" borderId="0" xfId="0" applyFont="1" applyFill="1"/>
    <xf numFmtId="0" fontId="12" fillId="2" borderId="1" xfId="0" applyFont="1" applyFill="1" applyBorder="1"/>
    <xf numFmtId="4" fontId="12" fillId="2" borderId="1" xfId="0" applyNumberFormat="1" applyFont="1" applyFill="1" applyBorder="1" applyAlignment="1">
      <alignment horizontal="right"/>
    </xf>
    <xf numFmtId="166" fontId="12" fillId="2" borderId="1" xfId="0" applyNumberFormat="1" applyFont="1" applyFill="1" applyBorder="1" applyAlignment="1">
      <alignment horizontal="left"/>
    </xf>
    <xf numFmtId="0" fontId="6" fillId="2" borderId="0" xfId="0" applyFont="1" applyFill="1" applyBorder="1" applyAlignment="1">
      <alignment vertical="center"/>
    </xf>
    <xf numFmtId="0" fontId="12" fillId="2" borderId="2" xfId="0" applyFont="1" applyFill="1" applyBorder="1" applyAlignment="1">
      <alignment horizontal="center" vertical="center"/>
    </xf>
    <xf numFmtId="4" fontId="12" fillId="2" borderId="3" xfId="0" applyNumberFormat="1" applyFont="1" applyFill="1" applyBorder="1" applyAlignment="1">
      <alignment horizontal="center" vertical="center"/>
    </xf>
    <xf numFmtId="0" fontId="12" fillId="2" borderId="4" xfId="0" applyFont="1" applyFill="1" applyBorder="1" applyAlignment="1">
      <alignment horizontal="center"/>
    </xf>
    <xf numFmtId="4" fontId="12" fillId="2" borderId="5" xfId="0" applyNumberFormat="1" applyFont="1" applyFill="1" applyBorder="1" applyAlignment="1">
      <alignment horizontal="center" vertical="center" wrapText="1"/>
    </xf>
    <xf numFmtId="4" fontId="12" fillId="2" borderId="6" xfId="0" applyNumberFormat="1" applyFont="1" applyFill="1" applyBorder="1" applyAlignment="1">
      <alignment horizontal="center" vertical="center" wrapText="1"/>
    </xf>
    <xf numFmtId="4" fontId="12" fillId="2" borderId="7" xfId="0" applyNumberFormat="1" applyFont="1" applyFill="1" applyBorder="1" applyAlignment="1">
      <alignment horizontal="center" vertical="center" wrapText="1"/>
    </xf>
    <xf numFmtId="0" fontId="12" fillId="2" borderId="8" xfId="0" applyFont="1" applyFill="1" applyBorder="1" applyAlignment="1">
      <alignment horizontal="center"/>
    </xf>
    <xf numFmtId="0" fontId="12" fillId="2" borderId="0" xfId="0" applyFont="1" applyFill="1" applyBorder="1" applyAlignment="1">
      <alignment horizontal="center"/>
    </xf>
    <xf numFmtId="4" fontId="12" fillId="2" borderId="9" xfId="0" applyNumberFormat="1" applyFont="1" applyFill="1" applyBorder="1" applyAlignment="1">
      <alignment horizontal="center" vertical="center" wrapText="1"/>
    </xf>
    <xf numFmtId="0" fontId="12" fillId="2" borderId="10" xfId="0" applyFont="1" applyFill="1" applyBorder="1" applyAlignment="1">
      <alignment horizontal="center"/>
    </xf>
    <xf numFmtId="4" fontId="12" fillId="2" borderId="11" xfId="0" applyNumberFormat="1" applyFont="1" applyFill="1" applyBorder="1" applyAlignment="1">
      <alignment horizontal="center" vertical="center" wrapText="1"/>
    </xf>
    <xf numFmtId="4" fontId="12" fillId="2" borderId="12" xfId="0" applyNumberFormat="1" applyFont="1" applyFill="1" applyBorder="1" applyAlignment="1">
      <alignment horizontal="center" vertical="center" wrapText="1"/>
    </xf>
    <xf numFmtId="0" fontId="12" fillId="2" borderId="13" xfId="0" applyFont="1" applyFill="1" applyBorder="1" applyAlignment="1">
      <alignment horizontal="left"/>
    </xf>
    <xf numFmtId="4" fontId="12" fillId="2" borderId="1" xfId="0" applyNumberFormat="1" applyFont="1" applyFill="1" applyBorder="1" applyAlignment="1"/>
    <xf numFmtId="4" fontId="12" fillId="2" borderId="0" xfId="0" applyNumberFormat="1" applyFont="1" applyFill="1" applyBorder="1" applyAlignment="1"/>
    <xf numFmtId="4" fontId="12" fillId="2" borderId="14" xfId="0" applyNumberFormat="1" applyFont="1" applyFill="1" applyBorder="1" applyAlignment="1"/>
    <xf numFmtId="0" fontId="12" fillId="2" borderId="15" xfId="0" applyFont="1" applyFill="1" applyBorder="1" applyAlignment="1">
      <alignment horizontal="left"/>
    </xf>
    <xf numFmtId="9" fontId="12" fillId="2" borderId="16" xfId="8" applyFont="1" applyFill="1" applyBorder="1" applyAlignment="1">
      <alignment horizontal="center"/>
    </xf>
    <xf numFmtId="9" fontId="12" fillId="2" borderId="1" xfId="8" applyFont="1" applyFill="1" applyBorder="1" applyAlignment="1">
      <alignment horizontal="center"/>
    </xf>
    <xf numFmtId="0" fontId="12" fillId="2" borderId="0" xfId="0" applyFont="1" applyFill="1" applyBorder="1"/>
    <xf numFmtId="0" fontId="5" fillId="2" borderId="0" xfId="0" applyFont="1" applyFill="1" applyBorder="1"/>
    <xf numFmtId="0" fontId="12" fillId="2" borderId="15" xfId="0" applyFont="1" applyFill="1" applyBorder="1" applyAlignment="1">
      <alignment horizontal="centerContinuous" vertical="center"/>
    </xf>
    <xf numFmtId="4" fontId="12" fillId="2" borderId="17" xfId="0" applyNumberFormat="1" applyFont="1" applyFill="1" applyBorder="1" applyAlignment="1">
      <alignment horizontal="center" vertical="center"/>
    </xf>
    <xf numFmtId="4" fontId="12" fillId="2" borderId="18" xfId="0" applyNumberFormat="1" applyFont="1" applyFill="1" applyBorder="1" applyAlignment="1"/>
    <xf numFmtId="14" fontId="12" fillId="2" borderId="6" xfId="0" applyNumberFormat="1" applyFont="1" applyFill="1" applyBorder="1" applyAlignment="1">
      <alignment horizontal="center" vertical="center" wrapText="1"/>
    </xf>
    <xf numFmtId="3" fontId="12" fillId="2" borderId="11" xfId="0" applyNumberFormat="1" applyFont="1" applyFill="1" applyBorder="1" applyAlignment="1">
      <alignment horizontal="center" vertical="center" wrapText="1"/>
    </xf>
    <xf numFmtId="3" fontId="12" fillId="2" borderId="11" xfId="0" quotePrefix="1" applyNumberFormat="1" applyFont="1" applyFill="1" applyBorder="1" applyAlignment="1">
      <alignment horizontal="center" vertical="center" wrapText="1"/>
    </xf>
    <xf numFmtId="0" fontId="12" fillId="2" borderId="19" xfId="0" applyFont="1" applyFill="1" applyBorder="1"/>
    <xf numFmtId="4" fontId="12" fillId="2" borderId="20" xfId="0" applyNumberFormat="1" applyFont="1" applyFill="1" applyBorder="1" applyAlignment="1">
      <alignment horizontal="center"/>
    </xf>
    <xf numFmtId="0" fontId="14" fillId="2" borderId="0" xfId="0" applyFont="1" applyFill="1" applyBorder="1" applyAlignment="1">
      <alignment horizontal="center" textRotation="90"/>
    </xf>
    <xf numFmtId="0" fontId="12" fillId="2" borderId="15" xfId="0" applyFont="1" applyFill="1" applyBorder="1"/>
    <xf numFmtId="4" fontId="19" fillId="2" borderId="0" xfId="0" applyNumberFormat="1" applyFont="1" applyFill="1" applyAlignment="1">
      <alignment horizontal="center"/>
    </xf>
    <xf numFmtId="4" fontId="6" fillId="2" borderId="0" xfId="0" applyNumberFormat="1" applyFont="1" applyFill="1" applyAlignment="1">
      <alignment horizontal="center"/>
    </xf>
    <xf numFmtId="0" fontId="36" fillId="2" borderId="0" xfId="7" applyFont="1" applyFill="1"/>
    <xf numFmtId="0" fontId="36" fillId="2" borderId="0" xfId="7" applyFont="1" applyFill="1" applyAlignment="1">
      <alignment horizontal="centerContinuous"/>
    </xf>
    <xf numFmtId="0" fontId="28" fillId="2" borderId="0" xfId="7" applyFont="1" applyFill="1" applyAlignment="1">
      <alignment horizontal="centerContinuous"/>
    </xf>
    <xf numFmtId="0" fontId="36" fillId="2" borderId="0" xfId="7" applyFont="1" applyFill="1" applyBorder="1"/>
    <xf numFmtId="0" fontId="27" fillId="2" borderId="0" xfId="7" applyFont="1" applyFill="1" applyBorder="1"/>
    <xf numFmtId="0" fontId="28" fillId="2" borderId="21" xfId="7" applyFont="1" applyFill="1" applyBorder="1"/>
    <xf numFmtId="0" fontId="28" fillId="2" borderId="22" xfId="7" applyFont="1" applyFill="1" applyBorder="1"/>
    <xf numFmtId="0" fontId="28" fillId="2" borderId="23" xfId="7" applyFont="1" applyFill="1" applyBorder="1"/>
    <xf numFmtId="0" fontId="28" fillId="2" borderId="24" xfId="7" applyFont="1" applyFill="1" applyBorder="1"/>
    <xf numFmtId="0" fontId="28" fillId="2" borderId="0" xfId="7" applyFont="1" applyFill="1" applyBorder="1"/>
    <xf numFmtId="0" fontId="28" fillId="2" borderId="25" xfId="7" applyFont="1" applyFill="1" applyBorder="1"/>
    <xf numFmtId="0" fontId="28" fillId="2" borderId="26" xfId="7" applyFont="1" applyFill="1" applyBorder="1"/>
    <xf numFmtId="0" fontId="28" fillId="2" borderId="27" xfId="7" applyFont="1" applyFill="1" applyBorder="1"/>
    <xf numFmtId="0" fontId="28" fillId="2" borderId="28" xfId="7" applyFont="1" applyFill="1" applyBorder="1"/>
    <xf numFmtId="0" fontId="27" fillId="2" borderId="0" xfId="7" quotePrefix="1" applyFont="1" applyFill="1" applyAlignment="1">
      <alignment horizontal="left"/>
    </xf>
    <xf numFmtId="0" fontId="27" fillId="2" borderId="0" xfId="7" applyFont="1" applyFill="1" applyAlignment="1">
      <alignment horizontal="left"/>
    </xf>
    <xf numFmtId="0" fontId="22" fillId="2" borderId="0" xfId="7" applyFill="1"/>
    <xf numFmtId="0" fontId="31" fillId="2" borderId="0" xfId="7" applyFont="1" applyFill="1"/>
    <xf numFmtId="0" fontId="54" fillId="2" borderId="0" xfId="7" applyFont="1" applyFill="1" applyAlignment="1">
      <alignment horizontal="center"/>
    </xf>
    <xf numFmtId="0" fontId="38" fillId="2" borderId="0" xfId="7" applyFont="1" applyFill="1"/>
    <xf numFmtId="0" fontId="29" fillId="2" borderId="0" xfId="7" applyFont="1" applyFill="1"/>
    <xf numFmtId="0" fontId="28" fillId="2" borderId="29" xfId="7" applyFont="1" applyFill="1" applyBorder="1"/>
    <xf numFmtId="0" fontId="28" fillId="2" borderId="20" xfId="7" applyFont="1" applyFill="1" applyBorder="1"/>
    <xf numFmtId="0" fontId="28" fillId="2" borderId="30" xfId="7" applyFont="1" applyFill="1" applyBorder="1" applyAlignment="1">
      <alignment horizontal="center"/>
    </xf>
    <xf numFmtId="0" fontId="28" fillId="2" borderId="15" xfId="7" applyFont="1" applyFill="1" applyBorder="1"/>
    <xf numFmtId="0" fontId="28" fillId="2" borderId="31" xfId="7" applyFont="1" applyFill="1" applyBorder="1"/>
    <xf numFmtId="0" fontId="28" fillId="2" borderId="32" xfId="7" applyFont="1" applyFill="1" applyBorder="1"/>
    <xf numFmtId="0" fontId="28" fillId="2" borderId="0" xfId="7" applyFont="1" applyFill="1" applyAlignment="1">
      <alignment horizontal="center"/>
    </xf>
    <xf numFmtId="0" fontId="28" fillId="2" borderId="33" xfId="7" applyFont="1" applyFill="1" applyBorder="1" applyAlignment="1">
      <alignment horizontal="center"/>
    </xf>
    <xf numFmtId="0" fontId="28" fillId="2" borderId="34" xfId="7" applyFont="1" applyFill="1" applyBorder="1"/>
    <xf numFmtId="0" fontId="28" fillId="2" borderId="1" xfId="7" applyFont="1" applyFill="1" applyBorder="1"/>
    <xf numFmtId="0" fontId="28" fillId="2" borderId="35" xfId="7" applyFont="1" applyFill="1" applyBorder="1" applyAlignment="1">
      <alignment horizontal="center"/>
    </xf>
    <xf numFmtId="0" fontId="28" fillId="2" borderId="8" xfId="7" applyFont="1" applyFill="1" applyBorder="1"/>
    <xf numFmtId="0" fontId="29" fillId="2" borderId="22" xfId="7" applyFont="1" applyFill="1" applyBorder="1"/>
    <xf numFmtId="0" fontId="29" fillId="2" borderId="16" xfId="7" applyFont="1" applyFill="1" applyBorder="1"/>
    <xf numFmtId="0" fontId="29" fillId="2" borderId="36" xfId="7" applyFont="1" applyFill="1" applyBorder="1"/>
    <xf numFmtId="0" fontId="28" fillId="2" borderId="37" xfId="7" applyFont="1" applyFill="1" applyBorder="1"/>
    <xf numFmtId="0" fontId="38" fillId="2" borderId="16" xfId="7" applyFont="1" applyFill="1" applyBorder="1"/>
    <xf numFmtId="0" fontId="29" fillId="2" borderId="0" xfId="7" applyFont="1" applyFill="1" applyBorder="1"/>
    <xf numFmtId="4" fontId="28" fillId="2" borderId="0" xfId="7" applyNumberFormat="1" applyFont="1" applyFill="1" applyBorder="1"/>
    <xf numFmtId="0" fontId="38" fillId="2" borderId="0" xfId="7" applyFont="1" applyFill="1" applyBorder="1"/>
    <xf numFmtId="0" fontId="29" fillId="2" borderId="15" xfId="7" applyFont="1" applyFill="1" applyBorder="1" applyAlignment="1">
      <alignment horizontal="centerContinuous"/>
    </xf>
    <xf numFmtId="0" fontId="29" fillId="2" borderId="38" xfId="7" applyFont="1" applyFill="1" applyBorder="1" applyAlignment="1">
      <alignment horizontal="centerContinuous"/>
    </xf>
    <xf numFmtId="0" fontId="29" fillId="2" borderId="31" xfId="7" applyFont="1" applyFill="1" applyBorder="1" applyAlignment="1">
      <alignment horizontal="centerContinuous"/>
    </xf>
    <xf numFmtId="0" fontId="28" fillId="2" borderId="39" xfId="7" applyFont="1" applyFill="1" applyBorder="1"/>
    <xf numFmtId="0" fontId="29" fillId="2" borderId="30" xfId="7" applyFont="1" applyFill="1" applyBorder="1" applyAlignment="1">
      <alignment horizontal="center"/>
    </xf>
    <xf numFmtId="0" fontId="38" fillId="2" borderId="39" xfId="7" applyFont="1" applyFill="1" applyBorder="1"/>
    <xf numFmtId="0" fontId="29" fillId="2" borderId="35" xfId="7" applyFont="1" applyFill="1" applyBorder="1"/>
    <xf numFmtId="0" fontId="38" fillId="2" borderId="14" xfId="7" applyFont="1" applyFill="1" applyBorder="1"/>
    <xf numFmtId="0" fontId="29" fillId="2" borderId="40" xfId="7" applyFont="1" applyFill="1" applyBorder="1"/>
    <xf numFmtId="0" fontId="39" fillId="2" borderId="32" xfId="7" applyFont="1" applyFill="1" applyBorder="1"/>
    <xf numFmtId="0" fontId="40" fillId="2" borderId="0" xfId="7" applyFont="1" applyFill="1" applyBorder="1"/>
    <xf numFmtId="4" fontId="40" fillId="2" borderId="33" xfId="7" applyNumberFormat="1" applyFont="1" applyFill="1" applyBorder="1"/>
    <xf numFmtId="0" fontId="40" fillId="2" borderId="0" xfId="7" applyFont="1" applyFill="1"/>
    <xf numFmtId="4" fontId="29" fillId="2" borderId="33" xfId="7" applyNumberFormat="1" applyFont="1" applyFill="1" applyBorder="1"/>
    <xf numFmtId="4" fontId="29" fillId="2" borderId="0" xfId="7" applyNumberFormat="1" applyFont="1" applyFill="1"/>
    <xf numFmtId="0" fontId="28" fillId="2" borderId="41" xfId="7" applyFont="1" applyFill="1" applyBorder="1"/>
    <xf numFmtId="0" fontId="38" fillId="2" borderId="22" xfId="7" applyFont="1" applyFill="1" applyBorder="1"/>
    <xf numFmtId="4" fontId="40" fillId="2" borderId="0" xfId="7" applyNumberFormat="1" applyFont="1" applyFill="1"/>
    <xf numFmtId="0" fontId="28" fillId="2" borderId="42" xfId="7" applyFont="1" applyFill="1" applyBorder="1"/>
    <xf numFmtId="4" fontId="29" fillId="2" borderId="43" xfId="7" applyNumberFormat="1" applyFont="1" applyFill="1" applyBorder="1"/>
    <xf numFmtId="0" fontId="38" fillId="2" borderId="44" xfId="7" applyFont="1" applyFill="1" applyBorder="1"/>
    <xf numFmtId="4" fontId="29" fillId="2" borderId="30" xfId="7" applyNumberFormat="1" applyFont="1" applyFill="1" applyBorder="1"/>
    <xf numFmtId="0" fontId="29" fillId="2" borderId="0" xfId="7" applyFont="1" applyFill="1" applyBorder="1" applyAlignment="1">
      <alignment horizontal="center"/>
    </xf>
    <xf numFmtId="0" fontId="38" fillId="2" borderId="44" xfId="7" applyFont="1" applyFill="1" applyBorder="1" applyAlignment="1">
      <alignment horizontal="center"/>
    </xf>
    <xf numFmtId="0" fontId="39" fillId="2" borderId="34" xfId="7" applyFont="1" applyFill="1" applyBorder="1"/>
    <xf numFmtId="0" fontId="40" fillId="2" borderId="1" xfId="7" applyFont="1" applyFill="1" applyBorder="1" applyAlignment="1">
      <alignment horizontal="center"/>
    </xf>
    <xf numFmtId="4" fontId="40" fillId="2" borderId="35" xfId="7" applyNumberFormat="1" applyFont="1" applyFill="1" applyBorder="1"/>
    <xf numFmtId="0" fontId="40" fillId="2" borderId="1" xfId="7" applyFont="1" applyFill="1" applyBorder="1"/>
    <xf numFmtId="0" fontId="38" fillId="2" borderId="0" xfId="7" applyFont="1" applyFill="1" applyBorder="1" applyAlignment="1">
      <alignment horizontal="center"/>
    </xf>
    <xf numFmtId="0" fontId="39" fillId="2" borderId="45" xfId="7" applyFont="1" applyFill="1" applyBorder="1"/>
    <xf numFmtId="0" fontId="40" fillId="2" borderId="16" xfId="7" applyFont="1" applyFill="1" applyBorder="1"/>
    <xf numFmtId="0" fontId="9" fillId="2" borderId="0" xfId="0" applyFont="1" applyFill="1"/>
    <xf numFmtId="0" fontId="9" fillId="2" borderId="0" xfId="0" applyFont="1" applyFill="1" applyAlignment="1">
      <alignment horizontal="center"/>
    </xf>
    <xf numFmtId="0" fontId="14" fillId="2" borderId="0" xfId="0" applyFont="1" applyFill="1" applyAlignment="1">
      <alignment horizontal="center"/>
    </xf>
    <xf numFmtId="0" fontId="51" fillId="2" borderId="0" xfId="0" applyFont="1" applyFill="1" applyAlignment="1">
      <alignment horizontal="centerContinuous"/>
    </xf>
    <xf numFmtId="0" fontId="14" fillId="2" borderId="0" xfId="0" applyFont="1" applyFill="1" applyAlignment="1">
      <alignment horizontal="centerContinuous"/>
    </xf>
    <xf numFmtId="0" fontId="9" fillId="2" borderId="46" xfId="0" applyFont="1" applyFill="1" applyBorder="1" applyAlignment="1">
      <alignment horizontal="center" vertical="center"/>
    </xf>
    <xf numFmtId="0" fontId="9" fillId="2" borderId="46" xfId="0" applyFont="1" applyFill="1" applyBorder="1" applyAlignment="1">
      <alignment horizontal="centerContinuous" vertical="center" wrapText="1"/>
    </xf>
    <xf numFmtId="0" fontId="9" fillId="2" borderId="46" xfId="0" applyFont="1" applyFill="1" applyBorder="1" applyAlignment="1">
      <alignment horizontal="center" vertical="center" wrapText="1"/>
    </xf>
    <xf numFmtId="0" fontId="9" fillId="2" borderId="0" xfId="0" applyFont="1" applyFill="1" applyAlignment="1">
      <alignment horizontal="center" vertical="center"/>
    </xf>
    <xf numFmtId="0" fontId="9" fillId="2" borderId="6" xfId="0" applyFont="1" applyFill="1" applyBorder="1" applyAlignment="1">
      <alignment horizontal="center"/>
    </xf>
    <xf numFmtId="0" fontId="9" fillId="2" borderId="6" xfId="0" applyFont="1" applyFill="1" applyBorder="1"/>
    <xf numFmtId="0" fontId="9" fillId="2" borderId="0" xfId="0" applyFont="1" applyFill="1" applyBorder="1"/>
    <xf numFmtId="0" fontId="9" fillId="2" borderId="6" xfId="0" applyFont="1" applyFill="1" applyBorder="1" applyAlignment="1">
      <alignment horizontal="center" vertical="top"/>
    </xf>
    <xf numFmtId="0" fontId="9" fillId="2" borderId="6" xfId="0" applyFont="1" applyFill="1" applyBorder="1" applyAlignment="1">
      <alignment vertical="top"/>
    </xf>
    <xf numFmtId="0" fontId="9" fillId="2" borderId="46" xfId="0" applyFont="1" applyFill="1" applyBorder="1" applyAlignment="1">
      <alignment horizontal="center" vertical="top"/>
    </xf>
    <xf numFmtId="0" fontId="14" fillId="2" borderId="46" xfId="0" applyFont="1" applyFill="1" applyBorder="1" applyAlignment="1">
      <alignment vertical="top"/>
    </xf>
    <xf numFmtId="0" fontId="49" fillId="2" borderId="0" xfId="0" quotePrefix="1" applyFont="1" applyFill="1" applyAlignment="1">
      <alignment horizontal="center"/>
    </xf>
    <xf numFmtId="0" fontId="49" fillId="2" borderId="0" xfId="0" applyFont="1" applyFill="1"/>
    <xf numFmtId="0" fontId="49" fillId="2" borderId="0" xfId="0" applyFont="1" applyFill="1" applyAlignment="1">
      <alignment horizontal="center"/>
    </xf>
    <xf numFmtId="0" fontId="3" fillId="2" borderId="0" xfId="0" applyFont="1" applyFill="1" applyAlignment="1">
      <alignment horizontal="left"/>
    </xf>
    <xf numFmtId="0" fontId="2" fillId="2" borderId="0" xfId="0" applyFont="1" applyFill="1" applyAlignment="1">
      <alignment horizontal="left"/>
    </xf>
    <xf numFmtId="0" fontId="14" fillId="2" borderId="5" xfId="0" applyFont="1" applyFill="1" applyBorder="1" applyAlignment="1">
      <alignment horizontal="center"/>
    </xf>
    <xf numFmtId="0" fontId="14" fillId="2" borderId="23" xfId="0" applyFont="1" applyFill="1" applyBorder="1" applyAlignment="1">
      <alignment horizontal="center"/>
    </xf>
    <xf numFmtId="0" fontId="9" fillId="2" borderId="0" xfId="0" applyFont="1" applyFill="1" applyBorder="1" applyAlignment="1">
      <alignment horizontal="center"/>
    </xf>
    <xf numFmtId="0" fontId="14" fillId="2" borderId="6" xfId="0" applyFont="1" applyFill="1" applyBorder="1" applyAlignment="1">
      <alignment horizontal="center"/>
    </xf>
    <xf numFmtId="0" fontId="14" fillId="2" borderId="25" xfId="0" applyFont="1" applyFill="1" applyBorder="1" applyAlignment="1">
      <alignment horizontal="center"/>
    </xf>
    <xf numFmtId="0" fontId="14" fillId="2" borderId="3" xfId="0" applyFont="1" applyFill="1" applyBorder="1" applyAlignment="1">
      <alignment horizontal="center"/>
    </xf>
    <xf numFmtId="0" fontId="14" fillId="2" borderId="28" xfId="0" applyFont="1" applyFill="1" applyBorder="1" applyAlignment="1">
      <alignment horizontal="center"/>
    </xf>
    <xf numFmtId="0" fontId="14" fillId="2" borderId="25" xfId="0" applyFont="1" applyFill="1" applyBorder="1"/>
    <xf numFmtId="0" fontId="9" fillId="2" borderId="25" xfId="0" applyFont="1" applyFill="1" applyBorder="1"/>
    <xf numFmtId="0" fontId="9" fillId="2" borderId="28" xfId="0" applyFont="1" applyFill="1" applyBorder="1"/>
    <xf numFmtId="0" fontId="9" fillId="2" borderId="5" xfId="0" applyFont="1" applyFill="1" applyBorder="1"/>
    <xf numFmtId="0" fontId="14" fillId="2" borderId="23" xfId="0" applyFont="1" applyFill="1" applyBorder="1"/>
    <xf numFmtId="0" fontId="9" fillId="2" borderId="3" xfId="0" applyFont="1" applyFill="1" applyBorder="1"/>
    <xf numFmtId="18" fontId="9" fillId="2" borderId="6" xfId="0" applyNumberFormat="1" applyFont="1" applyFill="1" applyBorder="1" applyAlignment="1">
      <alignment horizontal="right"/>
    </xf>
    <xf numFmtId="0" fontId="9" fillId="2" borderId="6" xfId="0" applyFont="1" applyFill="1" applyBorder="1" applyAlignment="1">
      <alignment horizontal="right"/>
    </xf>
    <xf numFmtId="0" fontId="9" fillId="2" borderId="3" xfId="0" applyFont="1" applyFill="1" applyBorder="1" applyAlignment="1">
      <alignment horizontal="right"/>
    </xf>
    <xf numFmtId="0" fontId="14" fillId="2" borderId="28" xfId="0" applyFont="1" applyFill="1" applyBorder="1"/>
    <xf numFmtId="0" fontId="9" fillId="2" borderId="46" xfId="0" applyFont="1" applyFill="1" applyBorder="1"/>
    <xf numFmtId="0" fontId="14" fillId="2" borderId="47" xfId="0" applyFont="1" applyFill="1" applyBorder="1"/>
    <xf numFmtId="0" fontId="48" fillId="2" borderId="0" xfId="0" applyFont="1" applyFill="1"/>
    <xf numFmtId="0" fontId="49" fillId="2" borderId="0" xfId="0" quotePrefix="1" applyFont="1" applyFill="1" applyAlignment="1">
      <alignment horizontal="left"/>
    </xf>
    <xf numFmtId="0" fontId="50" fillId="2" borderId="0" xfId="0" applyFont="1" applyFill="1"/>
    <xf numFmtId="0" fontId="49" fillId="2" borderId="48" xfId="0" applyFont="1" applyFill="1" applyBorder="1"/>
    <xf numFmtId="0" fontId="49" fillId="2" borderId="48" xfId="0" quotePrefix="1" applyFont="1" applyFill="1" applyBorder="1" applyAlignment="1">
      <alignment horizontal="left"/>
    </xf>
    <xf numFmtId="0" fontId="8" fillId="2" borderId="0" xfId="0" applyFont="1" applyFill="1"/>
    <xf numFmtId="0" fontId="49" fillId="2" borderId="0" xfId="0" applyFont="1" applyFill="1" applyBorder="1"/>
    <xf numFmtId="0" fontId="27" fillId="2" borderId="0" xfId="7" applyFont="1" applyFill="1" applyAlignment="1">
      <alignment horizontal="centerContinuous"/>
    </xf>
    <xf numFmtId="0" fontId="27" fillId="2" borderId="40" xfId="7" applyFont="1" applyFill="1" applyBorder="1" applyAlignment="1">
      <alignment horizontal="center"/>
    </xf>
    <xf numFmtId="0" fontId="27" fillId="2" borderId="16" xfId="7" applyFont="1" applyFill="1" applyBorder="1" applyAlignment="1">
      <alignment horizontal="center"/>
    </xf>
    <xf numFmtId="0" fontId="22" fillId="2" borderId="0" xfId="7" applyFill="1" applyAlignment="1">
      <alignment horizontal="centerContinuous"/>
    </xf>
    <xf numFmtId="0" fontId="28" fillId="2" borderId="0" xfId="7" applyFont="1" applyFill="1" applyAlignment="1">
      <alignment horizontal="right"/>
    </xf>
    <xf numFmtId="0" fontId="27" fillId="2" borderId="5" xfId="7" applyFont="1" applyFill="1" applyBorder="1" applyAlignment="1">
      <alignment horizontal="center"/>
    </xf>
    <xf numFmtId="0" fontId="27" fillId="2" borderId="23" xfId="7" applyFont="1" applyFill="1" applyBorder="1" applyAlignment="1">
      <alignment horizontal="center"/>
    </xf>
    <xf numFmtId="0" fontId="27" fillId="2" borderId="6" xfId="7" applyFont="1" applyFill="1" applyBorder="1" applyAlignment="1">
      <alignment horizontal="center"/>
    </xf>
    <xf numFmtId="0" fontId="27" fillId="2" borderId="25" xfId="7" applyFont="1" applyFill="1" applyBorder="1" applyAlignment="1">
      <alignment horizontal="center"/>
    </xf>
    <xf numFmtId="0" fontId="27" fillId="2" borderId="3" xfId="7" applyFont="1" applyFill="1" applyBorder="1" applyAlignment="1">
      <alignment horizontal="center"/>
    </xf>
    <xf numFmtId="0" fontId="27" fillId="2" borderId="28" xfId="7" applyFont="1" applyFill="1" applyBorder="1" applyAlignment="1">
      <alignment horizontal="center"/>
    </xf>
    <xf numFmtId="0" fontId="28" fillId="2" borderId="6" xfId="7" applyFont="1" applyFill="1" applyBorder="1"/>
    <xf numFmtId="0" fontId="28" fillId="2" borderId="3" xfId="7" applyFont="1" applyFill="1" applyBorder="1"/>
    <xf numFmtId="0" fontId="26" fillId="2" borderId="46" xfId="7" applyFont="1" applyFill="1" applyBorder="1"/>
    <xf numFmtId="0" fontId="37" fillId="2" borderId="0" xfId="7" applyFont="1" applyFill="1" applyAlignment="1">
      <alignment horizontal="right"/>
    </xf>
    <xf numFmtId="0" fontId="26" fillId="2" borderId="21" xfId="7" applyFont="1" applyFill="1" applyBorder="1" applyAlignment="1">
      <alignment horizontal="center"/>
    </xf>
    <xf numFmtId="0" fontId="26" fillId="2" borderId="5" xfId="7" applyFont="1" applyFill="1" applyBorder="1" applyAlignment="1">
      <alignment horizontal="center"/>
    </xf>
    <xf numFmtId="0" fontId="26" fillId="2" borderId="0" xfId="7" applyFont="1" applyFill="1"/>
    <xf numFmtId="0" fontId="36" fillId="2" borderId="26" xfId="7" applyFont="1" applyFill="1" applyBorder="1"/>
    <xf numFmtId="0" fontId="26" fillId="2" borderId="21" xfId="7" applyFont="1" applyFill="1" applyBorder="1"/>
    <xf numFmtId="0" fontId="26" fillId="2" borderId="6" xfId="7" applyFont="1" applyFill="1" applyBorder="1"/>
    <xf numFmtId="0" fontId="28" fillId="2" borderId="6" xfId="7" applyFont="1" applyFill="1" applyBorder="1" applyAlignment="1">
      <alignment horizontal="left" wrapText="1"/>
    </xf>
    <xf numFmtId="0" fontId="28" fillId="2" borderId="6" xfId="7" applyFont="1" applyFill="1" applyBorder="1" applyAlignment="1">
      <alignment horizontal="left"/>
    </xf>
    <xf numFmtId="0" fontId="28" fillId="2" borderId="6" xfId="7" applyFont="1" applyFill="1" applyBorder="1" applyAlignment="1">
      <alignment horizontal="left" vertical="center" wrapText="1"/>
    </xf>
    <xf numFmtId="0" fontId="28" fillId="2" borderId="0" xfId="7" applyFont="1" applyFill="1" applyBorder="1" applyAlignment="1">
      <alignment horizontal="center" vertical="center" wrapText="1"/>
    </xf>
    <xf numFmtId="0" fontId="26" fillId="2" borderId="6" xfId="7" applyFont="1" applyFill="1" applyBorder="1" applyAlignment="1">
      <alignment horizontal="left"/>
    </xf>
    <xf numFmtId="0" fontId="28" fillId="2" borderId="3" xfId="7" applyFont="1" applyFill="1" applyBorder="1" applyAlignment="1">
      <alignment vertical="top"/>
    </xf>
    <xf numFmtId="0" fontId="27" fillId="2" borderId="5" xfId="7" applyFont="1" applyFill="1" applyBorder="1"/>
    <xf numFmtId="0" fontId="27" fillId="2" borderId="47" xfId="7" applyFont="1" applyFill="1" applyBorder="1" applyAlignment="1">
      <alignment horizontal="center"/>
    </xf>
    <xf numFmtId="0" fontId="27" fillId="2" borderId="23" xfId="7" applyFont="1" applyFill="1" applyBorder="1"/>
    <xf numFmtId="0" fontId="27" fillId="2" borderId="6" xfId="7" applyFont="1" applyFill="1" applyBorder="1"/>
    <xf numFmtId="0" fontId="27" fillId="2" borderId="25" xfId="7" applyFont="1" applyFill="1" applyBorder="1"/>
    <xf numFmtId="4" fontId="28" fillId="2" borderId="25" xfId="7" applyNumberFormat="1" applyFont="1" applyFill="1" applyBorder="1"/>
    <xf numFmtId="4" fontId="27" fillId="2" borderId="25" xfId="7" applyNumberFormat="1" applyFont="1" applyFill="1" applyBorder="1"/>
    <xf numFmtId="0" fontId="22" fillId="2" borderId="6" xfId="7" applyFill="1" applyBorder="1"/>
    <xf numFmtId="165" fontId="27" fillId="2" borderId="49" xfId="2" applyFont="1" applyFill="1" applyBorder="1"/>
    <xf numFmtId="4" fontId="27" fillId="2" borderId="28" xfId="7" applyNumberFormat="1" applyFont="1" applyFill="1" applyBorder="1" applyAlignment="1">
      <alignment horizontal="center"/>
    </xf>
    <xf numFmtId="4" fontId="28" fillId="2" borderId="0" xfId="7" applyNumberFormat="1" applyFont="1" applyFill="1"/>
    <xf numFmtId="0" fontId="46" fillId="2" borderId="0" xfId="7" applyFont="1" applyFill="1"/>
    <xf numFmtId="0" fontId="39" fillId="2" borderId="0" xfId="7" applyFont="1" applyFill="1" applyAlignment="1">
      <alignment horizontal="centerContinuous"/>
    </xf>
    <xf numFmtId="0" fontId="44" fillId="2" borderId="0" xfId="7" applyFont="1" applyFill="1" applyAlignment="1">
      <alignment horizontal="centerContinuous"/>
    </xf>
    <xf numFmtId="0" fontId="44" fillId="2" borderId="23" xfId="7" applyFont="1" applyFill="1" applyBorder="1"/>
    <xf numFmtId="0" fontId="44" fillId="2" borderId="5" xfId="7" applyFont="1" applyFill="1" applyBorder="1"/>
    <xf numFmtId="0" fontId="44" fillId="2" borderId="26" xfId="7" applyFont="1" applyFill="1" applyBorder="1"/>
    <xf numFmtId="0" fontId="44" fillId="2" borderId="28" xfId="7" applyFont="1" applyFill="1" applyBorder="1"/>
    <xf numFmtId="0" fontId="39" fillId="2" borderId="28" xfId="7" applyFont="1" applyFill="1" applyBorder="1"/>
    <xf numFmtId="0" fontId="43" fillId="2" borderId="0" xfId="0" applyFont="1" applyFill="1"/>
    <xf numFmtId="0" fontId="28" fillId="2" borderId="0" xfId="7" quotePrefix="1" applyFont="1" applyFill="1" applyAlignment="1">
      <alignment horizontal="left"/>
    </xf>
    <xf numFmtId="165" fontId="27" fillId="2" borderId="47" xfId="2" applyFont="1" applyFill="1" applyBorder="1"/>
    <xf numFmtId="165" fontId="44" fillId="2" borderId="25" xfId="2" applyFont="1" applyFill="1" applyBorder="1"/>
    <xf numFmtId="0" fontId="27" fillId="2" borderId="3" xfId="7" applyFont="1" applyFill="1" applyBorder="1"/>
    <xf numFmtId="4" fontId="43" fillId="2" borderId="0" xfId="0" applyNumberFormat="1" applyFont="1" applyFill="1"/>
    <xf numFmtId="0" fontId="39" fillId="2" borderId="0" xfId="7" applyFont="1" applyFill="1" applyAlignment="1">
      <alignment horizontal="center"/>
    </xf>
    <xf numFmtId="0" fontId="39" fillId="2" borderId="46" xfId="7" applyFont="1" applyFill="1" applyBorder="1"/>
    <xf numFmtId="0" fontId="39" fillId="2" borderId="47" xfId="7" applyFont="1" applyFill="1" applyBorder="1"/>
    <xf numFmtId="0" fontId="39" fillId="2" borderId="6" xfId="7" applyFont="1" applyFill="1" applyBorder="1"/>
    <xf numFmtId="0" fontId="44" fillId="2" borderId="25" xfId="7" applyFont="1" applyFill="1" applyBorder="1"/>
    <xf numFmtId="0" fontId="44" fillId="2" borderId="6" xfId="7" applyFont="1" applyFill="1" applyBorder="1"/>
    <xf numFmtId="0" fontId="44" fillId="2" borderId="3" xfId="7" applyFont="1" applyFill="1" applyBorder="1"/>
    <xf numFmtId="4" fontId="44" fillId="2" borderId="0" xfId="7" applyNumberFormat="1" applyFont="1" applyFill="1" applyBorder="1"/>
    <xf numFmtId="0" fontId="44" fillId="2" borderId="0" xfId="7" applyFont="1" applyFill="1" applyBorder="1"/>
    <xf numFmtId="0" fontId="44" fillId="2" borderId="21" xfId="7" applyFont="1" applyFill="1" applyBorder="1"/>
    <xf numFmtId="0" fontId="25" fillId="2" borderId="0" xfId="7" applyFont="1" applyFill="1"/>
    <xf numFmtId="0" fontId="25" fillId="2" borderId="0" xfId="7" applyFont="1" applyFill="1" applyAlignment="1">
      <alignment horizontal="centerContinuous"/>
    </xf>
    <xf numFmtId="0" fontId="31" fillId="2" borderId="0" xfId="7" applyFont="1" applyFill="1" applyAlignment="1">
      <alignment horizontal="centerContinuous"/>
    </xf>
    <xf numFmtId="0" fontId="32" fillId="2" borderId="0" xfId="7" applyFont="1" applyFill="1" applyAlignment="1">
      <alignment horizontal="centerContinuous"/>
    </xf>
    <xf numFmtId="0" fontId="32" fillId="2" borderId="0" xfId="7" applyFont="1" applyFill="1"/>
    <xf numFmtId="0" fontId="25" fillId="2" borderId="0" xfId="7" applyFont="1" applyFill="1" applyAlignment="1">
      <alignment horizontal="right"/>
    </xf>
    <xf numFmtId="14" fontId="25" fillId="2" borderId="0" xfId="7" quotePrefix="1" applyNumberFormat="1" applyFont="1" applyFill="1" applyAlignment="1">
      <alignment horizontal="left"/>
    </xf>
    <xf numFmtId="0" fontId="26" fillId="2" borderId="46" xfId="7" applyFont="1" applyFill="1" applyBorder="1" applyAlignment="1">
      <alignment horizontal="center"/>
    </xf>
    <xf numFmtId="0" fontId="26" fillId="2" borderId="47" xfId="7" applyFont="1" applyFill="1" applyBorder="1" applyAlignment="1">
      <alignment horizontal="center"/>
    </xf>
    <xf numFmtId="0" fontId="25" fillId="2" borderId="6" xfId="7" applyFont="1" applyFill="1" applyBorder="1"/>
    <xf numFmtId="165" fontId="33" fillId="2" borderId="46" xfId="2" applyFont="1" applyFill="1" applyBorder="1" applyAlignment="1">
      <alignment horizontal="right"/>
    </xf>
    <xf numFmtId="2" fontId="25" fillId="2" borderId="0" xfId="7" applyNumberFormat="1" applyFont="1" applyFill="1"/>
    <xf numFmtId="165" fontId="25" fillId="2" borderId="6" xfId="2" applyFont="1" applyFill="1" applyBorder="1"/>
    <xf numFmtId="165" fontId="22" fillId="2" borderId="6" xfId="2" applyFont="1" applyFill="1" applyBorder="1"/>
    <xf numFmtId="0" fontId="25" fillId="2" borderId="6" xfId="7" applyFont="1" applyFill="1" applyBorder="1" applyAlignment="1">
      <alignment horizontal="left"/>
    </xf>
    <xf numFmtId="0" fontId="25" fillId="2" borderId="6" xfId="7" quotePrefix="1" applyFont="1" applyFill="1" applyBorder="1" applyAlignment="1">
      <alignment horizontal="left"/>
    </xf>
    <xf numFmtId="0" fontId="26" fillId="2" borderId="6" xfId="7" quotePrefix="1" applyFont="1" applyFill="1" applyBorder="1" applyAlignment="1">
      <alignment horizontal="left"/>
    </xf>
    <xf numFmtId="165" fontId="25" fillId="2" borderId="6" xfId="2" applyFont="1" applyFill="1" applyBorder="1" applyAlignment="1">
      <alignment horizontal="center"/>
    </xf>
    <xf numFmtId="165" fontId="25" fillId="2" borderId="25" xfId="2" applyFont="1" applyFill="1" applyBorder="1"/>
    <xf numFmtId="4" fontId="25" fillId="2" borderId="0" xfId="7" applyNumberFormat="1" applyFont="1" applyFill="1"/>
    <xf numFmtId="0" fontId="26" fillId="2" borderId="3" xfId="7" quotePrefix="1" applyFont="1" applyFill="1" applyBorder="1" applyAlignment="1">
      <alignment horizontal="center"/>
    </xf>
    <xf numFmtId="165" fontId="25" fillId="2" borderId="51" xfId="2" applyFont="1" applyFill="1" applyBorder="1"/>
    <xf numFmtId="165" fontId="25" fillId="2" borderId="52" xfId="2" applyFont="1" applyFill="1" applyBorder="1"/>
    <xf numFmtId="165" fontId="25" fillId="2" borderId="53" xfId="2" applyFont="1" applyFill="1" applyBorder="1"/>
    <xf numFmtId="165" fontId="25" fillId="2" borderId="49" xfId="2" applyFont="1" applyFill="1" applyBorder="1"/>
    <xf numFmtId="0" fontId="25" fillId="2" borderId="3" xfId="7" quotePrefix="1" applyFont="1" applyFill="1" applyBorder="1" applyAlignment="1">
      <alignment horizontal="left"/>
    </xf>
    <xf numFmtId="165" fontId="25" fillId="2" borderId="54" xfId="2" applyFont="1" applyFill="1" applyBorder="1"/>
    <xf numFmtId="0" fontId="25" fillId="2" borderId="3" xfId="7" applyFont="1" applyFill="1" applyBorder="1"/>
    <xf numFmtId="0" fontId="34" fillId="2" borderId="0" xfId="7" applyFont="1" applyFill="1"/>
    <xf numFmtId="0" fontId="34" fillId="2" borderId="0" xfId="7" applyFont="1" applyFill="1" applyAlignment="1">
      <alignment horizontal="centerContinuous"/>
    </xf>
    <xf numFmtId="0" fontId="25" fillId="2" borderId="0" xfId="7" quotePrefix="1" applyFont="1" applyFill="1" applyAlignment="1">
      <alignment horizontal="left"/>
    </xf>
    <xf numFmtId="0" fontId="26" fillId="2" borderId="23" xfId="7" applyFont="1" applyFill="1" applyBorder="1" applyAlignment="1">
      <alignment horizontal="center"/>
    </xf>
    <xf numFmtId="0" fontId="26" fillId="2" borderId="6" xfId="7" applyFont="1" applyFill="1" applyBorder="1" applyAlignment="1">
      <alignment horizontal="center"/>
    </xf>
    <xf numFmtId="0" fontId="26" fillId="2" borderId="25" xfId="7" applyFont="1" applyFill="1" applyBorder="1" applyAlignment="1">
      <alignment horizontal="center"/>
    </xf>
    <xf numFmtId="0" fontId="26" fillId="2" borderId="3" xfId="7" applyFont="1" applyFill="1" applyBorder="1" applyAlignment="1">
      <alignment horizontal="center"/>
    </xf>
    <xf numFmtId="0" fontId="1" fillId="2" borderId="0" xfId="0" applyFont="1" applyFill="1"/>
    <xf numFmtId="0" fontId="39" fillId="2" borderId="5" xfId="7" applyFont="1" applyFill="1" applyBorder="1"/>
    <xf numFmtId="0" fontId="39" fillId="2" borderId="23" xfId="7" applyFont="1" applyFill="1" applyBorder="1"/>
    <xf numFmtId="0" fontId="39" fillId="2" borderId="25" xfId="7" applyFont="1" applyFill="1" applyBorder="1"/>
    <xf numFmtId="0" fontId="39" fillId="2" borderId="3" xfId="7" applyFont="1" applyFill="1" applyBorder="1"/>
    <xf numFmtId="0" fontId="39" fillId="2" borderId="5" xfId="7" applyFont="1" applyFill="1" applyBorder="1" applyAlignment="1">
      <alignment horizontal="center"/>
    </xf>
    <xf numFmtId="0" fontId="39" fillId="2" borderId="0" xfId="0" applyFont="1" applyFill="1"/>
    <xf numFmtId="0" fontId="39" fillId="2" borderId="6" xfId="7" quotePrefix="1" applyFont="1" applyFill="1" applyBorder="1" applyAlignment="1">
      <alignment horizontal="center"/>
    </xf>
    <xf numFmtId="0" fontId="39" fillId="2" borderId="6" xfId="7" applyFont="1" applyFill="1" applyBorder="1" applyAlignment="1">
      <alignment horizontal="center"/>
    </xf>
    <xf numFmtId="0" fontId="39" fillId="2" borderId="3" xfId="7" applyFont="1" applyFill="1" applyBorder="1" applyAlignment="1">
      <alignment horizontal="center"/>
    </xf>
    <xf numFmtId="0" fontId="44" fillId="3" borderId="23" xfId="7" applyFont="1" applyFill="1" applyBorder="1"/>
    <xf numFmtId="0" fontId="44" fillId="3" borderId="25" xfId="7" applyFont="1" applyFill="1" applyBorder="1"/>
    <xf numFmtId="0" fontId="44" fillId="3" borderId="28" xfId="7" applyFont="1" applyFill="1" applyBorder="1"/>
    <xf numFmtId="0" fontId="39" fillId="2" borderId="46" xfId="7" applyFont="1" applyFill="1" applyBorder="1" applyAlignment="1">
      <alignment horizontal="center" wrapText="1"/>
    </xf>
    <xf numFmtId="4" fontId="44" fillId="2" borderId="0" xfId="7" applyNumberFormat="1" applyFont="1" applyFill="1"/>
    <xf numFmtId="0" fontId="40" fillId="2" borderId="46" xfId="7" applyFont="1" applyFill="1" applyBorder="1"/>
    <xf numFmtId="0" fontId="40" fillId="2" borderId="46" xfId="7" applyFont="1" applyFill="1" applyBorder="1" applyAlignment="1">
      <alignment horizontal="center" wrapText="1"/>
    </xf>
    <xf numFmtId="0" fontId="47" fillId="2" borderId="5" xfId="7" applyFont="1" applyFill="1" applyBorder="1"/>
    <xf numFmtId="0" fontId="47" fillId="2" borderId="6" xfId="7" applyFont="1" applyFill="1" applyBorder="1"/>
    <xf numFmtId="0" fontId="47" fillId="2" borderId="3" xfId="7" applyFont="1" applyFill="1" applyBorder="1"/>
    <xf numFmtId="0" fontId="26" fillId="2" borderId="22" xfId="7" applyFont="1" applyFill="1" applyBorder="1" applyAlignment="1">
      <alignment horizontal="center"/>
    </xf>
    <xf numFmtId="0" fontId="26" fillId="2" borderId="50" xfId="7" applyFont="1" applyFill="1" applyBorder="1" applyAlignment="1">
      <alignment horizontal="center"/>
    </xf>
    <xf numFmtId="0" fontId="26" fillId="2" borderId="36" xfId="7" applyFont="1" applyFill="1" applyBorder="1" applyAlignment="1">
      <alignment horizontal="center"/>
    </xf>
    <xf numFmtId="0" fontId="26" fillId="2" borderId="28" xfId="7" applyFont="1" applyFill="1" applyBorder="1" applyAlignment="1">
      <alignment horizontal="center"/>
    </xf>
    <xf numFmtId="0" fontId="26" fillId="2" borderId="46" xfId="7" quotePrefix="1" applyFont="1" applyFill="1" applyBorder="1" applyAlignment="1">
      <alignment horizontal="center"/>
    </xf>
    <xf numFmtId="0" fontId="28" fillId="2" borderId="6" xfId="7" quotePrefix="1" applyFont="1" applyFill="1" applyBorder="1" applyAlignment="1">
      <alignment horizontal="left"/>
    </xf>
    <xf numFmtId="0" fontId="0" fillId="2" borderId="6" xfId="0" applyFill="1" applyBorder="1"/>
    <xf numFmtId="4" fontId="27" fillId="2" borderId="46" xfId="7" applyNumberFormat="1" applyFont="1" applyFill="1" applyBorder="1" applyAlignment="1">
      <alignment horizontal="left"/>
    </xf>
    <xf numFmtId="0" fontId="1" fillId="2" borderId="0" xfId="0" applyFont="1" applyFill="1" applyAlignment="1">
      <alignment horizontal="right"/>
    </xf>
    <xf numFmtId="0" fontId="27" fillId="2" borderId="3" xfId="7" applyFont="1" applyFill="1" applyBorder="1" applyAlignment="1">
      <alignment horizontal="left"/>
    </xf>
    <xf numFmtId="4" fontId="0" fillId="2" borderId="0" xfId="0" applyNumberFormat="1" applyFill="1"/>
    <xf numFmtId="0" fontId="26" fillId="2" borderId="5" xfId="7" applyFont="1" applyFill="1" applyBorder="1" applyAlignment="1">
      <alignment horizontal="centerContinuous"/>
    </xf>
    <xf numFmtId="0" fontId="26" fillId="2" borderId="0" xfId="7" applyFont="1" applyFill="1" applyAlignment="1">
      <alignment horizontal="center"/>
    </xf>
    <xf numFmtId="0" fontId="26" fillId="2" borderId="6" xfId="7" quotePrefix="1" applyFont="1" applyFill="1" applyBorder="1" applyAlignment="1">
      <alignment horizontal="center"/>
    </xf>
    <xf numFmtId="0" fontId="26" fillId="2" borderId="3" xfId="7" applyFont="1" applyFill="1" applyBorder="1" applyAlignment="1">
      <alignment horizontal="centerContinuous"/>
    </xf>
    <xf numFmtId="0" fontId="35" fillId="2" borderId="6" xfId="7" applyFont="1" applyFill="1" applyBorder="1"/>
    <xf numFmtId="0" fontId="35" fillId="2" borderId="6" xfId="7" applyFont="1" applyFill="1" applyBorder="1" applyAlignment="1">
      <alignment horizontal="center"/>
    </xf>
    <xf numFmtId="0" fontId="39" fillId="2" borderId="6" xfId="7" applyFont="1" applyFill="1" applyBorder="1" applyAlignment="1">
      <alignment horizontal="right"/>
    </xf>
    <xf numFmtId="0" fontId="39" fillId="2" borderId="21" xfId="7" applyFont="1" applyFill="1" applyBorder="1" applyAlignment="1">
      <alignment horizontal="right"/>
    </xf>
    <xf numFmtId="4" fontId="28" fillId="2" borderId="28" xfId="7" applyNumberFormat="1" applyFont="1" applyFill="1" applyBorder="1"/>
    <xf numFmtId="0" fontId="26" fillId="2" borderId="21" xfId="7" quotePrefix="1" applyFont="1" applyFill="1" applyBorder="1" applyAlignment="1">
      <alignment horizontal="center"/>
    </xf>
    <xf numFmtId="0" fontId="26" fillId="2" borderId="24" xfId="7" applyFont="1" applyFill="1" applyBorder="1" applyAlignment="1">
      <alignment horizontal="center"/>
    </xf>
    <xf numFmtId="0" fontId="26" fillId="2" borderId="24" xfId="7" applyFont="1" applyFill="1" applyBorder="1"/>
    <xf numFmtId="0" fontId="26" fillId="2" borderId="26" xfId="7" applyFont="1" applyFill="1" applyBorder="1" applyAlignment="1">
      <alignment horizontal="center"/>
    </xf>
    <xf numFmtId="4" fontId="29" fillId="2" borderId="0" xfId="7" quotePrefix="1" applyNumberFormat="1" applyFont="1" applyFill="1" applyAlignment="1">
      <alignment horizontal="left"/>
    </xf>
    <xf numFmtId="168" fontId="29" fillId="2" borderId="0" xfId="7" applyNumberFormat="1" applyFont="1" applyFill="1"/>
    <xf numFmtId="0" fontId="29" fillId="2" borderId="5" xfId="7" applyFont="1" applyFill="1" applyBorder="1" applyAlignment="1">
      <alignment horizontal="center"/>
    </xf>
    <xf numFmtId="0" fontId="29" fillId="2" borderId="23" xfId="7" quotePrefix="1" applyFont="1" applyFill="1" applyBorder="1" applyAlignment="1">
      <alignment horizontal="center"/>
    </xf>
    <xf numFmtId="0" fontId="29" fillId="2" borderId="36" xfId="7" applyFont="1" applyFill="1" applyBorder="1" applyAlignment="1">
      <alignment horizontal="centerContinuous"/>
    </xf>
    <xf numFmtId="0" fontId="29" fillId="2" borderId="47" xfId="7" applyFont="1" applyFill="1" applyBorder="1" applyAlignment="1">
      <alignment horizontal="centerContinuous"/>
    </xf>
    <xf numFmtId="0" fontId="29" fillId="2" borderId="50" xfId="7" applyFont="1" applyFill="1" applyBorder="1" applyAlignment="1">
      <alignment horizontal="centerContinuous"/>
    </xf>
    <xf numFmtId="0" fontId="29" fillId="2" borderId="0" xfId="7" applyFont="1" applyFill="1" applyAlignment="1"/>
    <xf numFmtId="0" fontId="29" fillId="2" borderId="6" xfId="7" applyFont="1" applyFill="1" applyBorder="1" applyAlignment="1">
      <alignment horizontal="center"/>
    </xf>
    <xf numFmtId="0" fontId="29" fillId="2" borderId="25" xfId="7" applyFont="1" applyFill="1" applyBorder="1" applyAlignment="1">
      <alignment horizontal="center"/>
    </xf>
    <xf numFmtId="0" fontId="23" fillId="2" borderId="25" xfId="7" applyFont="1" applyFill="1" applyBorder="1"/>
    <xf numFmtId="0" fontId="30" fillId="2" borderId="25" xfId="7" quotePrefix="1" applyFont="1" applyFill="1" applyBorder="1" applyAlignment="1">
      <alignment horizontal="center"/>
    </xf>
    <xf numFmtId="0" fontId="30" fillId="2" borderId="28" xfId="7" quotePrefix="1" applyFont="1" applyFill="1" applyBorder="1" applyAlignment="1">
      <alignment horizontal="center"/>
    </xf>
    <xf numFmtId="0" fontId="29" fillId="2" borderId="28" xfId="7" applyFont="1" applyFill="1" applyBorder="1" applyAlignment="1">
      <alignment horizontal="center"/>
    </xf>
    <xf numFmtId="0" fontId="29" fillId="2" borderId="3" xfId="7" applyFont="1" applyFill="1" applyBorder="1" applyAlignment="1">
      <alignment horizontal="center"/>
    </xf>
    <xf numFmtId="0" fontId="26" fillId="2" borderId="0" xfId="7" applyFont="1" applyFill="1" applyBorder="1"/>
    <xf numFmtId="0" fontId="0" fillId="2" borderId="28" xfId="0" applyFill="1" applyBorder="1"/>
    <xf numFmtId="4" fontId="6" fillId="2" borderId="0" xfId="0" applyNumberFormat="1" applyFont="1" applyFill="1"/>
    <xf numFmtId="0" fontId="12" fillId="2" borderId="0" xfId="0" applyFont="1" applyFill="1" applyAlignment="1">
      <alignment horizontal="centerContinuous"/>
    </xf>
    <xf numFmtId="0" fontId="6" fillId="2" borderId="0" xfId="0" applyFont="1" applyFill="1" applyAlignment="1">
      <alignment horizontal="centerContinuous"/>
    </xf>
    <xf numFmtId="4" fontId="6" fillId="2" borderId="0" xfId="0" applyNumberFormat="1" applyFont="1" applyFill="1" applyAlignment="1">
      <alignment horizontal="centerContinuous"/>
    </xf>
    <xf numFmtId="4" fontId="6" fillId="2" borderId="0" xfId="0" applyNumberFormat="1" applyFont="1" applyFill="1" applyAlignment="1">
      <alignment horizontal="right"/>
    </xf>
    <xf numFmtId="14" fontId="6" fillId="2" borderId="0" xfId="0" applyNumberFormat="1" applyFont="1" applyFill="1" applyAlignment="1">
      <alignment horizontal="left"/>
    </xf>
    <xf numFmtId="14" fontId="6" fillId="2" borderId="0" xfId="0" applyNumberFormat="1" applyFont="1" applyFill="1"/>
    <xf numFmtId="0" fontId="5" fillId="2" borderId="46" xfId="0" applyFont="1" applyFill="1" applyBorder="1" applyAlignment="1">
      <alignment horizontal="center"/>
    </xf>
    <xf numFmtId="0" fontId="6" fillId="2" borderId="47" xfId="0" applyFont="1" applyFill="1" applyBorder="1" applyAlignment="1">
      <alignment horizontal="center"/>
    </xf>
    <xf numFmtId="4" fontId="5" fillId="2" borderId="47" xfId="0" applyNumberFormat="1" applyFont="1" applyFill="1" applyBorder="1" applyAlignment="1">
      <alignment horizontal="center"/>
    </xf>
    <xf numFmtId="0" fontId="6" fillId="2" borderId="0" xfId="0" applyFont="1" applyFill="1" applyAlignment="1">
      <alignment horizontal="center"/>
    </xf>
    <xf numFmtId="0" fontId="5" fillId="2" borderId="6" xfId="0" applyFont="1" applyFill="1" applyBorder="1"/>
    <xf numFmtId="0" fontId="5" fillId="2" borderId="25" xfId="0" quotePrefix="1" applyFont="1" applyFill="1" applyBorder="1" applyAlignment="1">
      <alignment horizontal="left"/>
    </xf>
    <xf numFmtId="0" fontId="6" fillId="2" borderId="25" xfId="0" quotePrefix="1" applyFont="1" applyFill="1" applyBorder="1" applyAlignment="1">
      <alignment horizontal="left"/>
    </xf>
    <xf numFmtId="4" fontId="6" fillId="2" borderId="6" xfId="0" applyNumberFormat="1" applyFont="1" applyFill="1" applyBorder="1" applyAlignment="1"/>
    <xf numFmtId="0" fontId="6" fillId="2" borderId="25" xfId="0" applyFont="1" applyFill="1" applyBorder="1" applyAlignment="1">
      <alignment horizontal="left"/>
    </xf>
    <xf numFmtId="0" fontId="5" fillId="2" borderId="25" xfId="0" applyFont="1" applyFill="1" applyBorder="1" applyAlignment="1">
      <alignment horizontal="center"/>
    </xf>
    <xf numFmtId="0" fontId="5" fillId="2" borderId="25" xfId="0" applyFont="1" applyFill="1" applyBorder="1"/>
    <xf numFmtId="0" fontId="6" fillId="2" borderId="25" xfId="0" applyFont="1" applyFill="1" applyBorder="1"/>
    <xf numFmtId="0" fontId="19" fillId="2" borderId="0" xfId="0" applyFont="1" applyFill="1"/>
    <xf numFmtId="0" fontId="5" fillId="2" borderId="3" xfId="0" applyFont="1" applyFill="1" applyBorder="1"/>
    <xf numFmtId="0" fontId="5" fillId="2" borderId="28" xfId="0" applyFont="1" applyFill="1" applyBorder="1" applyAlignment="1">
      <alignment horizontal="center"/>
    </xf>
    <xf numFmtId="4" fontId="5" fillId="2" borderId="0" xfId="0" applyNumberFormat="1" applyFont="1" applyFill="1"/>
    <xf numFmtId="0" fontId="5" fillId="2" borderId="0" xfId="0" quotePrefix="1" applyFont="1" applyFill="1" applyAlignment="1">
      <alignment horizontal="left"/>
    </xf>
    <xf numFmtId="0" fontId="18" fillId="2" borderId="0" xfId="0" applyFont="1" applyFill="1" applyAlignment="1">
      <alignment horizontal="centerContinuous"/>
    </xf>
    <xf numFmtId="0" fontId="13" fillId="2" borderId="0" xfId="0" applyFont="1" applyFill="1"/>
    <xf numFmtId="0" fontId="5" fillId="2" borderId="46" xfId="0" applyFont="1" applyFill="1" applyBorder="1" applyAlignment="1">
      <alignment wrapText="1"/>
    </xf>
    <xf numFmtId="0" fontId="5" fillId="2" borderId="47" xfId="0" applyFont="1" applyFill="1" applyBorder="1" applyAlignment="1">
      <alignment wrapText="1"/>
    </xf>
    <xf numFmtId="0" fontId="5" fillId="2" borderId="0" xfId="0" applyFont="1" applyFill="1" applyAlignment="1">
      <alignment wrapText="1"/>
    </xf>
    <xf numFmtId="4" fontId="6" fillId="2" borderId="3" xfId="0" applyNumberFormat="1" applyFont="1" applyFill="1" applyBorder="1" applyAlignment="1"/>
    <xf numFmtId="0" fontId="6" fillId="2" borderId="22" xfId="0" applyFont="1" applyFill="1" applyBorder="1"/>
    <xf numFmtId="4" fontId="6" fillId="2" borderId="22" xfId="0" applyNumberFormat="1" applyFont="1" applyFill="1" applyBorder="1"/>
    <xf numFmtId="0" fontId="5" fillId="2" borderId="0" xfId="0" quotePrefix="1" applyFont="1" applyFill="1" applyAlignment="1">
      <alignment horizontal="center"/>
    </xf>
    <xf numFmtId="4" fontId="6" fillId="2" borderId="0" xfId="0" applyNumberFormat="1" applyFont="1" applyFill="1" applyAlignment="1"/>
    <xf numFmtId="0" fontId="7" fillId="2" borderId="0" xfId="0" applyFont="1" applyFill="1" applyAlignment="1">
      <alignment horizontal="centerContinuous"/>
    </xf>
    <xf numFmtId="0" fontId="5" fillId="2" borderId="0" xfId="0" applyFont="1" applyFill="1" applyAlignment="1">
      <alignment horizontal="centerContinuous"/>
    </xf>
    <xf numFmtId="4" fontId="5" fillId="2" borderId="0" xfId="0" applyNumberFormat="1" applyFont="1" applyFill="1" applyAlignment="1">
      <alignment horizontal="centerContinuous"/>
    </xf>
    <xf numFmtId="0" fontId="14" fillId="2" borderId="0" xfId="0" quotePrefix="1" applyFont="1" applyFill="1" applyAlignment="1">
      <alignment horizontal="left"/>
    </xf>
    <xf numFmtId="0" fontId="14" fillId="2" borderId="5" xfId="0" applyFont="1" applyFill="1" applyBorder="1" applyAlignment="1">
      <alignment horizontal="center" vertical="center"/>
    </xf>
    <xf numFmtId="0" fontId="6" fillId="2" borderId="5" xfId="0" applyFont="1" applyFill="1" applyBorder="1" applyAlignment="1">
      <alignment horizontal="center" vertical="center"/>
    </xf>
    <xf numFmtId="0" fontId="6" fillId="2" borderId="5" xfId="0" applyFont="1" applyFill="1" applyBorder="1" applyAlignment="1">
      <alignment vertical="center"/>
    </xf>
    <xf numFmtId="0" fontId="6" fillId="2" borderId="0" xfId="0" applyFont="1" applyFill="1" applyAlignment="1">
      <alignment vertical="center"/>
    </xf>
    <xf numFmtId="0" fontId="14" fillId="2" borderId="3"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3" xfId="0" applyFont="1" applyFill="1" applyBorder="1" applyAlignment="1">
      <alignment vertical="center"/>
    </xf>
    <xf numFmtId="0" fontId="6" fillId="2" borderId="5" xfId="0" applyFont="1" applyFill="1" applyBorder="1" applyAlignment="1">
      <alignment horizontal="center"/>
    </xf>
    <xf numFmtId="0" fontId="6" fillId="2" borderId="5" xfId="0" applyFont="1" applyFill="1" applyBorder="1"/>
    <xf numFmtId="0" fontId="6" fillId="2" borderId="46" xfId="0" applyFont="1" applyFill="1" applyBorder="1" applyAlignment="1">
      <alignment horizontal="center"/>
    </xf>
    <xf numFmtId="0" fontId="6" fillId="2" borderId="46" xfId="0" applyFont="1" applyFill="1" applyBorder="1"/>
    <xf numFmtId="0" fontId="14" fillId="2" borderId="46" xfId="0" applyFont="1" applyFill="1" applyBorder="1" applyAlignment="1">
      <alignment horizontal="center"/>
    </xf>
    <xf numFmtId="0" fontId="5" fillId="2" borderId="46" xfId="0" quotePrefix="1" applyFont="1" applyFill="1" applyBorder="1" applyAlignment="1">
      <alignment horizontal="center"/>
    </xf>
    <xf numFmtId="0" fontId="5" fillId="2" borderId="46" xfId="0" quotePrefix="1" applyFont="1" applyFill="1" applyBorder="1" applyAlignment="1">
      <alignment horizontal="left"/>
    </xf>
    <xf numFmtId="0" fontId="5" fillId="2" borderId="6" xfId="0" applyFont="1" applyFill="1" applyBorder="1" applyAlignment="1">
      <alignment horizontal="center"/>
    </xf>
    <xf numFmtId="0" fontId="5" fillId="2" borderId="6" xfId="0" quotePrefix="1" applyFont="1" applyFill="1" applyBorder="1" applyAlignment="1">
      <alignment horizontal="center"/>
    </xf>
    <xf numFmtId="0" fontId="5" fillId="2" borderId="55" xfId="0" quotePrefix="1" applyFont="1" applyFill="1" applyBorder="1" applyAlignment="1">
      <alignment horizontal="left"/>
    </xf>
    <xf numFmtId="0" fontId="6" fillId="2" borderId="46" xfId="0" quotePrefix="1" applyFont="1" applyFill="1" applyBorder="1" applyAlignment="1">
      <alignment horizontal="left"/>
    </xf>
    <xf numFmtId="0" fontId="6" fillId="2" borderId="6" xfId="0" applyFont="1" applyFill="1" applyBorder="1" applyAlignment="1">
      <alignment horizontal="center"/>
    </xf>
    <xf numFmtId="0" fontId="6" fillId="2" borderId="6" xfId="0" quotePrefix="1" applyFont="1" applyFill="1" applyBorder="1" applyAlignment="1">
      <alignment horizontal="center"/>
    </xf>
    <xf numFmtId="0" fontId="6" fillId="2" borderId="3" xfId="0" applyFont="1" applyFill="1" applyBorder="1" applyAlignment="1">
      <alignment horizontal="center"/>
    </xf>
    <xf numFmtId="0" fontId="5" fillId="2" borderId="6" xfId="0" quotePrefix="1" applyFont="1" applyFill="1" applyBorder="1" applyAlignment="1">
      <alignment horizontal="left"/>
    </xf>
    <xf numFmtId="0" fontId="5" fillId="2" borderId="3" xfId="0" quotePrefix="1" applyFont="1" applyFill="1" applyBorder="1" applyAlignment="1">
      <alignment horizontal="left"/>
    </xf>
    <xf numFmtId="0" fontId="5" fillId="2" borderId="3" xfId="0" applyFont="1" applyFill="1" applyBorder="1" applyAlignment="1">
      <alignment horizontal="center"/>
    </xf>
    <xf numFmtId="0" fontId="5" fillId="2" borderId="3" xfId="0" quotePrefix="1" applyFont="1" applyFill="1" applyBorder="1" applyAlignment="1">
      <alignment horizontal="center"/>
    </xf>
    <xf numFmtId="0" fontId="6" fillId="2" borderId="3" xfId="0" applyFont="1" applyFill="1" applyBorder="1"/>
    <xf numFmtId="0" fontId="11" fillId="2" borderId="0" xfId="0" applyFont="1" applyFill="1"/>
    <xf numFmtId="0" fontId="5" fillId="2" borderId="0" xfId="0" applyFont="1" applyFill="1" applyAlignment="1">
      <alignment horizontal="center"/>
    </xf>
    <xf numFmtId="4" fontId="5" fillId="2" borderId="0" xfId="0" applyNumberFormat="1" applyFont="1" applyFill="1" applyBorder="1" applyAlignment="1"/>
    <xf numFmtId="0" fontId="5" fillId="2" borderId="46" xfId="0" applyFont="1" applyFill="1" applyBorder="1"/>
    <xf numFmtId="0" fontId="9" fillId="2" borderId="0" xfId="0" quotePrefix="1" applyFont="1" applyFill="1" applyAlignment="1">
      <alignment horizontal="left"/>
    </xf>
    <xf numFmtId="0" fontId="8" fillId="2" borderId="0" xfId="0" applyFont="1" applyFill="1" applyAlignment="1">
      <alignment horizontal="center"/>
    </xf>
    <xf numFmtId="0" fontId="16" fillId="2" borderId="0" xfId="0" applyFont="1" applyFill="1" applyAlignment="1">
      <alignment horizontal="center"/>
    </xf>
    <xf numFmtId="0" fontId="16" fillId="2" borderId="0" xfId="0" applyFont="1" applyFill="1"/>
    <xf numFmtId="4" fontId="16" fillId="2" borderId="0" xfId="0" applyNumberFormat="1" applyFont="1" applyFill="1" applyAlignment="1"/>
    <xf numFmtId="0" fontId="0" fillId="2" borderId="0" xfId="0" applyFill="1" applyAlignment="1">
      <alignment horizontal="right"/>
    </xf>
    <xf numFmtId="0" fontId="52" fillId="2" borderId="0" xfId="0" applyFont="1" applyFill="1"/>
    <xf numFmtId="0" fontId="53" fillId="2" borderId="0" xfId="0" applyFont="1" applyFill="1"/>
    <xf numFmtId="0" fontId="53" fillId="2" borderId="0" xfId="0" applyFont="1" applyFill="1" applyAlignment="1">
      <alignment horizontal="center"/>
    </xf>
    <xf numFmtId="0" fontId="0" fillId="2" borderId="0" xfId="0" applyFill="1" applyAlignment="1">
      <alignment horizontal="center"/>
    </xf>
    <xf numFmtId="0" fontId="35" fillId="2" borderId="5" xfId="0" applyFont="1" applyFill="1" applyBorder="1" applyAlignment="1">
      <alignment horizontal="center"/>
    </xf>
    <xf numFmtId="0" fontId="35" fillId="2" borderId="23" xfId="0" applyFont="1" applyFill="1" applyBorder="1" applyAlignment="1">
      <alignment horizontal="center"/>
    </xf>
    <xf numFmtId="0" fontId="35" fillId="2" borderId="3" xfId="0" applyFont="1" applyFill="1" applyBorder="1" applyAlignment="1">
      <alignment horizontal="center"/>
    </xf>
    <xf numFmtId="0" fontId="35" fillId="2" borderId="28" xfId="0" applyFont="1" applyFill="1" applyBorder="1" applyAlignment="1">
      <alignment horizontal="center"/>
    </xf>
    <xf numFmtId="0" fontId="0" fillId="2" borderId="25" xfId="0" applyFill="1" applyBorder="1"/>
    <xf numFmtId="0" fontId="0" fillId="2" borderId="6" xfId="0" applyFill="1" applyBorder="1" applyAlignment="1">
      <alignment horizontal="center"/>
    </xf>
    <xf numFmtId="0" fontId="53" fillId="2" borderId="25" xfId="0" applyFont="1" applyFill="1" applyBorder="1" applyAlignment="1">
      <alignment horizontal="right"/>
    </xf>
    <xf numFmtId="165" fontId="0" fillId="2" borderId="25" xfId="2" applyFont="1" applyFill="1" applyBorder="1"/>
    <xf numFmtId="0" fontId="0" fillId="2" borderId="3" xfId="0" applyFill="1" applyBorder="1"/>
    <xf numFmtId="0" fontId="16" fillId="2" borderId="0" xfId="0" applyFont="1" applyFill="1" applyBorder="1"/>
    <xf numFmtId="4" fontId="16" fillId="2" borderId="0" xfId="0" applyNumberFormat="1" applyFont="1" applyFill="1" applyAlignment="1">
      <alignment horizontal="justify"/>
    </xf>
    <xf numFmtId="0" fontId="12" fillId="2" borderId="0" xfId="0" quotePrefix="1" applyFont="1" applyFill="1" applyBorder="1" applyAlignment="1">
      <alignment horizontal="centerContinuous"/>
    </xf>
    <xf numFmtId="0" fontId="16" fillId="2" borderId="0" xfId="0" applyFont="1" applyFill="1" applyBorder="1" applyAlignment="1">
      <alignment horizontal="centerContinuous"/>
    </xf>
    <xf numFmtId="4" fontId="16" fillId="2" borderId="0" xfId="0" applyNumberFormat="1" applyFont="1" applyFill="1" applyAlignment="1">
      <alignment horizontal="centerContinuous"/>
    </xf>
    <xf numFmtId="0" fontId="16" fillId="2" borderId="0" xfId="0" applyFont="1" applyFill="1" applyAlignment="1">
      <alignment horizontal="centerContinuous"/>
    </xf>
    <xf numFmtId="4" fontId="15" fillId="2" borderId="0" xfId="0" quotePrefix="1" applyNumberFormat="1" applyFont="1" applyFill="1" applyBorder="1" applyAlignment="1">
      <alignment horizontal="centerContinuous"/>
    </xf>
    <xf numFmtId="14" fontId="16" fillId="2" borderId="0" xfId="0" applyNumberFormat="1" applyFont="1" applyFill="1" applyAlignment="1">
      <alignment horizontal="centerContinuous"/>
    </xf>
    <xf numFmtId="0" fontId="16" fillId="2" borderId="0" xfId="0" applyFont="1" applyFill="1" applyAlignment="1"/>
    <xf numFmtId="4" fontId="16" fillId="2" borderId="0" xfId="0" quotePrefix="1" applyNumberFormat="1" applyFont="1" applyFill="1" applyAlignment="1">
      <alignment horizontal="center"/>
    </xf>
    <xf numFmtId="166" fontId="5" fillId="2" borderId="1" xfId="0" applyNumberFormat="1" applyFont="1" applyFill="1" applyBorder="1" applyAlignment="1">
      <alignment horizontal="left"/>
    </xf>
    <xf numFmtId="166" fontId="15" fillId="2" borderId="1" xfId="0" applyNumberFormat="1" applyFont="1" applyFill="1" applyBorder="1" applyAlignment="1">
      <alignment horizontal="right"/>
    </xf>
    <xf numFmtId="0" fontId="16" fillId="2" borderId="56" xfId="0" applyFont="1" applyFill="1" applyBorder="1"/>
    <xf numFmtId="0" fontId="16" fillId="2" borderId="57" xfId="0" applyFont="1" applyFill="1" applyBorder="1"/>
    <xf numFmtId="4" fontId="15" fillId="2" borderId="59" xfId="0" applyNumberFormat="1" applyFont="1" applyFill="1" applyBorder="1" applyAlignment="1">
      <alignment horizontal="centerContinuous" vertical="center" wrapText="1"/>
    </xf>
    <xf numFmtId="0" fontId="16" fillId="2" borderId="58" xfId="0" applyFont="1" applyFill="1" applyBorder="1"/>
    <xf numFmtId="0" fontId="16" fillId="2" borderId="8" xfId="0" applyFont="1" applyFill="1" applyBorder="1" applyAlignment="1">
      <alignment horizontal="center" vertical="center" wrapText="1"/>
    </xf>
    <xf numFmtId="0" fontId="16" fillId="2" borderId="25" xfId="0" applyFont="1" applyFill="1" applyBorder="1" applyAlignment="1">
      <alignment horizontal="center" vertical="center" wrapText="1"/>
    </xf>
    <xf numFmtId="0" fontId="15" fillId="2" borderId="6" xfId="0" applyFont="1" applyFill="1" applyBorder="1" applyAlignment="1">
      <alignment horizontal="center" vertical="center" wrapText="1"/>
    </xf>
    <xf numFmtId="4" fontId="16" fillId="2" borderId="5" xfId="0" quotePrefix="1" applyNumberFormat="1" applyFont="1" applyFill="1" applyBorder="1" applyAlignment="1">
      <alignment horizontal="center" vertical="center" wrapText="1"/>
    </xf>
    <xf numFmtId="0" fontId="16" fillId="2" borderId="9" xfId="0" quotePrefix="1" applyFont="1" applyFill="1" applyBorder="1" applyAlignment="1">
      <alignment horizontal="center" vertical="center" wrapText="1"/>
    </xf>
    <xf numFmtId="0" fontId="16" fillId="2" borderId="0" xfId="0" applyFont="1" applyFill="1" applyAlignment="1">
      <alignment horizontal="center" vertical="center" wrapText="1"/>
    </xf>
    <xf numFmtId="4" fontId="16" fillId="2" borderId="6" xfId="0" quotePrefix="1" applyNumberFormat="1" applyFont="1" applyFill="1" applyBorder="1" applyAlignment="1">
      <alignment horizontal="center" vertical="center" wrapText="1"/>
    </xf>
    <xf numFmtId="0" fontId="16" fillId="2" borderId="9" xfId="0" applyFont="1" applyFill="1" applyBorder="1" applyAlignment="1">
      <alignment horizontal="center" vertical="center" wrapText="1"/>
    </xf>
    <xf numFmtId="165" fontId="16" fillId="2" borderId="25" xfId="2" applyFont="1" applyFill="1" applyBorder="1" applyAlignment="1">
      <alignment horizontal="center" vertical="center" wrapText="1"/>
    </xf>
    <xf numFmtId="0" fontId="17" fillId="2" borderId="6" xfId="0" applyFont="1" applyFill="1" applyBorder="1"/>
    <xf numFmtId="0" fontId="16" fillId="2" borderId="8" xfId="0" applyFont="1" applyFill="1" applyBorder="1"/>
    <xf numFmtId="165" fontId="16" fillId="2" borderId="25" xfId="2" applyFont="1" applyFill="1" applyBorder="1"/>
    <xf numFmtId="1" fontId="15" fillId="2" borderId="3" xfId="0" applyNumberFormat="1" applyFont="1" applyFill="1" applyBorder="1" applyAlignment="1">
      <alignment horizontal="center"/>
    </xf>
    <xf numFmtId="0" fontId="16" fillId="2" borderId="8" xfId="0" applyFont="1" applyFill="1" applyBorder="1" applyAlignment="1">
      <alignment horizontal="center"/>
    </xf>
    <xf numFmtId="165" fontId="15" fillId="2" borderId="25" xfId="2" applyFont="1" applyFill="1" applyBorder="1" applyAlignment="1">
      <alignment horizontal="center"/>
    </xf>
    <xf numFmtId="0" fontId="16" fillId="2" borderId="0" xfId="0" quotePrefix="1" applyFont="1" applyFill="1" applyBorder="1" applyAlignment="1">
      <alignment horizontal="left"/>
    </xf>
    <xf numFmtId="1" fontId="16" fillId="2" borderId="0" xfId="0" applyNumberFormat="1" applyFont="1" applyFill="1" applyBorder="1" applyAlignment="1">
      <alignment horizontal="left"/>
    </xf>
    <xf numFmtId="4" fontId="16" fillId="2" borderId="0" xfId="0" applyNumberFormat="1" applyFont="1" applyFill="1"/>
    <xf numFmtId="0" fontId="16" fillId="2" borderId="22" xfId="0" applyFont="1" applyFill="1" applyBorder="1"/>
    <xf numFmtId="0" fontId="16" fillId="2" borderId="36" xfId="0" applyFont="1" applyFill="1" applyBorder="1"/>
    <xf numFmtId="0" fontId="15" fillId="2" borderId="15" xfId="0" quotePrefix="1" applyFont="1" applyFill="1" applyBorder="1" applyAlignment="1">
      <alignment horizontal="right"/>
    </xf>
    <xf numFmtId="165" fontId="15" fillId="2" borderId="25" xfId="2" applyFont="1" applyFill="1" applyBorder="1"/>
    <xf numFmtId="0" fontId="16" fillId="2" borderId="25" xfId="0" applyFont="1" applyFill="1" applyBorder="1"/>
    <xf numFmtId="165" fontId="16" fillId="2" borderId="36" xfId="2" applyFont="1" applyFill="1" applyBorder="1"/>
    <xf numFmtId="0" fontId="16" fillId="2" borderId="62" xfId="0" applyFont="1" applyFill="1" applyBorder="1"/>
    <xf numFmtId="0" fontId="15" fillId="2" borderId="25" xfId="0" applyFont="1" applyFill="1" applyBorder="1"/>
    <xf numFmtId="0" fontId="15" fillId="2" borderId="15" xfId="0" applyFont="1" applyFill="1" applyBorder="1"/>
    <xf numFmtId="0" fontId="16" fillId="2" borderId="36" xfId="0" quotePrefix="1" applyFont="1" applyFill="1" applyBorder="1" applyAlignment="1">
      <alignment horizontal="left"/>
    </xf>
    <xf numFmtId="0" fontId="15" fillId="2" borderId="25" xfId="0" applyFont="1" applyFill="1" applyBorder="1" applyAlignment="1">
      <alignment horizontal="center"/>
    </xf>
    <xf numFmtId="0" fontId="16" fillId="2" borderId="10" xfId="0" applyFont="1" applyFill="1" applyBorder="1"/>
    <xf numFmtId="0" fontId="15" fillId="2" borderId="63" xfId="0" applyFont="1" applyFill="1" applyBorder="1"/>
    <xf numFmtId="0" fontId="16" fillId="2" borderId="0" xfId="0" quotePrefix="1" applyFont="1" applyFill="1" applyAlignment="1">
      <alignment horizontal="left"/>
    </xf>
    <xf numFmtId="1" fontId="16" fillId="2" borderId="0" xfId="0" applyNumberFormat="1" applyFont="1" applyFill="1" applyAlignment="1">
      <alignment horizontal="justify"/>
    </xf>
    <xf numFmtId="1" fontId="16" fillId="2" borderId="0" xfId="0" applyNumberFormat="1" applyFont="1" applyFill="1" applyAlignment="1">
      <alignment horizontal="left"/>
    </xf>
    <xf numFmtId="0" fontId="16" fillId="2" borderId="0" xfId="0" applyFont="1" applyFill="1" applyAlignment="1">
      <alignment horizontal="left"/>
    </xf>
    <xf numFmtId="0" fontId="16" fillId="2" borderId="0" xfId="0" applyFont="1" applyFill="1" applyBorder="1" applyAlignment="1">
      <alignment horizontal="left"/>
    </xf>
    <xf numFmtId="1" fontId="16" fillId="2" borderId="0" xfId="0" applyNumberFormat="1" applyFont="1" applyFill="1" applyBorder="1" applyAlignment="1">
      <alignment horizontal="justify"/>
    </xf>
    <xf numFmtId="0" fontId="15" fillId="2" borderId="0" xfId="0" applyFont="1" applyFill="1"/>
    <xf numFmtId="0" fontId="12" fillId="2" borderId="0" xfId="0" applyFont="1" applyFill="1" applyBorder="1" applyAlignment="1">
      <alignment horizontal="centerContinuous"/>
    </xf>
    <xf numFmtId="1" fontId="16" fillId="2" borderId="0" xfId="0" applyNumberFormat="1" applyFont="1" applyFill="1" applyAlignment="1">
      <alignment horizontal="centerContinuous"/>
    </xf>
    <xf numFmtId="0" fontId="15" fillId="2" borderId="0" xfId="0" applyFont="1" applyFill="1" applyBorder="1" applyAlignment="1">
      <alignment horizontal="centerContinuous"/>
    </xf>
    <xf numFmtId="1" fontId="15" fillId="2" borderId="0" xfId="0" applyNumberFormat="1" applyFont="1" applyFill="1" applyAlignment="1">
      <alignment horizontal="centerContinuous"/>
    </xf>
    <xf numFmtId="4" fontId="16" fillId="2" borderId="0" xfId="0" quotePrefix="1" applyNumberFormat="1" applyFont="1" applyFill="1" applyAlignment="1">
      <alignment horizontal="right"/>
    </xf>
    <xf numFmtId="4" fontId="15" fillId="2" borderId="5" xfId="0" quotePrefix="1" applyNumberFormat="1" applyFont="1" applyFill="1" applyBorder="1" applyAlignment="1">
      <alignment horizontal="center" vertical="center" wrapText="1"/>
    </xf>
    <xf numFmtId="0" fontId="15" fillId="2" borderId="0" xfId="0" applyFont="1" applyFill="1" applyAlignment="1">
      <alignment horizontal="center" vertical="center" wrapText="1"/>
    </xf>
    <xf numFmtId="0" fontId="16" fillId="2" borderId="6" xfId="0" applyFont="1" applyFill="1" applyBorder="1"/>
    <xf numFmtId="0" fontId="15" fillId="2" borderId="5" xfId="0" applyFont="1" applyFill="1" applyBorder="1" applyAlignment="1"/>
    <xf numFmtId="0" fontId="15" fillId="2" borderId="6" xfId="0" applyFont="1" applyFill="1" applyBorder="1"/>
    <xf numFmtId="0" fontId="15" fillId="2" borderId="6" xfId="0" applyFont="1" applyFill="1" applyBorder="1" applyAlignment="1">
      <alignment horizontal="center"/>
    </xf>
    <xf numFmtId="0" fontId="16" fillId="2" borderId="37" xfId="0" applyFont="1" applyFill="1" applyBorder="1"/>
    <xf numFmtId="0" fontId="15" fillId="2" borderId="64" xfId="0" applyFont="1" applyFill="1" applyBorder="1" applyAlignment="1">
      <alignment horizontal="center"/>
    </xf>
    <xf numFmtId="0" fontId="15" fillId="2" borderId="11" xfId="0" applyFont="1" applyFill="1" applyBorder="1"/>
    <xf numFmtId="4" fontId="16" fillId="2" borderId="0" xfId="0" applyNumberFormat="1" applyFont="1" applyFill="1" applyBorder="1" applyAlignment="1">
      <alignment horizontal="justify"/>
    </xf>
    <xf numFmtId="4" fontId="16" fillId="2" borderId="0" xfId="0" applyNumberFormat="1" applyFont="1" applyFill="1" applyBorder="1"/>
    <xf numFmtId="0" fontId="6" fillId="2" borderId="1" xfId="0" applyFont="1" applyFill="1" applyBorder="1"/>
    <xf numFmtId="4" fontId="6" fillId="2" borderId="1" xfId="0" applyNumberFormat="1" applyFont="1" applyFill="1" applyBorder="1" applyAlignment="1">
      <alignment horizontal="center"/>
    </xf>
    <xf numFmtId="4" fontId="5" fillId="2" borderId="1" xfId="0" applyNumberFormat="1" applyFont="1" applyFill="1" applyBorder="1" applyAlignment="1">
      <alignment horizontal="center"/>
    </xf>
    <xf numFmtId="4" fontId="6" fillId="2" borderId="1" xfId="0" applyNumberFormat="1" applyFont="1" applyFill="1" applyBorder="1" applyAlignment="1">
      <alignment horizontal="right"/>
    </xf>
    <xf numFmtId="0" fontId="5" fillId="2" borderId="3" xfId="0" applyFont="1" applyFill="1" applyBorder="1" applyAlignment="1">
      <alignment horizontal="center" vertical="center"/>
    </xf>
    <xf numFmtId="4" fontId="5" fillId="2" borderId="3" xfId="0" applyNumberFormat="1" applyFont="1" applyFill="1" applyBorder="1" applyAlignment="1">
      <alignment horizontal="center" vertical="center"/>
    </xf>
    <xf numFmtId="4" fontId="6" fillId="2" borderId="3" xfId="0" applyNumberFormat="1" applyFont="1" applyFill="1" applyBorder="1" applyAlignment="1">
      <alignment horizontal="center" vertical="center"/>
    </xf>
    <xf numFmtId="4" fontId="6" fillId="2" borderId="0" xfId="0" applyNumberFormat="1" applyFont="1" applyFill="1" applyBorder="1" applyAlignment="1">
      <alignment horizontal="center" vertical="center"/>
    </xf>
    <xf numFmtId="4" fontId="14" fillId="2" borderId="3" xfId="0" applyNumberFormat="1" applyFont="1" applyFill="1" applyBorder="1" applyAlignment="1">
      <alignment horizontal="center" vertical="center"/>
    </xf>
    <xf numFmtId="0" fontId="5" fillId="2" borderId="5" xfId="0" applyFont="1" applyFill="1" applyBorder="1" applyAlignment="1">
      <alignment horizontal="center"/>
    </xf>
    <xf numFmtId="4" fontId="5" fillId="2" borderId="5" xfId="0" applyNumberFormat="1" applyFont="1" applyFill="1" applyBorder="1" applyAlignment="1">
      <alignment horizontal="center" vertical="center" wrapText="1"/>
    </xf>
    <xf numFmtId="4" fontId="5" fillId="2" borderId="5" xfId="0" applyNumberFormat="1" applyFont="1" applyFill="1" applyBorder="1" applyAlignment="1">
      <alignment horizontal="center"/>
    </xf>
    <xf numFmtId="0" fontId="6" fillId="2" borderId="6" xfId="0" applyFont="1" applyFill="1" applyBorder="1"/>
    <xf numFmtId="4" fontId="5" fillId="2" borderId="6" xfId="0" applyNumberFormat="1" applyFont="1" applyFill="1" applyBorder="1" applyAlignment="1">
      <alignment horizontal="center" vertical="center" wrapText="1"/>
    </xf>
    <xf numFmtId="4" fontId="5" fillId="2" borderId="6" xfId="0" applyNumberFormat="1" applyFont="1" applyFill="1" applyBorder="1" applyAlignment="1">
      <alignment horizontal="center"/>
    </xf>
    <xf numFmtId="0" fontId="6" fillId="2" borderId="11" xfId="0" applyFont="1" applyFill="1" applyBorder="1"/>
    <xf numFmtId="0" fontId="5" fillId="2" borderId="11" xfId="0" applyFont="1" applyFill="1" applyBorder="1" applyAlignment="1">
      <alignment horizontal="center"/>
    </xf>
    <xf numFmtId="4" fontId="5" fillId="2" borderId="11" xfId="0" applyNumberFormat="1" applyFont="1" applyFill="1" applyBorder="1" applyAlignment="1">
      <alignment horizontal="center" vertical="center" wrapText="1"/>
    </xf>
    <xf numFmtId="4" fontId="5" fillId="2" borderId="11" xfId="0" applyNumberFormat="1" applyFont="1" applyFill="1" applyBorder="1" applyAlignment="1">
      <alignment horizontal="center"/>
    </xf>
    <xf numFmtId="0" fontId="14" fillId="2" borderId="6" xfId="0" applyFont="1" applyFill="1" applyBorder="1"/>
    <xf numFmtId="165" fontId="5" fillId="2" borderId="6" xfId="2" quotePrefix="1" applyFont="1" applyFill="1" applyBorder="1" applyAlignment="1">
      <alignment horizontal="left"/>
    </xf>
    <xf numFmtId="0" fontId="14" fillId="2" borderId="6" xfId="0" applyFont="1" applyFill="1" applyBorder="1" applyAlignment="1"/>
    <xf numFmtId="165" fontId="6" fillId="2" borderId="3" xfId="2" applyFont="1" applyFill="1" applyBorder="1"/>
    <xf numFmtId="4" fontId="6" fillId="2" borderId="0" xfId="0" applyNumberFormat="1" applyFont="1" applyFill="1" applyBorder="1" applyAlignment="1"/>
    <xf numFmtId="165" fontId="6" fillId="2" borderId="46" xfId="2" applyFont="1" applyFill="1" applyBorder="1"/>
    <xf numFmtId="0" fontId="14" fillId="2" borderId="6" xfId="0" applyFont="1" applyFill="1" applyBorder="1" applyAlignment="1">
      <alignment horizontal="center" textRotation="90"/>
    </xf>
    <xf numFmtId="165" fontId="6" fillId="2" borderId="65" xfId="2" applyFont="1" applyFill="1" applyBorder="1"/>
    <xf numFmtId="165" fontId="5" fillId="2" borderId="24" xfId="2" quotePrefix="1" applyFont="1" applyFill="1" applyBorder="1" applyAlignment="1">
      <alignment horizontal="left"/>
    </xf>
    <xf numFmtId="165" fontId="6" fillId="2" borderId="3" xfId="2" quotePrefix="1" applyFont="1" applyFill="1" applyBorder="1" applyAlignment="1">
      <alignment horizontal="left"/>
    </xf>
    <xf numFmtId="0" fontId="6" fillId="2" borderId="65" xfId="0" applyFont="1" applyFill="1" applyBorder="1"/>
    <xf numFmtId="165" fontId="5" fillId="2" borderId="3" xfId="2" applyFont="1" applyFill="1" applyBorder="1" applyAlignment="1"/>
    <xf numFmtId="165" fontId="6" fillId="2" borderId="46" xfId="2" applyFont="1" applyFill="1" applyBorder="1" applyAlignment="1"/>
    <xf numFmtId="0" fontId="6" fillId="2" borderId="65" xfId="0" quotePrefix="1" applyFont="1" applyFill="1" applyBorder="1" applyAlignment="1">
      <alignment horizontal="left"/>
    </xf>
    <xf numFmtId="0" fontId="1" fillId="2" borderId="66" xfId="0" applyFont="1" applyFill="1" applyBorder="1"/>
    <xf numFmtId="0" fontId="5" fillId="2" borderId="11" xfId="0" applyFont="1" applyFill="1" applyBorder="1" applyAlignment="1">
      <alignment horizontal="right"/>
    </xf>
    <xf numFmtId="4" fontId="6" fillId="2" borderId="1" xfId="0" applyNumberFormat="1" applyFont="1" applyFill="1" applyBorder="1" applyAlignment="1"/>
    <xf numFmtId="0" fontId="5" fillId="2" borderId="5" xfId="0" quotePrefix="1" applyFont="1" applyFill="1" applyBorder="1" applyAlignment="1">
      <alignment horizontal="left"/>
    </xf>
    <xf numFmtId="0" fontId="5" fillId="2" borderId="24" xfId="0" quotePrefix="1" applyFont="1" applyFill="1" applyBorder="1" applyAlignment="1">
      <alignment horizontal="left"/>
    </xf>
    <xf numFmtId="0" fontId="6" fillId="2" borderId="3" xfId="0" quotePrefix="1" applyFont="1" applyFill="1" applyBorder="1" applyAlignment="1">
      <alignment horizontal="left"/>
    </xf>
    <xf numFmtId="0" fontId="5" fillId="2" borderId="67" xfId="0" quotePrefix="1" applyFont="1" applyFill="1" applyBorder="1" applyAlignment="1">
      <alignment horizontal="left"/>
    </xf>
    <xf numFmtId="0" fontId="5" fillId="2" borderId="21" xfId="0" quotePrefix="1" applyFont="1" applyFill="1" applyBorder="1" applyAlignment="1">
      <alignment horizontal="left"/>
    </xf>
    <xf numFmtId="0" fontId="6" fillId="2" borderId="66" xfId="0" quotePrefix="1" applyFont="1" applyFill="1" applyBorder="1" applyAlignment="1">
      <alignment horizontal="left"/>
    </xf>
    <xf numFmtId="0" fontId="5" fillId="2" borderId="67" xfId="0" applyFont="1" applyFill="1" applyBorder="1" applyAlignment="1">
      <alignment horizontal="right"/>
    </xf>
    <xf numFmtId="4" fontId="14" fillId="2" borderId="65" xfId="0" applyNumberFormat="1" applyFont="1" applyFill="1" applyBorder="1" applyAlignment="1">
      <alignment horizontal="right"/>
    </xf>
    <xf numFmtId="0" fontId="5" fillId="2" borderId="1" xfId="0" applyFont="1" applyFill="1" applyBorder="1" applyAlignment="1">
      <alignment horizontal="right"/>
    </xf>
    <xf numFmtId="4" fontId="14" fillId="2" borderId="1" xfId="0" applyNumberFormat="1" applyFont="1" applyFill="1" applyBorder="1" applyAlignment="1">
      <alignment horizontal="right"/>
    </xf>
    <xf numFmtId="0" fontId="5" fillId="2" borderId="59" xfId="0" applyFont="1" applyFill="1" applyBorder="1"/>
    <xf numFmtId="0" fontId="6" fillId="2" borderId="24" xfId="0" quotePrefix="1" applyFont="1" applyFill="1" applyBorder="1" applyAlignment="1">
      <alignment horizontal="left"/>
    </xf>
    <xf numFmtId="4" fontId="9" fillId="2" borderId="63" xfId="0" applyNumberFormat="1" applyFont="1" applyFill="1" applyBorder="1" applyAlignment="1"/>
    <xf numFmtId="0" fontId="5" fillId="2" borderId="66" xfId="0" applyFont="1" applyFill="1" applyBorder="1" applyAlignment="1">
      <alignment horizontal="right"/>
    </xf>
    <xf numFmtId="0" fontId="5" fillId="2" borderId="50" xfId="0" applyFont="1" applyFill="1" applyBorder="1" applyAlignment="1">
      <alignment horizontal="centerContinuous" vertical="center"/>
    </xf>
    <xf numFmtId="4" fontId="5" fillId="2" borderId="36" xfId="0" applyNumberFormat="1" applyFont="1" applyFill="1" applyBorder="1" applyAlignment="1">
      <alignment horizontal="centerContinuous" vertical="center"/>
    </xf>
    <xf numFmtId="4" fontId="5" fillId="2" borderId="47" xfId="0" applyNumberFormat="1" applyFont="1" applyFill="1" applyBorder="1" applyAlignment="1">
      <alignment horizontal="centerContinuous" vertical="center"/>
    </xf>
    <xf numFmtId="0" fontId="5" fillId="2" borderId="21" xfId="0" applyFont="1" applyFill="1" applyBorder="1" applyAlignment="1">
      <alignment horizontal="left"/>
    </xf>
    <xf numFmtId="0" fontId="5" fillId="2" borderId="22" xfId="0" applyFont="1" applyFill="1" applyBorder="1" applyAlignment="1">
      <alignment horizontal="left"/>
    </xf>
    <xf numFmtId="4" fontId="5" fillId="2" borderId="23" xfId="0" applyNumberFormat="1" applyFont="1" applyFill="1" applyBorder="1" applyAlignment="1"/>
    <xf numFmtId="4" fontId="5" fillId="2" borderId="5" xfId="0" applyNumberFormat="1" applyFont="1" applyFill="1" applyBorder="1" applyAlignment="1"/>
    <xf numFmtId="0" fontId="6" fillId="2" borderId="26" xfId="0" applyFont="1" applyFill="1" applyBorder="1"/>
    <xf numFmtId="0" fontId="6" fillId="2" borderId="27" xfId="0" applyFont="1" applyFill="1" applyBorder="1"/>
    <xf numFmtId="4" fontId="6" fillId="2" borderId="28" xfId="0" applyNumberFormat="1" applyFont="1" applyFill="1" applyBorder="1" applyAlignment="1"/>
    <xf numFmtId="0" fontId="6" fillId="2" borderId="50" xfId="0" applyFont="1" applyFill="1" applyBorder="1"/>
    <xf numFmtId="0" fontId="6" fillId="2" borderId="36" xfId="0" applyFont="1" applyFill="1" applyBorder="1"/>
    <xf numFmtId="4" fontId="6" fillId="2" borderId="47" xfId="0" applyNumberFormat="1" applyFont="1" applyFill="1" applyBorder="1" applyAlignment="1"/>
    <xf numFmtId="0" fontId="6" fillId="2" borderId="15" xfId="0" applyFont="1" applyFill="1" applyBorder="1"/>
    <xf numFmtId="0" fontId="6" fillId="2" borderId="16" xfId="0" applyFont="1" applyFill="1" applyBorder="1"/>
    <xf numFmtId="4" fontId="14" fillId="2" borderId="68" xfId="0" applyNumberFormat="1" applyFont="1" applyFill="1" applyBorder="1" applyAlignment="1">
      <alignment horizontal="right"/>
    </xf>
    <xf numFmtId="4" fontId="5" fillId="2" borderId="23" xfId="0" applyNumberFormat="1" applyFont="1" applyFill="1" applyBorder="1" applyAlignment="1">
      <alignment horizontal="right"/>
    </xf>
    <xf numFmtId="4" fontId="14" fillId="2" borderId="0" xfId="0" applyNumberFormat="1" applyFont="1" applyFill="1" applyBorder="1" applyAlignment="1"/>
    <xf numFmtId="0" fontId="6" fillId="2" borderId="69" xfId="0" applyFont="1" applyFill="1" applyBorder="1"/>
    <xf numFmtId="0" fontId="6" fillId="2" borderId="70" xfId="0" applyFont="1" applyFill="1" applyBorder="1"/>
    <xf numFmtId="4" fontId="6" fillId="2" borderId="71" xfId="0" applyNumberFormat="1" applyFont="1" applyFill="1" applyBorder="1" applyAlignment="1"/>
    <xf numFmtId="0" fontId="14" fillId="2" borderId="11" xfId="0" applyFont="1" applyFill="1" applyBorder="1" applyAlignment="1">
      <alignment horizontal="center" textRotation="90"/>
    </xf>
    <xf numFmtId="4" fontId="14" fillId="2" borderId="63" xfId="0" applyNumberFormat="1" applyFont="1" applyFill="1" applyBorder="1" applyAlignment="1">
      <alignment horizontal="right"/>
    </xf>
    <xf numFmtId="0" fontId="14" fillId="2" borderId="15" xfId="0" applyFont="1" applyFill="1" applyBorder="1"/>
    <xf numFmtId="4" fontId="5" fillId="2" borderId="68" xfId="0" applyNumberFormat="1" applyFont="1" applyFill="1" applyBorder="1" applyAlignment="1">
      <alignment horizontal="right"/>
    </xf>
    <xf numFmtId="0" fontId="20" fillId="2" borderId="46" xfId="0" applyFont="1" applyFill="1" applyBorder="1" applyAlignment="1">
      <alignment horizontal="center"/>
    </xf>
    <xf numFmtId="0" fontId="20" fillId="2" borderId="0" xfId="0" applyFont="1" applyFill="1" applyAlignment="1">
      <alignment horizontal="center"/>
    </xf>
    <xf numFmtId="4" fontId="10" fillId="2" borderId="46" xfId="0" applyNumberFormat="1" applyFont="1" applyFill="1" applyBorder="1" applyAlignment="1">
      <alignment horizontal="center"/>
    </xf>
    <xf numFmtId="0" fontId="0" fillId="2" borderId="46" xfId="0" applyFill="1" applyBorder="1"/>
    <xf numFmtId="0" fontId="0" fillId="2" borderId="46" xfId="0" quotePrefix="1" applyFill="1" applyBorder="1"/>
    <xf numFmtId="0" fontId="11" fillId="2" borderId="50" xfId="0" applyFont="1" applyFill="1" applyBorder="1"/>
    <xf numFmtId="4" fontId="20" fillId="2" borderId="46" xfId="0" applyNumberFormat="1" applyFont="1" applyFill="1" applyBorder="1"/>
    <xf numFmtId="9" fontId="16" fillId="2" borderId="0" xfId="8" applyFont="1" applyFill="1" applyAlignment="1">
      <alignment horizontal="center"/>
    </xf>
    <xf numFmtId="165" fontId="6" fillId="2" borderId="0" xfId="2" applyFont="1" applyFill="1" applyAlignment="1">
      <alignment horizontal="center"/>
    </xf>
    <xf numFmtId="0" fontId="47" fillId="2" borderId="3" xfId="0" applyFont="1" applyFill="1" applyBorder="1"/>
    <xf numFmtId="0" fontId="27" fillId="2" borderId="0" xfId="0" applyFont="1" applyFill="1"/>
    <xf numFmtId="0" fontId="55" fillId="2" borderId="0" xfId="0" applyFont="1" applyFill="1" applyAlignment="1">
      <alignment horizontal="centerContinuous" wrapText="1"/>
    </xf>
    <xf numFmtId="0" fontId="56" fillId="2" borderId="0" xfId="0" applyFont="1" applyFill="1" applyAlignment="1">
      <alignment horizontal="centerContinuous" wrapText="1"/>
    </xf>
    <xf numFmtId="0" fontId="56" fillId="2" borderId="0" xfId="0" applyFont="1" applyFill="1"/>
    <xf numFmtId="0" fontId="56" fillId="2" borderId="0" xfId="0" applyFont="1" applyFill="1" applyAlignment="1"/>
    <xf numFmtId="0" fontId="57" fillId="2" borderId="0" xfId="0" applyFont="1" applyFill="1" applyAlignment="1">
      <alignment horizontal="centerContinuous"/>
    </xf>
    <xf numFmtId="0" fontId="57" fillId="2" borderId="0" xfId="0" applyFont="1" applyFill="1" applyAlignment="1"/>
    <xf numFmtId="0" fontId="40" fillId="2" borderId="0" xfId="0" applyFont="1" applyFill="1"/>
    <xf numFmtId="0" fontId="47" fillId="2" borderId="5" xfId="0" applyFont="1" applyFill="1" applyBorder="1" applyAlignment="1">
      <alignment horizontal="center"/>
    </xf>
    <xf numFmtId="0" fontId="47" fillId="2" borderId="21" xfId="0" applyFont="1" applyFill="1" applyBorder="1" applyAlignment="1"/>
    <xf numFmtId="0" fontId="47" fillId="2" borderId="23" xfId="0" applyFont="1" applyFill="1" applyBorder="1" applyAlignment="1"/>
    <xf numFmtId="0" fontId="47" fillId="2" borderId="21" xfId="0" applyFont="1" applyFill="1" applyBorder="1"/>
    <xf numFmtId="0" fontId="0" fillId="2" borderId="23" xfId="0" applyFill="1" applyBorder="1"/>
    <xf numFmtId="0" fontId="0" fillId="2" borderId="5" xfId="0" applyFill="1" applyBorder="1" applyAlignment="1">
      <alignment horizontal="center"/>
    </xf>
    <xf numFmtId="0" fontId="47" fillId="2" borderId="6" xfId="0" applyFont="1" applyFill="1" applyBorder="1" applyAlignment="1">
      <alignment horizontal="center"/>
    </xf>
    <xf numFmtId="0" fontId="47" fillId="2" borderId="24" xfId="0" applyFont="1" applyFill="1" applyBorder="1" applyAlignment="1"/>
    <xf numFmtId="0" fontId="47" fillId="2" borderId="25" xfId="0" applyFont="1" applyFill="1" applyBorder="1" applyAlignment="1"/>
    <xf numFmtId="0" fontId="47" fillId="2" borderId="24" xfId="0" applyFont="1" applyFill="1" applyBorder="1"/>
    <xf numFmtId="0" fontId="47" fillId="2" borderId="26" xfId="0" applyFont="1" applyFill="1" applyBorder="1" applyAlignment="1"/>
    <xf numFmtId="0" fontId="47" fillId="2" borderId="28" xfId="0" applyFont="1" applyFill="1" applyBorder="1" applyAlignment="1"/>
    <xf numFmtId="0" fontId="47" fillId="2" borderId="26" xfId="0" applyFont="1" applyFill="1" applyBorder="1"/>
    <xf numFmtId="0" fontId="47" fillId="2" borderId="3" xfId="0" applyFont="1" applyFill="1" applyBorder="1" applyAlignment="1">
      <alignment horizontal="center"/>
    </xf>
    <xf numFmtId="0" fontId="0" fillId="2" borderId="3" xfId="0" applyFill="1" applyBorder="1" applyAlignment="1">
      <alignment horizontal="center"/>
    </xf>
    <xf numFmtId="0" fontId="47" fillId="2" borderId="5" xfId="0" applyFont="1" applyFill="1" applyBorder="1"/>
    <xf numFmtId="0" fontId="47" fillId="2" borderId="23" xfId="0" applyFont="1" applyFill="1" applyBorder="1"/>
    <xf numFmtId="0" fontId="47" fillId="2" borderId="6" xfId="0" applyFont="1" applyFill="1" applyBorder="1"/>
    <xf numFmtId="0" fontId="47" fillId="2" borderId="28" xfId="0" applyFont="1" applyFill="1" applyBorder="1"/>
    <xf numFmtId="0" fontId="38" fillId="2" borderId="5" xfId="0" applyFont="1" applyFill="1" applyBorder="1" applyAlignment="1">
      <alignment horizontal="center"/>
    </xf>
    <xf numFmtId="0" fontId="47" fillId="2" borderId="0" xfId="0" applyFont="1" applyFill="1"/>
    <xf numFmtId="0" fontId="47" fillId="2" borderId="46" xfId="0" applyFont="1" applyFill="1" applyBorder="1" applyAlignment="1">
      <alignment horizontal="center"/>
    </xf>
    <xf numFmtId="165" fontId="47" fillId="2" borderId="5" xfId="2" applyFont="1" applyFill="1" applyBorder="1"/>
    <xf numFmtId="0" fontId="55" fillId="2" borderId="0" xfId="0" applyFont="1" applyFill="1" applyAlignment="1">
      <alignment horizontal="left"/>
    </xf>
    <xf numFmtId="0" fontId="55" fillId="2" borderId="0" xfId="0" applyFont="1" applyFill="1"/>
    <xf numFmtId="0" fontId="27" fillId="2" borderId="0" xfId="0" applyFont="1" applyFill="1" applyAlignment="1">
      <alignment horizontal="left"/>
    </xf>
    <xf numFmtId="0" fontId="47" fillId="2" borderId="50" xfId="0" applyFont="1" applyFill="1" applyBorder="1"/>
    <xf numFmtId="0" fontId="47" fillId="2" borderId="47" xfId="0" applyFont="1" applyFill="1" applyBorder="1"/>
    <xf numFmtId="0" fontId="47" fillId="2" borderId="25" xfId="0" applyFont="1" applyFill="1" applyBorder="1" applyAlignment="1">
      <alignment horizontal="center"/>
    </xf>
    <xf numFmtId="0" fontId="47" fillId="2" borderId="28" xfId="0" applyFont="1" applyFill="1" applyBorder="1" applyAlignment="1">
      <alignment horizontal="center"/>
    </xf>
    <xf numFmtId="0" fontId="47" fillId="2" borderId="5" xfId="0" applyFont="1" applyFill="1" applyBorder="1" applyAlignment="1">
      <alignment wrapText="1"/>
    </xf>
    <xf numFmtId="0" fontId="47" fillId="2" borderId="0" xfId="0" applyFont="1" applyFill="1" applyAlignment="1">
      <alignment wrapText="1"/>
    </xf>
    <xf numFmtId="0" fontId="0" fillId="2" borderId="0" xfId="0" applyFill="1" applyAlignment="1">
      <alignment wrapText="1"/>
    </xf>
    <xf numFmtId="0" fontId="47" fillId="2" borderId="36" xfId="0" applyFont="1" applyFill="1" applyBorder="1" applyAlignment="1">
      <alignment vertical="center"/>
    </xf>
    <xf numFmtId="0" fontId="44" fillId="2" borderId="36" xfId="0" applyFont="1" applyFill="1" applyBorder="1" applyAlignment="1">
      <alignment vertical="center"/>
    </xf>
    <xf numFmtId="0" fontId="38" fillId="2" borderId="36" xfId="0" applyFont="1" applyFill="1" applyBorder="1" applyAlignment="1">
      <alignment vertical="center"/>
    </xf>
    <xf numFmtId="165" fontId="47" fillId="2" borderId="46" xfId="2" applyFont="1" applyFill="1" applyBorder="1" applyAlignment="1">
      <alignment vertical="center"/>
    </xf>
    <xf numFmtId="0" fontId="47" fillId="2" borderId="0" xfId="0" applyFont="1" applyFill="1" applyAlignment="1">
      <alignment vertical="center"/>
    </xf>
    <xf numFmtId="0" fontId="56" fillId="2" borderId="0" xfId="0" applyFont="1" applyFill="1" applyAlignment="1">
      <alignment horizontal="center"/>
    </xf>
    <xf numFmtId="0" fontId="0" fillId="2" borderId="5" xfId="0" applyFill="1" applyBorder="1"/>
    <xf numFmtId="0" fontId="38" fillId="2" borderId="50" xfId="0" applyFont="1" applyFill="1" applyBorder="1"/>
    <xf numFmtId="0" fontId="0" fillId="2" borderId="36" xfId="0" applyFill="1" applyBorder="1"/>
    <xf numFmtId="0" fontId="0" fillId="2" borderId="47" xfId="0" applyFill="1" applyBorder="1"/>
    <xf numFmtId="0" fontId="27" fillId="2" borderId="6" xfId="0" applyFont="1" applyFill="1" applyBorder="1" applyAlignment="1">
      <alignment horizontal="center"/>
    </xf>
    <xf numFmtId="0" fontId="0" fillId="2" borderId="25" xfId="0" applyFill="1" applyBorder="1" applyAlignment="1">
      <alignment horizontal="center"/>
    </xf>
    <xf numFmtId="0" fontId="0" fillId="2" borderId="0" xfId="0" applyFill="1" applyBorder="1" applyAlignment="1">
      <alignment horizontal="center"/>
    </xf>
    <xf numFmtId="0" fontId="47" fillId="2" borderId="0" xfId="0" applyFont="1" applyFill="1" applyBorder="1" applyAlignment="1">
      <alignment horizontal="center"/>
    </xf>
    <xf numFmtId="0" fontId="38" fillId="2" borderId="6" xfId="0" applyFont="1" applyFill="1" applyBorder="1"/>
    <xf numFmtId="165" fontId="47" fillId="2" borderId="21" xfId="2" applyFont="1" applyFill="1" applyBorder="1"/>
    <xf numFmtId="171" fontId="47" fillId="2" borderId="5" xfId="0" applyNumberFormat="1" applyFont="1" applyFill="1" applyBorder="1"/>
    <xf numFmtId="165" fontId="47" fillId="2" borderId="6" xfId="2" applyFont="1" applyFill="1" applyBorder="1"/>
    <xf numFmtId="165" fontId="47" fillId="2" borderId="24" xfId="2" applyFont="1" applyFill="1" applyBorder="1"/>
    <xf numFmtId="0" fontId="58" fillId="2" borderId="0" xfId="0" applyFont="1" applyFill="1" applyAlignment="1">
      <alignment vertical="center"/>
    </xf>
    <xf numFmtId="0" fontId="38" fillId="2" borderId="3" xfId="0" applyFont="1" applyFill="1" applyBorder="1" applyAlignment="1">
      <alignment horizontal="right"/>
    </xf>
    <xf numFmtId="165" fontId="47" fillId="2" borderId="26" xfId="2" applyFont="1" applyFill="1" applyBorder="1"/>
    <xf numFmtId="165" fontId="47" fillId="2" borderId="24" xfId="0" applyNumberFormat="1" applyFont="1" applyFill="1" applyBorder="1"/>
    <xf numFmtId="165" fontId="47" fillId="2" borderId="3" xfId="2" applyFont="1" applyFill="1" applyBorder="1"/>
    <xf numFmtId="0" fontId="38" fillId="2" borderId="6" xfId="0" applyFont="1" applyFill="1" applyBorder="1" applyAlignment="1">
      <alignment horizontal="center"/>
    </xf>
    <xf numFmtId="165" fontId="47" fillId="2" borderId="0" xfId="0" applyNumberFormat="1" applyFont="1" applyFill="1"/>
    <xf numFmtId="165" fontId="39" fillId="2" borderId="46" xfId="2" applyFont="1" applyFill="1" applyBorder="1"/>
    <xf numFmtId="165" fontId="44" fillId="2" borderId="5" xfId="2" applyFont="1" applyFill="1" applyBorder="1"/>
    <xf numFmtId="165" fontId="44" fillId="2" borderId="6" xfId="2" applyFont="1" applyFill="1" applyBorder="1"/>
    <xf numFmtId="165" fontId="44" fillId="2" borderId="3" xfId="2" applyFont="1" applyFill="1" applyBorder="1"/>
    <xf numFmtId="0" fontId="59" fillId="2" borderId="15" xfId="7" applyFont="1" applyFill="1" applyBorder="1" applyAlignment="1">
      <alignment horizontal="center"/>
    </xf>
    <xf numFmtId="10" fontId="16" fillId="2" borderId="0" xfId="8" applyNumberFormat="1" applyFont="1" applyFill="1" applyAlignment="1">
      <alignment horizontal="center"/>
    </xf>
    <xf numFmtId="10" fontId="16" fillId="2" borderId="0" xfId="8" applyNumberFormat="1" applyFont="1" applyFill="1"/>
    <xf numFmtId="165" fontId="0" fillId="2" borderId="0" xfId="0" applyNumberFormat="1" applyFill="1"/>
    <xf numFmtId="165" fontId="25" fillId="2" borderId="40" xfId="2" applyFont="1" applyFill="1" applyBorder="1"/>
    <xf numFmtId="165" fontId="25" fillId="2" borderId="0" xfId="7" applyNumberFormat="1" applyFont="1" applyFill="1"/>
    <xf numFmtId="0" fontId="44" fillId="2" borderId="27" xfId="0" applyFont="1" applyFill="1" applyBorder="1" applyAlignment="1">
      <alignment horizontal="right"/>
    </xf>
    <xf numFmtId="165" fontId="26" fillId="2" borderId="0" xfId="2" applyFont="1" applyFill="1" applyBorder="1"/>
    <xf numFmtId="165" fontId="25" fillId="2" borderId="0" xfId="2" applyFont="1" applyFill="1"/>
    <xf numFmtId="165" fontId="25" fillId="2" borderId="3" xfId="2" applyFont="1" applyFill="1" applyBorder="1"/>
    <xf numFmtId="165" fontId="25" fillId="2" borderId="28" xfId="2" applyFont="1" applyFill="1" applyBorder="1"/>
    <xf numFmtId="165" fontId="26" fillId="2" borderId="0" xfId="7" applyNumberFormat="1" applyFont="1" applyFill="1" applyBorder="1"/>
    <xf numFmtId="0" fontId="29" fillId="2" borderId="0" xfId="7" applyFont="1" applyFill="1" applyAlignment="1">
      <alignment horizontal="center"/>
    </xf>
    <xf numFmtId="0" fontId="0" fillId="2" borderId="6" xfId="0" applyFill="1" applyBorder="1" applyAlignment="1">
      <alignment wrapText="1"/>
    </xf>
    <xf numFmtId="0" fontId="0" fillId="2" borderId="6" xfId="0" applyFill="1" applyBorder="1" applyAlignment="1">
      <alignment horizontal="center" vertical="center"/>
    </xf>
    <xf numFmtId="165" fontId="28" fillId="2" borderId="0" xfId="2" applyFont="1" applyFill="1"/>
    <xf numFmtId="165" fontId="32" fillId="2" borderId="0" xfId="2" applyFont="1" applyFill="1" applyAlignment="1">
      <alignment horizontal="centerContinuous"/>
    </xf>
    <xf numFmtId="165" fontId="26" fillId="2" borderId="21" xfId="2" applyFont="1" applyFill="1" applyBorder="1" applyAlignment="1">
      <alignment horizontal="center"/>
    </xf>
    <xf numFmtId="165" fontId="26" fillId="2" borderId="24" xfId="2" applyFont="1" applyFill="1" applyBorder="1" applyAlignment="1">
      <alignment horizontal="center"/>
    </xf>
    <xf numFmtId="165" fontId="26" fillId="2" borderId="46" xfId="2" applyFont="1" applyFill="1" applyBorder="1" applyAlignment="1">
      <alignment horizontal="right"/>
    </xf>
    <xf numFmtId="165" fontId="0" fillId="2" borderId="6" xfId="2" applyFont="1" applyFill="1" applyBorder="1"/>
    <xf numFmtId="165" fontId="42" fillId="2" borderId="6" xfId="2" applyFont="1" applyFill="1" applyBorder="1"/>
    <xf numFmtId="165" fontId="25" fillId="2" borderId="0" xfId="2" applyFont="1" applyFill="1" applyBorder="1"/>
    <xf numFmtId="165" fontId="42" fillId="2" borderId="0" xfId="2" applyFont="1" applyFill="1" applyBorder="1"/>
    <xf numFmtId="165" fontId="43" fillId="2" borderId="0" xfId="2" applyFont="1" applyFill="1"/>
    <xf numFmtId="165" fontId="25" fillId="2" borderId="27" xfId="2" applyFont="1" applyFill="1" applyBorder="1"/>
    <xf numFmtId="0" fontId="44" fillId="2" borderId="27" xfId="0" applyFont="1" applyFill="1" applyBorder="1" applyAlignment="1">
      <alignment horizontal="left"/>
    </xf>
    <xf numFmtId="165" fontId="44" fillId="2" borderId="28" xfId="2" applyFont="1" applyFill="1" applyBorder="1"/>
    <xf numFmtId="165" fontId="20" fillId="2" borderId="46" xfId="2" applyFont="1" applyFill="1" applyBorder="1" applyAlignment="1">
      <alignment horizontal="center"/>
    </xf>
    <xf numFmtId="165" fontId="0" fillId="2" borderId="46" xfId="2" applyFont="1" applyFill="1" applyBorder="1"/>
    <xf numFmtId="165" fontId="43" fillId="2" borderId="0" xfId="0" applyNumberFormat="1" applyFont="1" applyFill="1"/>
    <xf numFmtId="165" fontId="28" fillId="2" borderId="25" xfId="2" applyFont="1" applyFill="1" applyBorder="1"/>
    <xf numFmtId="165" fontId="28" fillId="2" borderId="6" xfId="2" applyFont="1" applyFill="1" applyBorder="1"/>
    <xf numFmtId="165" fontId="27" fillId="2" borderId="47" xfId="2" applyFont="1" applyFill="1" applyBorder="1" applyAlignment="1">
      <alignment horizontal="right"/>
    </xf>
    <xf numFmtId="165" fontId="1" fillId="2" borderId="0" xfId="2" applyFont="1" applyFill="1"/>
    <xf numFmtId="165" fontId="1" fillId="2" borderId="0" xfId="2" applyFont="1" applyFill="1" applyAlignment="1">
      <alignment horizontal="right"/>
    </xf>
    <xf numFmtId="0" fontId="28" fillId="4" borderId="6" xfId="7" applyFont="1" applyFill="1" applyBorder="1"/>
    <xf numFmtId="0" fontId="28" fillId="4" borderId="0" xfId="7" applyFont="1" applyFill="1" applyBorder="1"/>
    <xf numFmtId="165" fontId="44" fillId="2" borderId="23" xfId="2" applyFont="1" applyFill="1" applyBorder="1"/>
    <xf numFmtId="165" fontId="28" fillId="2" borderId="25" xfId="2" applyFont="1" applyFill="1" applyBorder="1" applyAlignment="1">
      <alignment horizontal="right"/>
    </xf>
    <xf numFmtId="165" fontId="28" fillId="2" borderId="47" xfId="2" applyFont="1" applyFill="1" applyBorder="1" applyAlignment="1">
      <alignment horizontal="center"/>
    </xf>
    <xf numFmtId="165" fontId="28" fillId="2" borderId="47" xfId="2" applyFont="1" applyFill="1" applyBorder="1" applyAlignment="1">
      <alignment horizontal="right"/>
    </xf>
    <xf numFmtId="0" fontId="27" fillId="2" borderId="0" xfId="0" applyFont="1" applyFill="1" applyBorder="1" applyAlignment="1">
      <alignment horizontal="centerContinuous"/>
    </xf>
    <xf numFmtId="165" fontId="28" fillId="2" borderId="47" xfId="2" applyFont="1" applyFill="1" applyBorder="1" applyAlignment="1">
      <alignment horizontal="left"/>
    </xf>
    <xf numFmtId="0" fontId="28" fillId="2" borderId="8" xfId="7" applyFont="1" applyFill="1" applyBorder="1" applyAlignment="1">
      <alignment horizontal="center"/>
    </xf>
    <xf numFmtId="0" fontId="0" fillId="2" borderId="0" xfId="0" applyFill="1" applyBorder="1"/>
    <xf numFmtId="0" fontId="10" fillId="2" borderId="0" xfId="0" applyFont="1" applyFill="1" applyBorder="1"/>
    <xf numFmtId="0" fontId="27" fillId="2" borderId="0" xfId="0" applyFont="1" applyFill="1" applyBorder="1"/>
    <xf numFmtId="0" fontId="60" fillId="2" borderId="0" xfId="0" applyFont="1" applyFill="1" applyBorder="1" applyAlignment="1">
      <alignment horizontal="centerContinuous"/>
    </xf>
    <xf numFmtId="0" fontId="61" fillId="2" borderId="0" xfId="0" applyFont="1" applyFill="1" applyBorder="1" applyAlignment="1">
      <alignment horizontal="centerContinuous"/>
    </xf>
    <xf numFmtId="0" fontId="62" fillId="2" borderId="0" xfId="0" applyFont="1" applyFill="1" applyBorder="1" applyAlignment="1">
      <alignment horizontal="centerContinuous"/>
    </xf>
    <xf numFmtId="0" fontId="63" fillId="2" borderId="0" xfId="0" applyFont="1" applyFill="1" applyBorder="1" applyAlignment="1">
      <alignment horizontal="centerContinuous"/>
    </xf>
    <xf numFmtId="0" fontId="45" fillId="2" borderId="0" xfId="0" applyFont="1" applyFill="1" applyBorder="1"/>
    <xf numFmtId="0" fontId="66" fillId="2" borderId="0" xfId="0" applyFont="1" applyFill="1" applyBorder="1"/>
    <xf numFmtId="17" fontId="0" fillId="2" borderId="0" xfId="0" applyNumberFormat="1" applyFill="1" applyBorder="1"/>
    <xf numFmtId="0" fontId="27" fillId="2" borderId="22" xfId="0" applyFont="1" applyFill="1" applyBorder="1" applyAlignment="1">
      <alignment horizontal="centerContinuous"/>
    </xf>
    <xf numFmtId="0" fontId="26" fillId="2" borderId="0" xfId="0" applyFont="1" applyFill="1" applyBorder="1"/>
    <xf numFmtId="0" fontId="42" fillId="2" borderId="0" xfId="0" applyFont="1" applyFill="1" applyBorder="1"/>
    <xf numFmtId="0" fontId="42" fillId="2" borderId="0" xfId="0" applyFont="1" applyFill="1"/>
    <xf numFmtId="165" fontId="39" fillId="2" borderId="23" xfId="2" applyFont="1" applyFill="1" applyBorder="1"/>
    <xf numFmtId="165" fontId="39" fillId="2" borderId="25" xfId="2" applyFont="1" applyFill="1" applyBorder="1"/>
    <xf numFmtId="165" fontId="27" fillId="2" borderId="46" xfId="2" applyFont="1" applyFill="1" applyBorder="1"/>
    <xf numFmtId="165" fontId="27" fillId="2" borderId="25" xfId="2" applyFont="1" applyFill="1" applyBorder="1"/>
    <xf numFmtId="165" fontId="27" fillId="2" borderId="5" xfId="2" applyFont="1" applyFill="1" applyBorder="1"/>
    <xf numFmtId="165" fontId="27" fillId="2" borderId="3" xfId="2" applyFont="1" applyFill="1" applyBorder="1"/>
    <xf numFmtId="0" fontId="27" fillId="2" borderId="46" xfId="7" applyFont="1" applyFill="1" applyBorder="1"/>
    <xf numFmtId="165" fontId="28" fillId="2" borderId="3" xfId="2" applyFont="1" applyFill="1" applyBorder="1"/>
    <xf numFmtId="165" fontId="28" fillId="2" borderId="28" xfId="2" applyFont="1" applyFill="1" applyBorder="1"/>
    <xf numFmtId="165" fontId="39" fillId="2" borderId="28" xfId="2" applyFont="1" applyFill="1" applyBorder="1"/>
    <xf numFmtId="165" fontId="11" fillId="2" borderId="46" xfId="2" applyFont="1" applyFill="1" applyBorder="1"/>
    <xf numFmtId="165" fontId="47" fillId="2" borderId="28" xfId="2" applyFont="1" applyFill="1" applyBorder="1"/>
    <xf numFmtId="165" fontId="28" fillId="2" borderId="33" xfId="2" applyFont="1" applyFill="1" applyBorder="1" applyAlignment="1">
      <alignment horizontal="right"/>
    </xf>
    <xf numFmtId="165" fontId="28" fillId="2" borderId="0" xfId="2" applyFont="1" applyFill="1" applyAlignment="1">
      <alignment horizontal="right"/>
    </xf>
    <xf numFmtId="165" fontId="28" fillId="2" borderId="72" xfId="2" applyFont="1" applyFill="1" applyBorder="1" applyAlignment="1">
      <alignment horizontal="right"/>
    </xf>
    <xf numFmtId="165" fontId="28" fillId="2" borderId="40" xfId="2" applyFont="1" applyFill="1" applyBorder="1" applyAlignment="1">
      <alignment horizontal="right"/>
    </xf>
    <xf numFmtId="165" fontId="28" fillId="2" borderId="43" xfId="2" applyFont="1" applyFill="1" applyBorder="1" applyAlignment="1">
      <alignment horizontal="right"/>
    </xf>
    <xf numFmtId="165" fontId="40" fillId="2" borderId="33" xfId="2" applyFont="1" applyFill="1" applyBorder="1"/>
    <xf numFmtId="165" fontId="29" fillId="2" borderId="33" xfId="2" applyFont="1" applyFill="1" applyBorder="1"/>
    <xf numFmtId="165" fontId="29" fillId="2" borderId="72" xfId="2" applyFont="1" applyFill="1" applyBorder="1"/>
    <xf numFmtId="165" fontId="29" fillId="2" borderId="43" xfId="2" applyFont="1" applyFill="1" applyBorder="1"/>
    <xf numFmtId="165" fontId="29" fillId="4" borderId="43" xfId="2" applyFont="1" applyFill="1" applyBorder="1"/>
    <xf numFmtId="165" fontId="40" fillId="2" borderId="35" xfId="2" applyFont="1" applyFill="1" applyBorder="1"/>
    <xf numFmtId="165" fontId="29" fillId="2" borderId="30" xfId="2" applyFont="1" applyFill="1" applyBorder="1"/>
    <xf numFmtId="165" fontId="40" fillId="2" borderId="40" xfId="2" applyFont="1" applyFill="1" applyBorder="1"/>
    <xf numFmtId="165" fontId="25" fillId="4" borderId="25" xfId="2" applyFont="1" applyFill="1" applyBorder="1"/>
    <xf numFmtId="165" fontId="25" fillId="4" borderId="25" xfId="2" applyFont="1" applyFill="1" applyBorder="1" applyAlignment="1">
      <alignment horizontal="center"/>
    </xf>
    <xf numFmtId="165" fontId="25" fillId="4" borderId="28" xfId="2" applyFont="1" applyFill="1" applyBorder="1"/>
    <xf numFmtId="165" fontId="0" fillId="4" borderId="28" xfId="2" applyFont="1" applyFill="1" applyBorder="1"/>
    <xf numFmtId="165" fontId="29" fillId="2" borderId="0" xfId="2" applyFont="1" applyFill="1"/>
    <xf numFmtId="165" fontId="29" fillId="4" borderId="33" xfId="2" applyFont="1" applyFill="1" applyBorder="1"/>
    <xf numFmtId="165" fontId="44" fillId="4" borderId="5" xfId="2" applyFont="1" applyFill="1" applyBorder="1"/>
    <xf numFmtId="165" fontId="44" fillId="4" borderId="6" xfId="2" applyFont="1" applyFill="1" applyBorder="1"/>
    <xf numFmtId="165" fontId="44" fillId="4" borderId="3" xfId="2" applyFont="1" applyFill="1" applyBorder="1"/>
    <xf numFmtId="0" fontId="44" fillId="4" borderId="25" xfId="7" applyFont="1" applyFill="1" applyBorder="1"/>
    <xf numFmtId="4" fontId="44" fillId="4" borderId="25" xfId="7" applyNumberFormat="1" applyFont="1" applyFill="1" applyBorder="1"/>
    <xf numFmtId="14" fontId="44" fillId="4" borderId="25" xfId="7" applyNumberFormat="1" applyFont="1" applyFill="1" applyBorder="1"/>
    <xf numFmtId="0" fontId="44" fillId="4" borderId="28" xfId="7" applyFont="1" applyFill="1" applyBorder="1"/>
    <xf numFmtId="165" fontId="44" fillId="4" borderId="25" xfId="2" applyFont="1" applyFill="1" applyBorder="1"/>
    <xf numFmtId="165" fontId="44" fillId="4" borderId="23" xfId="2" applyFont="1" applyFill="1" applyBorder="1"/>
    <xf numFmtId="0" fontId="28" fillId="4" borderId="33" xfId="7" applyFont="1" applyFill="1" applyBorder="1"/>
    <xf numFmtId="0" fontId="28" fillId="4" borderId="39" xfId="7" applyFont="1" applyFill="1" applyBorder="1"/>
    <xf numFmtId="0" fontId="22" fillId="4" borderId="0" xfId="7" applyFill="1" applyAlignment="1">
      <alignment horizontal="center"/>
    </xf>
    <xf numFmtId="0" fontId="28" fillId="4" borderId="35" xfId="7" applyFont="1" applyFill="1" applyBorder="1"/>
    <xf numFmtId="0" fontId="28" fillId="4" borderId="1" xfId="7" applyFont="1" applyFill="1" applyBorder="1"/>
    <xf numFmtId="0" fontId="28" fillId="4" borderId="14" xfId="7" applyFont="1" applyFill="1" applyBorder="1"/>
    <xf numFmtId="0" fontId="28" fillId="4" borderId="0" xfId="7" applyFont="1" applyFill="1" applyBorder="1" applyAlignment="1">
      <alignment horizontal="center"/>
    </xf>
    <xf numFmtId="0" fontId="22" fillId="4" borderId="0" xfId="7" applyFill="1"/>
    <xf numFmtId="0" fontId="28" fillId="4" borderId="25" xfId="7" applyFont="1" applyFill="1" applyBorder="1"/>
    <xf numFmtId="165" fontId="25" fillId="4" borderId="6" xfId="2" applyFont="1" applyFill="1" applyBorder="1"/>
    <xf numFmtId="165" fontId="25" fillId="2" borderId="46" xfId="2" applyFont="1" applyFill="1" applyBorder="1" applyAlignment="1">
      <alignment horizontal="center"/>
    </xf>
    <xf numFmtId="165" fontId="6" fillId="2" borderId="5" xfId="2" applyFont="1" applyFill="1" applyBorder="1"/>
    <xf numFmtId="165" fontId="6" fillId="2" borderId="25" xfId="2" applyFont="1" applyFill="1" applyBorder="1"/>
    <xf numFmtId="165" fontId="6" fillId="2" borderId="6" xfId="2" applyFont="1" applyFill="1" applyBorder="1"/>
    <xf numFmtId="165" fontId="6" fillId="2" borderId="6" xfId="2" applyFont="1" applyFill="1" applyBorder="1" applyAlignment="1"/>
    <xf numFmtId="165" fontId="14" fillId="2" borderId="47" xfId="2" applyFont="1" applyFill="1" applyBorder="1"/>
    <xf numFmtId="165" fontId="6" fillId="2" borderId="28" xfId="2" applyFont="1" applyFill="1" applyBorder="1"/>
    <xf numFmtId="165" fontId="5" fillId="2" borderId="46" xfId="2" applyFont="1" applyFill="1" applyBorder="1"/>
    <xf numFmtId="165" fontId="5" fillId="2" borderId="28" xfId="2" applyFont="1" applyFill="1" applyBorder="1"/>
    <xf numFmtId="165" fontId="5" fillId="2" borderId="25" xfId="2" applyFont="1" applyFill="1" applyBorder="1"/>
    <xf numFmtId="165" fontId="5" fillId="2" borderId="47" xfId="2" applyFont="1" applyFill="1" applyBorder="1"/>
    <xf numFmtId="165" fontId="5" fillId="2" borderId="0" xfId="2" applyFont="1" applyFill="1"/>
    <xf numFmtId="165" fontId="6" fillId="2" borderId="0" xfId="2" applyFont="1" applyFill="1"/>
    <xf numFmtId="165" fontId="13" fillId="2" borderId="0" xfId="2" applyFont="1" applyFill="1" applyAlignment="1">
      <alignment horizontal="centerContinuous"/>
    </xf>
    <xf numFmtId="165" fontId="6" fillId="2" borderId="0" xfId="2" quotePrefix="1" applyFont="1" applyFill="1" applyAlignment="1">
      <alignment horizontal="left"/>
    </xf>
    <xf numFmtId="165" fontId="5" fillId="2" borderId="47" xfId="2" applyFont="1" applyFill="1" applyBorder="1" applyAlignment="1">
      <alignment horizontal="center"/>
    </xf>
    <xf numFmtId="165" fontId="6" fillId="2" borderId="3" xfId="2" applyFont="1" applyFill="1" applyBorder="1" applyAlignment="1"/>
    <xf numFmtId="165" fontId="26" fillId="2" borderId="46" xfId="2" applyFont="1" applyFill="1" applyBorder="1"/>
    <xf numFmtId="165" fontId="28" fillId="4" borderId="25" xfId="2" applyFont="1" applyFill="1" applyBorder="1"/>
    <xf numFmtId="165" fontId="0" fillId="4" borderId="0" xfId="2" applyFont="1" applyFill="1"/>
    <xf numFmtId="165" fontId="28" fillId="4" borderId="6" xfId="2" applyFont="1" applyFill="1" applyBorder="1"/>
    <xf numFmtId="165" fontId="28" fillId="4" borderId="23" xfId="2" applyFont="1" applyFill="1" applyBorder="1"/>
    <xf numFmtId="165" fontId="9" fillId="4" borderId="47" xfId="2" applyFont="1" applyFill="1" applyBorder="1"/>
    <xf numFmtId="165" fontId="9" fillId="4" borderId="25" xfId="2" applyFont="1" applyFill="1" applyBorder="1"/>
    <xf numFmtId="165" fontId="9" fillId="4" borderId="28" xfId="2" applyFont="1" applyFill="1" applyBorder="1"/>
    <xf numFmtId="165" fontId="9" fillId="4" borderId="23" xfId="2" applyFont="1" applyFill="1" applyBorder="1"/>
    <xf numFmtId="165" fontId="9" fillId="4" borderId="6" xfId="2" applyFont="1" applyFill="1" applyBorder="1"/>
    <xf numFmtId="165" fontId="9" fillId="4" borderId="3" xfId="2" applyFont="1" applyFill="1" applyBorder="1"/>
    <xf numFmtId="165" fontId="2" fillId="4" borderId="0" xfId="2" applyFont="1" applyFill="1"/>
    <xf numFmtId="0" fontId="47" fillId="4" borderId="6" xfId="0" applyFont="1" applyFill="1" applyBorder="1"/>
    <xf numFmtId="0" fontId="47" fillId="4" borderId="25" xfId="0" applyFont="1" applyFill="1" applyBorder="1"/>
    <xf numFmtId="0" fontId="0" fillId="4" borderId="25" xfId="0" applyFill="1" applyBorder="1"/>
    <xf numFmtId="170" fontId="47" fillId="4" borderId="6" xfId="2" applyNumberFormat="1" applyFont="1" applyFill="1" applyBorder="1"/>
    <xf numFmtId="165" fontId="47" fillId="4" borderId="25" xfId="2" applyFont="1" applyFill="1" applyBorder="1"/>
    <xf numFmtId="165" fontId="47" fillId="4" borderId="25" xfId="0" applyNumberFormat="1" applyFont="1" applyFill="1" applyBorder="1"/>
    <xf numFmtId="165" fontId="0" fillId="4" borderId="25" xfId="2" applyFont="1" applyFill="1" applyBorder="1"/>
    <xf numFmtId="0" fontId="47" fillId="4" borderId="46" xfId="0" applyFont="1" applyFill="1" applyBorder="1" applyAlignment="1">
      <alignment vertical="center" wrapText="1"/>
    </xf>
    <xf numFmtId="0" fontId="47" fillId="4" borderId="47" xfId="0" applyFont="1" applyFill="1" applyBorder="1" applyAlignment="1">
      <alignment vertical="center" wrapText="1"/>
    </xf>
    <xf numFmtId="14" fontId="47" fillId="4" borderId="47" xfId="0" applyNumberFormat="1" applyFont="1" applyFill="1" applyBorder="1" applyAlignment="1">
      <alignment horizontal="center" vertical="center" wrapText="1"/>
    </xf>
    <xf numFmtId="4" fontId="47" fillId="4" borderId="47" xfId="0" applyNumberFormat="1" applyFont="1" applyFill="1" applyBorder="1" applyAlignment="1">
      <alignment horizontal="center" vertical="center" wrapText="1"/>
    </xf>
    <xf numFmtId="0" fontId="47" fillId="4" borderId="47" xfId="0" applyFont="1" applyFill="1" applyBorder="1" applyAlignment="1">
      <alignment horizontal="center" vertical="center" wrapText="1"/>
    </xf>
    <xf numFmtId="0" fontId="44" fillId="4" borderId="21" xfId="7" applyFont="1" applyFill="1" applyBorder="1"/>
    <xf numFmtId="0" fontId="44" fillId="4" borderId="23" xfId="7" applyFont="1" applyFill="1" applyBorder="1"/>
    <xf numFmtId="0" fontId="44" fillId="4" borderId="24" xfId="7" applyFont="1" applyFill="1" applyBorder="1"/>
    <xf numFmtId="0" fontId="44" fillId="4" borderId="26" xfId="7" applyFont="1" applyFill="1" applyBorder="1"/>
    <xf numFmtId="165" fontId="16" fillId="2" borderId="11" xfId="2" applyFont="1" applyFill="1" applyBorder="1" applyAlignment="1"/>
    <xf numFmtId="165" fontId="20" fillId="2" borderId="46" xfId="2" applyFont="1" applyFill="1" applyBorder="1"/>
    <xf numFmtId="0" fontId="67" fillId="2" borderId="15" xfId="7" applyFont="1" applyFill="1" applyBorder="1" applyAlignment="1">
      <alignment horizontal="center"/>
    </xf>
    <xf numFmtId="165" fontId="68" fillId="2" borderId="40" xfId="2" applyFont="1" applyFill="1" applyBorder="1"/>
    <xf numFmtId="0" fontId="26" fillId="2" borderId="46" xfId="7" quotePrefix="1" applyFont="1" applyFill="1" applyBorder="1" applyAlignment="1">
      <alignment horizontal="left"/>
    </xf>
    <xf numFmtId="165" fontId="9" fillId="2" borderId="46" xfId="2" applyFont="1" applyFill="1" applyBorder="1"/>
    <xf numFmtId="165" fontId="47" fillId="2" borderId="23" xfId="2" applyFont="1" applyFill="1" applyBorder="1"/>
    <xf numFmtId="165" fontId="28" fillId="2" borderId="0" xfId="2" applyFont="1" applyFill="1" applyBorder="1"/>
    <xf numFmtId="165" fontId="29" fillId="2" borderId="0" xfId="7" applyNumberFormat="1" applyFont="1" applyFill="1"/>
    <xf numFmtId="165" fontId="28" fillId="2" borderId="0" xfId="7" applyNumberFormat="1" applyFont="1" applyFill="1"/>
    <xf numFmtId="165" fontId="6" fillId="2" borderId="0" xfId="0" applyNumberFormat="1" applyFont="1" applyFill="1"/>
    <xf numFmtId="170" fontId="39" fillId="2" borderId="28" xfId="2" applyNumberFormat="1" applyFont="1" applyFill="1" applyBorder="1"/>
    <xf numFmtId="3" fontId="0" fillId="2" borderId="0" xfId="0" applyNumberFormat="1" applyFill="1" applyBorder="1"/>
    <xf numFmtId="3" fontId="0" fillId="2" borderId="0" xfId="0" applyNumberFormat="1" applyFill="1" applyBorder="1" applyAlignment="1">
      <alignment horizontal="right"/>
    </xf>
    <xf numFmtId="165" fontId="28" fillId="4" borderId="54" xfId="2" applyFont="1" applyFill="1" applyBorder="1"/>
    <xf numFmtId="172" fontId="25" fillId="4" borderId="6" xfId="2" applyNumberFormat="1" applyFont="1" applyFill="1" applyBorder="1" applyAlignment="1">
      <alignment horizontal="center"/>
    </xf>
    <xf numFmtId="170" fontId="25" fillId="4" borderId="6" xfId="2" applyNumberFormat="1" applyFont="1" applyFill="1" applyBorder="1"/>
    <xf numFmtId="165" fontId="16" fillId="2" borderId="0" xfId="2" applyFont="1" applyFill="1"/>
    <xf numFmtId="0" fontId="28" fillId="4" borderId="3" xfId="7" applyFont="1" applyFill="1" applyBorder="1" applyAlignment="1">
      <alignment horizontal="center"/>
    </xf>
    <xf numFmtId="165" fontId="28" fillId="4" borderId="25" xfId="2" applyFont="1" applyFill="1" applyBorder="1" applyAlignment="1">
      <alignment horizontal="center"/>
    </xf>
    <xf numFmtId="165" fontId="28" fillId="4" borderId="25" xfId="2" applyFont="1" applyFill="1" applyBorder="1" applyAlignment="1">
      <alignment horizontal="right"/>
    </xf>
    <xf numFmtId="165" fontId="28" fillId="4" borderId="28" xfId="2" applyFont="1" applyFill="1" applyBorder="1" applyAlignment="1">
      <alignment horizontal="center"/>
    </xf>
    <xf numFmtId="0" fontId="5" fillId="5" borderId="0" xfId="0" applyFont="1" applyFill="1"/>
    <xf numFmtId="14" fontId="44" fillId="4" borderId="25" xfId="7" applyNumberFormat="1" applyFont="1" applyFill="1" applyBorder="1" applyAlignment="1">
      <alignment horizontal="center"/>
    </xf>
    <xf numFmtId="165" fontId="28" fillId="2" borderId="0" xfId="7" applyNumberFormat="1" applyFont="1" applyFill="1" applyBorder="1"/>
    <xf numFmtId="165" fontId="6" fillId="2" borderId="0" xfId="0" applyNumberFormat="1" applyFont="1" applyFill="1" applyBorder="1"/>
    <xf numFmtId="167" fontId="6" fillId="2" borderId="25" xfId="0" applyNumberFormat="1" applyFont="1" applyFill="1" applyBorder="1" applyAlignment="1">
      <alignment horizontal="right"/>
    </xf>
    <xf numFmtId="0" fontId="20" fillId="2" borderId="0" xfId="0" applyFont="1" applyFill="1"/>
    <xf numFmtId="0" fontId="69" fillId="2" borderId="0" xfId="0" applyFont="1" applyFill="1"/>
    <xf numFmtId="1" fontId="0" fillId="2" borderId="0" xfId="0" applyNumberFormat="1" applyFill="1"/>
    <xf numFmtId="170" fontId="28" fillId="4" borderId="25" xfId="2" applyNumberFormat="1" applyFont="1" applyFill="1" applyBorder="1"/>
    <xf numFmtId="0" fontId="24" fillId="4" borderId="0" xfId="7" applyFont="1" applyFill="1"/>
    <xf numFmtId="165" fontId="33" fillId="2" borderId="54" xfId="2" applyFont="1" applyFill="1" applyBorder="1"/>
    <xf numFmtId="165" fontId="33" fillId="2" borderId="28" xfId="2" applyFont="1" applyFill="1" applyBorder="1"/>
    <xf numFmtId="165" fontId="22" fillId="2" borderId="5" xfId="2" applyFont="1" applyFill="1" applyBorder="1"/>
    <xf numFmtId="165" fontId="25" fillId="2" borderId="23" xfId="2" applyFont="1" applyFill="1" applyBorder="1"/>
    <xf numFmtId="165" fontId="25" fillId="2" borderId="25" xfId="2" applyFont="1" applyFill="1" applyBorder="1" applyAlignment="1">
      <alignment horizontal="center"/>
    </xf>
    <xf numFmtId="165" fontId="22" fillId="2" borderId="25" xfId="2" applyFont="1" applyFill="1" applyBorder="1"/>
    <xf numFmtId="165" fontId="25" fillId="2" borderId="28" xfId="2" applyFont="1" applyFill="1" applyBorder="1" applyAlignment="1">
      <alignment horizontal="center"/>
    </xf>
    <xf numFmtId="165" fontId="25" fillId="2" borderId="28" xfId="2" quotePrefix="1" applyFont="1" applyFill="1" applyBorder="1" applyAlignment="1">
      <alignment horizontal="center"/>
    </xf>
    <xf numFmtId="14" fontId="28" fillId="4" borderId="25" xfId="7" applyNumberFormat="1" applyFont="1" applyFill="1" applyBorder="1" applyAlignment="1">
      <alignment horizontal="center"/>
    </xf>
    <xf numFmtId="10" fontId="28" fillId="4" borderId="25" xfId="8" applyNumberFormat="1" applyFont="1" applyFill="1" applyBorder="1" applyAlignment="1">
      <alignment horizontal="center"/>
    </xf>
    <xf numFmtId="3" fontId="28" fillId="4" borderId="25" xfId="7" applyNumberFormat="1" applyFont="1" applyFill="1" applyBorder="1"/>
    <xf numFmtId="169" fontId="24" fillId="2" borderId="0" xfId="1" applyFont="1" applyFill="1"/>
    <xf numFmtId="165" fontId="28" fillId="4" borderId="23" xfId="2" applyFont="1" applyFill="1" applyBorder="1" applyAlignment="1">
      <alignment horizontal="center"/>
    </xf>
    <xf numFmtId="0" fontId="55" fillId="2" borderId="0" xfId="0" applyFont="1" applyFill="1" applyAlignment="1">
      <alignment horizontal="centerContinuous"/>
    </xf>
    <xf numFmtId="0" fontId="56" fillId="2" borderId="0" xfId="0" applyFont="1" applyFill="1" applyAlignment="1">
      <alignment horizontal="centerContinuous"/>
    </xf>
    <xf numFmtId="0" fontId="29" fillId="2" borderId="28" xfId="0" applyFont="1" applyFill="1" applyBorder="1"/>
    <xf numFmtId="0" fontId="70" fillId="2" borderId="0" xfId="0" applyFont="1" applyFill="1" applyBorder="1" applyAlignment="1">
      <alignment horizontal="right"/>
    </xf>
    <xf numFmtId="0" fontId="70" fillId="2" borderId="0" xfId="0" applyFont="1" applyFill="1" applyBorder="1" applyAlignment="1">
      <alignment horizontal="center"/>
    </xf>
    <xf numFmtId="165" fontId="28" fillId="4" borderId="3" xfId="2" applyFont="1" applyFill="1" applyBorder="1" applyAlignment="1">
      <alignment horizontal="center"/>
    </xf>
    <xf numFmtId="0" fontId="44" fillId="2" borderId="6" xfId="7" applyFont="1" applyFill="1" applyBorder="1" applyAlignment="1">
      <alignment wrapText="1"/>
    </xf>
    <xf numFmtId="14" fontId="47" fillId="4" borderId="25" xfId="0" quotePrefix="1" applyNumberFormat="1" applyFont="1" applyFill="1" applyBorder="1"/>
    <xf numFmtId="0" fontId="47" fillId="4" borderId="6" xfId="0" applyFont="1" applyFill="1" applyBorder="1" applyAlignment="1">
      <alignment wrapText="1"/>
    </xf>
    <xf numFmtId="10" fontId="47" fillId="4" borderId="25" xfId="8" applyNumberFormat="1" applyFont="1" applyFill="1" applyBorder="1" applyAlignment="1">
      <alignment horizontal="center"/>
    </xf>
    <xf numFmtId="164" fontId="43" fillId="2" borderId="0" xfId="0" applyNumberFormat="1" applyFont="1" applyFill="1"/>
    <xf numFmtId="170" fontId="47" fillId="4" borderId="25" xfId="2" applyNumberFormat="1" applyFont="1" applyFill="1" applyBorder="1"/>
    <xf numFmtId="170" fontId="28" fillId="2" borderId="0" xfId="2" applyNumberFormat="1" applyFont="1" applyFill="1"/>
    <xf numFmtId="10" fontId="5" fillId="2" borderId="0" xfId="8" applyNumberFormat="1" applyFont="1" applyFill="1"/>
    <xf numFmtId="173" fontId="25" fillId="4" borderId="6" xfId="2" quotePrefix="1" applyNumberFormat="1" applyFont="1" applyFill="1" applyBorder="1" applyAlignment="1">
      <alignment horizontal="center"/>
    </xf>
    <xf numFmtId="165" fontId="5" fillId="2" borderId="0" xfId="2" applyFont="1" applyFill="1" applyBorder="1" applyAlignment="1"/>
    <xf numFmtId="165" fontId="6" fillId="2" borderId="0" xfId="2" applyFont="1" applyFill="1" applyBorder="1" applyAlignment="1"/>
    <xf numFmtId="165" fontId="6" fillId="2" borderId="65" xfId="2" applyFont="1" applyFill="1" applyBorder="1" applyAlignment="1"/>
    <xf numFmtId="164" fontId="28" fillId="2" borderId="0" xfId="7" applyNumberFormat="1" applyFont="1" applyFill="1"/>
    <xf numFmtId="164" fontId="25" fillId="2" borderId="0" xfId="7" applyNumberFormat="1" applyFont="1" applyFill="1"/>
    <xf numFmtId="0" fontId="74" fillId="2" borderId="0" xfId="6" applyFont="1" applyFill="1"/>
    <xf numFmtId="0" fontId="44" fillId="2" borderId="0" xfId="6" applyFill="1"/>
    <xf numFmtId="0" fontId="75" fillId="2" borderId="0" xfId="6" applyFont="1" applyFill="1"/>
    <xf numFmtId="14" fontId="39" fillId="2" borderId="0" xfId="6" applyNumberFormat="1" applyFont="1" applyFill="1" applyAlignment="1">
      <alignment horizontal="right"/>
    </xf>
    <xf numFmtId="0" fontId="74" fillId="6" borderId="40" xfId="6" applyFont="1" applyFill="1" applyBorder="1" applyAlignment="1">
      <alignment horizontal="center"/>
    </xf>
    <xf numFmtId="0" fontId="44" fillId="2" borderId="30" xfId="6" applyFill="1" applyBorder="1"/>
    <xf numFmtId="0" fontId="76" fillId="2" borderId="33" xfId="6" applyFont="1" applyFill="1" applyBorder="1"/>
    <xf numFmtId="0" fontId="44" fillId="2" borderId="33" xfId="6" applyFill="1" applyBorder="1"/>
    <xf numFmtId="0" fontId="77" fillId="2" borderId="33" xfId="6" applyFont="1" applyFill="1" applyBorder="1"/>
    <xf numFmtId="0" fontId="77" fillId="2" borderId="33" xfId="6" applyFont="1" applyFill="1" applyBorder="1" applyAlignment="1">
      <alignment horizontal="center"/>
    </xf>
    <xf numFmtId="0" fontId="44" fillId="2" borderId="35" xfId="6" applyFill="1" applyBorder="1"/>
    <xf numFmtId="0" fontId="44" fillId="2" borderId="0" xfId="6" applyFill="1" applyBorder="1"/>
    <xf numFmtId="0" fontId="78" fillId="2" borderId="30" xfId="6" applyFont="1" applyFill="1" applyBorder="1"/>
    <xf numFmtId="0" fontId="78" fillId="2" borderId="33" xfId="6" applyFont="1" applyFill="1" applyBorder="1"/>
    <xf numFmtId="0" fontId="75" fillId="2" borderId="33" xfId="6" applyFont="1" applyFill="1" applyBorder="1"/>
    <xf numFmtId="0" fontId="79" fillId="2" borderId="33" xfId="6" applyFont="1" applyFill="1" applyBorder="1"/>
    <xf numFmtId="0" fontId="80" fillId="2" borderId="33" xfId="6" applyFont="1" applyFill="1" applyBorder="1"/>
    <xf numFmtId="0" fontId="78" fillId="2" borderId="0" xfId="6" applyFont="1" applyFill="1"/>
    <xf numFmtId="0" fontId="44" fillId="2" borderId="0" xfId="6" applyFont="1" applyFill="1"/>
    <xf numFmtId="0" fontId="81" fillId="2" borderId="0" xfId="6" applyFont="1" applyFill="1"/>
    <xf numFmtId="0" fontId="82" fillId="2" borderId="0" xfId="6" applyFont="1" applyFill="1"/>
    <xf numFmtId="0" fontId="20" fillId="2" borderId="0" xfId="5" applyFont="1" applyFill="1" applyAlignment="1">
      <alignment horizontal="right"/>
    </xf>
    <xf numFmtId="14" fontId="81" fillId="2" borderId="0" xfId="6" applyNumberFormat="1" applyFont="1" applyFill="1" applyAlignment="1">
      <alignment horizontal="left"/>
    </xf>
    <xf numFmtId="0" fontId="81" fillId="2" borderId="30" xfId="6" applyFont="1" applyFill="1" applyBorder="1" applyAlignment="1">
      <alignment horizontal="center"/>
    </xf>
    <xf numFmtId="0" fontId="81" fillId="2" borderId="33" xfId="6" applyFont="1" applyFill="1" applyBorder="1" applyAlignment="1">
      <alignment horizontal="center"/>
    </xf>
    <xf numFmtId="0" fontId="83" fillId="2" borderId="35" xfId="6" applyFont="1" applyFill="1" applyBorder="1" applyAlignment="1">
      <alignment horizontal="center"/>
    </xf>
    <xf numFmtId="0" fontId="81" fillId="2" borderId="35" xfId="6" applyFont="1" applyFill="1" applyBorder="1" applyAlignment="1">
      <alignment horizontal="center"/>
    </xf>
    <xf numFmtId="0" fontId="81" fillId="2" borderId="33" xfId="6" applyFont="1" applyFill="1" applyBorder="1"/>
    <xf numFmtId="0" fontId="82" fillId="2" borderId="33" xfId="6" applyFont="1" applyFill="1" applyBorder="1"/>
    <xf numFmtId="0" fontId="81" fillId="2" borderId="33" xfId="6" applyFont="1" applyFill="1" applyBorder="1" applyAlignment="1">
      <alignment horizontal="left"/>
    </xf>
    <xf numFmtId="0" fontId="82" fillId="2" borderId="35" xfId="6" applyFont="1" applyFill="1" applyBorder="1"/>
    <xf numFmtId="0" fontId="81" fillId="2" borderId="30" xfId="6" applyFont="1" applyFill="1" applyBorder="1"/>
    <xf numFmtId="0" fontId="82" fillId="2" borderId="30" xfId="6" applyFont="1" applyFill="1" applyBorder="1"/>
    <xf numFmtId="0" fontId="81" fillId="2" borderId="30" xfId="6" applyFont="1" applyFill="1" applyBorder="1" applyAlignment="1">
      <alignment horizontal="left"/>
    </xf>
    <xf numFmtId="0" fontId="83" fillId="2" borderId="33" xfId="6" applyFont="1" applyFill="1" applyBorder="1"/>
    <xf numFmtId="0" fontId="83" fillId="2" borderId="33" xfId="6" applyFont="1" applyFill="1" applyBorder="1" applyAlignment="1">
      <alignment horizontal="left"/>
    </xf>
    <xf numFmtId="0" fontId="82" fillId="2" borderId="33" xfId="6" applyFont="1" applyFill="1" applyBorder="1" applyAlignment="1">
      <alignment horizontal="left"/>
    </xf>
    <xf numFmtId="164" fontId="29" fillId="2" borderId="0" xfId="7" applyNumberFormat="1" applyFont="1" applyFill="1"/>
    <xf numFmtId="165" fontId="40" fillId="4" borderId="33" xfId="2" applyFont="1" applyFill="1" applyBorder="1"/>
    <xf numFmtId="0" fontId="20" fillId="2" borderId="0" xfId="0" applyFont="1" applyFill="1" applyBorder="1"/>
    <xf numFmtId="166" fontId="6" fillId="4" borderId="25" xfId="0" applyNumberFormat="1" applyFont="1" applyFill="1" applyBorder="1" applyAlignment="1">
      <alignment horizontal="right"/>
    </xf>
    <xf numFmtId="1" fontId="0" fillId="2" borderId="46" xfId="0" quotePrefix="1" applyNumberFormat="1" applyFill="1" applyBorder="1"/>
    <xf numFmtId="4" fontId="6" fillId="2" borderId="46" xfId="0" applyNumberFormat="1" applyFont="1" applyFill="1" applyBorder="1"/>
    <xf numFmtId="165" fontId="5" fillId="2" borderId="46" xfId="2" applyFont="1" applyFill="1" applyBorder="1" applyAlignment="1"/>
    <xf numFmtId="165" fontId="9" fillId="2" borderId="46" xfId="2" applyFont="1" applyFill="1" applyBorder="1" applyAlignment="1"/>
    <xf numFmtId="165" fontId="5" fillId="7" borderId="6" xfId="2" applyFont="1" applyFill="1" applyBorder="1" applyAlignment="1"/>
    <xf numFmtId="165" fontId="6" fillId="7" borderId="6" xfId="2" applyFont="1" applyFill="1" applyBorder="1" applyAlignment="1"/>
    <xf numFmtId="165" fontId="6" fillId="7" borderId="11" xfId="2" applyFont="1" applyFill="1" applyBorder="1" applyAlignment="1"/>
    <xf numFmtId="165" fontId="14" fillId="2" borderId="11" xfId="2" applyFont="1" applyFill="1" applyBorder="1" applyAlignment="1"/>
    <xf numFmtId="165" fontId="5" fillId="2" borderId="65" xfId="2" applyFont="1" applyFill="1" applyBorder="1" applyAlignment="1"/>
    <xf numFmtId="165" fontId="5" fillId="2" borderId="16" xfId="2" applyFont="1" applyFill="1" applyBorder="1" applyAlignment="1"/>
    <xf numFmtId="165" fontId="5" fillId="7" borderId="73" xfId="2" applyFont="1" applyFill="1" applyBorder="1" applyAlignment="1"/>
    <xf numFmtId="165" fontId="6" fillId="2" borderId="11" xfId="2" applyFont="1" applyFill="1" applyBorder="1" applyAlignment="1"/>
    <xf numFmtId="165" fontId="6" fillId="7" borderId="1" xfId="2" applyFont="1" applyFill="1" applyBorder="1" applyAlignment="1"/>
    <xf numFmtId="165" fontId="5" fillId="2" borderId="63" xfId="2" applyFont="1" applyFill="1" applyBorder="1" applyAlignment="1"/>
    <xf numFmtId="165" fontId="5" fillId="2" borderId="1" xfId="2" applyFont="1" applyFill="1" applyBorder="1" applyAlignment="1"/>
    <xf numFmtId="165" fontId="6" fillId="2" borderId="74" xfId="2" applyFont="1" applyFill="1" applyBorder="1" applyAlignment="1"/>
    <xf numFmtId="165" fontId="9" fillId="2" borderId="63" xfId="2" applyFont="1" applyFill="1" applyBorder="1" applyAlignment="1"/>
    <xf numFmtId="165" fontId="5" fillId="2" borderId="11" xfId="2" applyFont="1" applyFill="1" applyBorder="1" applyAlignment="1"/>
    <xf numFmtId="165" fontId="6" fillId="2" borderId="1" xfId="2" applyFont="1" applyFill="1" applyBorder="1" applyAlignment="1"/>
    <xf numFmtId="165" fontId="14" fillId="2" borderId="64" xfId="2" applyFont="1" applyFill="1" applyBorder="1" applyAlignment="1"/>
    <xf numFmtId="165" fontId="14" fillId="2" borderId="16" xfId="2" applyFont="1" applyFill="1" applyBorder="1" applyAlignment="1"/>
    <xf numFmtId="165" fontId="14" fillId="2" borderId="5" xfId="2" applyFont="1" applyFill="1" applyBorder="1" applyAlignment="1"/>
    <xf numFmtId="165" fontId="14" fillId="2" borderId="0" xfId="2" applyFont="1" applyFill="1" applyBorder="1" applyAlignment="1"/>
    <xf numFmtId="165" fontId="14" fillId="2" borderId="3" xfId="2" applyFont="1" applyFill="1" applyBorder="1" applyAlignment="1"/>
    <xf numFmtId="165" fontId="14" fillId="2" borderId="1" xfId="2" applyFont="1" applyFill="1" applyBorder="1" applyAlignment="1"/>
    <xf numFmtId="165" fontId="14" fillId="2" borderId="65" xfId="2" applyFont="1" applyFill="1" applyBorder="1" applyAlignment="1"/>
    <xf numFmtId="165" fontId="19" fillId="2" borderId="0" xfId="2" applyFont="1" applyFill="1" applyAlignment="1">
      <alignment horizontal="center"/>
    </xf>
    <xf numFmtId="165" fontId="6" fillId="2" borderId="0" xfId="2" applyFont="1" applyFill="1" applyBorder="1" applyAlignment="1">
      <alignment horizontal="center"/>
    </xf>
    <xf numFmtId="165" fontId="15" fillId="2" borderId="64" xfId="2" applyFont="1" applyFill="1" applyBorder="1" applyAlignment="1"/>
    <xf numFmtId="165" fontId="16" fillId="2" borderId="3" xfId="2" applyFont="1" applyFill="1" applyBorder="1" applyAlignment="1"/>
    <xf numFmtId="165" fontId="16" fillId="2" borderId="61" xfId="2" applyFont="1" applyFill="1" applyBorder="1" applyAlignment="1"/>
    <xf numFmtId="165" fontId="15" fillId="2" borderId="75" xfId="2" applyFont="1" applyFill="1" applyBorder="1" applyAlignment="1"/>
    <xf numFmtId="165" fontId="15" fillId="2" borderId="6" xfId="2" applyFont="1" applyFill="1" applyBorder="1" applyAlignment="1">
      <alignment horizontal="justify"/>
    </xf>
    <xf numFmtId="165" fontId="16" fillId="2" borderId="11" xfId="2" applyFont="1" applyFill="1" applyBorder="1" applyAlignment="1">
      <alignment horizontal="justify"/>
    </xf>
    <xf numFmtId="165" fontId="6" fillId="2" borderId="5" xfId="2" applyFont="1" applyFill="1" applyBorder="1" applyAlignment="1"/>
    <xf numFmtId="165" fontId="5" fillId="2" borderId="6" xfId="2" applyFont="1" applyFill="1" applyBorder="1" applyAlignment="1"/>
    <xf numFmtId="165" fontId="11" fillId="2" borderId="0" xfId="2" applyFont="1" applyFill="1" applyAlignment="1"/>
    <xf numFmtId="165" fontId="5" fillId="2" borderId="0" xfId="2" applyFont="1" applyFill="1" applyAlignment="1"/>
    <xf numFmtId="165" fontId="21" fillId="2" borderId="0" xfId="2" applyFont="1" applyFill="1"/>
    <xf numFmtId="165" fontId="6" fillId="2" borderId="0" xfId="2" applyFont="1" applyFill="1" applyAlignment="1"/>
    <xf numFmtId="165" fontId="5" fillId="4" borderId="46" xfId="2" applyFont="1" applyFill="1" applyBorder="1" applyAlignment="1"/>
    <xf numFmtId="4" fontId="6" fillId="2" borderId="5" xfId="0" applyNumberFormat="1" applyFont="1" applyFill="1" applyBorder="1" applyAlignment="1">
      <alignment horizontal="center" vertical="center"/>
    </xf>
    <xf numFmtId="4" fontId="6" fillId="2" borderId="6" xfId="0" applyNumberFormat="1" applyFont="1" applyFill="1" applyBorder="1" applyAlignment="1">
      <alignment horizontal="center" vertical="center"/>
    </xf>
    <xf numFmtId="4" fontId="6" fillId="2" borderId="5" xfId="0" applyNumberFormat="1" applyFont="1" applyFill="1" applyBorder="1" applyAlignment="1">
      <alignment horizontal="center" vertical="center" wrapText="1"/>
    </xf>
    <xf numFmtId="4" fontId="6" fillId="2" borderId="3" xfId="0" applyNumberFormat="1" applyFont="1" applyFill="1" applyBorder="1" applyAlignment="1">
      <alignment horizontal="center" vertical="center" wrapText="1"/>
    </xf>
    <xf numFmtId="165" fontId="5" fillId="8" borderId="46" xfId="2" applyFont="1" applyFill="1" applyBorder="1" applyAlignment="1"/>
    <xf numFmtId="0" fontId="6" fillId="2" borderId="0" xfId="0" quotePrefix="1" applyFont="1" applyFill="1"/>
    <xf numFmtId="165" fontId="12" fillId="2" borderId="64" xfId="2" applyFont="1" applyFill="1" applyBorder="1" applyAlignment="1"/>
    <xf numFmtId="165" fontId="12" fillId="2" borderId="1" xfId="2" applyFont="1" applyFill="1" applyBorder="1" applyAlignment="1"/>
    <xf numFmtId="165" fontId="12" fillId="2" borderId="11" xfId="2" applyFont="1" applyFill="1" applyBorder="1" applyAlignment="1"/>
    <xf numFmtId="165" fontId="12" fillId="2" borderId="31" xfId="2" applyFont="1" applyFill="1" applyBorder="1" applyAlignment="1"/>
    <xf numFmtId="165" fontId="12" fillId="2" borderId="14" xfId="2" applyFont="1" applyFill="1" applyBorder="1" applyAlignment="1"/>
    <xf numFmtId="165" fontId="12" fillId="2" borderId="75" xfId="2" applyFont="1" applyFill="1" applyBorder="1" applyAlignment="1"/>
    <xf numFmtId="165" fontId="16" fillId="2" borderId="46" xfId="2" applyFont="1" applyFill="1" applyBorder="1" applyAlignment="1"/>
    <xf numFmtId="0" fontId="33" fillId="2" borderId="46" xfId="7" applyFont="1" applyFill="1" applyBorder="1"/>
    <xf numFmtId="165" fontId="28" fillId="8" borderId="25" xfId="2" applyFont="1" applyFill="1" applyBorder="1"/>
    <xf numFmtId="165" fontId="28" fillId="8" borderId="23" xfId="2" applyFont="1" applyFill="1" applyBorder="1"/>
    <xf numFmtId="165" fontId="27" fillId="8" borderId="47" xfId="2" applyFont="1" applyFill="1" applyBorder="1"/>
    <xf numFmtId="165" fontId="27" fillId="8" borderId="25" xfId="2" applyFont="1" applyFill="1" applyBorder="1"/>
    <xf numFmtId="165" fontId="27" fillId="8" borderId="46" xfId="2" applyFont="1" applyFill="1" applyBorder="1"/>
    <xf numFmtId="165" fontId="27" fillId="8" borderId="6" xfId="2" applyFont="1" applyFill="1" applyBorder="1"/>
    <xf numFmtId="165" fontId="44" fillId="8" borderId="25" xfId="2" applyFont="1" applyFill="1" applyBorder="1"/>
    <xf numFmtId="165" fontId="47" fillId="2" borderId="0" xfId="2" applyFont="1" applyFill="1"/>
    <xf numFmtId="0" fontId="75" fillId="2" borderId="0" xfId="7" applyFont="1" applyFill="1" applyAlignment="1">
      <alignment horizontal="right"/>
    </xf>
    <xf numFmtId="0" fontId="72" fillId="2" borderId="0" xfId="0" applyFont="1" applyFill="1"/>
    <xf numFmtId="165" fontId="0" fillId="9" borderId="0" xfId="0" applyNumberFormat="1" applyFill="1"/>
    <xf numFmtId="0" fontId="84" fillId="2" borderId="0" xfId="7" applyFont="1" applyFill="1"/>
    <xf numFmtId="164" fontId="28" fillId="9" borderId="0" xfId="7" applyNumberFormat="1" applyFont="1" applyFill="1"/>
    <xf numFmtId="165" fontId="28" fillId="9" borderId="0" xfId="2" applyFont="1" applyFill="1"/>
    <xf numFmtId="165" fontId="28" fillId="9" borderId="0" xfId="7" applyNumberFormat="1" applyFont="1" applyFill="1"/>
    <xf numFmtId="165" fontId="44" fillId="2" borderId="0" xfId="2" applyFont="1" applyFill="1"/>
    <xf numFmtId="170" fontId="44" fillId="9" borderId="0" xfId="7" applyNumberFormat="1" applyFont="1" applyFill="1"/>
    <xf numFmtId="164" fontId="0" fillId="9" borderId="0" xfId="0" applyNumberFormat="1" applyFill="1"/>
    <xf numFmtId="0" fontId="0" fillId="8" borderId="0" xfId="0" applyFill="1"/>
    <xf numFmtId="0" fontId="86" fillId="0" borderId="0" xfId="0" applyFont="1" applyAlignment="1">
      <alignment horizontal="center"/>
    </xf>
    <xf numFmtId="0" fontId="4" fillId="8" borderId="0" xfId="0" applyFont="1" applyFill="1"/>
    <xf numFmtId="0" fontId="4" fillId="8" borderId="0" xfId="0" applyFont="1" applyFill="1" applyAlignment="1">
      <alignment horizontal="center"/>
    </xf>
    <xf numFmtId="0" fontId="20" fillId="8" borderId="0" xfId="0" applyFont="1" applyFill="1"/>
    <xf numFmtId="0" fontId="70" fillId="8" borderId="3" xfId="0" applyFont="1" applyFill="1" applyBorder="1"/>
    <xf numFmtId="0" fontId="18" fillId="2" borderId="0" xfId="0" applyFont="1" applyFill="1" applyAlignment="1">
      <alignment wrapText="1"/>
    </xf>
    <xf numFmtId="0" fontId="43" fillId="2" borderId="0" xfId="0" applyFont="1" applyFill="1" applyAlignment="1">
      <alignment wrapText="1"/>
    </xf>
    <xf numFmtId="165" fontId="43" fillId="2" borderId="0" xfId="2" applyFont="1" applyFill="1" applyAlignment="1">
      <alignment wrapText="1"/>
    </xf>
    <xf numFmtId="165" fontId="6" fillId="8" borderId="46" xfId="2" applyFont="1" applyFill="1" applyBorder="1" applyAlignment="1"/>
    <xf numFmtId="0" fontId="29" fillId="2" borderId="0" xfId="0" applyFont="1" applyFill="1"/>
    <xf numFmtId="0" fontId="4" fillId="8" borderId="0" xfId="0" applyFont="1" applyFill="1" applyAlignment="1">
      <alignment horizontal="left" indent="2"/>
    </xf>
    <xf numFmtId="0" fontId="4" fillId="8" borderId="0" xfId="0" applyFont="1" applyFill="1" applyAlignment="1">
      <alignment horizontal="left" indent="5"/>
    </xf>
    <xf numFmtId="14" fontId="4" fillId="8" borderId="0" xfId="0" applyNumberFormat="1" applyFont="1" applyFill="1" applyAlignment="1">
      <alignment horizontal="left" indent="5"/>
    </xf>
    <xf numFmtId="0" fontId="0" fillId="8" borderId="0" xfId="0" applyFill="1" applyAlignment="1">
      <alignment horizontal="center"/>
    </xf>
    <xf numFmtId="0" fontId="4" fillId="8" borderId="0" xfId="0" applyFont="1" applyFill="1" applyAlignment="1">
      <alignment horizontal="left" indent="8"/>
    </xf>
    <xf numFmtId="0" fontId="4" fillId="8" borderId="0" xfId="0" applyFont="1" applyFill="1" applyAlignment="1">
      <alignment horizontal="left" indent="10"/>
    </xf>
    <xf numFmtId="0" fontId="4" fillId="8" borderId="0" xfId="0" applyFont="1" applyFill="1" applyAlignment="1">
      <alignment horizontal="left" indent="13"/>
    </xf>
    <xf numFmtId="0" fontId="4" fillId="8" borderId="0" xfId="0" applyFont="1" applyFill="1" applyAlignment="1">
      <alignment horizontal="left" indent="15"/>
    </xf>
    <xf numFmtId="175" fontId="0" fillId="8" borderId="0" xfId="0" applyNumberFormat="1" applyFill="1"/>
    <xf numFmtId="165" fontId="8" fillId="2" borderId="5" xfId="2" applyFont="1" applyFill="1" applyBorder="1" applyAlignment="1">
      <alignment horizontal="justify"/>
    </xf>
    <xf numFmtId="165" fontId="8" fillId="2" borderId="6" xfId="2" applyFont="1" applyFill="1" applyBorder="1" applyAlignment="1">
      <alignment horizontal="justify"/>
    </xf>
    <xf numFmtId="165" fontId="8" fillId="2" borderId="7" xfId="2" applyFont="1" applyFill="1" applyBorder="1" applyAlignment="1">
      <alignment horizontal="justify"/>
    </xf>
    <xf numFmtId="165" fontId="8" fillId="2" borderId="9" xfId="2" applyFont="1" applyFill="1" applyBorder="1" applyAlignment="1">
      <alignment horizontal="justify"/>
    </xf>
    <xf numFmtId="165" fontId="15" fillId="2" borderId="9" xfId="2" applyFont="1" applyFill="1" applyBorder="1" applyAlignment="1">
      <alignment horizontal="justify"/>
    </xf>
    <xf numFmtId="166" fontId="5" fillId="2" borderId="0" xfId="0" applyNumberFormat="1" applyFont="1" applyFill="1" applyBorder="1" applyAlignment="1">
      <alignment horizontal="left"/>
    </xf>
    <xf numFmtId="4" fontId="15" fillId="2" borderId="78" xfId="0" applyNumberFormat="1" applyFont="1" applyFill="1" applyBorder="1" applyAlignment="1">
      <alignment horizontal="centerContinuous"/>
    </xf>
    <xf numFmtId="0" fontId="15" fillId="2" borderId="8" xfId="0" applyFont="1" applyFill="1" applyBorder="1" applyAlignment="1">
      <alignment horizontal="center" vertical="center" wrapText="1"/>
    </xf>
    <xf numFmtId="0" fontId="15" fillId="2" borderId="9" xfId="0" quotePrefix="1" applyFont="1" applyFill="1" applyBorder="1" applyAlignment="1">
      <alignment horizontal="center" vertical="center" wrapText="1"/>
    </xf>
    <xf numFmtId="0" fontId="16" fillId="2" borderId="79" xfId="0" applyFont="1" applyFill="1" applyBorder="1"/>
    <xf numFmtId="0" fontId="16" fillId="2" borderId="80" xfId="0" applyFont="1" applyFill="1" applyBorder="1"/>
    <xf numFmtId="0" fontId="15" fillId="2" borderId="11" xfId="0" applyFont="1" applyFill="1" applyBorder="1" applyAlignment="1">
      <alignment horizontal="center"/>
    </xf>
    <xf numFmtId="0" fontId="15" fillId="2" borderId="59" xfId="0" applyFont="1" applyFill="1" applyBorder="1" applyAlignment="1">
      <alignment horizontal="center" vertical="center" wrapText="1"/>
    </xf>
    <xf numFmtId="0" fontId="15" fillId="2" borderId="24" xfId="0" applyFont="1" applyFill="1" applyBorder="1" applyAlignment="1">
      <alignment horizontal="center" vertical="center" wrapText="1"/>
    </xf>
    <xf numFmtId="0" fontId="17" fillId="2" borderId="24" xfId="0" applyFont="1" applyFill="1" applyBorder="1"/>
    <xf numFmtId="0" fontId="16" fillId="2" borderId="26" xfId="0" applyFont="1" applyFill="1" applyBorder="1"/>
    <xf numFmtId="0" fontId="16" fillId="2" borderId="20" xfId="0" applyFont="1" applyFill="1" applyBorder="1" applyAlignment="1">
      <alignment horizontal="center"/>
    </xf>
    <xf numFmtId="0" fontId="16" fillId="2" borderId="39" xfId="0" quotePrefix="1" applyFont="1" applyFill="1" applyBorder="1" applyAlignment="1">
      <alignment horizontal="center" vertical="center" wrapText="1"/>
    </xf>
    <xf numFmtId="0" fontId="16" fillId="2" borderId="39" xfId="0" applyFont="1" applyFill="1" applyBorder="1" applyAlignment="1">
      <alignment horizontal="center" vertical="center" wrapText="1"/>
    </xf>
    <xf numFmtId="14" fontId="15" fillId="2" borderId="81" xfId="0" applyNumberFormat="1" applyFont="1" applyFill="1" applyBorder="1" applyAlignment="1">
      <alignment horizontal="center"/>
    </xf>
    <xf numFmtId="165" fontId="8" fillId="2" borderId="82" xfId="2" applyFont="1" applyFill="1" applyBorder="1" applyAlignment="1">
      <alignment horizontal="justify"/>
    </xf>
    <xf numFmtId="165" fontId="16" fillId="2" borderId="81" xfId="2" applyFont="1" applyFill="1" applyBorder="1" applyAlignment="1"/>
    <xf numFmtId="165" fontId="8" fillId="2" borderId="39" xfId="2" applyFont="1" applyFill="1" applyBorder="1" applyAlignment="1">
      <alignment horizontal="justify"/>
    </xf>
    <xf numFmtId="165" fontId="15" fillId="2" borderId="31" xfId="2" applyFont="1" applyFill="1" applyBorder="1" applyAlignment="1"/>
    <xf numFmtId="165" fontId="15" fillId="2" borderId="39" xfId="2" applyFont="1" applyFill="1" applyBorder="1" applyAlignment="1">
      <alignment horizontal="justify"/>
    </xf>
    <xf numFmtId="4" fontId="15" fillId="2" borderId="19" xfId="0" applyNumberFormat="1" applyFont="1" applyFill="1" applyBorder="1" applyAlignment="1">
      <alignment horizontal="centerContinuous" vertical="center" wrapText="1"/>
    </xf>
    <xf numFmtId="0" fontId="16" fillId="2" borderId="60" xfId="0" applyFont="1" applyFill="1" applyBorder="1"/>
    <xf numFmtId="4" fontId="16" fillId="2" borderId="4" xfId="0" quotePrefix="1" applyNumberFormat="1" applyFont="1" applyFill="1" applyBorder="1" applyAlignment="1">
      <alignment horizontal="center" vertical="center" wrapText="1"/>
    </xf>
    <xf numFmtId="4" fontId="16" fillId="2" borderId="8" xfId="0" quotePrefix="1" applyNumberFormat="1" applyFont="1" applyFill="1" applyBorder="1" applyAlignment="1">
      <alignment horizontal="center" vertical="center" wrapText="1"/>
    </xf>
    <xf numFmtId="0" fontId="17" fillId="2" borderId="8" xfId="0" applyFont="1" applyFill="1" applyBorder="1"/>
    <xf numFmtId="1" fontId="15" fillId="2" borderId="83" xfId="0" applyNumberFormat="1" applyFont="1" applyFill="1" applyBorder="1" applyAlignment="1">
      <alignment horizontal="center"/>
    </xf>
    <xf numFmtId="0" fontId="15" fillId="2" borderId="61" xfId="0" quotePrefix="1" applyFont="1" applyFill="1" applyBorder="1" applyAlignment="1">
      <alignment horizontal="center"/>
    </xf>
    <xf numFmtId="165" fontId="8" fillId="2" borderId="4" xfId="2" applyFont="1" applyFill="1" applyBorder="1" applyAlignment="1">
      <alignment horizontal="justify"/>
    </xf>
    <xf numFmtId="165" fontId="16" fillId="2" borderId="83" xfId="2" applyFont="1" applyFill="1" applyBorder="1" applyAlignment="1"/>
    <xf numFmtId="165" fontId="16" fillId="2" borderId="84" xfId="2" applyFont="1" applyFill="1" applyBorder="1" applyAlignment="1"/>
    <xf numFmtId="165" fontId="16" fillId="2" borderId="37" xfId="2" applyFont="1" applyFill="1" applyBorder="1" applyAlignment="1"/>
    <xf numFmtId="165" fontId="8" fillId="2" borderId="8" xfId="2" applyFont="1" applyFill="1" applyBorder="1" applyAlignment="1">
      <alignment horizontal="justify"/>
    </xf>
    <xf numFmtId="165" fontId="15" fillId="2" borderId="37" xfId="2" applyFont="1" applyFill="1" applyBorder="1" applyAlignment="1"/>
    <xf numFmtId="165" fontId="15" fillId="2" borderId="8" xfId="2" applyFont="1" applyFill="1" applyBorder="1" applyAlignment="1">
      <alignment horizontal="justify"/>
    </xf>
    <xf numFmtId="0" fontId="16" fillId="2" borderId="59" xfId="0" applyFont="1" applyFill="1" applyBorder="1"/>
    <xf numFmtId="0" fontId="15" fillId="2" borderId="85" xfId="0" quotePrefix="1" applyFont="1" applyFill="1" applyBorder="1" applyAlignment="1">
      <alignment horizontal="left"/>
    </xf>
    <xf numFmtId="0" fontId="15" fillId="2" borderId="24" xfId="0" applyFont="1" applyFill="1" applyBorder="1"/>
    <xf numFmtId="0" fontId="16" fillId="2" borderId="50" xfId="0" applyFont="1" applyFill="1" applyBorder="1"/>
    <xf numFmtId="0" fontId="16" fillId="2" borderId="21" xfId="0" applyFont="1" applyFill="1" applyBorder="1"/>
    <xf numFmtId="0" fontId="16" fillId="2" borderId="21" xfId="0" quotePrefix="1" applyFont="1" applyFill="1" applyBorder="1" applyAlignment="1">
      <alignment horizontal="left" vertical="top" wrapText="1"/>
    </xf>
    <xf numFmtId="0" fontId="15" fillId="2" borderId="86" xfId="0" quotePrefix="1" applyFont="1" applyFill="1" applyBorder="1" applyAlignment="1">
      <alignment horizontal="right"/>
    </xf>
    <xf numFmtId="0" fontId="15" fillId="2" borderId="85" xfId="0" applyFont="1" applyFill="1" applyBorder="1"/>
    <xf numFmtId="0" fontId="15" fillId="2" borderId="66" xfId="0" applyFont="1" applyFill="1" applyBorder="1"/>
    <xf numFmtId="0" fontId="15" fillId="2" borderId="39" xfId="0" quotePrefix="1" applyFont="1" applyFill="1" applyBorder="1" applyAlignment="1">
      <alignment horizontal="center" vertical="center" wrapText="1"/>
    </xf>
    <xf numFmtId="165" fontId="16" fillId="2" borderId="87" xfId="2" applyFont="1" applyFill="1" applyBorder="1" applyAlignment="1">
      <alignment horizontal="left"/>
    </xf>
    <xf numFmtId="4" fontId="15" fillId="2" borderId="88" xfId="0" applyNumberFormat="1" applyFont="1" applyFill="1" applyBorder="1" applyAlignment="1">
      <alignment horizontal="centerContinuous"/>
    </xf>
    <xf numFmtId="4" fontId="15" fillId="2" borderId="4" xfId="0" quotePrefix="1" applyNumberFormat="1" applyFont="1" applyFill="1" applyBorder="1" applyAlignment="1">
      <alignment horizontal="center" vertical="center" wrapText="1"/>
    </xf>
    <xf numFmtId="0" fontId="15" fillId="2" borderId="61" xfId="0" applyFont="1" applyFill="1" applyBorder="1" applyAlignment="1">
      <alignment horizontal="center"/>
    </xf>
    <xf numFmtId="165" fontId="16" fillId="2" borderId="10" xfId="2" applyFont="1" applyFill="1" applyBorder="1" applyAlignment="1"/>
    <xf numFmtId="165" fontId="16" fillId="2" borderId="10" xfId="2" applyFont="1" applyFill="1" applyBorder="1" applyAlignment="1">
      <alignment horizontal="justify"/>
    </xf>
    <xf numFmtId="0" fontId="15" fillId="2" borderId="67" xfId="0" applyFont="1" applyFill="1" applyBorder="1"/>
    <xf numFmtId="0" fontId="15" fillId="2" borderId="66" xfId="0" applyFont="1" applyFill="1" applyBorder="1" applyAlignment="1">
      <alignment horizontal="left"/>
    </xf>
    <xf numFmtId="165" fontId="16" fillId="2" borderId="37" xfId="2" applyFont="1" applyFill="1" applyBorder="1" applyAlignment="1">
      <alignment horizontal="justify"/>
    </xf>
    <xf numFmtId="14" fontId="0" fillId="8" borderId="0" xfId="0" applyNumberFormat="1" applyFill="1"/>
    <xf numFmtId="14" fontId="4" fillId="8" borderId="0" xfId="0" applyNumberFormat="1" applyFont="1" applyFill="1" applyAlignment="1">
      <alignment horizontal="left" indent="13"/>
    </xf>
    <xf numFmtId="165" fontId="6" fillId="9" borderId="6" xfId="2" applyFont="1" applyFill="1" applyBorder="1" applyAlignment="1"/>
    <xf numFmtId="165" fontId="6" fillId="9" borderId="25" xfId="2" applyFont="1" applyFill="1" applyBorder="1"/>
    <xf numFmtId="0" fontId="6" fillId="8" borderId="25" xfId="0" applyFont="1" applyFill="1" applyBorder="1" applyAlignment="1">
      <alignment horizontal="left"/>
    </xf>
    <xf numFmtId="165" fontId="6" fillId="8" borderId="6" xfId="2" applyFont="1" applyFill="1" applyBorder="1" applyAlignment="1"/>
    <xf numFmtId="165" fontId="6" fillId="8" borderId="25" xfId="2" applyFont="1" applyFill="1" applyBorder="1"/>
    <xf numFmtId="0" fontId="6" fillId="9" borderId="25" xfId="0" applyFont="1" applyFill="1" applyBorder="1"/>
    <xf numFmtId="165" fontId="6" fillId="9" borderId="28" xfId="2" applyFont="1" applyFill="1" applyBorder="1"/>
    <xf numFmtId="0" fontId="29" fillId="2" borderId="6" xfId="0" applyFont="1" applyFill="1" applyBorder="1"/>
    <xf numFmtId="0" fontId="29" fillId="2" borderId="6" xfId="0" applyFont="1" applyFill="1" applyBorder="1" applyAlignment="1">
      <alignment vertical="center"/>
    </xf>
    <xf numFmtId="165" fontId="39" fillId="2" borderId="5" xfId="2" applyFont="1" applyFill="1" applyBorder="1"/>
    <xf numFmtId="4" fontId="28" fillId="2" borderId="3" xfId="7" applyNumberFormat="1" applyFont="1" applyFill="1" applyBorder="1"/>
    <xf numFmtId="165" fontId="25" fillId="2" borderId="46" xfId="2" applyFont="1" applyFill="1" applyBorder="1"/>
    <xf numFmtId="49" fontId="70" fillId="2" borderId="0" xfId="0" applyNumberFormat="1" applyFont="1" applyFill="1" applyBorder="1"/>
    <xf numFmtId="0" fontId="5" fillId="2" borderId="0" xfId="0" applyFont="1" applyFill="1" applyAlignment="1">
      <alignment horizontal="left"/>
    </xf>
    <xf numFmtId="14" fontId="14" fillId="2" borderId="0" xfId="0" applyNumberFormat="1" applyFont="1" applyFill="1" applyAlignment="1">
      <alignment horizontal="left"/>
    </xf>
    <xf numFmtId="0" fontId="28" fillId="4" borderId="46" xfId="7" applyFont="1" applyFill="1" applyBorder="1" applyAlignment="1">
      <alignment vertical="center"/>
    </xf>
    <xf numFmtId="0" fontId="28" fillId="4" borderId="47" xfId="7" applyFont="1" applyFill="1" applyBorder="1" applyAlignment="1">
      <alignment vertical="center" wrapText="1"/>
    </xf>
    <xf numFmtId="170" fontId="28" fillId="4" borderId="47" xfId="2" applyNumberFormat="1" applyFont="1" applyFill="1" applyBorder="1" applyAlignment="1">
      <alignment vertical="center"/>
    </xf>
    <xf numFmtId="165" fontId="28" fillId="4" borderId="47" xfId="2" applyFont="1" applyFill="1" applyBorder="1" applyAlignment="1">
      <alignment vertical="center"/>
    </xf>
    <xf numFmtId="14" fontId="28" fillId="2" borderId="0" xfId="0" applyNumberFormat="1" applyFont="1" applyFill="1"/>
    <xf numFmtId="0" fontId="28" fillId="2" borderId="0" xfId="0" applyFont="1" applyFill="1"/>
    <xf numFmtId="0" fontId="29" fillId="2" borderId="0" xfId="0" applyFont="1" applyFill="1" applyBorder="1"/>
    <xf numFmtId="0" fontId="29" fillId="2" borderId="3" xfId="0" applyFont="1" applyFill="1" applyBorder="1" applyAlignment="1">
      <alignment horizontal="center"/>
    </xf>
    <xf numFmtId="0" fontId="29" fillId="2" borderId="3" xfId="0" applyFont="1" applyFill="1" applyBorder="1"/>
    <xf numFmtId="0" fontId="29" fillId="2" borderId="25" xfId="0" applyFont="1" applyFill="1" applyBorder="1"/>
    <xf numFmtId="165" fontId="29" fillId="2" borderId="25" xfId="2" applyFont="1" applyFill="1" applyBorder="1"/>
    <xf numFmtId="4" fontId="29" fillId="2" borderId="25" xfId="0" applyNumberFormat="1" applyFont="1" applyFill="1" applyBorder="1"/>
    <xf numFmtId="0" fontId="4" fillId="8" borderId="0" xfId="0" applyFont="1" applyFill="1" applyAlignment="1">
      <alignment horizontal="left"/>
    </xf>
    <xf numFmtId="177" fontId="25" fillId="2" borderId="51" xfId="2" applyNumberFormat="1" applyFont="1" applyFill="1" applyBorder="1"/>
    <xf numFmtId="165" fontId="33" fillId="2" borderId="46" xfId="2" applyNumberFormat="1" applyFont="1" applyFill="1" applyBorder="1" applyAlignment="1">
      <alignment horizontal="right"/>
    </xf>
    <xf numFmtId="176" fontId="25" fillId="4" borderId="6" xfId="2" applyNumberFormat="1" applyFont="1" applyFill="1" applyBorder="1"/>
    <xf numFmtId="176" fontId="22" fillId="4" borderId="6" xfId="2" applyNumberFormat="1" applyFont="1" applyFill="1" applyBorder="1"/>
    <xf numFmtId="0" fontId="44" fillId="2" borderId="5" xfId="7" applyFont="1" applyFill="1" applyBorder="1" applyAlignment="1">
      <alignment horizontal="center" vertical="center"/>
    </xf>
    <xf numFmtId="0" fontId="44" fillId="2" borderId="23" xfId="7" applyFont="1" applyFill="1" applyBorder="1" applyAlignment="1">
      <alignment horizontal="center" vertical="center"/>
    </xf>
    <xf numFmtId="0" fontId="44" fillId="2" borderId="50" xfId="7" applyFont="1" applyFill="1" applyBorder="1" applyAlignment="1">
      <alignment horizontal="center" vertical="center"/>
    </xf>
    <xf numFmtId="0" fontId="44" fillId="2" borderId="36" xfId="7" applyFont="1" applyFill="1" applyBorder="1" applyAlignment="1">
      <alignment horizontal="center" vertical="center"/>
    </xf>
    <xf numFmtId="0" fontId="44" fillId="2" borderId="47" xfId="7" applyFont="1" applyFill="1" applyBorder="1" applyAlignment="1">
      <alignment horizontal="center" vertical="center"/>
    </xf>
    <xf numFmtId="0" fontId="44" fillId="2" borderId="6" xfId="7" applyFont="1" applyFill="1" applyBorder="1" applyAlignment="1">
      <alignment horizontal="center" vertical="center"/>
    </xf>
    <xf numFmtId="0" fontId="44" fillId="2" borderId="25" xfId="7" applyFont="1" applyFill="1" applyBorder="1" applyAlignment="1">
      <alignment horizontal="center" vertical="center"/>
    </xf>
    <xf numFmtId="0" fontId="44" fillId="2" borderId="3" xfId="7" applyFont="1" applyFill="1" applyBorder="1" applyAlignment="1">
      <alignment horizontal="center" vertical="center"/>
    </xf>
    <xf numFmtId="0" fontId="44" fillId="2" borderId="28" xfId="7" applyFont="1" applyFill="1" applyBorder="1" applyAlignment="1">
      <alignment horizontal="center" vertical="center"/>
    </xf>
    <xf numFmtId="0" fontId="28" fillId="2" borderId="25" xfId="7" applyFont="1" applyFill="1" applyBorder="1" applyAlignment="1">
      <alignment horizontal="center" vertical="center"/>
    </xf>
    <xf numFmtId="0" fontId="28" fillId="4" borderId="47" xfId="7" quotePrefix="1" applyFont="1" applyFill="1" applyBorder="1" applyAlignment="1">
      <alignment vertical="center"/>
    </xf>
    <xf numFmtId="165" fontId="39" fillId="4" borderId="0" xfId="2" applyFont="1" applyFill="1" applyAlignment="1">
      <alignment horizontal="centerContinuous"/>
    </xf>
    <xf numFmtId="0" fontId="29" fillId="2" borderId="5" xfId="0" applyFont="1" applyFill="1" applyBorder="1" applyAlignment="1">
      <alignment horizontal="center" vertical="center" wrapText="1"/>
    </xf>
    <xf numFmtId="0" fontId="29" fillId="2" borderId="0" xfId="0" applyFont="1" applyFill="1" applyAlignment="1">
      <alignment horizontal="center" vertical="center" wrapText="1"/>
    </xf>
    <xf numFmtId="0" fontId="0" fillId="2" borderId="0" xfId="0" applyFill="1" applyAlignment="1">
      <alignment horizontal="center" vertical="center" wrapText="1"/>
    </xf>
    <xf numFmtId="17" fontId="29" fillId="2" borderId="0" xfId="0" quotePrefix="1" applyNumberFormat="1" applyFont="1" applyFill="1" applyBorder="1" applyAlignment="1">
      <alignment horizontal="center"/>
    </xf>
    <xf numFmtId="165" fontId="29" fillId="2" borderId="0" xfId="2" applyFont="1" applyFill="1" applyBorder="1"/>
    <xf numFmtId="4" fontId="29" fillId="2" borderId="0" xfId="0" applyNumberFormat="1" applyFont="1" applyFill="1" applyBorder="1"/>
    <xf numFmtId="9" fontId="29" fillId="2" borderId="0" xfId="8" applyFont="1" applyFill="1" applyBorder="1" applyAlignment="1">
      <alignment horizontal="center"/>
    </xf>
    <xf numFmtId="0" fontId="29" fillId="2" borderId="0" xfId="0" applyFont="1" applyFill="1" applyBorder="1" applyAlignment="1">
      <alignment horizontal="center"/>
    </xf>
    <xf numFmtId="165" fontId="29" fillId="2" borderId="28" xfId="2" applyFont="1" applyFill="1" applyBorder="1"/>
    <xf numFmtId="4" fontId="29" fillId="2" borderId="28" xfId="0" applyNumberFormat="1" applyFont="1" applyFill="1" applyBorder="1"/>
    <xf numFmtId="0" fontId="0" fillId="2" borderId="0" xfId="0" applyFill="1" applyAlignment="1">
      <alignment vertical="center"/>
    </xf>
    <xf numFmtId="0" fontId="4" fillId="2" borderId="0" xfId="0" applyFont="1" applyFill="1" applyAlignment="1">
      <alignment vertical="center"/>
    </xf>
    <xf numFmtId="165" fontId="28" fillId="2" borderId="0" xfId="2" applyNumberFormat="1" applyFont="1" applyFill="1" applyAlignment="1">
      <alignment vertical="center"/>
    </xf>
    <xf numFmtId="14" fontId="28" fillId="2" borderId="0" xfId="0" applyNumberFormat="1" applyFont="1" applyFill="1" applyAlignment="1">
      <alignment vertical="center"/>
    </xf>
    <xf numFmtId="0" fontId="28" fillId="2" borderId="0" xfId="0" applyFont="1" applyFill="1" applyAlignment="1">
      <alignment vertical="center"/>
    </xf>
    <xf numFmtId="0" fontId="47" fillId="8" borderId="5" xfId="0" applyFont="1" applyFill="1" applyBorder="1"/>
    <xf numFmtId="0" fontId="47" fillId="8" borderId="23" xfId="0" applyFont="1" applyFill="1" applyBorder="1"/>
    <xf numFmtId="0" fontId="0" fillId="8" borderId="23" xfId="0" applyFill="1" applyBorder="1"/>
    <xf numFmtId="0" fontId="47" fillId="8" borderId="6" xfId="0" applyFont="1" applyFill="1" applyBorder="1"/>
    <xf numFmtId="0" fontId="47" fillId="8" borderId="25" xfId="0" applyFont="1" applyFill="1" applyBorder="1"/>
    <xf numFmtId="0" fontId="0" fillId="8" borderId="25" xfId="0" applyFill="1" applyBorder="1"/>
    <xf numFmtId="0" fontId="0" fillId="8" borderId="22" xfId="0" applyFill="1" applyBorder="1"/>
    <xf numFmtId="0" fontId="0" fillId="8" borderId="0" xfId="0" applyFill="1" applyBorder="1"/>
    <xf numFmtId="0" fontId="0" fillId="8" borderId="27" xfId="0" applyFill="1" applyBorder="1"/>
    <xf numFmtId="14" fontId="28" fillId="4" borderId="5" xfId="7" quotePrefix="1" applyNumberFormat="1" applyFont="1" applyFill="1" applyBorder="1" applyAlignment="1">
      <alignment horizontal="center"/>
    </xf>
    <xf numFmtId="0" fontId="28" fillId="4" borderId="23" xfId="7" quotePrefix="1" applyFont="1" applyFill="1" applyBorder="1" applyAlignment="1">
      <alignment horizontal="center"/>
    </xf>
    <xf numFmtId="14" fontId="70" fillId="2" borderId="0" xfId="0" applyNumberFormat="1" applyFont="1" applyFill="1" applyBorder="1"/>
    <xf numFmtId="14" fontId="70" fillId="8" borderId="3" xfId="0" quotePrefix="1" applyNumberFormat="1" applyFont="1" applyFill="1" applyBorder="1" applyAlignment="1">
      <alignment horizontal="center"/>
    </xf>
    <xf numFmtId="0" fontId="0" fillId="10" borderId="0" xfId="0" applyFill="1"/>
    <xf numFmtId="0" fontId="4" fillId="2" borderId="0" xfId="0" applyFont="1" applyFill="1" applyBorder="1"/>
    <xf numFmtId="0" fontId="4" fillId="8" borderId="22" xfId="0" applyFont="1" applyFill="1" applyBorder="1" applyAlignment="1">
      <alignment horizontal="left" indent="10"/>
    </xf>
    <xf numFmtId="0" fontId="4" fillId="8" borderId="0" xfId="0" applyFont="1" applyFill="1" applyBorder="1" applyAlignment="1">
      <alignment horizontal="left" indent="10"/>
    </xf>
    <xf numFmtId="0" fontId="4" fillId="8" borderId="0" xfId="0" applyFont="1" applyFill="1" applyBorder="1" applyAlignment="1">
      <alignment horizontal="left" indent="13"/>
    </xf>
    <xf numFmtId="0" fontId="4" fillId="8" borderId="0" xfId="0" applyFont="1" applyFill="1" applyBorder="1" applyAlignment="1">
      <alignment horizontal="left" indent="15"/>
    </xf>
    <xf numFmtId="0" fontId="4" fillId="8" borderId="27" xfId="0" applyFont="1" applyFill="1" applyBorder="1" applyAlignment="1">
      <alignment horizontal="left" indent="15"/>
    </xf>
    <xf numFmtId="0" fontId="0" fillId="8" borderId="28" xfId="0" applyFill="1" applyBorder="1"/>
    <xf numFmtId="0" fontId="4" fillId="8" borderId="22" xfId="0" applyFont="1" applyFill="1" applyBorder="1" applyAlignment="1">
      <alignment horizontal="left" indent="13"/>
    </xf>
    <xf numFmtId="0" fontId="4" fillId="8" borderId="27" xfId="0" applyFont="1" applyFill="1" applyBorder="1" applyAlignment="1">
      <alignment horizontal="left" indent="13"/>
    </xf>
    <xf numFmtId="0" fontId="4" fillId="8" borderId="0" xfId="0" applyFont="1" applyFill="1" applyBorder="1"/>
    <xf numFmtId="0" fontId="4" fillId="8" borderId="0" xfId="0" applyFont="1" applyFill="1" applyBorder="1" applyAlignment="1">
      <alignment horizontal="left" indent="8"/>
    </xf>
    <xf numFmtId="0" fontId="4" fillId="8" borderId="0" xfId="0" applyFont="1" applyFill="1" applyBorder="1" applyAlignment="1">
      <alignment horizontal="left" indent="5"/>
    </xf>
    <xf numFmtId="14" fontId="6" fillId="8" borderId="0" xfId="0" applyNumberFormat="1" applyFont="1" applyFill="1" applyAlignment="1">
      <alignment horizontal="left"/>
    </xf>
    <xf numFmtId="14" fontId="28" fillId="8" borderId="0" xfId="0" applyNumberFormat="1" applyFont="1" applyFill="1" applyAlignment="1">
      <alignment horizontal="center" vertical="center"/>
    </xf>
    <xf numFmtId="49" fontId="27" fillId="8" borderId="0" xfId="0" applyNumberFormat="1" applyFont="1" applyFill="1" applyAlignment="1">
      <alignment horizontal="center" vertical="center"/>
    </xf>
    <xf numFmtId="0" fontId="38" fillId="8" borderId="5" xfId="0" applyFont="1" applyFill="1" applyBorder="1"/>
    <xf numFmtId="14" fontId="38" fillId="8" borderId="23" xfId="0" quotePrefix="1" applyNumberFormat="1" applyFont="1" applyFill="1" applyBorder="1" applyAlignment="1">
      <alignment horizontal="center"/>
    </xf>
    <xf numFmtId="165" fontId="38" fillId="8" borderId="23" xfId="2" applyFont="1" applyFill="1" applyBorder="1"/>
    <xf numFmtId="4" fontId="38" fillId="8" borderId="23" xfId="0" applyNumberFormat="1" applyFont="1" applyFill="1" applyBorder="1"/>
    <xf numFmtId="9" fontId="38" fillId="8" borderId="23" xfId="0" applyNumberFormat="1" applyFont="1" applyFill="1" applyBorder="1" applyAlignment="1">
      <alignment horizontal="center"/>
    </xf>
    <xf numFmtId="0" fontId="38" fillId="8" borderId="23" xfId="0" applyFont="1" applyFill="1" applyBorder="1" applyAlignment="1">
      <alignment horizontal="center"/>
    </xf>
    <xf numFmtId="165" fontId="38" fillId="8" borderId="23" xfId="2" applyNumberFormat="1" applyFont="1" applyFill="1" applyBorder="1"/>
    <xf numFmtId="0" fontId="38" fillId="8" borderId="6" xfId="0" applyFont="1" applyFill="1" applyBorder="1"/>
    <xf numFmtId="14" fontId="38" fillId="8" borderId="25" xfId="0" quotePrefix="1" applyNumberFormat="1" applyFont="1" applyFill="1" applyBorder="1" applyAlignment="1">
      <alignment horizontal="center"/>
    </xf>
    <xf numFmtId="165" fontId="38" fillId="8" borderId="25" xfId="2" applyFont="1" applyFill="1" applyBorder="1"/>
    <xf numFmtId="4" fontId="38" fillId="8" borderId="25" xfId="0" applyNumberFormat="1" applyFont="1" applyFill="1" applyBorder="1"/>
    <xf numFmtId="9" fontId="38" fillId="8" borderId="25" xfId="8" applyFont="1" applyFill="1" applyBorder="1" applyAlignment="1">
      <alignment horizontal="center"/>
    </xf>
    <xf numFmtId="0" fontId="38" fillId="8" borderId="25" xfId="0" applyFont="1" applyFill="1" applyBorder="1" applyAlignment="1">
      <alignment horizontal="center"/>
    </xf>
    <xf numFmtId="165" fontId="38" fillId="8" borderId="25" xfId="2" applyNumberFormat="1" applyFont="1" applyFill="1" applyBorder="1"/>
    <xf numFmtId="0" fontId="38" fillId="8" borderId="25" xfId="0" applyFont="1" applyFill="1" applyBorder="1"/>
    <xf numFmtId="165" fontId="38" fillId="8" borderId="28" xfId="2" applyFont="1" applyFill="1" applyBorder="1"/>
    <xf numFmtId="4" fontId="38" fillId="8" borderId="28" xfId="0" applyNumberFormat="1" applyFont="1" applyFill="1" applyBorder="1"/>
    <xf numFmtId="0" fontId="38" fillId="8" borderId="28" xfId="0" applyFont="1" applyFill="1" applyBorder="1"/>
    <xf numFmtId="0" fontId="28" fillId="0" borderId="89" xfId="0" applyFont="1" applyBorder="1"/>
    <xf numFmtId="0" fontId="29" fillId="0" borderId="90" xfId="0" applyFont="1" applyBorder="1"/>
    <xf numFmtId="0" fontId="28" fillId="0" borderId="89" xfId="0" applyFont="1" applyBorder="1" applyAlignment="1">
      <alignment horizontal="left"/>
    </xf>
    <xf numFmtId="0" fontId="25" fillId="0" borderId="90" xfId="0" applyFont="1" applyBorder="1"/>
    <xf numFmtId="0" fontId="28" fillId="0" borderId="90" xfId="0" applyFont="1" applyBorder="1"/>
    <xf numFmtId="0" fontId="28" fillId="0" borderId="90" xfId="0" applyFont="1" applyBorder="1" applyAlignment="1">
      <alignment horizontal="center"/>
    </xf>
    <xf numFmtId="17" fontId="65" fillId="0" borderId="89" xfId="0" applyNumberFormat="1" applyFont="1" applyBorder="1" applyAlignment="1">
      <alignment horizontal="center"/>
    </xf>
    <xf numFmtId="0" fontId="29" fillId="4" borderId="47" xfId="0" applyFont="1" applyFill="1" applyBorder="1" applyAlignment="1">
      <alignment horizontal="center" vertical="center" wrapText="1"/>
    </xf>
    <xf numFmtId="0" fontId="85" fillId="8" borderId="26" xfId="0" applyFont="1" applyFill="1" applyBorder="1" applyAlignment="1">
      <alignment horizontal="center"/>
    </xf>
    <xf numFmtId="0" fontId="85" fillId="8" borderId="27" xfId="0" applyFont="1" applyFill="1" applyBorder="1" applyAlignment="1">
      <alignment horizontal="center"/>
    </xf>
    <xf numFmtId="0" fontId="85" fillId="8" borderId="28" xfId="0" applyFont="1" applyFill="1" applyBorder="1" applyAlignment="1">
      <alignment horizontal="center"/>
    </xf>
    <xf numFmtId="0" fontId="70" fillId="8" borderId="26" xfId="0" applyFont="1" applyFill="1" applyBorder="1" applyAlignment="1">
      <alignment horizontal="center"/>
    </xf>
    <xf numFmtId="0" fontId="70" fillId="8" borderId="27" xfId="0" applyFont="1" applyFill="1" applyBorder="1" applyAlignment="1">
      <alignment horizontal="center"/>
    </xf>
    <xf numFmtId="0" fontId="64" fillId="2" borderId="0" xfId="0" applyFont="1" applyFill="1" applyBorder="1" applyAlignment="1">
      <alignment horizontal="center"/>
    </xf>
    <xf numFmtId="0" fontId="0" fillId="2" borderId="26" xfId="0" applyFill="1" applyBorder="1" applyAlignment="1">
      <alignment horizontal="center"/>
    </xf>
    <xf numFmtId="0" fontId="0" fillId="2" borderId="27" xfId="0" applyFill="1" applyBorder="1" applyAlignment="1">
      <alignment horizontal="center"/>
    </xf>
    <xf numFmtId="0" fontId="0" fillId="2" borderId="28" xfId="0" applyFill="1" applyBorder="1" applyAlignment="1">
      <alignment horizontal="center"/>
    </xf>
    <xf numFmtId="0" fontId="32" fillId="2" borderId="0" xfId="7" applyFont="1" applyFill="1" applyAlignment="1">
      <alignment horizontal="center"/>
    </xf>
    <xf numFmtId="0" fontId="26" fillId="2" borderId="21" xfId="7" applyFont="1" applyFill="1" applyBorder="1" applyAlignment="1">
      <alignment horizontal="center"/>
    </xf>
    <xf numFmtId="0" fontId="26" fillId="2" borderId="23" xfId="7" applyFont="1" applyFill="1" applyBorder="1" applyAlignment="1">
      <alignment horizontal="center"/>
    </xf>
    <xf numFmtId="0" fontId="26" fillId="2" borderId="26" xfId="7" applyFont="1" applyFill="1" applyBorder="1" applyAlignment="1">
      <alignment horizontal="center"/>
    </xf>
    <xf numFmtId="0" fontId="26" fillId="2" borderId="28" xfId="7" applyFont="1" applyFill="1" applyBorder="1" applyAlignment="1">
      <alignment horizontal="center"/>
    </xf>
    <xf numFmtId="0" fontId="28" fillId="2" borderId="27" xfId="7" applyFont="1" applyFill="1" applyBorder="1" applyAlignment="1">
      <alignment horizontal="center"/>
    </xf>
    <xf numFmtId="0" fontId="44" fillId="2" borderId="50" xfId="7" applyFont="1" applyFill="1" applyBorder="1" applyAlignment="1">
      <alignment horizontal="center" vertical="center"/>
    </xf>
    <xf numFmtId="0" fontId="44" fillId="2" borderId="47" xfId="7" applyFont="1" applyFill="1" applyBorder="1" applyAlignment="1">
      <alignment horizontal="center" vertical="center"/>
    </xf>
    <xf numFmtId="0" fontId="0" fillId="2" borderId="0" xfId="0" applyFill="1" applyAlignment="1">
      <alignment horizontal="right"/>
    </xf>
    <xf numFmtId="0" fontId="39" fillId="2" borderId="0" xfId="7" applyFont="1" applyFill="1" applyAlignment="1">
      <alignment horizontal="center"/>
    </xf>
    <xf numFmtId="0" fontId="39" fillId="2" borderId="46" xfId="7" applyFont="1" applyFill="1" applyBorder="1" applyAlignment="1">
      <alignment horizontal="center" vertical="top"/>
    </xf>
    <xf numFmtId="0" fontId="40" fillId="2" borderId="46" xfId="7" applyFont="1" applyFill="1" applyBorder="1" applyAlignment="1">
      <alignment horizontal="center" vertical="top"/>
    </xf>
    <xf numFmtId="0" fontId="44" fillId="2" borderId="46" xfId="7" applyFont="1" applyFill="1" applyBorder="1" applyAlignment="1">
      <alignment vertical="top"/>
    </xf>
    <xf numFmtId="0" fontId="40" fillId="2" borderId="46" xfId="7" applyFont="1" applyFill="1" applyBorder="1" applyAlignment="1">
      <alignment horizontal="center"/>
    </xf>
    <xf numFmtId="0" fontId="39" fillId="2" borderId="46" xfId="7" applyFont="1" applyFill="1" applyBorder="1" applyAlignment="1">
      <alignment horizontal="center"/>
    </xf>
    <xf numFmtId="4" fontId="12" fillId="2" borderId="17" xfId="0" applyNumberFormat="1" applyFont="1" applyFill="1" applyBorder="1" applyAlignment="1">
      <alignment horizontal="center" vertical="center"/>
    </xf>
    <xf numFmtId="4" fontId="12" fillId="2" borderId="76" xfId="0" applyNumberFormat="1" applyFont="1" applyFill="1" applyBorder="1" applyAlignment="1">
      <alignment horizontal="center" vertical="center"/>
    </xf>
    <xf numFmtId="4" fontId="12" fillId="2" borderId="77" xfId="0" applyNumberFormat="1" applyFont="1" applyFill="1" applyBorder="1" applyAlignment="1">
      <alignment horizontal="center" vertical="center"/>
    </xf>
  </cellXfs>
  <cellStyles count="10">
    <cellStyle name="Euro" xfId="1"/>
    <cellStyle name="Milliers" xfId="2" builtinId="3"/>
    <cellStyle name="Monetaire" xfId="3"/>
    <cellStyle name="Monetaire [0]" xfId="4"/>
    <cellStyle name="Normal" xfId="0" builtinId="0"/>
    <cellStyle name="Normal 2" xfId="5"/>
    <cellStyle name="Normal_LIASSE COMPTABLE SEN AU 30-09-07" xfId="6"/>
    <cellStyle name="Normal_TABLEAUX" xfId="7"/>
    <cellStyle name="Pourcentage" xfId="8" builtinId="5"/>
    <cellStyle name="texte" xfId="9"/>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3" Type="http://schemas.openxmlformats.org/officeDocument/2006/relationships/hyperlink" Target="#'T13 C1-r&#233;p cap'!A1"/><Relationship Id="rId18" Type="http://schemas.openxmlformats.org/officeDocument/2006/relationships/hyperlink" Target="#'T18 Emprunts'!A1"/><Relationship Id="rId26" Type="http://schemas.openxmlformats.org/officeDocument/2006/relationships/hyperlink" Target="#TF!Zone_d_impression"/><Relationship Id="rId39" Type="http://schemas.openxmlformats.org/officeDocument/2006/relationships/hyperlink" Target="#Couverture!A1"/><Relationship Id="rId21" Type="http://schemas.openxmlformats.org/officeDocument/2006/relationships/hyperlink" Target="#Identification!A1"/><Relationship Id="rId34" Type="http://schemas.openxmlformats.org/officeDocument/2006/relationships/hyperlink" Target="#'C3-3 exer'!Zone_d_impression"/><Relationship Id="rId7" Type="http://schemas.openxmlformats.org/officeDocument/2006/relationships/hyperlink" Target="#'T7 CNCET B10-CB'!A1"/><Relationship Id="rId12" Type="http://schemas.openxmlformats.org/officeDocument/2006/relationships/hyperlink" Target="#'T12 B14-TVA'!A1"/><Relationship Id="rId17" Type="http://schemas.openxmlformats.org/officeDocument/2006/relationships/hyperlink" Target="#'T17 + V Fusions'!A1"/><Relationship Id="rId25" Type="http://schemas.openxmlformats.org/officeDocument/2006/relationships/hyperlink" Target="#Feuil1!A1"/><Relationship Id="rId33" Type="http://schemas.openxmlformats.org/officeDocument/2006/relationships/hyperlink" Target="#'B15 Passif Eventuel'!A1"/><Relationship Id="rId38" Type="http://schemas.openxmlformats.org/officeDocument/2006/relationships/hyperlink" Target="#'Couverture Etats de synth&#232;se'!A1"/><Relationship Id="rId2" Type="http://schemas.openxmlformats.org/officeDocument/2006/relationships/hyperlink" Target="#'T1 Bilan'!A1"/><Relationship Id="rId16" Type="http://schemas.openxmlformats.org/officeDocument/2006/relationships/hyperlink" Target="#'T16 Amort'!A1"/><Relationship Id="rId20" Type="http://schemas.openxmlformats.org/officeDocument/2006/relationships/hyperlink" Target="#'T20 Stocks'!A1"/><Relationship Id="rId29" Type="http://schemas.openxmlformats.org/officeDocument/2006/relationships/hyperlink" Target="#'B7-dettes'!Zone_d_impression"/><Relationship Id="rId1" Type="http://schemas.openxmlformats.org/officeDocument/2006/relationships/hyperlink" Target="#Feuil1!A66"/><Relationship Id="rId6" Type="http://schemas.openxmlformats.org/officeDocument/2006/relationships/hyperlink" Target="#'T6 TB11'!A1"/><Relationship Id="rId11" Type="http://schemas.openxmlformats.org/officeDocument/2006/relationships/hyperlink" Target="#'T11 B4-Titres part'!A1"/><Relationship Id="rId24" Type="http://schemas.openxmlformats.org/officeDocument/2006/relationships/hyperlink" Target="#'T3 B12-res fis'!A1"/><Relationship Id="rId32" Type="http://schemas.openxmlformats.org/officeDocument/2006/relationships/hyperlink" Target="#'B13-res cour'!A1"/><Relationship Id="rId37" Type="http://schemas.openxmlformats.org/officeDocument/2006/relationships/hyperlink" Target="#'A3'!A1"/><Relationship Id="rId40" Type="http://schemas.openxmlformats.org/officeDocument/2006/relationships/hyperlink" Target="#Xml!A1"/><Relationship Id="rId5" Type="http://schemas.openxmlformats.org/officeDocument/2006/relationships/hyperlink" Target="#'T4 B2-immo'!A1"/><Relationship Id="rId15" Type="http://schemas.openxmlformats.org/officeDocument/2006/relationships/hyperlink" Target="#'T15 Encourag'!A1"/><Relationship Id="rId23" Type="http://schemas.openxmlformats.org/officeDocument/2006/relationships/hyperlink" Target="#'Balance N-1'!A1"/><Relationship Id="rId28" Type="http://schemas.openxmlformats.org/officeDocument/2006/relationships/hyperlink" Target="#'B1-Tab non val'!Zone_d_impression"/><Relationship Id="rId36" Type="http://schemas.openxmlformats.org/officeDocument/2006/relationships/hyperlink" Target="#' A2 '!A1"/><Relationship Id="rId10" Type="http://schemas.openxmlformats.org/officeDocument/2006/relationships/hyperlink" Target="#'T10 B3-+-Value'!A1"/><Relationship Id="rId19" Type="http://schemas.openxmlformats.org/officeDocument/2006/relationships/hyperlink" Target="#'T19 Locations'!A1"/><Relationship Id="rId31" Type="http://schemas.openxmlformats.org/officeDocument/2006/relationships/hyperlink" Target="#'B9-Eng fin'!A1"/><Relationship Id="rId4" Type="http://schemas.openxmlformats.org/officeDocument/2006/relationships/hyperlink" Target="#'T5 ESG'!A1"/><Relationship Id="rId9" Type="http://schemas.openxmlformats.org/officeDocument/2006/relationships/hyperlink" Target="#'T9 B5-PROV'!A1"/><Relationship Id="rId14" Type="http://schemas.openxmlformats.org/officeDocument/2006/relationships/hyperlink" Target="#'T14 C2-affec resu'!A1"/><Relationship Id="rId22" Type="http://schemas.openxmlformats.org/officeDocument/2006/relationships/hyperlink" Target="#'Balance N'!A1"/><Relationship Id="rId27" Type="http://schemas.openxmlformats.org/officeDocument/2006/relationships/hyperlink" Target="#'B6-CREANCES-01'!Zone_d_impression"/><Relationship Id="rId30" Type="http://schemas.openxmlformats.org/officeDocument/2006/relationships/hyperlink" Target="#'B8-SURETES-01'!Zone_d_impression"/><Relationship Id="rId35" Type="http://schemas.openxmlformats.org/officeDocument/2006/relationships/hyperlink" Target="#'ETIC  A0 A1'!A1"/><Relationship Id="rId8" Type="http://schemas.openxmlformats.org/officeDocument/2006/relationships/hyperlink" Target="#'T8 B2 BIS'!A1"/><Relationship Id="rId3" Type="http://schemas.openxmlformats.org/officeDocument/2006/relationships/hyperlink" Target="#'T2 CPC'!A1"/></Relationships>
</file>

<file path=xl/drawings/_rels/drawing2.xml.rels><?xml version="1.0" encoding="UTF-8" standalone="yes"?>
<Relationships xmlns="http://schemas.openxmlformats.org/package/2006/relationships"><Relationship Id="rId1" Type="http://schemas.openxmlformats.org/officeDocument/2006/relationships/hyperlink" Target="#Feuil1!A1"/></Relationships>
</file>

<file path=xl/drawings/_rels/drawing3.xml.rels><?xml version="1.0" encoding="UTF-8" standalone="yes"?>
<Relationships xmlns="http://schemas.openxmlformats.org/package/2006/relationships"><Relationship Id="rId1" Type="http://schemas.openxmlformats.org/officeDocument/2006/relationships/hyperlink" Target="#Feuil1!A1"/></Relationships>
</file>

<file path=xl/drawings/_rels/drawing4.xml.rels><?xml version="1.0" encoding="UTF-8" standalone="yes"?>
<Relationships xmlns="http://schemas.openxmlformats.org/package/2006/relationships"><Relationship Id="rId1" Type="http://schemas.openxmlformats.org/officeDocument/2006/relationships/hyperlink" Target="#Feuil1!A1"/></Relationships>
</file>

<file path=xl/drawings/_rels/drawing5.xml.rels><?xml version="1.0" encoding="UTF-8" standalone="yes"?>
<Relationships xmlns="http://schemas.openxmlformats.org/package/2006/relationships"><Relationship Id="rId1" Type="http://schemas.openxmlformats.org/officeDocument/2006/relationships/hyperlink" Target="#Feuil1!A1"/></Relationships>
</file>

<file path=xl/drawings/_rels/drawing6.xml.rels><?xml version="1.0" encoding="UTF-8" standalone="yes"?>
<Relationships xmlns="http://schemas.openxmlformats.org/package/2006/relationships"><Relationship Id="rId1" Type="http://schemas.openxmlformats.org/officeDocument/2006/relationships/hyperlink" Target="#Feuil1!A1"/></Relationships>
</file>

<file path=xl/drawings/_rels/drawing7.xml.rels><?xml version="1.0" encoding="UTF-8" standalone="yes"?>
<Relationships xmlns="http://schemas.openxmlformats.org/package/2006/relationships"><Relationship Id="rId1" Type="http://schemas.openxmlformats.org/officeDocument/2006/relationships/hyperlink" Target="#Feuil1!A1"/></Relationships>
</file>

<file path=xl/drawings/_rels/drawing8.xml.rels><?xml version="1.0" encoding="UTF-8" standalone="yes"?>
<Relationships xmlns="http://schemas.openxmlformats.org/package/2006/relationships"><Relationship Id="rId2" Type="http://schemas.openxmlformats.org/officeDocument/2006/relationships/hyperlink" Target="#Feuil1!A66"/><Relationship Id="rId1" Type="http://schemas.openxmlformats.org/officeDocument/2006/relationships/hyperlink" Target="#Feuil1!A1"/></Relationships>
</file>

<file path=xl/drawings/_rels/drawing9.xml.rels><?xml version="1.0" encoding="UTF-8" standalone="yes"?>
<Relationships xmlns="http://schemas.openxmlformats.org/package/2006/relationships"><Relationship Id="rId2" Type="http://schemas.openxmlformats.org/officeDocument/2006/relationships/hyperlink" Target="#Feuil1!A1"/><Relationship Id="rId1" Type="http://schemas.openxmlformats.org/officeDocument/2006/relationships/hyperlink" Target="#Feuil1!A66"/></Relationships>
</file>

<file path=xl/drawings/_rels/drawing10.xml.rels><?xml version="1.0" encoding="UTF-8" standalone="yes"?>
<Relationships xmlns="http://schemas.openxmlformats.org/package/2006/relationships"><Relationship Id="rId2" Type="http://schemas.openxmlformats.org/officeDocument/2006/relationships/hyperlink" Target="#Feuil1!A1"/><Relationship Id="rId1" Type="http://schemas.openxmlformats.org/officeDocument/2006/relationships/hyperlink" Target="#Feuil1!A66"/></Relationships>
</file>

<file path=xl/drawings/_rels/drawing11.xml.rels><?xml version="1.0" encoding="UTF-8" standalone="yes"?>
<Relationships xmlns="http://schemas.openxmlformats.org/package/2006/relationships"><Relationship Id="rId2" Type="http://schemas.openxmlformats.org/officeDocument/2006/relationships/hyperlink" Target="#Feuil1!A1"/><Relationship Id="rId1" Type="http://schemas.openxmlformats.org/officeDocument/2006/relationships/hyperlink" Target="#Feuil1!A66"/></Relationships>
</file>

<file path=xl/drawings/_rels/drawing12.xml.rels><?xml version="1.0" encoding="UTF-8" standalone="yes"?>
<Relationships xmlns="http://schemas.openxmlformats.org/package/2006/relationships"><Relationship Id="rId2" Type="http://schemas.openxmlformats.org/officeDocument/2006/relationships/hyperlink" Target="#Feuil1!A1"/><Relationship Id="rId1" Type="http://schemas.openxmlformats.org/officeDocument/2006/relationships/hyperlink" Target="#Feuil1!A66"/></Relationships>
</file>

<file path=xl/drawings/_rels/drawing13.xml.rels><?xml version="1.0" encoding="UTF-8" standalone="yes"?>
<Relationships xmlns="http://schemas.openxmlformats.org/package/2006/relationships"><Relationship Id="rId2" Type="http://schemas.openxmlformats.org/officeDocument/2006/relationships/hyperlink" Target="#Feuil1!A1"/><Relationship Id="rId1" Type="http://schemas.openxmlformats.org/officeDocument/2006/relationships/hyperlink" Target="#Feuil1!A66"/></Relationships>
</file>

<file path=xl/drawings/_rels/drawing14.xml.rels><?xml version="1.0" encoding="UTF-8" standalone="yes"?>
<Relationships xmlns="http://schemas.openxmlformats.org/package/2006/relationships"><Relationship Id="rId2" Type="http://schemas.openxmlformats.org/officeDocument/2006/relationships/hyperlink" Target="#Feuil1!A1"/><Relationship Id="rId1" Type="http://schemas.openxmlformats.org/officeDocument/2006/relationships/hyperlink" Target="#Feuil1!A66"/></Relationships>
</file>

<file path=xl/drawings/_rels/drawing15.xml.rels><?xml version="1.0" encoding="UTF-8" standalone="yes"?>
<Relationships xmlns="http://schemas.openxmlformats.org/package/2006/relationships"><Relationship Id="rId2" Type="http://schemas.openxmlformats.org/officeDocument/2006/relationships/hyperlink" Target="#Feuil1!A1"/><Relationship Id="rId1" Type="http://schemas.openxmlformats.org/officeDocument/2006/relationships/hyperlink" Target="#Feuil1!A66"/></Relationships>
</file>

<file path=xl/drawings/_rels/drawing16.xml.rels><?xml version="1.0" encoding="UTF-8" standalone="yes"?>
<Relationships xmlns="http://schemas.openxmlformats.org/package/2006/relationships"><Relationship Id="rId2" Type="http://schemas.openxmlformats.org/officeDocument/2006/relationships/hyperlink" Target="#Feuil1!A1"/><Relationship Id="rId1" Type="http://schemas.openxmlformats.org/officeDocument/2006/relationships/hyperlink" Target="#Feuil1!A66"/></Relationships>
</file>

<file path=xl/drawings/_rels/drawing17.xml.rels><?xml version="1.0" encoding="UTF-8" standalone="yes"?>
<Relationships xmlns="http://schemas.openxmlformats.org/package/2006/relationships"><Relationship Id="rId2" Type="http://schemas.openxmlformats.org/officeDocument/2006/relationships/hyperlink" Target="#Feuil1!A1"/><Relationship Id="rId1" Type="http://schemas.openxmlformats.org/officeDocument/2006/relationships/hyperlink" Target="#Feuil1!A66"/></Relationships>
</file>

<file path=xl/drawings/_rels/drawing18.xml.rels><?xml version="1.0" encoding="UTF-8" standalone="yes"?>
<Relationships xmlns="http://schemas.openxmlformats.org/package/2006/relationships"><Relationship Id="rId2" Type="http://schemas.openxmlformats.org/officeDocument/2006/relationships/hyperlink" Target="#Feuil1!A1"/><Relationship Id="rId1" Type="http://schemas.openxmlformats.org/officeDocument/2006/relationships/hyperlink" Target="#Feuil1!A66"/></Relationships>
</file>

<file path=xl/drawings/_rels/drawing19.xml.rels><?xml version="1.0" encoding="UTF-8" standalone="yes"?>
<Relationships xmlns="http://schemas.openxmlformats.org/package/2006/relationships"><Relationship Id="rId2" Type="http://schemas.openxmlformats.org/officeDocument/2006/relationships/hyperlink" Target="#Feuil1!A1"/><Relationship Id="rId1" Type="http://schemas.openxmlformats.org/officeDocument/2006/relationships/hyperlink" Target="#Feuil1!A66"/></Relationships>
</file>

<file path=xl/drawings/_rels/drawing20.xml.rels><?xml version="1.0" encoding="UTF-8" standalone="yes"?>
<Relationships xmlns="http://schemas.openxmlformats.org/package/2006/relationships"><Relationship Id="rId2" Type="http://schemas.openxmlformats.org/officeDocument/2006/relationships/hyperlink" Target="#Feuil1!A1"/><Relationship Id="rId1" Type="http://schemas.openxmlformats.org/officeDocument/2006/relationships/hyperlink" Target="#Feuil1!A66"/></Relationships>
</file>

<file path=xl/drawings/_rels/drawing21.xml.rels><?xml version="1.0" encoding="UTF-8" standalone="yes"?>
<Relationships xmlns="http://schemas.openxmlformats.org/package/2006/relationships"><Relationship Id="rId2" Type="http://schemas.openxmlformats.org/officeDocument/2006/relationships/hyperlink" Target="#Feuil1!A1"/><Relationship Id="rId1" Type="http://schemas.openxmlformats.org/officeDocument/2006/relationships/hyperlink" Target="#Feuil1!A66"/></Relationships>
</file>

<file path=xl/drawings/_rels/drawing22.xml.rels><?xml version="1.0" encoding="UTF-8" standalone="yes"?>
<Relationships xmlns="http://schemas.openxmlformats.org/package/2006/relationships"><Relationship Id="rId1" Type="http://schemas.openxmlformats.org/officeDocument/2006/relationships/hyperlink" Target="#Feuil1!A1"/></Relationships>
</file>

<file path=xl/drawings/_rels/drawing23.xml.rels><?xml version="1.0" encoding="UTF-8" standalone="yes"?>
<Relationships xmlns="http://schemas.openxmlformats.org/package/2006/relationships"><Relationship Id="rId1" Type="http://schemas.openxmlformats.org/officeDocument/2006/relationships/hyperlink" Target="#Feuil1!A1"/></Relationships>
</file>

<file path=xl/drawings/_rels/drawing24.xml.rels><?xml version="1.0" encoding="UTF-8" standalone="yes"?>
<Relationships xmlns="http://schemas.openxmlformats.org/package/2006/relationships"><Relationship Id="rId1" Type="http://schemas.openxmlformats.org/officeDocument/2006/relationships/hyperlink" Target="#Feuil1!A1"/></Relationships>
</file>

<file path=xl/drawings/_rels/drawing25.xml.rels><?xml version="1.0" encoding="UTF-8" standalone="yes"?>
<Relationships xmlns="http://schemas.openxmlformats.org/package/2006/relationships"><Relationship Id="rId1" Type="http://schemas.openxmlformats.org/officeDocument/2006/relationships/hyperlink" Target="#Feuil1!A1"/></Relationships>
</file>

<file path=xl/drawings/_rels/drawing26.xml.rels><?xml version="1.0" encoding="UTF-8" standalone="yes"?>
<Relationships xmlns="http://schemas.openxmlformats.org/package/2006/relationships"><Relationship Id="rId1" Type="http://schemas.openxmlformats.org/officeDocument/2006/relationships/hyperlink" Target="#Feuil1!A1"/></Relationships>
</file>

<file path=xl/drawings/_rels/drawing27.xml.rels><?xml version="1.0" encoding="UTF-8" standalone="yes"?>
<Relationships xmlns="http://schemas.openxmlformats.org/package/2006/relationships"><Relationship Id="rId1" Type="http://schemas.openxmlformats.org/officeDocument/2006/relationships/hyperlink" Target="#Feuil1!A1"/></Relationships>
</file>

<file path=xl/drawings/_rels/drawing28.xml.rels><?xml version="1.0" encoding="UTF-8" standalone="yes"?>
<Relationships xmlns="http://schemas.openxmlformats.org/package/2006/relationships"><Relationship Id="rId1" Type="http://schemas.openxmlformats.org/officeDocument/2006/relationships/hyperlink" Target="#Feuil1!A66"/></Relationships>
</file>

<file path=xl/drawings/_rels/drawing29.xml.rels><?xml version="1.0" encoding="UTF-8" standalone="yes"?>
<Relationships xmlns="http://schemas.openxmlformats.org/package/2006/relationships"><Relationship Id="rId1" Type="http://schemas.openxmlformats.org/officeDocument/2006/relationships/hyperlink" Target="#Feuil1!A66"/></Relationships>
</file>

<file path=xl/drawings/_rels/drawing30.xml.rels><?xml version="1.0" encoding="UTF-8" standalone="yes"?>
<Relationships xmlns="http://schemas.openxmlformats.org/package/2006/relationships"><Relationship Id="rId1" Type="http://schemas.openxmlformats.org/officeDocument/2006/relationships/hyperlink" Target="#Feuil1!A66"/></Relationships>
</file>

<file path=xl/drawings/_rels/drawing31.xml.rels><?xml version="1.0" encoding="UTF-8" standalone="yes"?>
<Relationships xmlns="http://schemas.openxmlformats.org/package/2006/relationships"><Relationship Id="rId1" Type="http://schemas.openxmlformats.org/officeDocument/2006/relationships/hyperlink" Target="#Feuil1!A66"/></Relationships>
</file>

<file path=xl/drawings/_rels/drawing32.xml.rels><?xml version="1.0" encoding="UTF-8" standalone="yes"?>
<Relationships xmlns="http://schemas.openxmlformats.org/package/2006/relationships"><Relationship Id="rId1" Type="http://schemas.openxmlformats.org/officeDocument/2006/relationships/hyperlink" Target="#Feuil1!A66"/></Relationships>
</file>

<file path=xl/drawings/_rels/drawing33.xml.rels><?xml version="1.0" encoding="UTF-8" standalone="yes"?>
<Relationships xmlns="http://schemas.openxmlformats.org/package/2006/relationships"><Relationship Id="rId1" Type="http://schemas.openxmlformats.org/officeDocument/2006/relationships/hyperlink" Target="#Feuil1!A66"/></Relationships>
</file>

<file path=xl/drawings/_rels/drawing34.xml.rels><?xml version="1.0" encoding="UTF-8" standalone="yes"?>
<Relationships xmlns="http://schemas.openxmlformats.org/package/2006/relationships"><Relationship Id="rId1" Type="http://schemas.openxmlformats.org/officeDocument/2006/relationships/hyperlink" Target="#Feuil1!A66"/></Relationships>
</file>

<file path=xl/drawings/_rels/drawing35.xml.rels><?xml version="1.0" encoding="UTF-8" standalone="yes"?>
<Relationships xmlns="http://schemas.openxmlformats.org/package/2006/relationships"><Relationship Id="rId1" Type="http://schemas.openxmlformats.org/officeDocument/2006/relationships/hyperlink" Target="#Feuil1!A66"/></Relationships>
</file>

<file path=xl/drawings/_rels/drawing36.xml.rels><?xml version="1.0" encoding="UTF-8" standalone="yes"?>
<Relationships xmlns="http://schemas.openxmlformats.org/package/2006/relationships"><Relationship Id="rId1" Type="http://schemas.openxmlformats.org/officeDocument/2006/relationships/hyperlink" Target="#Feuil1!A66"/></Relationships>
</file>

<file path=xl/drawings/_rels/drawing37.xml.rels><?xml version="1.0" encoding="UTF-8" standalone="yes"?>
<Relationships xmlns="http://schemas.openxmlformats.org/package/2006/relationships"><Relationship Id="rId1" Type="http://schemas.openxmlformats.org/officeDocument/2006/relationships/hyperlink" Target="#Feuil1!A66"/></Relationships>
</file>

<file path=xl/drawings/_rels/drawing38.xml.rels><?xml version="1.0" encoding="UTF-8" standalone="yes"?>
<Relationships xmlns="http://schemas.openxmlformats.org/package/2006/relationships"><Relationship Id="rId1" Type="http://schemas.openxmlformats.org/officeDocument/2006/relationships/hyperlink" Target="#Feuil1!A66"/></Relationships>
</file>

<file path=xl/drawings/_rels/drawing39.xml.rels><?xml version="1.0" encoding="UTF-8" standalone="yes"?>
<Relationships xmlns="http://schemas.openxmlformats.org/package/2006/relationships"><Relationship Id="rId1" Type="http://schemas.openxmlformats.org/officeDocument/2006/relationships/hyperlink" Target="#Feuil1!A66"/></Relationships>
</file>

<file path=xl/drawings/_rels/drawing40.xml.rels><?xml version="1.0" encoding="UTF-8" standalone="yes"?>
<Relationships xmlns="http://schemas.openxmlformats.org/package/2006/relationships"><Relationship Id="rId1" Type="http://schemas.openxmlformats.org/officeDocument/2006/relationships/hyperlink" Target="#Feuil1!A66"/></Relationships>
</file>

<file path=xl/drawings/_rels/drawing41.xml.rels><?xml version="1.0" encoding="UTF-8" standalone="yes"?>
<Relationships xmlns="http://schemas.openxmlformats.org/package/2006/relationships"><Relationship Id="rId1" Type="http://schemas.openxmlformats.org/officeDocument/2006/relationships/hyperlink" Target="#Feuil1!A66"/></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295170</xdr:colOff>
      <xdr:row>12</xdr:row>
      <xdr:rowOff>62801</xdr:rowOff>
    </xdr:from>
    <xdr:to>
      <xdr:col>2</xdr:col>
      <xdr:colOff>552345</xdr:colOff>
      <xdr:row>15</xdr:row>
      <xdr:rowOff>62801</xdr:rowOff>
    </xdr:to>
    <xdr:sp macro="" textlink="">
      <xdr:nvSpPr>
        <xdr:cNvPr id="33" name="Rectangle à coins arrondis 32">
          <a:hlinkClick xmlns:r="http://schemas.openxmlformats.org/officeDocument/2006/relationships" r:id="rId1"/>
          <a:extLst>
            <a:ext uri="{FF2B5EF4-FFF2-40B4-BE49-F238E27FC236}">
              <a16:creationId xmlns:a16="http://schemas.microsoft.com/office/drawing/2014/main" id="{00000000-0008-0000-0000-000021000000}"/>
            </a:ext>
          </a:extLst>
        </xdr:cNvPr>
        <xdr:cNvSpPr/>
      </xdr:nvSpPr>
      <xdr:spPr bwMode="auto">
        <a:xfrm>
          <a:off x="295170" y="2030603"/>
          <a:ext cx="1638823" cy="554753"/>
        </a:xfrm>
        <a:prstGeom prst="roundRect">
          <a:avLst/>
        </a:prstGeom>
        <a:solidFill>
          <a:srgbClr val="FF0000"/>
        </a:soli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ETIC</a:t>
          </a:r>
        </a:p>
      </xdr:txBody>
    </xdr:sp>
    <xdr:clientData/>
  </xdr:twoCellAnchor>
  <xdr:twoCellAnchor>
    <xdr:from>
      <xdr:col>3</xdr:col>
      <xdr:colOff>676275</xdr:colOff>
      <xdr:row>6</xdr:row>
      <xdr:rowOff>142875</xdr:rowOff>
    </xdr:from>
    <xdr:to>
      <xdr:col>6</xdr:col>
      <xdr:colOff>247650</xdr:colOff>
      <xdr:row>10</xdr:row>
      <xdr:rowOff>57150</xdr:rowOff>
    </xdr:to>
    <xdr:sp macro="" textlink="">
      <xdr:nvSpPr>
        <xdr:cNvPr id="2" name="Rectangle à coins arrondis 1">
          <a:hlinkClick xmlns:r="http://schemas.openxmlformats.org/officeDocument/2006/relationships" r:id="rId2"/>
          <a:extLst>
            <a:ext uri="{FF2B5EF4-FFF2-40B4-BE49-F238E27FC236}">
              <a16:creationId xmlns:a16="http://schemas.microsoft.com/office/drawing/2014/main" id="{00000000-0008-0000-0000-000002000000}"/>
            </a:ext>
          </a:extLst>
        </xdr:cNvPr>
        <xdr:cNvSpPr/>
      </xdr:nvSpPr>
      <xdr:spPr bwMode="auto">
        <a:xfrm>
          <a:off x="2733675" y="628650"/>
          <a:ext cx="1628775" cy="561975"/>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T 1 : Bilan</a:t>
          </a:r>
        </a:p>
      </xdr:txBody>
    </xdr:sp>
    <xdr:clientData/>
  </xdr:twoCellAnchor>
  <xdr:twoCellAnchor>
    <xdr:from>
      <xdr:col>6</xdr:col>
      <xdr:colOff>457200</xdr:colOff>
      <xdr:row>6</xdr:row>
      <xdr:rowOff>142875</xdr:rowOff>
    </xdr:from>
    <xdr:to>
      <xdr:col>9</xdr:col>
      <xdr:colOff>28575</xdr:colOff>
      <xdr:row>10</xdr:row>
      <xdr:rowOff>57150</xdr:rowOff>
    </xdr:to>
    <xdr:sp macro="" textlink="">
      <xdr:nvSpPr>
        <xdr:cNvPr id="3" name="Rectangle à coins arrondis 2">
          <a:hlinkClick xmlns:r="http://schemas.openxmlformats.org/officeDocument/2006/relationships" r:id="rId3"/>
          <a:extLst>
            <a:ext uri="{FF2B5EF4-FFF2-40B4-BE49-F238E27FC236}">
              <a16:creationId xmlns:a16="http://schemas.microsoft.com/office/drawing/2014/main" id="{00000000-0008-0000-0000-000003000000}"/>
            </a:ext>
          </a:extLst>
        </xdr:cNvPr>
        <xdr:cNvSpPr/>
      </xdr:nvSpPr>
      <xdr:spPr bwMode="auto">
        <a:xfrm>
          <a:off x="4572000" y="628650"/>
          <a:ext cx="1628775" cy="561975"/>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T 2 : CPC</a:t>
          </a:r>
        </a:p>
      </xdr:txBody>
    </xdr:sp>
    <xdr:clientData/>
  </xdr:twoCellAnchor>
  <xdr:twoCellAnchor>
    <xdr:from>
      <xdr:col>3</xdr:col>
      <xdr:colOff>666750</xdr:colOff>
      <xdr:row>11</xdr:row>
      <xdr:rowOff>180975</xdr:rowOff>
    </xdr:from>
    <xdr:to>
      <xdr:col>6</xdr:col>
      <xdr:colOff>238125</xdr:colOff>
      <xdr:row>14</xdr:row>
      <xdr:rowOff>180975</xdr:rowOff>
    </xdr:to>
    <xdr:sp macro="" textlink="">
      <xdr:nvSpPr>
        <xdr:cNvPr id="4" name="Rectangle à coins arrondis 3">
          <a:hlinkClick xmlns:r="http://schemas.openxmlformats.org/officeDocument/2006/relationships" r:id="rId4"/>
          <a:extLst>
            <a:ext uri="{FF2B5EF4-FFF2-40B4-BE49-F238E27FC236}">
              <a16:creationId xmlns:a16="http://schemas.microsoft.com/office/drawing/2014/main" id="{00000000-0008-0000-0000-000004000000}"/>
            </a:ext>
          </a:extLst>
        </xdr:cNvPr>
        <xdr:cNvSpPr/>
      </xdr:nvSpPr>
      <xdr:spPr bwMode="auto">
        <a:xfrm>
          <a:off x="2724150" y="1476375"/>
          <a:ext cx="1628775" cy="561975"/>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T 5 : ESG</a:t>
          </a:r>
        </a:p>
      </xdr:txBody>
    </xdr:sp>
    <xdr:clientData/>
  </xdr:twoCellAnchor>
  <xdr:twoCellAnchor>
    <xdr:from>
      <xdr:col>12</xdr:col>
      <xdr:colOff>219075</xdr:colOff>
      <xdr:row>6</xdr:row>
      <xdr:rowOff>142876</xdr:rowOff>
    </xdr:from>
    <xdr:to>
      <xdr:col>14</xdr:col>
      <xdr:colOff>476250</xdr:colOff>
      <xdr:row>10</xdr:row>
      <xdr:rowOff>47626</xdr:rowOff>
    </xdr:to>
    <xdr:sp macro="" textlink="">
      <xdr:nvSpPr>
        <xdr:cNvPr id="5" name="Rectangle à coins arrondis 4">
          <a:hlinkClick xmlns:r="http://schemas.openxmlformats.org/officeDocument/2006/relationships" r:id="rId5"/>
          <a:extLst>
            <a:ext uri="{FF2B5EF4-FFF2-40B4-BE49-F238E27FC236}">
              <a16:creationId xmlns:a16="http://schemas.microsoft.com/office/drawing/2014/main" id="{00000000-0008-0000-0000-000005000000}"/>
            </a:ext>
          </a:extLst>
        </xdr:cNvPr>
        <xdr:cNvSpPr/>
      </xdr:nvSpPr>
      <xdr:spPr bwMode="auto">
        <a:xfrm>
          <a:off x="8448675" y="628651"/>
          <a:ext cx="1628775" cy="552450"/>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T 4 : Immobilisations</a:t>
          </a:r>
        </a:p>
      </xdr:txBody>
    </xdr:sp>
    <xdr:clientData/>
  </xdr:twoCellAnchor>
  <xdr:twoCellAnchor>
    <xdr:from>
      <xdr:col>6</xdr:col>
      <xdr:colOff>447675</xdr:colOff>
      <xdr:row>11</xdr:row>
      <xdr:rowOff>171450</xdr:rowOff>
    </xdr:from>
    <xdr:to>
      <xdr:col>9</xdr:col>
      <xdr:colOff>19050</xdr:colOff>
      <xdr:row>14</xdr:row>
      <xdr:rowOff>171450</xdr:rowOff>
    </xdr:to>
    <xdr:sp macro="" textlink="">
      <xdr:nvSpPr>
        <xdr:cNvPr id="6" name="Rectangle à coins arrondis 5">
          <a:hlinkClick xmlns:r="http://schemas.openxmlformats.org/officeDocument/2006/relationships" r:id="rId6"/>
          <a:extLst>
            <a:ext uri="{FF2B5EF4-FFF2-40B4-BE49-F238E27FC236}">
              <a16:creationId xmlns:a16="http://schemas.microsoft.com/office/drawing/2014/main" id="{00000000-0008-0000-0000-000006000000}"/>
            </a:ext>
          </a:extLst>
        </xdr:cNvPr>
        <xdr:cNvSpPr/>
      </xdr:nvSpPr>
      <xdr:spPr bwMode="auto">
        <a:xfrm>
          <a:off x="4562475" y="1466850"/>
          <a:ext cx="1628775" cy="561975"/>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T 6 : Détail CPC</a:t>
          </a:r>
        </a:p>
      </xdr:txBody>
    </xdr:sp>
    <xdr:clientData/>
  </xdr:twoCellAnchor>
  <xdr:twoCellAnchor>
    <xdr:from>
      <xdr:col>9</xdr:col>
      <xdr:colOff>285750</xdr:colOff>
      <xdr:row>11</xdr:row>
      <xdr:rowOff>180975</xdr:rowOff>
    </xdr:from>
    <xdr:to>
      <xdr:col>11</xdr:col>
      <xdr:colOff>542925</xdr:colOff>
      <xdr:row>14</xdr:row>
      <xdr:rowOff>180975</xdr:rowOff>
    </xdr:to>
    <xdr:sp macro="" textlink="">
      <xdr:nvSpPr>
        <xdr:cNvPr id="7" name="Rectangle à coins arrondis 6">
          <a:hlinkClick xmlns:r="http://schemas.openxmlformats.org/officeDocument/2006/relationships" r:id="rId7"/>
          <a:extLst>
            <a:ext uri="{FF2B5EF4-FFF2-40B4-BE49-F238E27FC236}">
              <a16:creationId xmlns:a16="http://schemas.microsoft.com/office/drawing/2014/main" id="{00000000-0008-0000-0000-000007000000}"/>
            </a:ext>
          </a:extLst>
        </xdr:cNvPr>
        <xdr:cNvSpPr/>
      </xdr:nvSpPr>
      <xdr:spPr bwMode="auto">
        <a:xfrm>
          <a:off x="6457950" y="1476375"/>
          <a:ext cx="1628775" cy="561975"/>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T 7 : Crédit-bail</a:t>
          </a:r>
        </a:p>
      </xdr:txBody>
    </xdr:sp>
    <xdr:clientData/>
  </xdr:twoCellAnchor>
  <xdr:twoCellAnchor>
    <xdr:from>
      <xdr:col>12</xdr:col>
      <xdr:colOff>228600</xdr:colOff>
      <xdr:row>11</xdr:row>
      <xdr:rowOff>190500</xdr:rowOff>
    </xdr:from>
    <xdr:to>
      <xdr:col>14</xdr:col>
      <xdr:colOff>485775</xdr:colOff>
      <xdr:row>14</xdr:row>
      <xdr:rowOff>190500</xdr:rowOff>
    </xdr:to>
    <xdr:sp macro="" textlink="">
      <xdr:nvSpPr>
        <xdr:cNvPr id="8" name="Rectangle à coins arrondis 7">
          <a:hlinkClick xmlns:r="http://schemas.openxmlformats.org/officeDocument/2006/relationships" r:id="rId8"/>
          <a:extLst>
            <a:ext uri="{FF2B5EF4-FFF2-40B4-BE49-F238E27FC236}">
              <a16:creationId xmlns:a16="http://schemas.microsoft.com/office/drawing/2014/main" id="{00000000-0008-0000-0000-000008000000}"/>
            </a:ext>
          </a:extLst>
        </xdr:cNvPr>
        <xdr:cNvSpPr/>
      </xdr:nvSpPr>
      <xdr:spPr bwMode="auto">
        <a:xfrm>
          <a:off x="8458200" y="1485900"/>
          <a:ext cx="1628775" cy="561975"/>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T 8 : Amortissements</a:t>
          </a:r>
        </a:p>
      </xdr:txBody>
    </xdr:sp>
    <xdr:clientData/>
  </xdr:twoCellAnchor>
  <xdr:twoCellAnchor>
    <xdr:from>
      <xdr:col>3</xdr:col>
      <xdr:colOff>657225</xdr:colOff>
      <xdr:row>16</xdr:row>
      <xdr:rowOff>57151</xdr:rowOff>
    </xdr:from>
    <xdr:to>
      <xdr:col>6</xdr:col>
      <xdr:colOff>228600</xdr:colOff>
      <xdr:row>19</xdr:row>
      <xdr:rowOff>123826</xdr:rowOff>
    </xdr:to>
    <xdr:sp macro="" textlink="">
      <xdr:nvSpPr>
        <xdr:cNvPr id="9" name="Rectangle à coins arrondis 8">
          <a:hlinkClick xmlns:r="http://schemas.openxmlformats.org/officeDocument/2006/relationships" r:id="rId9"/>
          <a:extLst>
            <a:ext uri="{FF2B5EF4-FFF2-40B4-BE49-F238E27FC236}">
              <a16:creationId xmlns:a16="http://schemas.microsoft.com/office/drawing/2014/main" id="{00000000-0008-0000-0000-000009000000}"/>
            </a:ext>
          </a:extLst>
        </xdr:cNvPr>
        <xdr:cNvSpPr/>
      </xdr:nvSpPr>
      <xdr:spPr bwMode="auto">
        <a:xfrm>
          <a:off x="2714625" y="2314576"/>
          <a:ext cx="1628775" cy="552450"/>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T 9 : Provisions</a:t>
          </a:r>
        </a:p>
      </xdr:txBody>
    </xdr:sp>
    <xdr:clientData/>
  </xdr:twoCellAnchor>
  <xdr:twoCellAnchor>
    <xdr:from>
      <xdr:col>6</xdr:col>
      <xdr:colOff>438150</xdr:colOff>
      <xdr:row>16</xdr:row>
      <xdr:rowOff>57150</xdr:rowOff>
    </xdr:from>
    <xdr:to>
      <xdr:col>9</xdr:col>
      <xdr:colOff>9525</xdr:colOff>
      <xdr:row>19</xdr:row>
      <xdr:rowOff>133350</xdr:rowOff>
    </xdr:to>
    <xdr:sp macro="" textlink="">
      <xdr:nvSpPr>
        <xdr:cNvPr id="10" name="Rectangle à coins arrondis 9">
          <a:hlinkClick xmlns:r="http://schemas.openxmlformats.org/officeDocument/2006/relationships" r:id="rId10"/>
          <a:extLst>
            <a:ext uri="{FF2B5EF4-FFF2-40B4-BE49-F238E27FC236}">
              <a16:creationId xmlns:a16="http://schemas.microsoft.com/office/drawing/2014/main" id="{00000000-0008-0000-0000-00000A000000}"/>
            </a:ext>
          </a:extLst>
        </xdr:cNvPr>
        <xdr:cNvSpPr/>
      </xdr:nvSpPr>
      <xdr:spPr bwMode="auto">
        <a:xfrm>
          <a:off x="4552950" y="2314575"/>
          <a:ext cx="1628775" cy="561975"/>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T 10 : +/- Values</a:t>
          </a:r>
        </a:p>
      </xdr:txBody>
    </xdr:sp>
    <xdr:clientData/>
  </xdr:twoCellAnchor>
  <xdr:twoCellAnchor>
    <xdr:from>
      <xdr:col>9</xdr:col>
      <xdr:colOff>276225</xdr:colOff>
      <xdr:row>16</xdr:row>
      <xdr:rowOff>76200</xdr:rowOff>
    </xdr:from>
    <xdr:to>
      <xdr:col>11</xdr:col>
      <xdr:colOff>533400</xdr:colOff>
      <xdr:row>19</xdr:row>
      <xdr:rowOff>152400</xdr:rowOff>
    </xdr:to>
    <xdr:sp macro="" textlink="">
      <xdr:nvSpPr>
        <xdr:cNvPr id="11" name="Rectangle à coins arrondis 10">
          <a:hlinkClick xmlns:r="http://schemas.openxmlformats.org/officeDocument/2006/relationships" r:id="rId11"/>
          <a:extLst>
            <a:ext uri="{FF2B5EF4-FFF2-40B4-BE49-F238E27FC236}">
              <a16:creationId xmlns:a16="http://schemas.microsoft.com/office/drawing/2014/main" id="{00000000-0008-0000-0000-00000B000000}"/>
            </a:ext>
          </a:extLst>
        </xdr:cNvPr>
        <xdr:cNvSpPr/>
      </xdr:nvSpPr>
      <xdr:spPr bwMode="auto">
        <a:xfrm>
          <a:off x="6448425" y="2333625"/>
          <a:ext cx="1628775" cy="561975"/>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T 11 : Titres de participation</a:t>
          </a:r>
        </a:p>
      </xdr:txBody>
    </xdr:sp>
    <xdr:clientData/>
  </xdr:twoCellAnchor>
  <xdr:twoCellAnchor>
    <xdr:from>
      <xdr:col>12</xdr:col>
      <xdr:colOff>209550</xdr:colOff>
      <xdr:row>16</xdr:row>
      <xdr:rowOff>57150</xdr:rowOff>
    </xdr:from>
    <xdr:to>
      <xdr:col>14</xdr:col>
      <xdr:colOff>466725</xdr:colOff>
      <xdr:row>19</xdr:row>
      <xdr:rowOff>133350</xdr:rowOff>
    </xdr:to>
    <xdr:sp macro="" textlink="">
      <xdr:nvSpPr>
        <xdr:cNvPr id="12" name="Rectangle à coins arrondis 11">
          <a:hlinkClick xmlns:r="http://schemas.openxmlformats.org/officeDocument/2006/relationships" r:id="rId12"/>
          <a:extLst>
            <a:ext uri="{FF2B5EF4-FFF2-40B4-BE49-F238E27FC236}">
              <a16:creationId xmlns:a16="http://schemas.microsoft.com/office/drawing/2014/main" id="{00000000-0008-0000-0000-00000C000000}"/>
            </a:ext>
          </a:extLst>
        </xdr:cNvPr>
        <xdr:cNvSpPr/>
      </xdr:nvSpPr>
      <xdr:spPr bwMode="auto">
        <a:xfrm>
          <a:off x="8439150" y="2314575"/>
          <a:ext cx="1628775" cy="561975"/>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T 12 : TVA</a:t>
          </a:r>
        </a:p>
      </xdr:txBody>
    </xdr:sp>
    <xdr:clientData/>
  </xdr:twoCellAnchor>
  <xdr:twoCellAnchor>
    <xdr:from>
      <xdr:col>3</xdr:col>
      <xdr:colOff>647700</xdr:colOff>
      <xdr:row>21</xdr:row>
      <xdr:rowOff>85726</xdr:rowOff>
    </xdr:from>
    <xdr:to>
      <xdr:col>6</xdr:col>
      <xdr:colOff>219075</xdr:colOff>
      <xdr:row>24</xdr:row>
      <xdr:rowOff>152401</xdr:rowOff>
    </xdr:to>
    <xdr:sp macro="" textlink="">
      <xdr:nvSpPr>
        <xdr:cNvPr id="14" name="Rectangle à coins arrondis 13">
          <a:hlinkClick xmlns:r="http://schemas.openxmlformats.org/officeDocument/2006/relationships" r:id="rId13"/>
          <a:extLst>
            <a:ext uri="{FF2B5EF4-FFF2-40B4-BE49-F238E27FC236}">
              <a16:creationId xmlns:a16="http://schemas.microsoft.com/office/drawing/2014/main" id="{00000000-0008-0000-0000-00000E000000}"/>
            </a:ext>
          </a:extLst>
        </xdr:cNvPr>
        <xdr:cNvSpPr/>
      </xdr:nvSpPr>
      <xdr:spPr bwMode="auto">
        <a:xfrm>
          <a:off x="2705100" y="3152776"/>
          <a:ext cx="1628775" cy="552450"/>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T 13 : Répartition de capital</a:t>
          </a:r>
        </a:p>
      </xdr:txBody>
    </xdr:sp>
    <xdr:clientData/>
  </xdr:twoCellAnchor>
  <xdr:twoCellAnchor>
    <xdr:from>
      <xdr:col>6</xdr:col>
      <xdr:colOff>428625</xdr:colOff>
      <xdr:row>21</xdr:row>
      <xdr:rowOff>76200</xdr:rowOff>
    </xdr:from>
    <xdr:to>
      <xdr:col>9</xdr:col>
      <xdr:colOff>0</xdr:colOff>
      <xdr:row>24</xdr:row>
      <xdr:rowOff>152400</xdr:rowOff>
    </xdr:to>
    <xdr:sp macro="" textlink="">
      <xdr:nvSpPr>
        <xdr:cNvPr id="15" name="Rectangle à coins arrondis 14">
          <a:hlinkClick xmlns:r="http://schemas.openxmlformats.org/officeDocument/2006/relationships" r:id="rId14"/>
          <a:extLst>
            <a:ext uri="{FF2B5EF4-FFF2-40B4-BE49-F238E27FC236}">
              <a16:creationId xmlns:a16="http://schemas.microsoft.com/office/drawing/2014/main" id="{00000000-0008-0000-0000-00000F000000}"/>
            </a:ext>
          </a:extLst>
        </xdr:cNvPr>
        <xdr:cNvSpPr/>
      </xdr:nvSpPr>
      <xdr:spPr bwMode="auto">
        <a:xfrm>
          <a:off x="4543425" y="3143250"/>
          <a:ext cx="1628775" cy="561975"/>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T 14 : Affectation de résultat</a:t>
          </a:r>
        </a:p>
      </xdr:txBody>
    </xdr:sp>
    <xdr:clientData/>
  </xdr:twoCellAnchor>
  <xdr:twoCellAnchor>
    <xdr:from>
      <xdr:col>9</xdr:col>
      <xdr:colOff>266700</xdr:colOff>
      <xdr:row>21</xdr:row>
      <xdr:rowOff>76200</xdr:rowOff>
    </xdr:from>
    <xdr:to>
      <xdr:col>11</xdr:col>
      <xdr:colOff>523875</xdr:colOff>
      <xdr:row>24</xdr:row>
      <xdr:rowOff>152400</xdr:rowOff>
    </xdr:to>
    <xdr:sp macro="" textlink="">
      <xdr:nvSpPr>
        <xdr:cNvPr id="16" name="Rectangle à coins arrondis 15">
          <a:hlinkClick xmlns:r="http://schemas.openxmlformats.org/officeDocument/2006/relationships" r:id="rId15"/>
          <a:extLst>
            <a:ext uri="{FF2B5EF4-FFF2-40B4-BE49-F238E27FC236}">
              <a16:creationId xmlns:a16="http://schemas.microsoft.com/office/drawing/2014/main" id="{00000000-0008-0000-0000-000010000000}"/>
            </a:ext>
          </a:extLst>
        </xdr:cNvPr>
        <xdr:cNvSpPr/>
      </xdr:nvSpPr>
      <xdr:spPr bwMode="auto">
        <a:xfrm>
          <a:off x="6438900" y="3143250"/>
          <a:ext cx="1628775" cy="561975"/>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T 15 : IS Mesures</a:t>
          </a:r>
          <a:r>
            <a:rPr lang="fr-FR" sz="1400" b="1" baseline="0">
              <a:solidFill>
                <a:schemeClr val="bg1"/>
              </a:solidFill>
            </a:rPr>
            <a:t> d'encouragements</a:t>
          </a:r>
          <a:endParaRPr lang="fr-FR" sz="1400" b="1">
            <a:solidFill>
              <a:schemeClr val="bg1"/>
            </a:solidFill>
          </a:endParaRPr>
        </a:p>
      </xdr:txBody>
    </xdr:sp>
    <xdr:clientData/>
  </xdr:twoCellAnchor>
  <xdr:twoCellAnchor>
    <xdr:from>
      <xdr:col>12</xdr:col>
      <xdr:colOff>200025</xdr:colOff>
      <xdr:row>21</xdr:row>
      <xdr:rowOff>95250</xdr:rowOff>
    </xdr:from>
    <xdr:to>
      <xdr:col>14</xdr:col>
      <xdr:colOff>457200</xdr:colOff>
      <xdr:row>25</xdr:row>
      <xdr:rowOff>9525</xdr:rowOff>
    </xdr:to>
    <xdr:sp macro="" textlink="">
      <xdr:nvSpPr>
        <xdr:cNvPr id="17" name="Rectangle à coins arrondis 16">
          <a:hlinkClick xmlns:r="http://schemas.openxmlformats.org/officeDocument/2006/relationships" r:id="rId16"/>
          <a:extLst>
            <a:ext uri="{FF2B5EF4-FFF2-40B4-BE49-F238E27FC236}">
              <a16:creationId xmlns:a16="http://schemas.microsoft.com/office/drawing/2014/main" id="{00000000-0008-0000-0000-000011000000}"/>
            </a:ext>
          </a:extLst>
        </xdr:cNvPr>
        <xdr:cNvSpPr/>
      </xdr:nvSpPr>
      <xdr:spPr bwMode="auto">
        <a:xfrm>
          <a:off x="8429625" y="3162300"/>
          <a:ext cx="1628775" cy="561975"/>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T 16 : Dotations</a:t>
          </a:r>
        </a:p>
      </xdr:txBody>
    </xdr:sp>
    <xdr:clientData/>
  </xdr:twoCellAnchor>
  <xdr:twoCellAnchor>
    <xdr:from>
      <xdr:col>3</xdr:col>
      <xdr:colOff>638175</xdr:colOff>
      <xdr:row>26</xdr:row>
      <xdr:rowOff>133351</xdr:rowOff>
    </xdr:from>
    <xdr:to>
      <xdr:col>6</xdr:col>
      <xdr:colOff>209550</xdr:colOff>
      <xdr:row>30</xdr:row>
      <xdr:rowOff>47625</xdr:rowOff>
    </xdr:to>
    <xdr:sp macro="" textlink="">
      <xdr:nvSpPr>
        <xdr:cNvPr id="18" name="Rectangle à coins arrondis 17">
          <a:hlinkClick xmlns:r="http://schemas.openxmlformats.org/officeDocument/2006/relationships" r:id="rId17"/>
          <a:extLst>
            <a:ext uri="{FF2B5EF4-FFF2-40B4-BE49-F238E27FC236}">
              <a16:creationId xmlns:a16="http://schemas.microsoft.com/office/drawing/2014/main" id="{00000000-0008-0000-0000-000012000000}"/>
            </a:ext>
          </a:extLst>
        </xdr:cNvPr>
        <xdr:cNvSpPr/>
      </xdr:nvSpPr>
      <xdr:spPr bwMode="auto">
        <a:xfrm>
          <a:off x="2695575" y="4010026"/>
          <a:ext cx="1628775" cy="561974"/>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T 17 : +V Fusion</a:t>
          </a:r>
        </a:p>
      </xdr:txBody>
    </xdr:sp>
    <xdr:clientData/>
  </xdr:twoCellAnchor>
  <xdr:twoCellAnchor>
    <xdr:from>
      <xdr:col>6</xdr:col>
      <xdr:colOff>419100</xdr:colOff>
      <xdr:row>26</xdr:row>
      <xdr:rowOff>133350</xdr:rowOff>
    </xdr:from>
    <xdr:to>
      <xdr:col>8</xdr:col>
      <xdr:colOff>676275</xdr:colOff>
      <xdr:row>30</xdr:row>
      <xdr:rowOff>47625</xdr:rowOff>
    </xdr:to>
    <xdr:sp macro="" textlink="">
      <xdr:nvSpPr>
        <xdr:cNvPr id="19" name="Rectangle à coins arrondis 18">
          <a:hlinkClick xmlns:r="http://schemas.openxmlformats.org/officeDocument/2006/relationships" r:id="rId18"/>
          <a:extLst>
            <a:ext uri="{FF2B5EF4-FFF2-40B4-BE49-F238E27FC236}">
              <a16:creationId xmlns:a16="http://schemas.microsoft.com/office/drawing/2014/main" id="{00000000-0008-0000-0000-000013000000}"/>
            </a:ext>
          </a:extLst>
        </xdr:cNvPr>
        <xdr:cNvSpPr/>
      </xdr:nvSpPr>
      <xdr:spPr bwMode="auto">
        <a:xfrm>
          <a:off x="4533900" y="4010025"/>
          <a:ext cx="1628775" cy="561975"/>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T 18 : Emprunts</a:t>
          </a:r>
        </a:p>
      </xdr:txBody>
    </xdr:sp>
    <xdr:clientData/>
  </xdr:twoCellAnchor>
  <xdr:twoCellAnchor>
    <xdr:from>
      <xdr:col>9</xdr:col>
      <xdr:colOff>257175</xdr:colOff>
      <xdr:row>26</xdr:row>
      <xdr:rowOff>133350</xdr:rowOff>
    </xdr:from>
    <xdr:to>
      <xdr:col>11</xdr:col>
      <xdr:colOff>514350</xdr:colOff>
      <xdr:row>30</xdr:row>
      <xdr:rowOff>47625</xdr:rowOff>
    </xdr:to>
    <xdr:sp macro="" textlink="">
      <xdr:nvSpPr>
        <xdr:cNvPr id="20" name="Rectangle à coins arrondis 19">
          <a:hlinkClick xmlns:r="http://schemas.openxmlformats.org/officeDocument/2006/relationships" r:id="rId19"/>
          <a:extLst>
            <a:ext uri="{FF2B5EF4-FFF2-40B4-BE49-F238E27FC236}">
              <a16:creationId xmlns:a16="http://schemas.microsoft.com/office/drawing/2014/main" id="{00000000-0008-0000-0000-000014000000}"/>
            </a:ext>
          </a:extLst>
        </xdr:cNvPr>
        <xdr:cNvSpPr/>
      </xdr:nvSpPr>
      <xdr:spPr bwMode="auto">
        <a:xfrm>
          <a:off x="6429375" y="4010025"/>
          <a:ext cx="1628775" cy="561975"/>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T 19 : Locations</a:t>
          </a:r>
        </a:p>
      </xdr:txBody>
    </xdr:sp>
    <xdr:clientData/>
  </xdr:twoCellAnchor>
  <xdr:twoCellAnchor>
    <xdr:from>
      <xdr:col>12</xdr:col>
      <xdr:colOff>190500</xdr:colOff>
      <xdr:row>26</xdr:row>
      <xdr:rowOff>133350</xdr:rowOff>
    </xdr:from>
    <xdr:to>
      <xdr:col>14</xdr:col>
      <xdr:colOff>447675</xdr:colOff>
      <xdr:row>30</xdr:row>
      <xdr:rowOff>47625</xdr:rowOff>
    </xdr:to>
    <xdr:sp macro="" textlink="">
      <xdr:nvSpPr>
        <xdr:cNvPr id="21" name="Rectangle à coins arrondis 20">
          <a:hlinkClick xmlns:r="http://schemas.openxmlformats.org/officeDocument/2006/relationships" r:id="rId20"/>
          <a:extLst>
            <a:ext uri="{FF2B5EF4-FFF2-40B4-BE49-F238E27FC236}">
              <a16:creationId xmlns:a16="http://schemas.microsoft.com/office/drawing/2014/main" id="{00000000-0008-0000-0000-000015000000}"/>
            </a:ext>
          </a:extLst>
        </xdr:cNvPr>
        <xdr:cNvSpPr/>
      </xdr:nvSpPr>
      <xdr:spPr bwMode="auto">
        <a:xfrm>
          <a:off x="8420100" y="4010025"/>
          <a:ext cx="1628775" cy="561975"/>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T 20 : Stock</a:t>
          </a:r>
        </a:p>
      </xdr:txBody>
    </xdr:sp>
    <xdr:clientData/>
  </xdr:twoCellAnchor>
  <xdr:twoCellAnchor>
    <xdr:from>
      <xdr:col>0</xdr:col>
      <xdr:colOff>276120</xdr:colOff>
      <xdr:row>17</xdr:row>
      <xdr:rowOff>1045</xdr:rowOff>
    </xdr:from>
    <xdr:to>
      <xdr:col>2</xdr:col>
      <xdr:colOff>533295</xdr:colOff>
      <xdr:row>20</xdr:row>
      <xdr:rowOff>84782</xdr:rowOff>
    </xdr:to>
    <xdr:sp macro="" textlink="">
      <xdr:nvSpPr>
        <xdr:cNvPr id="22" name="Rectangle à coins arrondis 21">
          <a:hlinkClick xmlns:r="http://schemas.openxmlformats.org/officeDocument/2006/relationships" r:id="rId21"/>
          <a:extLst>
            <a:ext uri="{FF2B5EF4-FFF2-40B4-BE49-F238E27FC236}">
              <a16:creationId xmlns:a16="http://schemas.microsoft.com/office/drawing/2014/main" id="{00000000-0008-0000-0000-000016000000}"/>
            </a:ext>
          </a:extLst>
        </xdr:cNvPr>
        <xdr:cNvSpPr/>
      </xdr:nvSpPr>
      <xdr:spPr bwMode="auto">
        <a:xfrm>
          <a:off x="276120" y="2837611"/>
          <a:ext cx="1638823" cy="554753"/>
        </a:xfrm>
        <a:prstGeom prst="roundRect">
          <a:avLst/>
        </a:prstGeom>
        <a:solidFill>
          <a:srgbClr val="008000"/>
        </a:soli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Identification société</a:t>
          </a:r>
        </a:p>
      </xdr:txBody>
    </xdr:sp>
    <xdr:clientData/>
  </xdr:twoCellAnchor>
  <xdr:twoCellAnchor>
    <xdr:from>
      <xdr:col>0</xdr:col>
      <xdr:colOff>266595</xdr:colOff>
      <xdr:row>21</xdr:row>
      <xdr:rowOff>146537</xdr:rowOff>
    </xdr:from>
    <xdr:to>
      <xdr:col>2</xdr:col>
      <xdr:colOff>523770</xdr:colOff>
      <xdr:row>25</xdr:row>
      <xdr:rowOff>65731</xdr:rowOff>
    </xdr:to>
    <xdr:sp macro="" textlink="">
      <xdr:nvSpPr>
        <xdr:cNvPr id="23" name="Rectangle à coins arrondis 22">
          <a:hlinkClick xmlns:r="http://schemas.openxmlformats.org/officeDocument/2006/relationships" r:id="rId22"/>
          <a:extLst>
            <a:ext uri="{FF2B5EF4-FFF2-40B4-BE49-F238E27FC236}">
              <a16:creationId xmlns:a16="http://schemas.microsoft.com/office/drawing/2014/main" id="{00000000-0008-0000-0000-000017000000}"/>
            </a:ext>
          </a:extLst>
        </xdr:cNvPr>
        <xdr:cNvSpPr/>
      </xdr:nvSpPr>
      <xdr:spPr bwMode="auto">
        <a:xfrm>
          <a:off x="266595" y="3611125"/>
          <a:ext cx="1638823" cy="547216"/>
        </a:xfrm>
        <a:prstGeom prst="roundRect">
          <a:avLst/>
        </a:prstGeom>
        <a:solidFill>
          <a:srgbClr val="008000"/>
        </a:soli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Balance N</a:t>
          </a:r>
        </a:p>
      </xdr:txBody>
    </xdr:sp>
    <xdr:clientData/>
  </xdr:twoCellAnchor>
  <xdr:twoCellAnchor>
    <xdr:from>
      <xdr:col>0</xdr:col>
      <xdr:colOff>257070</xdr:colOff>
      <xdr:row>26</xdr:row>
      <xdr:rowOff>132407</xdr:rowOff>
    </xdr:from>
    <xdr:to>
      <xdr:col>2</xdr:col>
      <xdr:colOff>514245</xdr:colOff>
      <xdr:row>30</xdr:row>
      <xdr:rowOff>46682</xdr:rowOff>
    </xdr:to>
    <xdr:sp macro="" textlink="">
      <xdr:nvSpPr>
        <xdr:cNvPr id="24" name="Rectangle à coins arrondis 23">
          <a:hlinkClick xmlns:r="http://schemas.openxmlformats.org/officeDocument/2006/relationships" r:id="rId23"/>
          <a:extLst>
            <a:ext uri="{FF2B5EF4-FFF2-40B4-BE49-F238E27FC236}">
              <a16:creationId xmlns:a16="http://schemas.microsoft.com/office/drawing/2014/main" id="{00000000-0008-0000-0000-000018000000}"/>
            </a:ext>
          </a:extLst>
        </xdr:cNvPr>
        <xdr:cNvSpPr/>
      </xdr:nvSpPr>
      <xdr:spPr bwMode="auto">
        <a:xfrm>
          <a:off x="257070" y="4382022"/>
          <a:ext cx="1638823" cy="542297"/>
        </a:xfrm>
        <a:prstGeom prst="roundRect">
          <a:avLst/>
        </a:prstGeom>
        <a:solidFill>
          <a:srgbClr val="008000"/>
        </a:soli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Balance N-1</a:t>
          </a:r>
        </a:p>
      </xdr:txBody>
    </xdr:sp>
    <xdr:clientData/>
  </xdr:twoCellAnchor>
  <xdr:twoCellAnchor>
    <xdr:from>
      <xdr:col>9</xdr:col>
      <xdr:colOff>295275</xdr:colOff>
      <xdr:row>6</xdr:row>
      <xdr:rowOff>142875</xdr:rowOff>
    </xdr:from>
    <xdr:to>
      <xdr:col>11</xdr:col>
      <xdr:colOff>552450</xdr:colOff>
      <xdr:row>10</xdr:row>
      <xdr:rowOff>57150</xdr:rowOff>
    </xdr:to>
    <xdr:sp macro="" textlink="">
      <xdr:nvSpPr>
        <xdr:cNvPr id="27" name="Rectangle à coins arrondis 26">
          <a:hlinkClick xmlns:r="http://schemas.openxmlformats.org/officeDocument/2006/relationships" r:id="rId24"/>
          <a:extLst>
            <a:ext uri="{FF2B5EF4-FFF2-40B4-BE49-F238E27FC236}">
              <a16:creationId xmlns:a16="http://schemas.microsoft.com/office/drawing/2014/main" id="{00000000-0008-0000-0000-00001B000000}"/>
            </a:ext>
          </a:extLst>
        </xdr:cNvPr>
        <xdr:cNvSpPr/>
      </xdr:nvSpPr>
      <xdr:spPr bwMode="auto">
        <a:xfrm>
          <a:off x="6467475" y="628650"/>
          <a:ext cx="1628775" cy="561975"/>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T 3 : Tableau de passage</a:t>
          </a:r>
        </a:p>
      </xdr:txBody>
    </xdr:sp>
    <xdr:clientData/>
  </xdr:twoCellAnchor>
  <xdr:twoCellAnchor>
    <xdr:from>
      <xdr:col>0</xdr:col>
      <xdr:colOff>314220</xdr:colOff>
      <xdr:row>8</xdr:row>
      <xdr:rowOff>37156</xdr:rowOff>
    </xdr:from>
    <xdr:to>
      <xdr:col>2</xdr:col>
      <xdr:colOff>571395</xdr:colOff>
      <xdr:row>11</xdr:row>
      <xdr:rowOff>113357</xdr:rowOff>
    </xdr:to>
    <xdr:sp macro="" textlink="">
      <xdr:nvSpPr>
        <xdr:cNvPr id="32" name="Rectangle à coins arrondis 31">
          <a:hlinkClick xmlns:r="http://schemas.openxmlformats.org/officeDocument/2006/relationships" r:id="rId25"/>
          <a:extLst>
            <a:ext uri="{FF2B5EF4-FFF2-40B4-BE49-F238E27FC236}">
              <a16:creationId xmlns:a16="http://schemas.microsoft.com/office/drawing/2014/main" id="{00000000-0008-0000-0000-000020000000}"/>
            </a:ext>
          </a:extLst>
        </xdr:cNvPr>
        <xdr:cNvSpPr/>
      </xdr:nvSpPr>
      <xdr:spPr bwMode="auto">
        <a:xfrm>
          <a:off x="314220" y="1293200"/>
          <a:ext cx="1638823" cy="547217"/>
        </a:xfrm>
        <a:prstGeom prst="roundRect">
          <a:avLst/>
        </a:prstGeom>
        <a:solidFill>
          <a:srgbClr val="FF0000"/>
        </a:soli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Liasse</a:t>
          </a:r>
          <a:r>
            <a:rPr lang="fr-FR" sz="1400" b="1" baseline="0">
              <a:solidFill>
                <a:schemeClr val="bg1"/>
              </a:solidFill>
            </a:rPr>
            <a:t> fiscale</a:t>
          </a:r>
          <a:endParaRPr lang="fr-FR" sz="1400" b="1">
            <a:solidFill>
              <a:schemeClr val="bg1"/>
            </a:solidFill>
          </a:endParaRPr>
        </a:p>
      </xdr:txBody>
    </xdr:sp>
    <xdr:clientData/>
  </xdr:twoCellAnchor>
  <xdr:twoCellAnchor>
    <xdr:from>
      <xdr:col>4</xdr:col>
      <xdr:colOff>0</xdr:colOff>
      <xdr:row>1</xdr:row>
      <xdr:rowOff>2</xdr:rowOff>
    </xdr:from>
    <xdr:to>
      <xdr:col>14</xdr:col>
      <xdr:colOff>486172</xdr:colOff>
      <xdr:row>2</xdr:row>
      <xdr:rowOff>138907</xdr:rowOff>
    </xdr:to>
    <xdr:sp macro="" textlink="">
      <xdr:nvSpPr>
        <xdr:cNvPr id="34" name="Rectangle à coins arrondis 33">
          <a:hlinkClick xmlns:r="http://schemas.openxmlformats.org/officeDocument/2006/relationships" r:id="rId21"/>
          <a:extLst>
            <a:ext uri="{FF2B5EF4-FFF2-40B4-BE49-F238E27FC236}">
              <a16:creationId xmlns:a16="http://schemas.microsoft.com/office/drawing/2014/main" id="{00000000-0008-0000-0000-000022000000}"/>
            </a:ext>
          </a:extLst>
        </xdr:cNvPr>
        <xdr:cNvSpPr/>
      </xdr:nvSpPr>
      <xdr:spPr bwMode="auto">
        <a:xfrm>
          <a:off x="2763297" y="157007"/>
          <a:ext cx="7394413" cy="295911"/>
        </a:xfrm>
        <a:prstGeom prst="roundRect">
          <a:avLst/>
        </a:prstGeom>
        <a:solidFill>
          <a:srgbClr val="FF0000"/>
        </a:soli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600" b="1">
              <a:solidFill>
                <a:schemeClr val="bg1"/>
              </a:solidFill>
            </a:rPr>
            <a:t>Liasse</a:t>
          </a:r>
          <a:r>
            <a:rPr lang="fr-FR" sz="1600" b="1" baseline="0">
              <a:solidFill>
                <a:schemeClr val="bg1"/>
              </a:solidFill>
            </a:rPr>
            <a:t> fiscale</a:t>
          </a:r>
          <a:endParaRPr lang="fr-FR" sz="1600" b="1">
            <a:solidFill>
              <a:schemeClr val="bg1"/>
            </a:solidFill>
          </a:endParaRPr>
        </a:p>
      </xdr:txBody>
    </xdr:sp>
    <xdr:clientData/>
  </xdr:twoCellAnchor>
  <xdr:twoCellAnchor>
    <xdr:from>
      <xdr:col>0</xdr:col>
      <xdr:colOff>0</xdr:colOff>
      <xdr:row>42</xdr:row>
      <xdr:rowOff>115134</xdr:rowOff>
    </xdr:from>
    <xdr:to>
      <xdr:col>2</xdr:col>
      <xdr:colOff>257175</xdr:colOff>
      <xdr:row>46</xdr:row>
      <xdr:rowOff>37504</xdr:rowOff>
    </xdr:to>
    <xdr:sp macro="" textlink="">
      <xdr:nvSpPr>
        <xdr:cNvPr id="35" name="Rectangle à coins arrondis 34">
          <a:hlinkClick xmlns:r="http://schemas.openxmlformats.org/officeDocument/2006/relationships" r:id="rId1"/>
          <a:extLst>
            <a:ext uri="{FF2B5EF4-FFF2-40B4-BE49-F238E27FC236}">
              <a16:creationId xmlns:a16="http://schemas.microsoft.com/office/drawing/2014/main" id="{00000000-0008-0000-0000-000023000000}"/>
            </a:ext>
          </a:extLst>
        </xdr:cNvPr>
        <xdr:cNvSpPr/>
      </xdr:nvSpPr>
      <xdr:spPr bwMode="auto">
        <a:xfrm>
          <a:off x="0" y="6876837"/>
          <a:ext cx="1638823" cy="550392"/>
        </a:xfrm>
        <a:prstGeom prst="roundRect">
          <a:avLst/>
        </a:prstGeom>
        <a:solidFill>
          <a:srgbClr val="FF0000"/>
        </a:soli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ETIC</a:t>
          </a:r>
        </a:p>
      </xdr:txBody>
    </xdr:sp>
    <xdr:clientData/>
  </xdr:twoCellAnchor>
  <xdr:twoCellAnchor>
    <xdr:from>
      <xdr:col>6</xdr:col>
      <xdr:colOff>266749</xdr:colOff>
      <xdr:row>37</xdr:row>
      <xdr:rowOff>3925</xdr:rowOff>
    </xdr:from>
    <xdr:to>
      <xdr:col>8</xdr:col>
      <xdr:colOff>522733</xdr:colOff>
      <xdr:row>40</xdr:row>
      <xdr:rowOff>75206</xdr:rowOff>
    </xdr:to>
    <xdr:sp macro="" textlink="">
      <xdr:nvSpPr>
        <xdr:cNvPr id="36" name="Rectangle à coins arrondis 35">
          <a:hlinkClick xmlns:r="http://schemas.openxmlformats.org/officeDocument/2006/relationships" r:id="rId2"/>
          <a:extLst>
            <a:ext uri="{FF2B5EF4-FFF2-40B4-BE49-F238E27FC236}">
              <a16:creationId xmlns:a16="http://schemas.microsoft.com/office/drawing/2014/main" id="{00000000-0008-0000-0000-000024000000}"/>
            </a:ext>
          </a:extLst>
        </xdr:cNvPr>
        <xdr:cNvSpPr/>
      </xdr:nvSpPr>
      <xdr:spPr bwMode="auto">
        <a:xfrm>
          <a:off x="4411694" y="5980601"/>
          <a:ext cx="1637632" cy="542297"/>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Bilan</a:t>
          </a:r>
        </a:p>
      </xdr:txBody>
    </xdr:sp>
    <xdr:clientData/>
  </xdr:twoCellAnchor>
  <xdr:twoCellAnchor>
    <xdr:from>
      <xdr:col>9</xdr:col>
      <xdr:colOff>146128</xdr:colOff>
      <xdr:row>36</xdr:row>
      <xdr:rowOff>150464</xdr:rowOff>
    </xdr:from>
    <xdr:to>
      <xdr:col>11</xdr:col>
      <xdr:colOff>408328</xdr:colOff>
      <xdr:row>40</xdr:row>
      <xdr:rowOff>64739</xdr:rowOff>
    </xdr:to>
    <xdr:sp macro="" textlink="">
      <xdr:nvSpPr>
        <xdr:cNvPr id="37" name="Rectangle à coins arrondis 36">
          <a:hlinkClick xmlns:r="http://schemas.openxmlformats.org/officeDocument/2006/relationships" r:id="rId3"/>
          <a:extLst>
            <a:ext uri="{FF2B5EF4-FFF2-40B4-BE49-F238E27FC236}">
              <a16:creationId xmlns:a16="http://schemas.microsoft.com/office/drawing/2014/main" id="{00000000-0008-0000-0000-000025000000}"/>
            </a:ext>
          </a:extLst>
        </xdr:cNvPr>
        <xdr:cNvSpPr/>
      </xdr:nvSpPr>
      <xdr:spPr bwMode="auto">
        <a:xfrm>
          <a:off x="6363546" y="5970134"/>
          <a:ext cx="1643848" cy="542297"/>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CPC</a:t>
          </a:r>
        </a:p>
      </xdr:txBody>
    </xdr:sp>
    <xdr:clientData/>
  </xdr:twoCellAnchor>
  <xdr:twoCellAnchor>
    <xdr:from>
      <xdr:col>11</xdr:col>
      <xdr:colOff>663475</xdr:colOff>
      <xdr:row>36</xdr:row>
      <xdr:rowOff>127943</xdr:rowOff>
    </xdr:from>
    <xdr:to>
      <xdr:col>14</xdr:col>
      <xdr:colOff>234850</xdr:colOff>
      <xdr:row>40</xdr:row>
      <xdr:rowOff>48568</xdr:rowOff>
    </xdr:to>
    <xdr:sp macro="" textlink="">
      <xdr:nvSpPr>
        <xdr:cNvPr id="38" name="Rectangle à coins arrondis 37">
          <a:hlinkClick xmlns:r="http://schemas.openxmlformats.org/officeDocument/2006/relationships" r:id="rId4"/>
          <a:extLst>
            <a:ext uri="{FF2B5EF4-FFF2-40B4-BE49-F238E27FC236}">
              <a16:creationId xmlns:a16="http://schemas.microsoft.com/office/drawing/2014/main" id="{00000000-0008-0000-0000-000026000000}"/>
            </a:ext>
          </a:extLst>
        </xdr:cNvPr>
        <xdr:cNvSpPr/>
      </xdr:nvSpPr>
      <xdr:spPr bwMode="auto">
        <a:xfrm>
          <a:off x="8262541" y="5947613"/>
          <a:ext cx="1643847" cy="548647"/>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ESG</a:t>
          </a:r>
        </a:p>
      </xdr:txBody>
    </xdr:sp>
    <xdr:clientData/>
  </xdr:twoCellAnchor>
  <xdr:twoCellAnchor>
    <xdr:from>
      <xdr:col>3</xdr:col>
      <xdr:colOff>424259</xdr:colOff>
      <xdr:row>45</xdr:row>
      <xdr:rowOff>109142</xdr:rowOff>
    </xdr:from>
    <xdr:to>
      <xdr:col>5</xdr:col>
      <xdr:colOff>681433</xdr:colOff>
      <xdr:row>49</xdr:row>
      <xdr:rowOff>13892</xdr:rowOff>
    </xdr:to>
    <xdr:sp macro="" textlink="">
      <xdr:nvSpPr>
        <xdr:cNvPr id="39" name="Rectangle à coins arrondis 38">
          <a:hlinkClick xmlns:r="http://schemas.openxmlformats.org/officeDocument/2006/relationships" r:id="rId5"/>
          <a:extLst>
            <a:ext uri="{FF2B5EF4-FFF2-40B4-BE49-F238E27FC236}">
              <a16:creationId xmlns:a16="http://schemas.microsoft.com/office/drawing/2014/main" id="{00000000-0008-0000-0000-000027000000}"/>
            </a:ext>
          </a:extLst>
        </xdr:cNvPr>
        <xdr:cNvSpPr/>
      </xdr:nvSpPr>
      <xdr:spPr bwMode="auto">
        <a:xfrm>
          <a:off x="2478087" y="6459142"/>
          <a:ext cx="1626393" cy="539750"/>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B 2 : Immobilisations</a:t>
          </a:r>
        </a:p>
      </xdr:txBody>
    </xdr:sp>
    <xdr:clientData/>
  </xdr:twoCellAnchor>
  <xdr:twoCellAnchor>
    <xdr:from>
      <xdr:col>3</xdr:col>
      <xdr:colOff>424653</xdr:colOff>
      <xdr:row>54</xdr:row>
      <xdr:rowOff>48420</xdr:rowOff>
    </xdr:from>
    <xdr:to>
      <xdr:col>5</xdr:col>
      <xdr:colOff>680637</xdr:colOff>
      <xdr:row>57</xdr:row>
      <xdr:rowOff>127795</xdr:rowOff>
    </xdr:to>
    <xdr:sp macro="" textlink="">
      <xdr:nvSpPr>
        <xdr:cNvPr id="40" name="Rectangle à coins arrondis 39">
          <a:hlinkClick xmlns:r="http://schemas.openxmlformats.org/officeDocument/2006/relationships" r:id="rId6"/>
          <a:extLst>
            <a:ext uri="{FF2B5EF4-FFF2-40B4-BE49-F238E27FC236}">
              <a16:creationId xmlns:a16="http://schemas.microsoft.com/office/drawing/2014/main" id="{00000000-0008-0000-0000-000028000000}"/>
            </a:ext>
          </a:extLst>
        </xdr:cNvPr>
        <xdr:cNvSpPr/>
      </xdr:nvSpPr>
      <xdr:spPr bwMode="auto">
        <a:xfrm>
          <a:off x="2478481" y="7827170"/>
          <a:ext cx="1625203" cy="555625"/>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B 11 : Détail CPC</a:t>
          </a:r>
        </a:p>
      </xdr:txBody>
    </xdr:sp>
    <xdr:clientData/>
  </xdr:twoCellAnchor>
  <xdr:twoCellAnchor>
    <xdr:from>
      <xdr:col>14</xdr:col>
      <xdr:colOff>520695</xdr:colOff>
      <xdr:row>49</xdr:row>
      <xdr:rowOff>147240</xdr:rowOff>
    </xdr:from>
    <xdr:to>
      <xdr:col>17</xdr:col>
      <xdr:colOff>93261</xdr:colOff>
      <xdr:row>53</xdr:row>
      <xdr:rowOff>67865</xdr:rowOff>
    </xdr:to>
    <xdr:sp macro="" textlink="">
      <xdr:nvSpPr>
        <xdr:cNvPr id="41" name="Rectangle à coins arrondis 40">
          <a:hlinkClick xmlns:r="http://schemas.openxmlformats.org/officeDocument/2006/relationships" r:id="rId7"/>
          <a:extLst>
            <a:ext uri="{FF2B5EF4-FFF2-40B4-BE49-F238E27FC236}">
              <a16:creationId xmlns:a16="http://schemas.microsoft.com/office/drawing/2014/main" id="{00000000-0008-0000-0000-000029000000}"/>
            </a:ext>
          </a:extLst>
        </xdr:cNvPr>
        <xdr:cNvSpPr/>
      </xdr:nvSpPr>
      <xdr:spPr bwMode="auto">
        <a:xfrm>
          <a:off x="10105226" y="7132240"/>
          <a:ext cx="1626394" cy="555625"/>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B 10 : Crédit-bail</a:t>
          </a:r>
        </a:p>
      </xdr:txBody>
    </xdr:sp>
    <xdr:clientData/>
  </xdr:twoCellAnchor>
  <xdr:twoCellAnchor>
    <xdr:from>
      <xdr:col>6</xdr:col>
      <xdr:colOff>245242</xdr:colOff>
      <xdr:row>45</xdr:row>
      <xdr:rowOff>87313</xdr:rowOff>
    </xdr:from>
    <xdr:to>
      <xdr:col>8</xdr:col>
      <xdr:colOff>502416</xdr:colOff>
      <xdr:row>49</xdr:row>
      <xdr:rowOff>7938</xdr:rowOff>
    </xdr:to>
    <xdr:sp macro="" textlink="">
      <xdr:nvSpPr>
        <xdr:cNvPr id="42" name="Rectangle à coins arrondis 41">
          <a:hlinkClick xmlns:r="http://schemas.openxmlformats.org/officeDocument/2006/relationships" r:id="rId8"/>
          <a:extLst>
            <a:ext uri="{FF2B5EF4-FFF2-40B4-BE49-F238E27FC236}">
              <a16:creationId xmlns:a16="http://schemas.microsoft.com/office/drawing/2014/main" id="{00000000-0008-0000-0000-00002A000000}"/>
            </a:ext>
          </a:extLst>
        </xdr:cNvPr>
        <xdr:cNvSpPr/>
      </xdr:nvSpPr>
      <xdr:spPr bwMode="auto">
        <a:xfrm>
          <a:off x="4352898" y="6437313"/>
          <a:ext cx="1626393" cy="555625"/>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B 2 -Bis : Amortissements</a:t>
          </a:r>
        </a:p>
      </xdr:txBody>
    </xdr:sp>
    <xdr:clientData/>
  </xdr:twoCellAnchor>
  <xdr:twoCellAnchor>
    <xdr:from>
      <xdr:col>14</xdr:col>
      <xdr:colOff>525064</xdr:colOff>
      <xdr:row>45</xdr:row>
      <xdr:rowOff>92869</xdr:rowOff>
    </xdr:from>
    <xdr:to>
      <xdr:col>17</xdr:col>
      <xdr:colOff>96439</xdr:colOff>
      <xdr:row>49</xdr:row>
      <xdr:rowOff>794</xdr:rowOff>
    </xdr:to>
    <xdr:sp macro="" textlink="">
      <xdr:nvSpPr>
        <xdr:cNvPr id="43" name="Rectangle à coins arrondis 42">
          <a:hlinkClick xmlns:r="http://schemas.openxmlformats.org/officeDocument/2006/relationships" r:id="rId9"/>
          <a:extLst>
            <a:ext uri="{FF2B5EF4-FFF2-40B4-BE49-F238E27FC236}">
              <a16:creationId xmlns:a16="http://schemas.microsoft.com/office/drawing/2014/main" id="{00000000-0008-0000-0000-00002B000000}"/>
            </a:ext>
          </a:extLst>
        </xdr:cNvPr>
        <xdr:cNvSpPr/>
      </xdr:nvSpPr>
      <xdr:spPr bwMode="auto">
        <a:xfrm>
          <a:off x="10109595" y="6442869"/>
          <a:ext cx="1625203" cy="542925"/>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B 5 : Provisions</a:t>
          </a:r>
        </a:p>
      </xdr:txBody>
    </xdr:sp>
    <xdr:clientData/>
  </xdr:twoCellAnchor>
  <xdr:twoCellAnchor>
    <xdr:from>
      <xdr:col>9</xdr:col>
      <xdr:colOff>107549</xdr:colOff>
      <xdr:row>45</xdr:row>
      <xdr:rowOff>92870</xdr:rowOff>
    </xdr:from>
    <xdr:to>
      <xdr:col>11</xdr:col>
      <xdr:colOff>363533</xdr:colOff>
      <xdr:row>49</xdr:row>
      <xdr:rowOff>10320</xdr:rowOff>
    </xdr:to>
    <xdr:sp macro="" textlink="">
      <xdr:nvSpPr>
        <xdr:cNvPr id="44" name="Rectangle à coins arrondis 43">
          <a:hlinkClick xmlns:r="http://schemas.openxmlformats.org/officeDocument/2006/relationships" r:id="rId10"/>
          <a:extLst>
            <a:ext uri="{FF2B5EF4-FFF2-40B4-BE49-F238E27FC236}">
              <a16:creationId xmlns:a16="http://schemas.microsoft.com/office/drawing/2014/main" id="{00000000-0008-0000-0000-00002C000000}"/>
            </a:ext>
          </a:extLst>
        </xdr:cNvPr>
        <xdr:cNvSpPr/>
      </xdr:nvSpPr>
      <xdr:spPr bwMode="auto">
        <a:xfrm>
          <a:off x="6269033" y="6442870"/>
          <a:ext cx="1625203" cy="552450"/>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B 3 : +/- Values</a:t>
          </a:r>
        </a:p>
      </xdr:txBody>
    </xdr:sp>
    <xdr:clientData/>
  </xdr:twoCellAnchor>
  <xdr:twoCellAnchor>
    <xdr:from>
      <xdr:col>11</xdr:col>
      <xdr:colOff>650079</xdr:colOff>
      <xdr:row>45</xdr:row>
      <xdr:rowOff>92075</xdr:rowOff>
    </xdr:from>
    <xdr:to>
      <xdr:col>14</xdr:col>
      <xdr:colOff>222645</xdr:colOff>
      <xdr:row>49</xdr:row>
      <xdr:rowOff>9525</xdr:rowOff>
    </xdr:to>
    <xdr:sp macro="" textlink="">
      <xdr:nvSpPr>
        <xdr:cNvPr id="45" name="Rectangle à coins arrondis 44">
          <a:hlinkClick xmlns:r="http://schemas.openxmlformats.org/officeDocument/2006/relationships" r:id="rId11"/>
          <a:extLst>
            <a:ext uri="{FF2B5EF4-FFF2-40B4-BE49-F238E27FC236}">
              <a16:creationId xmlns:a16="http://schemas.microsoft.com/office/drawing/2014/main" id="{00000000-0008-0000-0000-00002D000000}"/>
            </a:ext>
          </a:extLst>
        </xdr:cNvPr>
        <xdr:cNvSpPr/>
      </xdr:nvSpPr>
      <xdr:spPr bwMode="auto">
        <a:xfrm>
          <a:off x="8180782" y="6442075"/>
          <a:ext cx="1626394" cy="552450"/>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B 4 : Titres de participation</a:t>
          </a:r>
        </a:p>
      </xdr:txBody>
    </xdr:sp>
    <xdr:clientData/>
  </xdr:twoCellAnchor>
  <xdr:twoCellAnchor>
    <xdr:from>
      <xdr:col>11</xdr:col>
      <xdr:colOff>642935</xdr:colOff>
      <xdr:row>54</xdr:row>
      <xdr:rowOff>33339</xdr:rowOff>
    </xdr:from>
    <xdr:to>
      <xdr:col>14</xdr:col>
      <xdr:colOff>215500</xdr:colOff>
      <xdr:row>57</xdr:row>
      <xdr:rowOff>109539</xdr:rowOff>
    </xdr:to>
    <xdr:sp macro="" textlink="">
      <xdr:nvSpPr>
        <xdr:cNvPr id="46" name="Rectangle à coins arrondis 45">
          <a:hlinkClick xmlns:r="http://schemas.openxmlformats.org/officeDocument/2006/relationships" r:id="rId12"/>
          <a:extLst>
            <a:ext uri="{FF2B5EF4-FFF2-40B4-BE49-F238E27FC236}">
              <a16:creationId xmlns:a16="http://schemas.microsoft.com/office/drawing/2014/main" id="{00000000-0008-0000-0000-00002E000000}"/>
            </a:ext>
          </a:extLst>
        </xdr:cNvPr>
        <xdr:cNvSpPr/>
      </xdr:nvSpPr>
      <xdr:spPr bwMode="auto">
        <a:xfrm>
          <a:off x="8173638" y="7812089"/>
          <a:ext cx="1626393" cy="552450"/>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B 14 : TVA</a:t>
          </a:r>
        </a:p>
      </xdr:txBody>
    </xdr:sp>
    <xdr:clientData/>
  </xdr:twoCellAnchor>
  <xdr:twoCellAnchor>
    <xdr:from>
      <xdr:col>3</xdr:col>
      <xdr:colOff>426247</xdr:colOff>
      <xdr:row>58</xdr:row>
      <xdr:rowOff>131388</xdr:rowOff>
    </xdr:from>
    <xdr:to>
      <xdr:col>5</xdr:col>
      <xdr:colOff>682231</xdr:colOff>
      <xdr:row>62</xdr:row>
      <xdr:rowOff>39313</xdr:rowOff>
    </xdr:to>
    <xdr:sp macro="" textlink="">
      <xdr:nvSpPr>
        <xdr:cNvPr id="47" name="Rectangle à coins arrondis 46">
          <a:hlinkClick xmlns:r="http://schemas.openxmlformats.org/officeDocument/2006/relationships" r:id="rId13"/>
          <a:extLst>
            <a:ext uri="{FF2B5EF4-FFF2-40B4-BE49-F238E27FC236}">
              <a16:creationId xmlns:a16="http://schemas.microsoft.com/office/drawing/2014/main" id="{00000000-0008-0000-0000-00002F000000}"/>
            </a:ext>
          </a:extLst>
        </xdr:cNvPr>
        <xdr:cNvSpPr/>
      </xdr:nvSpPr>
      <xdr:spPr bwMode="auto">
        <a:xfrm>
          <a:off x="2480075" y="8545138"/>
          <a:ext cx="1625203" cy="542925"/>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C 1 : Répartition de capital</a:t>
          </a:r>
        </a:p>
      </xdr:txBody>
    </xdr:sp>
    <xdr:clientData/>
  </xdr:twoCellAnchor>
  <xdr:twoCellAnchor>
    <xdr:from>
      <xdr:col>6</xdr:col>
      <xdr:colOff>246860</xdr:colOff>
      <xdr:row>58</xdr:row>
      <xdr:rowOff>121862</xdr:rowOff>
    </xdr:from>
    <xdr:to>
      <xdr:col>8</xdr:col>
      <xdr:colOff>502844</xdr:colOff>
      <xdr:row>62</xdr:row>
      <xdr:rowOff>39312</xdr:rowOff>
    </xdr:to>
    <xdr:sp macro="" textlink="">
      <xdr:nvSpPr>
        <xdr:cNvPr id="48" name="Rectangle à coins arrondis 47">
          <a:hlinkClick xmlns:r="http://schemas.openxmlformats.org/officeDocument/2006/relationships" r:id="rId14"/>
          <a:extLst>
            <a:ext uri="{FF2B5EF4-FFF2-40B4-BE49-F238E27FC236}">
              <a16:creationId xmlns:a16="http://schemas.microsoft.com/office/drawing/2014/main" id="{00000000-0008-0000-0000-000030000000}"/>
            </a:ext>
          </a:extLst>
        </xdr:cNvPr>
        <xdr:cNvSpPr/>
      </xdr:nvSpPr>
      <xdr:spPr bwMode="auto">
        <a:xfrm>
          <a:off x="4354516" y="8535612"/>
          <a:ext cx="1625203" cy="552450"/>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C 2 : Affectation de résultat</a:t>
          </a:r>
        </a:p>
      </xdr:txBody>
    </xdr:sp>
    <xdr:clientData/>
  </xdr:twoCellAnchor>
  <xdr:twoCellAnchor>
    <xdr:from>
      <xdr:col>14</xdr:col>
      <xdr:colOff>478436</xdr:colOff>
      <xdr:row>36</xdr:row>
      <xdr:rowOff>131763</xdr:rowOff>
    </xdr:from>
    <xdr:to>
      <xdr:col>17</xdr:col>
      <xdr:colOff>44787</xdr:colOff>
      <xdr:row>40</xdr:row>
      <xdr:rowOff>49213</xdr:rowOff>
    </xdr:to>
    <xdr:sp macro="" textlink="">
      <xdr:nvSpPr>
        <xdr:cNvPr id="49" name="Rectangle à coins arrondis 48">
          <a:hlinkClick xmlns:r="http://schemas.openxmlformats.org/officeDocument/2006/relationships" r:id="rId26"/>
          <a:extLst>
            <a:ext uri="{FF2B5EF4-FFF2-40B4-BE49-F238E27FC236}">
              <a16:creationId xmlns:a16="http://schemas.microsoft.com/office/drawing/2014/main" id="{00000000-0008-0000-0000-000031000000}"/>
            </a:ext>
          </a:extLst>
        </xdr:cNvPr>
        <xdr:cNvSpPr/>
      </xdr:nvSpPr>
      <xdr:spPr bwMode="auto">
        <a:xfrm>
          <a:off x="10149974" y="5951433"/>
          <a:ext cx="1638824" cy="545472"/>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TF</a:t>
          </a:r>
        </a:p>
      </xdr:txBody>
    </xdr:sp>
    <xdr:clientData/>
  </xdr:twoCellAnchor>
  <xdr:twoCellAnchor>
    <xdr:from>
      <xdr:col>3</xdr:col>
      <xdr:colOff>425050</xdr:colOff>
      <xdr:row>49</xdr:row>
      <xdr:rowOff>150813</xdr:rowOff>
    </xdr:from>
    <xdr:to>
      <xdr:col>5</xdr:col>
      <xdr:colOff>682224</xdr:colOff>
      <xdr:row>53</xdr:row>
      <xdr:rowOff>65088</xdr:rowOff>
    </xdr:to>
    <xdr:sp macro="" textlink="">
      <xdr:nvSpPr>
        <xdr:cNvPr id="50" name="Rectangle à coins arrondis 49">
          <a:hlinkClick xmlns:r="http://schemas.openxmlformats.org/officeDocument/2006/relationships" r:id="rId27"/>
          <a:extLst>
            <a:ext uri="{FF2B5EF4-FFF2-40B4-BE49-F238E27FC236}">
              <a16:creationId xmlns:a16="http://schemas.microsoft.com/office/drawing/2014/main" id="{00000000-0008-0000-0000-000032000000}"/>
            </a:ext>
          </a:extLst>
        </xdr:cNvPr>
        <xdr:cNvSpPr/>
      </xdr:nvSpPr>
      <xdr:spPr bwMode="auto">
        <a:xfrm>
          <a:off x="2478878" y="7135813"/>
          <a:ext cx="1626393" cy="549275"/>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B 6 : Créances</a:t>
          </a:r>
        </a:p>
      </xdr:txBody>
    </xdr:sp>
    <xdr:clientData/>
  </xdr:twoCellAnchor>
  <xdr:twoCellAnchor>
    <xdr:from>
      <xdr:col>14</xdr:col>
      <xdr:colOff>496093</xdr:colOff>
      <xdr:row>41</xdr:row>
      <xdr:rowOff>50006</xdr:rowOff>
    </xdr:from>
    <xdr:to>
      <xdr:col>17</xdr:col>
      <xdr:colOff>67468</xdr:colOff>
      <xdr:row>44</xdr:row>
      <xdr:rowOff>123030</xdr:rowOff>
    </xdr:to>
    <xdr:sp macro="" textlink="">
      <xdr:nvSpPr>
        <xdr:cNvPr id="51" name="Rectangle à coins arrondis 50">
          <a:hlinkClick xmlns:r="http://schemas.openxmlformats.org/officeDocument/2006/relationships" r:id="rId28"/>
          <a:extLst>
            <a:ext uri="{FF2B5EF4-FFF2-40B4-BE49-F238E27FC236}">
              <a16:creationId xmlns:a16="http://schemas.microsoft.com/office/drawing/2014/main" id="{00000000-0008-0000-0000-000033000000}"/>
            </a:ext>
          </a:extLst>
        </xdr:cNvPr>
        <xdr:cNvSpPr/>
      </xdr:nvSpPr>
      <xdr:spPr bwMode="auto">
        <a:xfrm>
          <a:off x="10080624" y="5765006"/>
          <a:ext cx="1625203" cy="549274"/>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B 1 : Non Valeurs</a:t>
          </a:r>
        </a:p>
      </xdr:txBody>
    </xdr:sp>
    <xdr:clientData/>
  </xdr:twoCellAnchor>
  <xdr:twoCellAnchor>
    <xdr:from>
      <xdr:col>6</xdr:col>
      <xdr:colOff>247248</xdr:colOff>
      <xdr:row>50</xdr:row>
      <xdr:rowOff>398</xdr:rowOff>
    </xdr:from>
    <xdr:to>
      <xdr:col>8</xdr:col>
      <xdr:colOff>504423</xdr:colOff>
      <xdr:row>53</xdr:row>
      <xdr:rowOff>73423</xdr:rowOff>
    </xdr:to>
    <xdr:sp macro="" textlink="">
      <xdr:nvSpPr>
        <xdr:cNvPr id="52" name="Rectangle à coins arrondis 51">
          <a:hlinkClick xmlns:r="http://schemas.openxmlformats.org/officeDocument/2006/relationships" r:id="rId29"/>
          <a:extLst>
            <a:ext uri="{FF2B5EF4-FFF2-40B4-BE49-F238E27FC236}">
              <a16:creationId xmlns:a16="http://schemas.microsoft.com/office/drawing/2014/main" id="{00000000-0008-0000-0000-000034000000}"/>
            </a:ext>
          </a:extLst>
        </xdr:cNvPr>
        <xdr:cNvSpPr/>
      </xdr:nvSpPr>
      <xdr:spPr bwMode="auto">
        <a:xfrm>
          <a:off x="4354904" y="7144148"/>
          <a:ext cx="1626394" cy="549275"/>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B 7 : Dettes</a:t>
          </a:r>
        </a:p>
      </xdr:txBody>
    </xdr:sp>
    <xdr:clientData/>
  </xdr:twoCellAnchor>
  <xdr:twoCellAnchor>
    <xdr:from>
      <xdr:col>9</xdr:col>
      <xdr:colOff>105168</xdr:colOff>
      <xdr:row>49</xdr:row>
      <xdr:rowOff>149225</xdr:rowOff>
    </xdr:from>
    <xdr:to>
      <xdr:col>11</xdr:col>
      <xdr:colOff>362343</xdr:colOff>
      <xdr:row>53</xdr:row>
      <xdr:rowOff>63500</xdr:rowOff>
    </xdr:to>
    <xdr:sp macro="" textlink="">
      <xdr:nvSpPr>
        <xdr:cNvPr id="53" name="Rectangle à coins arrondis 52">
          <a:hlinkClick xmlns:r="http://schemas.openxmlformats.org/officeDocument/2006/relationships" r:id="rId30"/>
          <a:extLst>
            <a:ext uri="{FF2B5EF4-FFF2-40B4-BE49-F238E27FC236}">
              <a16:creationId xmlns:a16="http://schemas.microsoft.com/office/drawing/2014/main" id="{00000000-0008-0000-0000-000035000000}"/>
            </a:ext>
          </a:extLst>
        </xdr:cNvPr>
        <xdr:cNvSpPr/>
      </xdr:nvSpPr>
      <xdr:spPr bwMode="auto">
        <a:xfrm>
          <a:off x="6266652" y="7134225"/>
          <a:ext cx="1626394" cy="549275"/>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B 8 : Sûretés</a:t>
          </a:r>
        </a:p>
      </xdr:txBody>
    </xdr:sp>
    <xdr:clientData/>
  </xdr:twoCellAnchor>
  <xdr:twoCellAnchor>
    <xdr:from>
      <xdr:col>11</xdr:col>
      <xdr:colOff>653652</xdr:colOff>
      <xdr:row>49</xdr:row>
      <xdr:rowOff>149225</xdr:rowOff>
    </xdr:from>
    <xdr:to>
      <xdr:col>14</xdr:col>
      <xdr:colOff>226217</xdr:colOff>
      <xdr:row>53</xdr:row>
      <xdr:rowOff>63500</xdr:rowOff>
    </xdr:to>
    <xdr:sp macro="" textlink="">
      <xdr:nvSpPr>
        <xdr:cNvPr id="54" name="Rectangle à coins arrondis 53">
          <a:hlinkClick xmlns:r="http://schemas.openxmlformats.org/officeDocument/2006/relationships" r:id="rId31"/>
          <a:extLst>
            <a:ext uri="{FF2B5EF4-FFF2-40B4-BE49-F238E27FC236}">
              <a16:creationId xmlns:a16="http://schemas.microsoft.com/office/drawing/2014/main" id="{00000000-0008-0000-0000-000036000000}"/>
            </a:ext>
          </a:extLst>
        </xdr:cNvPr>
        <xdr:cNvSpPr/>
      </xdr:nvSpPr>
      <xdr:spPr bwMode="auto">
        <a:xfrm>
          <a:off x="8184355" y="7134225"/>
          <a:ext cx="1626393" cy="549275"/>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B 9 : Engagements financiers</a:t>
          </a:r>
        </a:p>
      </xdr:txBody>
    </xdr:sp>
    <xdr:clientData/>
  </xdr:twoCellAnchor>
  <xdr:twoCellAnchor>
    <xdr:from>
      <xdr:col>6</xdr:col>
      <xdr:colOff>242487</xdr:colOff>
      <xdr:row>54</xdr:row>
      <xdr:rowOff>49611</xdr:rowOff>
    </xdr:from>
    <xdr:to>
      <xdr:col>8</xdr:col>
      <xdr:colOff>499662</xdr:colOff>
      <xdr:row>57</xdr:row>
      <xdr:rowOff>122636</xdr:rowOff>
    </xdr:to>
    <xdr:sp macro="" textlink="">
      <xdr:nvSpPr>
        <xdr:cNvPr id="55" name="Rectangle à coins arrondis 54">
          <a:hlinkClick xmlns:r="http://schemas.openxmlformats.org/officeDocument/2006/relationships" r:id="rId24"/>
          <a:extLst>
            <a:ext uri="{FF2B5EF4-FFF2-40B4-BE49-F238E27FC236}">
              <a16:creationId xmlns:a16="http://schemas.microsoft.com/office/drawing/2014/main" id="{00000000-0008-0000-0000-000037000000}"/>
            </a:ext>
          </a:extLst>
        </xdr:cNvPr>
        <xdr:cNvSpPr/>
      </xdr:nvSpPr>
      <xdr:spPr bwMode="auto">
        <a:xfrm>
          <a:off x="4350143" y="7828361"/>
          <a:ext cx="1626394" cy="549275"/>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B 12 : Tableau de passage</a:t>
          </a:r>
        </a:p>
      </xdr:txBody>
    </xdr:sp>
    <xdr:clientData/>
  </xdr:twoCellAnchor>
  <xdr:twoCellAnchor>
    <xdr:from>
      <xdr:col>9</xdr:col>
      <xdr:colOff>99211</xdr:colOff>
      <xdr:row>54</xdr:row>
      <xdr:rowOff>29763</xdr:rowOff>
    </xdr:from>
    <xdr:to>
      <xdr:col>11</xdr:col>
      <xdr:colOff>356385</xdr:colOff>
      <xdr:row>57</xdr:row>
      <xdr:rowOff>105963</xdr:rowOff>
    </xdr:to>
    <xdr:sp macro="" textlink="">
      <xdr:nvSpPr>
        <xdr:cNvPr id="56" name="Rectangle à coins arrondis 55">
          <a:hlinkClick xmlns:r="http://schemas.openxmlformats.org/officeDocument/2006/relationships" r:id="rId32"/>
          <a:extLst>
            <a:ext uri="{FF2B5EF4-FFF2-40B4-BE49-F238E27FC236}">
              <a16:creationId xmlns:a16="http://schemas.microsoft.com/office/drawing/2014/main" id="{00000000-0008-0000-0000-000038000000}"/>
            </a:ext>
          </a:extLst>
        </xdr:cNvPr>
        <xdr:cNvSpPr/>
      </xdr:nvSpPr>
      <xdr:spPr bwMode="auto">
        <a:xfrm>
          <a:off x="6260695" y="7808513"/>
          <a:ext cx="1626393" cy="552450"/>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B 13 : </a:t>
          </a:r>
          <a:r>
            <a:rPr lang="fr-FR" sz="1400" b="1" baseline="0">
              <a:solidFill>
                <a:schemeClr val="bg1"/>
              </a:solidFill>
            </a:rPr>
            <a:t>              </a:t>
          </a:r>
          <a:r>
            <a:rPr lang="fr-FR" sz="1400" b="1">
              <a:solidFill>
                <a:schemeClr val="bg1"/>
              </a:solidFill>
            </a:rPr>
            <a:t>Résultat courant</a:t>
          </a:r>
        </a:p>
      </xdr:txBody>
    </xdr:sp>
    <xdr:clientData/>
  </xdr:twoCellAnchor>
  <xdr:twoCellAnchor>
    <xdr:from>
      <xdr:col>14</xdr:col>
      <xdr:colOff>525855</xdr:colOff>
      <xdr:row>54</xdr:row>
      <xdr:rowOff>39687</xdr:rowOff>
    </xdr:from>
    <xdr:to>
      <xdr:col>17</xdr:col>
      <xdr:colOff>98420</xdr:colOff>
      <xdr:row>57</xdr:row>
      <xdr:rowOff>115887</xdr:rowOff>
    </xdr:to>
    <xdr:sp macro="" textlink="">
      <xdr:nvSpPr>
        <xdr:cNvPr id="57" name="Rectangle à coins arrondis 56">
          <a:hlinkClick xmlns:r="http://schemas.openxmlformats.org/officeDocument/2006/relationships" r:id="rId33"/>
          <a:extLst>
            <a:ext uri="{FF2B5EF4-FFF2-40B4-BE49-F238E27FC236}">
              <a16:creationId xmlns:a16="http://schemas.microsoft.com/office/drawing/2014/main" id="{00000000-0008-0000-0000-000039000000}"/>
            </a:ext>
          </a:extLst>
        </xdr:cNvPr>
        <xdr:cNvSpPr/>
      </xdr:nvSpPr>
      <xdr:spPr bwMode="auto">
        <a:xfrm>
          <a:off x="10110386" y="7818437"/>
          <a:ext cx="1626393" cy="552450"/>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B 15 : Passif évenuel</a:t>
          </a:r>
        </a:p>
      </xdr:txBody>
    </xdr:sp>
    <xdr:clientData/>
  </xdr:twoCellAnchor>
  <xdr:twoCellAnchor>
    <xdr:from>
      <xdr:col>3</xdr:col>
      <xdr:colOff>418681</xdr:colOff>
      <xdr:row>34</xdr:row>
      <xdr:rowOff>10467</xdr:rowOff>
    </xdr:from>
    <xdr:to>
      <xdr:col>17</xdr:col>
      <xdr:colOff>94203</xdr:colOff>
      <xdr:row>35</xdr:row>
      <xdr:rowOff>119062</xdr:rowOff>
    </xdr:to>
    <xdr:sp macro="" textlink="">
      <xdr:nvSpPr>
        <xdr:cNvPr id="58" name="Rectangle à coins arrondis 57">
          <a:hlinkClick xmlns:r="http://schemas.openxmlformats.org/officeDocument/2006/relationships" r:id="rId21"/>
          <a:extLst>
            <a:ext uri="{FF2B5EF4-FFF2-40B4-BE49-F238E27FC236}">
              <a16:creationId xmlns:a16="http://schemas.microsoft.com/office/drawing/2014/main" id="{00000000-0008-0000-0000-00003A000000}"/>
            </a:ext>
          </a:extLst>
        </xdr:cNvPr>
        <xdr:cNvSpPr/>
      </xdr:nvSpPr>
      <xdr:spPr bwMode="auto">
        <a:xfrm>
          <a:off x="2491154" y="5045110"/>
          <a:ext cx="9347060" cy="265600"/>
        </a:xfrm>
        <a:prstGeom prst="roundRect">
          <a:avLst/>
        </a:prstGeom>
        <a:solidFill>
          <a:srgbClr val="FF0000"/>
        </a:soli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600" b="1">
              <a:solidFill>
                <a:schemeClr val="bg1"/>
              </a:solidFill>
            </a:rPr>
            <a:t>Etats de synthèse</a:t>
          </a:r>
        </a:p>
      </xdr:txBody>
    </xdr:sp>
    <xdr:clientData/>
  </xdr:twoCellAnchor>
  <xdr:twoCellAnchor>
    <xdr:from>
      <xdr:col>9</xdr:col>
      <xdr:colOff>109143</xdr:colOff>
      <xdr:row>58</xdr:row>
      <xdr:rowOff>128984</xdr:rowOff>
    </xdr:from>
    <xdr:to>
      <xdr:col>11</xdr:col>
      <xdr:colOff>365127</xdr:colOff>
      <xdr:row>62</xdr:row>
      <xdr:rowOff>46434</xdr:rowOff>
    </xdr:to>
    <xdr:sp macro="" textlink="">
      <xdr:nvSpPr>
        <xdr:cNvPr id="59" name="Rectangle à coins arrondis 58">
          <a:hlinkClick xmlns:r="http://schemas.openxmlformats.org/officeDocument/2006/relationships" r:id="rId34"/>
          <a:extLst>
            <a:ext uri="{FF2B5EF4-FFF2-40B4-BE49-F238E27FC236}">
              <a16:creationId xmlns:a16="http://schemas.microsoft.com/office/drawing/2014/main" id="{00000000-0008-0000-0000-00003B000000}"/>
            </a:ext>
          </a:extLst>
        </xdr:cNvPr>
        <xdr:cNvSpPr/>
      </xdr:nvSpPr>
      <xdr:spPr bwMode="auto">
        <a:xfrm>
          <a:off x="6270627" y="8542734"/>
          <a:ext cx="1625203" cy="552450"/>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C 3 : 3 Exercices</a:t>
          </a:r>
        </a:p>
      </xdr:txBody>
    </xdr:sp>
    <xdr:clientData/>
  </xdr:twoCellAnchor>
  <xdr:twoCellAnchor>
    <xdr:from>
      <xdr:col>11</xdr:col>
      <xdr:colOff>644925</xdr:colOff>
      <xdr:row>58</xdr:row>
      <xdr:rowOff>128984</xdr:rowOff>
    </xdr:from>
    <xdr:to>
      <xdr:col>14</xdr:col>
      <xdr:colOff>216300</xdr:colOff>
      <xdr:row>62</xdr:row>
      <xdr:rowOff>46434</xdr:rowOff>
    </xdr:to>
    <xdr:sp macro="" textlink="">
      <xdr:nvSpPr>
        <xdr:cNvPr id="60" name="Rectangle à coins arrondis 59">
          <a:hlinkClick xmlns:r="http://schemas.openxmlformats.org/officeDocument/2006/relationships" r:id="rId34"/>
          <a:extLst>
            <a:ext uri="{FF2B5EF4-FFF2-40B4-BE49-F238E27FC236}">
              <a16:creationId xmlns:a16="http://schemas.microsoft.com/office/drawing/2014/main" id="{00000000-0008-0000-0000-00003C000000}"/>
            </a:ext>
          </a:extLst>
        </xdr:cNvPr>
        <xdr:cNvSpPr/>
      </xdr:nvSpPr>
      <xdr:spPr bwMode="auto">
        <a:xfrm>
          <a:off x="8175628" y="8542734"/>
          <a:ext cx="1625203" cy="552450"/>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C 4 : Opérations</a:t>
          </a:r>
          <a:r>
            <a:rPr lang="fr-FR" sz="1400" b="1" baseline="0">
              <a:solidFill>
                <a:schemeClr val="bg1"/>
              </a:solidFill>
            </a:rPr>
            <a:t> en devises</a:t>
          </a:r>
          <a:endParaRPr lang="fr-FR" sz="1400" b="1">
            <a:solidFill>
              <a:schemeClr val="bg1"/>
            </a:solidFill>
          </a:endParaRPr>
        </a:p>
      </xdr:txBody>
    </xdr:sp>
    <xdr:clientData/>
  </xdr:twoCellAnchor>
  <xdr:twoCellAnchor>
    <xdr:from>
      <xdr:col>14</xdr:col>
      <xdr:colOff>525863</xdr:colOff>
      <xdr:row>58</xdr:row>
      <xdr:rowOff>119063</xdr:rowOff>
    </xdr:from>
    <xdr:to>
      <xdr:col>17</xdr:col>
      <xdr:colOff>97238</xdr:colOff>
      <xdr:row>62</xdr:row>
      <xdr:rowOff>36513</xdr:rowOff>
    </xdr:to>
    <xdr:sp macro="" textlink="">
      <xdr:nvSpPr>
        <xdr:cNvPr id="61" name="Rectangle à coins arrondis 60">
          <a:hlinkClick xmlns:r="http://schemas.openxmlformats.org/officeDocument/2006/relationships" r:id="rId34"/>
          <a:extLst>
            <a:ext uri="{FF2B5EF4-FFF2-40B4-BE49-F238E27FC236}">
              <a16:creationId xmlns:a16="http://schemas.microsoft.com/office/drawing/2014/main" id="{00000000-0008-0000-0000-00003D000000}"/>
            </a:ext>
          </a:extLst>
        </xdr:cNvPr>
        <xdr:cNvSpPr/>
      </xdr:nvSpPr>
      <xdr:spPr bwMode="auto">
        <a:xfrm>
          <a:off x="10110394" y="8532813"/>
          <a:ext cx="1625203" cy="552450"/>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C 5 : Datations</a:t>
          </a:r>
        </a:p>
      </xdr:txBody>
    </xdr:sp>
    <xdr:clientData/>
  </xdr:twoCellAnchor>
  <xdr:twoCellAnchor>
    <xdr:from>
      <xdr:col>3</xdr:col>
      <xdr:colOff>426641</xdr:colOff>
      <xdr:row>41</xdr:row>
      <xdr:rowOff>49609</xdr:rowOff>
    </xdr:from>
    <xdr:to>
      <xdr:col>5</xdr:col>
      <xdr:colOff>682625</xdr:colOff>
      <xdr:row>44</xdr:row>
      <xdr:rowOff>122633</xdr:rowOff>
    </xdr:to>
    <xdr:sp macro="" textlink="">
      <xdr:nvSpPr>
        <xdr:cNvPr id="68" name="Rectangle à coins arrondis 67">
          <a:hlinkClick xmlns:r="http://schemas.openxmlformats.org/officeDocument/2006/relationships" r:id="rId35"/>
          <a:extLst>
            <a:ext uri="{FF2B5EF4-FFF2-40B4-BE49-F238E27FC236}">
              <a16:creationId xmlns:a16="http://schemas.microsoft.com/office/drawing/2014/main" id="{00000000-0008-0000-0000-000044000000}"/>
            </a:ext>
          </a:extLst>
        </xdr:cNvPr>
        <xdr:cNvSpPr/>
      </xdr:nvSpPr>
      <xdr:spPr bwMode="auto">
        <a:xfrm>
          <a:off x="2480469" y="5764609"/>
          <a:ext cx="1625203" cy="549274"/>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A 0 : Présentation</a:t>
          </a:r>
          <a:r>
            <a:rPr lang="fr-FR" sz="1400" b="1" baseline="0">
              <a:solidFill>
                <a:schemeClr val="bg1"/>
              </a:solidFill>
            </a:rPr>
            <a:t> </a:t>
          </a:r>
          <a:endParaRPr lang="fr-FR" sz="1400" b="1">
            <a:solidFill>
              <a:schemeClr val="bg1"/>
            </a:solidFill>
          </a:endParaRPr>
        </a:p>
      </xdr:txBody>
    </xdr:sp>
    <xdr:clientData/>
  </xdr:twoCellAnchor>
  <xdr:twoCellAnchor>
    <xdr:from>
      <xdr:col>6</xdr:col>
      <xdr:colOff>277816</xdr:colOff>
      <xdr:row>41</xdr:row>
      <xdr:rowOff>59528</xdr:rowOff>
    </xdr:from>
    <xdr:to>
      <xdr:col>8</xdr:col>
      <xdr:colOff>533800</xdr:colOff>
      <xdr:row>44</xdr:row>
      <xdr:rowOff>132552</xdr:rowOff>
    </xdr:to>
    <xdr:sp macro="" textlink="">
      <xdr:nvSpPr>
        <xdr:cNvPr id="69" name="Rectangle à coins arrondis 68">
          <a:hlinkClick xmlns:r="http://schemas.openxmlformats.org/officeDocument/2006/relationships" r:id="rId28"/>
          <a:extLst>
            <a:ext uri="{FF2B5EF4-FFF2-40B4-BE49-F238E27FC236}">
              <a16:creationId xmlns:a16="http://schemas.microsoft.com/office/drawing/2014/main" id="{00000000-0008-0000-0000-000045000000}"/>
            </a:ext>
          </a:extLst>
        </xdr:cNvPr>
        <xdr:cNvSpPr/>
      </xdr:nvSpPr>
      <xdr:spPr bwMode="auto">
        <a:xfrm>
          <a:off x="4385472" y="5774528"/>
          <a:ext cx="1625203" cy="549274"/>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A 1 : Méthodes d'évaluation</a:t>
          </a:r>
        </a:p>
      </xdr:txBody>
    </xdr:sp>
    <xdr:clientData/>
  </xdr:twoCellAnchor>
  <xdr:twoCellAnchor>
    <xdr:from>
      <xdr:col>9</xdr:col>
      <xdr:colOff>138908</xdr:colOff>
      <xdr:row>41</xdr:row>
      <xdr:rowOff>59528</xdr:rowOff>
    </xdr:from>
    <xdr:to>
      <xdr:col>11</xdr:col>
      <xdr:colOff>394892</xdr:colOff>
      <xdr:row>44</xdr:row>
      <xdr:rowOff>132552</xdr:rowOff>
    </xdr:to>
    <xdr:sp macro="" textlink="">
      <xdr:nvSpPr>
        <xdr:cNvPr id="70" name="Rectangle à coins arrondis 69">
          <a:hlinkClick xmlns:r="http://schemas.openxmlformats.org/officeDocument/2006/relationships" r:id="rId36"/>
          <a:extLst>
            <a:ext uri="{FF2B5EF4-FFF2-40B4-BE49-F238E27FC236}">
              <a16:creationId xmlns:a16="http://schemas.microsoft.com/office/drawing/2014/main" id="{00000000-0008-0000-0000-000046000000}"/>
            </a:ext>
          </a:extLst>
        </xdr:cNvPr>
        <xdr:cNvSpPr/>
      </xdr:nvSpPr>
      <xdr:spPr bwMode="auto">
        <a:xfrm>
          <a:off x="6300392" y="5774528"/>
          <a:ext cx="1625203" cy="549274"/>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A 2 : Etat des dérogations</a:t>
          </a:r>
        </a:p>
      </xdr:txBody>
    </xdr:sp>
    <xdr:clientData/>
  </xdr:twoCellAnchor>
  <xdr:twoCellAnchor>
    <xdr:from>
      <xdr:col>12</xdr:col>
      <xdr:colOff>0</xdr:colOff>
      <xdr:row>41</xdr:row>
      <xdr:rowOff>49608</xdr:rowOff>
    </xdr:from>
    <xdr:to>
      <xdr:col>14</xdr:col>
      <xdr:colOff>255985</xdr:colOff>
      <xdr:row>44</xdr:row>
      <xdr:rowOff>122632</xdr:rowOff>
    </xdr:to>
    <xdr:sp macro="" textlink="">
      <xdr:nvSpPr>
        <xdr:cNvPr id="71" name="Rectangle à coins arrondis 70">
          <a:hlinkClick xmlns:r="http://schemas.openxmlformats.org/officeDocument/2006/relationships" r:id="rId37"/>
          <a:extLst>
            <a:ext uri="{FF2B5EF4-FFF2-40B4-BE49-F238E27FC236}">
              <a16:creationId xmlns:a16="http://schemas.microsoft.com/office/drawing/2014/main" id="{00000000-0008-0000-0000-000047000000}"/>
            </a:ext>
          </a:extLst>
        </xdr:cNvPr>
        <xdr:cNvSpPr/>
      </xdr:nvSpPr>
      <xdr:spPr bwMode="auto">
        <a:xfrm>
          <a:off x="8215313" y="5764608"/>
          <a:ext cx="1625203" cy="549274"/>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A 3 : Changement de méthodes</a:t>
          </a:r>
        </a:p>
      </xdr:txBody>
    </xdr:sp>
    <xdr:clientData/>
  </xdr:twoCellAnchor>
  <xdr:twoCellAnchor>
    <xdr:from>
      <xdr:col>0</xdr:col>
      <xdr:colOff>31401</xdr:colOff>
      <xdr:row>38</xdr:row>
      <xdr:rowOff>104667</xdr:rowOff>
    </xdr:from>
    <xdr:to>
      <xdr:col>2</xdr:col>
      <xdr:colOff>288576</xdr:colOff>
      <xdr:row>42</xdr:row>
      <xdr:rowOff>23862</xdr:rowOff>
    </xdr:to>
    <xdr:sp macro="" textlink="">
      <xdr:nvSpPr>
        <xdr:cNvPr id="62" name="Rectangle à coins arrondis 61">
          <a:hlinkClick xmlns:r="http://schemas.openxmlformats.org/officeDocument/2006/relationships" r:id="rId25"/>
          <a:extLst>
            <a:ext uri="{FF2B5EF4-FFF2-40B4-BE49-F238E27FC236}">
              <a16:creationId xmlns:a16="http://schemas.microsoft.com/office/drawing/2014/main" id="{00000000-0008-0000-0000-00003E000000}"/>
            </a:ext>
          </a:extLst>
        </xdr:cNvPr>
        <xdr:cNvSpPr/>
      </xdr:nvSpPr>
      <xdr:spPr bwMode="auto">
        <a:xfrm>
          <a:off x="31401" y="6238348"/>
          <a:ext cx="1638823" cy="547217"/>
        </a:xfrm>
        <a:prstGeom prst="roundRect">
          <a:avLst/>
        </a:prstGeom>
        <a:solidFill>
          <a:srgbClr val="FF0000"/>
        </a:soli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Liasse</a:t>
          </a:r>
          <a:r>
            <a:rPr lang="fr-FR" sz="1400" b="1" baseline="0">
              <a:solidFill>
                <a:schemeClr val="bg1"/>
              </a:solidFill>
            </a:rPr>
            <a:t> fiscale</a:t>
          </a:r>
          <a:endParaRPr lang="fr-FR" sz="1400" b="1">
            <a:solidFill>
              <a:schemeClr val="bg1"/>
            </a:solidFill>
          </a:endParaRPr>
        </a:p>
      </xdr:txBody>
    </xdr:sp>
    <xdr:clientData/>
  </xdr:twoCellAnchor>
  <xdr:twoCellAnchor>
    <xdr:from>
      <xdr:col>3</xdr:col>
      <xdr:colOff>471016</xdr:colOff>
      <xdr:row>36</xdr:row>
      <xdr:rowOff>146538</xdr:rowOff>
    </xdr:from>
    <xdr:to>
      <xdr:col>6</xdr:col>
      <xdr:colOff>36176</xdr:colOff>
      <xdr:row>40</xdr:row>
      <xdr:rowOff>60813</xdr:rowOff>
    </xdr:to>
    <xdr:sp macro="" textlink="">
      <xdr:nvSpPr>
        <xdr:cNvPr id="63" name="Rectangle à coins arrondis 62">
          <a:hlinkClick xmlns:r="http://schemas.openxmlformats.org/officeDocument/2006/relationships" r:id="rId38"/>
          <a:extLst>
            <a:ext uri="{FF2B5EF4-FFF2-40B4-BE49-F238E27FC236}">
              <a16:creationId xmlns:a16="http://schemas.microsoft.com/office/drawing/2014/main" id="{00000000-0008-0000-0000-00003F000000}"/>
            </a:ext>
          </a:extLst>
        </xdr:cNvPr>
        <xdr:cNvSpPr/>
      </xdr:nvSpPr>
      <xdr:spPr bwMode="auto">
        <a:xfrm>
          <a:off x="2543489" y="5966208"/>
          <a:ext cx="1637632" cy="542297"/>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Feuille</a:t>
          </a:r>
          <a:r>
            <a:rPr lang="fr-FR" sz="1400" b="1" baseline="0">
              <a:solidFill>
                <a:schemeClr val="bg1"/>
              </a:solidFill>
            </a:rPr>
            <a:t> de couverture</a:t>
          </a:r>
          <a:endParaRPr lang="fr-FR" sz="1400" b="1">
            <a:solidFill>
              <a:schemeClr val="bg1"/>
            </a:solidFill>
          </a:endParaRPr>
        </a:p>
      </xdr:txBody>
    </xdr:sp>
    <xdr:clientData/>
  </xdr:twoCellAnchor>
  <xdr:twoCellAnchor>
    <xdr:from>
      <xdr:col>7</xdr:col>
      <xdr:colOff>669890</xdr:colOff>
      <xdr:row>3</xdr:row>
      <xdr:rowOff>20934</xdr:rowOff>
    </xdr:from>
    <xdr:to>
      <xdr:col>10</xdr:col>
      <xdr:colOff>235049</xdr:colOff>
      <xdr:row>6</xdr:row>
      <xdr:rowOff>92214</xdr:rowOff>
    </xdr:to>
    <xdr:sp macro="" textlink="">
      <xdr:nvSpPr>
        <xdr:cNvPr id="64" name="Rectangle à coins arrondis 63">
          <a:hlinkClick xmlns:r="http://schemas.openxmlformats.org/officeDocument/2006/relationships" r:id="rId39"/>
          <a:extLst>
            <a:ext uri="{FF2B5EF4-FFF2-40B4-BE49-F238E27FC236}">
              <a16:creationId xmlns:a16="http://schemas.microsoft.com/office/drawing/2014/main" id="{00000000-0008-0000-0000-000040000000}"/>
            </a:ext>
          </a:extLst>
        </xdr:cNvPr>
        <xdr:cNvSpPr/>
      </xdr:nvSpPr>
      <xdr:spPr bwMode="auto">
        <a:xfrm>
          <a:off x="5505659" y="491950"/>
          <a:ext cx="1637632" cy="542297"/>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5400000" scaled="1"/>
          <a:tileRect/>
        </a:gra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Feuille</a:t>
          </a:r>
          <a:r>
            <a:rPr lang="fr-FR" sz="1400" b="1" baseline="0">
              <a:solidFill>
                <a:schemeClr val="bg1"/>
              </a:solidFill>
            </a:rPr>
            <a:t> de couverture</a:t>
          </a:r>
          <a:endParaRPr lang="fr-FR" sz="1400" b="1">
            <a:solidFill>
              <a:schemeClr val="bg1"/>
            </a:solidFill>
          </a:endParaRPr>
        </a:p>
      </xdr:txBody>
    </xdr:sp>
    <xdr:clientData/>
  </xdr:twoCellAnchor>
  <xdr:twoCellAnchor>
    <xdr:from>
      <xdr:col>16</xdr:col>
      <xdr:colOff>0</xdr:colOff>
      <xdr:row>7</xdr:row>
      <xdr:rowOff>0</xdr:rowOff>
    </xdr:from>
    <xdr:to>
      <xdr:col>18</xdr:col>
      <xdr:colOff>257175</xdr:colOff>
      <xdr:row>10</xdr:row>
      <xdr:rowOff>76200</xdr:rowOff>
    </xdr:to>
    <xdr:sp macro="" textlink="">
      <xdr:nvSpPr>
        <xdr:cNvPr id="65" name="Rectangle à coins arrondis 64">
          <a:hlinkClick xmlns:r="http://schemas.openxmlformats.org/officeDocument/2006/relationships" r:id="rId40"/>
          <a:extLst>
            <a:ext uri="{FF2B5EF4-FFF2-40B4-BE49-F238E27FC236}">
              <a16:creationId xmlns:a16="http://schemas.microsoft.com/office/drawing/2014/main" id="{00000000-0008-0000-0000-000041000000}"/>
            </a:ext>
          </a:extLst>
        </xdr:cNvPr>
        <xdr:cNvSpPr/>
      </xdr:nvSpPr>
      <xdr:spPr bwMode="auto">
        <a:xfrm>
          <a:off x="10936941" y="1098176"/>
          <a:ext cx="1624293" cy="546848"/>
        </a:xfrm>
        <a:prstGeom prst="roundRect">
          <a:avLst/>
        </a:prstGeom>
        <a:solidFill>
          <a:srgbClr val="FF0000"/>
        </a:soli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txBody>
        <a:bodyPr vertOverflow="clip" wrap="square" lIns="18288" tIns="0" rIns="0" bIns="0" rtlCol="0" anchor="ctr" upright="1"/>
        <a:lstStyle/>
        <a:p>
          <a:pPr algn="ctr"/>
          <a:r>
            <a:rPr lang="fr-FR" sz="1400" b="1">
              <a:solidFill>
                <a:schemeClr val="bg1"/>
              </a:solidFill>
            </a:rPr>
            <a:t>Fichier XML</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361949</xdr:colOff>
      <xdr:row>0</xdr:row>
      <xdr:rowOff>57150</xdr:rowOff>
    </xdr:from>
    <xdr:to>
      <xdr:col>5</xdr:col>
      <xdr:colOff>133348</xdr:colOff>
      <xdr:row>3</xdr:row>
      <xdr:rowOff>142875</xdr:rowOff>
    </xdr:to>
    <xdr:sp macro="" textlink="">
      <xdr:nvSpPr>
        <xdr:cNvPr id="2" name="Flèche droite rayée 1">
          <a:hlinkClick xmlns:r="http://schemas.openxmlformats.org/officeDocument/2006/relationships" r:id="rId1"/>
          <a:extLst>
            <a:ext uri="{FF2B5EF4-FFF2-40B4-BE49-F238E27FC236}">
              <a16:creationId xmlns:a16="http://schemas.microsoft.com/office/drawing/2014/main" id="{00000000-0008-0000-0100-000002000000}"/>
            </a:ext>
          </a:extLst>
        </xdr:cNvPr>
        <xdr:cNvSpPr/>
      </xdr:nvSpPr>
      <xdr:spPr bwMode="auto">
        <a:xfrm rot="10800000">
          <a:off x="4762499" y="57150"/>
          <a:ext cx="895349" cy="571500"/>
        </a:xfrm>
        <a:prstGeom prst="stripedRightArrow">
          <a:avLst/>
        </a:prstGeom>
        <a:solidFill>
          <a:srgbClr val="FF000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Retour</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17</xdr:col>
      <xdr:colOff>228600</xdr:colOff>
      <xdr:row>0</xdr:row>
      <xdr:rowOff>76200</xdr:rowOff>
    </xdr:from>
    <xdr:to>
      <xdr:col>18</xdr:col>
      <xdr:colOff>457201</xdr:colOff>
      <xdr:row>3</xdr:row>
      <xdr:rowOff>161925</xdr:rowOff>
    </xdr:to>
    <xdr:sp macro="" textlink="">
      <xdr:nvSpPr>
        <xdr:cNvPr id="4" name="Flèche droite rayée 3">
          <a:hlinkClick xmlns:r="http://schemas.openxmlformats.org/officeDocument/2006/relationships" r:id="rId1"/>
          <a:extLst>
            <a:ext uri="{FF2B5EF4-FFF2-40B4-BE49-F238E27FC236}">
              <a16:creationId xmlns:a16="http://schemas.microsoft.com/office/drawing/2014/main" id="{00000000-0008-0000-0200-000004000000}"/>
            </a:ext>
          </a:extLst>
        </xdr:cNvPr>
        <xdr:cNvSpPr/>
      </xdr:nvSpPr>
      <xdr:spPr bwMode="auto">
        <a:xfrm rot="10800000">
          <a:off x="9001125" y="76200"/>
          <a:ext cx="914401" cy="571500"/>
        </a:xfrm>
        <a:prstGeom prst="stripedRightArrow">
          <a:avLst/>
        </a:prstGeom>
        <a:solidFill>
          <a:srgbClr val="FF000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Retour</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17</xdr:col>
      <xdr:colOff>0</xdr:colOff>
      <xdr:row>1</xdr:row>
      <xdr:rowOff>0</xdr:rowOff>
    </xdr:from>
    <xdr:to>
      <xdr:col>18</xdr:col>
      <xdr:colOff>228601</xdr:colOff>
      <xdr:row>3</xdr:row>
      <xdr:rowOff>247650</xdr:rowOff>
    </xdr:to>
    <xdr:sp macro="" textlink="">
      <xdr:nvSpPr>
        <xdr:cNvPr id="3" name="Flèche droite rayée 2">
          <a:hlinkClick xmlns:r="http://schemas.openxmlformats.org/officeDocument/2006/relationships" r:id="rId1"/>
          <a:extLst>
            <a:ext uri="{FF2B5EF4-FFF2-40B4-BE49-F238E27FC236}">
              <a16:creationId xmlns:a16="http://schemas.microsoft.com/office/drawing/2014/main" id="{00000000-0008-0000-0300-000003000000}"/>
            </a:ext>
          </a:extLst>
        </xdr:cNvPr>
        <xdr:cNvSpPr/>
      </xdr:nvSpPr>
      <xdr:spPr bwMode="auto">
        <a:xfrm rot="10800000">
          <a:off x="8772525" y="161925"/>
          <a:ext cx="914401" cy="571500"/>
        </a:xfrm>
        <a:prstGeom prst="stripedRightArrow">
          <a:avLst/>
        </a:prstGeom>
        <a:solidFill>
          <a:srgbClr val="FF000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Retour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333375</xdr:colOff>
      <xdr:row>0</xdr:row>
      <xdr:rowOff>152400</xdr:rowOff>
    </xdr:from>
    <xdr:to>
      <xdr:col>5</xdr:col>
      <xdr:colOff>561976</xdr:colOff>
      <xdr:row>4</xdr:row>
      <xdr:rowOff>76200</xdr:rowOff>
    </xdr:to>
    <xdr:sp macro="" textlink="">
      <xdr:nvSpPr>
        <xdr:cNvPr id="2" name="Flèche droite rayée 1">
          <a:hlinkClick xmlns:r="http://schemas.openxmlformats.org/officeDocument/2006/relationships" r:id="rId1"/>
          <a:extLst>
            <a:ext uri="{FF2B5EF4-FFF2-40B4-BE49-F238E27FC236}">
              <a16:creationId xmlns:a16="http://schemas.microsoft.com/office/drawing/2014/main" id="{00000000-0008-0000-0500-000002000000}"/>
            </a:ext>
          </a:extLst>
        </xdr:cNvPr>
        <xdr:cNvSpPr/>
      </xdr:nvSpPr>
      <xdr:spPr bwMode="auto">
        <a:xfrm rot="10800000">
          <a:off x="5248275" y="152400"/>
          <a:ext cx="914401" cy="571500"/>
        </a:xfrm>
        <a:prstGeom prst="stripedRightArrow">
          <a:avLst/>
        </a:prstGeom>
        <a:solidFill>
          <a:srgbClr val="FF000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Retour</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0</xdr:colOff>
      <xdr:row>2</xdr:row>
      <xdr:rowOff>0</xdr:rowOff>
    </xdr:from>
    <xdr:to>
      <xdr:col>10</xdr:col>
      <xdr:colOff>2722</xdr:colOff>
      <xdr:row>5</xdr:row>
      <xdr:rowOff>81642</xdr:rowOff>
    </xdr:to>
    <xdr:sp macro="" textlink="">
      <xdr:nvSpPr>
        <xdr:cNvPr id="4" name="Flèche droite rayée 3">
          <a:hlinkClick xmlns:r="http://schemas.openxmlformats.org/officeDocument/2006/relationships" r:id="rId1"/>
          <a:extLst>
            <a:ext uri="{FF2B5EF4-FFF2-40B4-BE49-F238E27FC236}">
              <a16:creationId xmlns:a16="http://schemas.microsoft.com/office/drawing/2014/main" id="{00000000-0008-0000-0600-000004000000}"/>
            </a:ext>
          </a:extLst>
        </xdr:cNvPr>
        <xdr:cNvSpPr/>
      </xdr:nvSpPr>
      <xdr:spPr bwMode="auto">
        <a:xfrm rot="10800000">
          <a:off x="13811250" y="326571"/>
          <a:ext cx="914401" cy="571500"/>
        </a:xfrm>
        <a:prstGeom prst="stripedRightArrow">
          <a:avLst/>
        </a:prstGeom>
        <a:solidFill>
          <a:srgbClr val="FF000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Retour</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9</xdr:col>
      <xdr:colOff>0</xdr:colOff>
      <xdr:row>1</xdr:row>
      <xdr:rowOff>0</xdr:rowOff>
    </xdr:from>
    <xdr:to>
      <xdr:col>10</xdr:col>
      <xdr:colOff>2722</xdr:colOff>
      <xdr:row>4</xdr:row>
      <xdr:rowOff>81643</xdr:rowOff>
    </xdr:to>
    <xdr:sp macro="" textlink="">
      <xdr:nvSpPr>
        <xdr:cNvPr id="3" name="Flèche droite rayée 2">
          <a:hlinkClick xmlns:r="http://schemas.openxmlformats.org/officeDocument/2006/relationships" r:id="rId1"/>
          <a:extLst>
            <a:ext uri="{FF2B5EF4-FFF2-40B4-BE49-F238E27FC236}">
              <a16:creationId xmlns:a16="http://schemas.microsoft.com/office/drawing/2014/main" id="{00000000-0008-0000-0700-000003000000}"/>
            </a:ext>
          </a:extLst>
        </xdr:cNvPr>
        <xdr:cNvSpPr/>
      </xdr:nvSpPr>
      <xdr:spPr bwMode="auto">
        <a:xfrm rot="10800000">
          <a:off x="13239750" y="163286"/>
          <a:ext cx="914401" cy="571500"/>
        </a:xfrm>
        <a:prstGeom prst="stripedRightArrow">
          <a:avLst/>
        </a:prstGeom>
        <a:solidFill>
          <a:srgbClr val="FF000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Retour</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8</xdr:col>
      <xdr:colOff>0</xdr:colOff>
      <xdr:row>1</xdr:row>
      <xdr:rowOff>0</xdr:rowOff>
    </xdr:from>
    <xdr:to>
      <xdr:col>8</xdr:col>
      <xdr:colOff>914401</xdr:colOff>
      <xdr:row>4</xdr:row>
      <xdr:rowOff>57150</xdr:rowOff>
    </xdr:to>
    <xdr:sp macro="" textlink="">
      <xdr:nvSpPr>
        <xdr:cNvPr id="3" name="Flèche droite rayée 2">
          <a:hlinkClick xmlns:r="http://schemas.openxmlformats.org/officeDocument/2006/relationships" r:id="rId1"/>
          <a:extLst>
            <a:ext uri="{FF2B5EF4-FFF2-40B4-BE49-F238E27FC236}">
              <a16:creationId xmlns:a16="http://schemas.microsoft.com/office/drawing/2014/main" id="{00000000-0008-0000-0A00-000003000000}"/>
            </a:ext>
          </a:extLst>
        </xdr:cNvPr>
        <xdr:cNvSpPr/>
      </xdr:nvSpPr>
      <xdr:spPr bwMode="auto">
        <a:xfrm rot="10800000">
          <a:off x="7019925" y="152400"/>
          <a:ext cx="914401" cy="571500"/>
        </a:xfrm>
        <a:prstGeom prst="stripedRightArrow">
          <a:avLst/>
        </a:prstGeom>
        <a:solidFill>
          <a:srgbClr val="FF000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Liasse</a:t>
          </a:r>
        </a:p>
      </xdr:txBody>
    </xdr:sp>
    <xdr:clientData/>
  </xdr:twoCellAnchor>
  <xdr:twoCellAnchor>
    <xdr:from>
      <xdr:col>8</xdr:col>
      <xdr:colOff>0</xdr:colOff>
      <xdr:row>6</xdr:row>
      <xdr:rowOff>0</xdr:rowOff>
    </xdr:from>
    <xdr:to>
      <xdr:col>8</xdr:col>
      <xdr:colOff>914400</xdr:colOff>
      <xdr:row>9</xdr:row>
      <xdr:rowOff>104775</xdr:rowOff>
    </xdr:to>
    <xdr:sp macro="" textlink="">
      <xdr:nvSpPr>
        <xdr:cNvPr id="4" name="Flèche droite rayée 3">
          <a:hlinkClick xmlns:r="http://schemas.openxmlformats.org/officeDocument/2006/relationships" r:id="rId2"/>
          <a:extLst>
            <a:ext uri="{FF2B5EF4-FFF2-40B4-BE49-F238E27FC236}">
              <a16:creationId xmlns:a16="http://schemas.microsoft.com/office/drawing/2014/main" id="{00000000-0008-0000-0A00-000004000000}"/>
            </a:ext>
          </a:extLst>
        </xdr:cNvPr>
        <xdr:cNvSpPr/>
      </xdr:nvSpPr>
      <xdr:spPr bwMode="auto">
        <a:xfrm rot="10800000">
          <a:off x="7210425" y="971550"/>
          <a:ext cx="914400" cy="571500"/>
        </a:xfrm>
        <a:prstGeom prst="stripedRightArrow">
          <a:avLst/>
        </a:prstGeom>
        <a:solidFill>
          <a:srgbClr val="00B05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ETIC</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8</xdr:col>
      <xdr:colOff>0</xdr:colOff>
      <xdr:row>7</xdr:row>
      <xdr:rowOff>0</xdr:rowOff>
    </xdr:from>
    <xdr:to>
      <xdr:col>8</xdr:col>
      <xdr:colOff>914400</xdr:colOff>
      <xdr:row>11</xdr:row>
      <xdr:rowOff>9525</xdr:rowOff>
    </xdr:to>
    <xdr:sp macro="" textlink="">
      <xdr:nvSpPr>
        <xdr:cNvPr id="4" name="Flèche droite rayée 3">
          <a:hlinkClick xmlns:r="http://schemas.openxmlformats.org/officeDocument/2006/relationships" r:id="rId1"/>
          <a:extLst>
            <a:ext uri="{FF2B5EF4-FFF2-40B4-BE49-F238E27FC236}">
              <a16:creationId xmlns:a16="http://schemas.microsoft.com/office/drawing/2014/main" id="{00000000-0008-0000-0B00-000004000000}"/>
            </a:ext>
          </a:extLst>
        </xdr:cNvPr>
        <xdr:cNvSpPr/>
      </xdr:nvSpPr>
      <xdr:spPr bwMode="auto">
        <a:xfrm rot="10800000">
          <a:off x="8124825" y="1228725"/>
          <a:ext cx="914400" cy="571500"/>
        </a:xfrm>
        <a:prstGeom prst="stripedRightArrow">
          <a:avLst/>
        </a:prstGeom>
        <a:solidFill>
          <a:srgbClr val="00B05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ETIC</a:t>
          </a:r>
        </a:p>
      </xdr:txBody>
    </xdr:sp>
    <xdr:clientData/>
  </xdr:twoCellAnchor>
  <xdr:twoCellAnchor>
    <xdr:from>
      <xdr:col>7</xdr:col>
      <xdr:colOff>857250</xdr:colOff>
      <xdr:row>3</xdr:row>
      <xdr:rowOff>47625</xdr:rowOff>
    </xdr:from>
    <xdr:to>
      <xdr:col>8</xdr:col>
      <xdr:colOff>895351</xdr:colOff>
      <xdr:row>6</xdr:row>
      <xdr:rowOff>38100</xdr:rowOff>
    </xdr:to>
    <xdr:sp macro="" textlink="">
      <xdr:nvSpPr>
        <xdr:cNvPr id="5" name="Flèche droite rayée 4">
          <a:hlinkClick xmlns:r="http://schemas.openxmlformats.org/officeDocument/2006/relationships" r:id="rId2"/>
          <a:extLst>
            <a:ext uri="{FF2B5EF4-FFF2-40B4-BE49-F238E27FC236}">
              <a16:creationId xmlns:a16="http://schemas.microsoft.com/office/drawing/2014/main" id="{00000000-0008-0000-0B00-000005000000}"/>
            </a:ext>
          </a:extLst>
        </xdr:cNvPr>
        <xdr:cNvSpPr/>
      </xdr:nvSpPr>
      <xdr:spPr bwMode="auto">
        <a:xfrm rot="10800000">
          <a:off x="8105775" y="552450"/>
          <a:ext cx="914401" cy="571500"/>
        </a:xfrm>
        <a:prstGeom prst="stripedRightArrow">
          <a:avLst/>
        </a:prstGeom>
        <a:solidFill>
          <a:srgbClr val="FF000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Liasse</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923925</xdr:colOff>
      <xdr:row>4</xdr:row>
      <xdr:rowOff>142875</xdr:rowOff>
    </xdr:from>
    <xdr:to>
      <xdr:col>5</xdr:col>
      <xdr:colOff>904875</xdr:colOff>
      <xdr:row>8</xdr:row>
      <xdr:rowOff>95250</xdr:rowOff>
    </xdr:to>
    <xdr:sp macro="" textlink="">
      <xdr:nvSpPr>
        <xdr:cNvPr id="4" name="Flèche droite rayée 3">
          <a:hlinkClick xmlns:r="http://schemas.openxmlformats.org/officeDocument/2006/relationships" r:id="rId1"/>
          <a:extLst>
            <a:ext uri="{FF2B5EF4-FFF2-40B4-BE49-F238E27FC236}">
              <a16:creationId xmlns:a16="http://schemas.microsoft.com/office/drawing/2014/main" id="{00000000-0008-0000-0C00-000004000000}"/>
            </a:ext>
          </a:extLst>
        </xdr:cNvPr>
        <xdr:cNvSpPr/>
      </xdr:nvSpPr>
      <xdr:spPr bwMode="auto">
        <a:xfrm rot="10800000">
          <a:off x="7581900" y="857250"/>
          <a:ext cx="914400" cy="571500"/>
        </a:xfrm>
        <a:prstGeom prst="stripedRightArrow">
          <a:avLst/>
        </a:prstGeom>
        <a:solidFill>
          <a:srgbClr val="00B05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ETIC</a:t>
          </a:r>
        </a:p>
      </xdr:txBody>
    </xdr:sp>
    <xdr:clientData/>
  </xdr:twoCellAnchor>
  <xdr:twoCellAnchor>
    <xdr:from>
      <xdr:col>5</xdr:col>
      <xdr:colOff>0</xdr:colOff>
      <xdr:row>0</xdr:row>
      <xdr:rowOff>152400</xdr:rowOff>
    </xdr:from>
    <xdr:to>
      <xdr:col>5</xdr:col>
      <xdr:colOff>914401</xdr:colOff>
      <xdr:row>4</xdr:row>
      <xdr:rowOff>9525</xdr:rowOff>
    </xdr:to>
    <xdr:sp macro="" textlink="">
      <xdr:nvSpPr>
        <xdr:cNvPr id="5" name="Flèche droite rayée 4">
          <a:hlinkClick xmlns:r="http://schemas.openxmlformats.org/officeDocument/2006/relationships" r:id="rId2"/>
          <a:extLst>
            <a:ext uri="{FF2B5EF4-FFF2-40B4-BE49-F238E27FC236}">
              <a16:creationId xmlns:a16="http://schemas.microsoft.com/office/drawing/2014/main" id="{00000000-0008-0000-0C00-000005000000}"/>
            </a:ext>
          </a:extLst>
        </xdr:cNvPr>
        <xdr:cNvSpPr/>
      </xdr:nvSpPr>
      <xdr:spPr bwMode="auto">
        <a:xfrm rot="10800000">
          <a:off x="7591425" y="152400"/>
          <a:ext cx="914401" cy="571500"/>
        </a:xfrm>
        <a:prstGeom prst="stripedRightArrow">
          <a:avLst/>
        </a:prstGeom>
        <a:solidFill>
          <a:srgbClr val="FF000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Liasse</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8</xdr:col>
      <xdr:colOff>28575</xdr:colOff>
      <xdr:row>0</xdr:row>
      <xdr:rowOff>0</xdr:rowOff>
    </xdr:from>
    <xdr:to>
      <xdr:col>8</xdr:col>
      <xdr:colOff>942975</xdr:colOff>
      <xdr:row>3</xdr:row>
      <xdr:rowOff>57150</xdr:rowOff>
    </xdr:to>
    <xdr:sp macro="" textlink="">
      <xdr:nvSpPr>
        <xdr:cNvPr id="4" name="Flèche droite rayée 3">
          <a:hlinkClick xmlns:r="http://schemas.openxmlformats.org/officeDocument/2006/relationships" r:id="rId1"/>
          <a:extLst>
            <a:ext uri="{FF2B5EF4-FFF2-40B4-BE49-F238E27FC236}">
              <a16:creationId xmlns:a16="http://schemas.microsoft.com/office/drawing/2014/main" id="{00000000-0008-0000-0D00-000004000000}"/>
            </a:ext>
          </a:extLst>
        </xdr:cNvPr>
        <xdr:cNvSpPr/>
      </xdr:nvSpPr>
      <xdr:spPr bwMode="auto">
        <a:xfrm rot="10800000">
          <a:off x="9658350" y="0"/>
          <a:ext cx="914400" cy="571500"/>
        </a:xfrm>
        <a:prstGeom prst="stripedRightArrow">
          <a:avLst/>
        </a:prstGeom>
        <a:solidFill>
          <a:srgbClr val="00B05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ETIC</a:t>
          </a:r>
        </a:p>
      </xdr:txBody>
    </xdr:sp>
    <xdr:clientData/>
  </xdr:twoCellAnchor>
  <xdr:twoCellAnchor>
    <xdr:from>
      <xdr:col>9</xdr:col>
      <xdr:colOff>38100</xdr:colOff>
      <xdr:row>0</xdr:row>
      <xdr:rowOff>76200</xdr:rowOff>
    </xdr:from>
    <xdr:to>
      <xdr:col>9</xdr:col>
      <xdr:colOff>952501</xdr:colOff>
      <xdr:row>3</xdr:row>
      <xdr:rowOff>133350</xdr:rowOff>
    </xdr:to>
    <xdr:sp macro="" textlink="">
      <xdr:nvSpPr>
        <xdr:cNvPr id="5" name="Flèche droite rayée 4">
          <a:hlinkClick xmlns:r="http://schemas.openxmlformats.org/officeDocument/2006/relationships" r:id="rId2"/>
          <a:extLst>
            <a:ext uri="{FF2B5EF4-FFF2-40B4-BE49-F238E27FC236}">
              <a16:creationId xmlns:a16="http://schemas.microsoft.com/office/drawing/2014/main" id="{00000000-0008-0000-0D00-000005000000}"/>
            </a:ext>
          </a:extLst>
        </xdr:cNvPr>
        <xdr:cNvSpPr/>
      </xdr:nvSpPr>
      <xdr:spPr bwMode="auto">
        <a:xfrm rot="10800000">
          <a:off x="10744200" y="76200"/>
          <a:ext cx="914401" cy="571500"/>
        </a:xfrm>
        <a:prstGeom prst="stripedRightArrow">
          <a:avLst/>
        </a:prstGeom>
        <a:solidFill>
          <a:srgbClr val="FF000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Liasse</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8</xdr:col>
      <xdr:colOff>0</xdr:colOff>
      <xdr:row>5</xdr:row>
      <xdr:rowOff>0</xdr:rowOff>
    </xdr:from>
    <xdr:to>
      <xdr:col>9</xdr:col>
      <xdr:colOff>180975</xdr:colOff>
      <xdr:row>8</xdr:row>
      <xdr:rowOff>28575</xdr:rowOff>
    </xdr:to>
    <xdr:sp macro="" textlink="">
      <xdr:nvSpPr>
        <xdr:cNvPr id="4" name="Flèche droite rayée 3">
          <a:hlinkClick xmlns:r="http://schemas.openxmlformats.org/officeDocument/2006/relationships" r:id="rId1"/>
          <a:extLst>
            <a:ext uri="{FF2B5EF4-FFF2-40B4-BE49-F238E27FC236}">
              <a16:creationId xmlns:a16="http://schemas.microsoft.com/office/drawing/2014/main" id="{00000000-0008-0000-0E00-000004000000}"/>
            </a:ext>
          </a:extLst>
        </xdr:cNvPr>
        <xdr:cNvSpPr/>
      </xdr:nvSpPr>
      <xdr:spPr bwMode="auto">
        <a:xfrm rot="10800000">
          <a:off x="6219825" y="838200"/>
          <a:ext cx="914400" cy="571500"/>
        </a:xfrm>
        <a:prstGeom prst="stripedRightArrow">
          <a:avLst/>
        </a:prstGeom>
        <a:solidFill>
          <a:srgbClr val="00B05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ETIC</a:t>
          </a:r>
        </a:p>
      </xdr:txBody>
    </xdr:sp>
    <xdr:clientData/>
  </xdr:twoCellAnchor>
  <xdr:twoCellAnchor>
    <xdr:from>
      <xdr:col>8</xdr:col>
      <xdr:colOff>0</xdr:colOff>
      <xdr:row>1</xdr:row>
      <xdr:rowOff>0</xdr:rowOff>
    </xdr:from>
    <xdr:to>
      <xdr:col>9</xdr:col>
      <xdr:colOff>180976</xdr:colOff>
      <xdr:row>4</xdr:row>
      <xdr:rowOff>38100</xdr:rowOff>
    </xdr:to>
    <xdr:sp macro="" textlink="">
      <xdr:nvSpPr>
        <xdr:cNvPr id="5" name="Flèche droite rayée 4">
          <a:hlinkClick xmlns:r="http://schemas.openxmlformats.org/officeDocument/2006/relationships" r:id="rId2"/>
          <a:extLst>
            <a:ext uri="{FF2B5EF4-FFF2-40B4-BE49-F238E27FC236}">
              <a16:creationId xmlns:a16="http://schemas.microsoft.com/office/drawing/2014/main" id="{00000000-0008-0000-0E00-000005000000}"/>
            </a:ext>
          </a:extLst>
        </xdr:cNvPr>
        <xdr:cNvSpPr/>
      </xdr:nvSpPr>
      <xdr:spPr bwMode="auto">
        <a:xfrm rot="10800000">
          <a:off x="6219825" y="152400"/>
          <a:ext cx="914401" cy="571500"/>
        </a:xfrm>
        <a:prstGeom prst="stripedRightArrow">
          <a:avLst/>
        </a:prstGeom>
        <a:solidFill>
          <a:srgbClr val="FF000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Liasse</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5</xdr:col>
      <xdr:colOff>0</xdr:colOff>
      <xdr:row>5</xdr:row>
      <xdr:rowOff>0</xdr:rowOff>
    </xdr:from>
    <xdr:to>
      <xdr:col>6</xdr:col>
      <xdr:colOff>219075</xdr:colOff>
      <xdr:row>8</xdr:row>
      <xdr:rowOff>114300</xdr:rowOff>
    </xdr:to>
    <xdr:sp macro="" textlink="">
      <xdr:nvSpPr>
        <xdr:cNvPr id="4" name="Flèche droite rayée 3">
          <a:hlinkClick xmlns:r="http://schemas.openxmlformats.org/officeDocument/2006/relationships" r:id="rId1"/>
          <a:extLst>
            <a:ext uri="{FF2B5EF4-FFF2-40B4-BE49-F238E27FC236}">
              <a16:creationId xmlns:a16="http://schemas.microsoft.com/office/drawing/2014/main" id="{00000000-0008-0000-0F00-000004000000}"/>
            </a:ext>
          </a:extLst>
        </xdr:cNvPr>
        <xdr:cNvSpPr/>
      </xdr:nvSpPr>
      <xdr:spPr bwMode="auto">
        <a:xfrm rot="10800000">
          <a:off x="6477000" y="819150"/>
          <a:ext cx="914400" cy="571500"/>
        </a:xfrm>
        <a:prstGeom prst="stripedRightArrow">
          <a:avLst/>
        </a:prstGeom>
        <a:solidFill>
          <a:srgbClr val="00B05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ETIC</a:t>
          </a:r>
        </a:p>
      </xdr:txBody>
    </xdr:sp>
    <xdr:clientData/>
  </xdr:twoCellAnchor>
  <xdr:twoCellAnchor>
    <xdr:from>
      <xdr:col>5</xdr:col>
      <xdr:colOff>0</xdr:colOff>
      <xdr:row>1</xdr:row>
      <xdr:rowOff>57150</xdr:rowOff>
    </xdr:from>
    <xdr:to>
      <xdr:col>6</xdr:col>
      <xdr:colOff>219076</xdr:colOff>
      <xdr:row>4</xdr:row>
      <xdr:rowOff>123825</xdr:rowOff>
    </xdr:to>
    <xdr:sp macro="" textlink="">
      <xdr:nvSpPr>
        <xdr:cNvPr id="5" name="Flèche droite rayée 4">
          <a:hlinkClick xmlns:r="http://schemas.openxmlformats.org/officeDocument/2006/relationships" r:id="rId2"/>
          <a:extLst>
            <a:ext uri="{FF2B5EF4-FFF2-40B4-BE49-F238E27FC236}">
              <a16:creationId xmlns:a16="http://schemas.microsoft.com/office/drawing/2014/main" id="{00000000-0008-0000-0F00-000005000000}"/>
            </a:ext>
          </a:extLst>
        </xdr:cNvPr>
        <xdr:cNvSpPr/>
      </xdr:nvSpPr>
      <xdr:spPr bwMode="auto">
        <a:xfrm rot="10800000">
          <a:off x="6477000" y="219075"/>
          <a:ext cx="914401" cy="571500"/>
        </a:xfrm>
        <a:prstGeom prst="stripedRightArrow">
          <a:avLst/>
        </a:prstGeom>
        <a:solidFill>
          <a:srgbClr val="FF000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Liasse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12</xdr:col>
      <xdr:colOff>0</xdr:colOff>
      <xdr:row>6</xdr:row>
      <xdr:rowOff>0</xdr:rowOff>
    </xdr:from>
    <xdr:to>
      <xdr:col>13</xdr:col>
      <xdr:colOff>228600</xdr:colOff>
      <xdr:row>9</xdr:row>
      <xdr:rowOff>85725</xdr:rowOff>
    </xdr:to>
    <xdr:sp macro="" textlink="">
      <xdr:nvSpPr>
        <xdr:cNvPr id="4" name="Flèche droite rayée 3">
          <a:hlinkClick xmlns:r="http://schemas.openxmlformats.org/officeDocument/2006/relationships" r:id="rId1"/>
          <a:extLst>
            <a:ext uri="{FF2B5EF4-FFF2-40B4-BE49-F238E27FC236}">
              <a16:creationId xmlns:a16="http://schemas.microsoft.com/office/drawing/2014/main" id="{00000000-0008-0000-1000-000004000000}"/>
            </a:ext>
          </a:extLst>
        </xdr:cNvPr>
        <xdr:cNvSpPr/>
      </xdr:nvSpPr>
      <xdr:spPr bwMode="auto">
        <a:xfrm rot="10800000">
          <a:off x="10363200" y="1009650"/>
          <a:ext cx="914400" cy="571500"/>
        </a:xfrm>
        <a:prstGeom prst="stripedRightArrow">
          <a:avLst/>
        </a:prstGeom>
        <a:solidFill>
          <a:srgbClr val="00B05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ETIC</a:t>
          </a:r>
        </a:p>
      </xdr:txBody>
    </xdr:sp>
    <xdr:clientData/>
  </xdr:twoCellAnchor>
  <xdr:twoCellAnchor>
    <xdr:from>
      <xdr:col>12</xdr:col>
      <xdr:colOff>0</xdr:colOff>
      <xdr:row>1</xdr:row>
      <xdr:rowOff>47625</xdr:rowOff>
    </xdr:from>
    <xdr:to>
      <xdr:col>13</xdr:col>
      <xdr:colOff>228601</xdr:colOff>
      <xdr:row>4</xdr:row>
      <xdr:rowOff>104775</xdr:rowOff>
    </xdr:to>
    <xdr:sp macro="" textlink="">
      <xdr:nvSpPr>
        <xdr:cNvPr id="5" name="Flèche droite rayée 4">
          <a:hlinkClick xmlns:r="http://schemas.openxmlformats.org/officeDocument/2006/relationships" r:id="rId2"/>
          <a:extLst>
            <a:ext uri="{FF2B5EF4-FFF2-40B4-BE49-F238E27FC236}">
              <a16:creationId xmlns:a16="http://schemas.microsoft.com/office/drawing/2014/main" id="{00000000-0008-0000-1000-000005000000}"/>
            </a:ext>
          </a:extLst>
        </xdr:cNvPr>
        <xdr:cNvSpPr/>
      </xdr:nvSpPr>
      <xdr:spPr bwMode="auto">
        <a:xfrm rot="10800000">
          <a:off x="10363200" y="219075"/>
          <a:ext cx="914401" cy="571500"/>
        </a:xfrm>
        <a:prstGeom prst="stripedRightArrow">
          <a:avLst/>
        </a:prstGeom>
        <a:solidFill>
          <a:srgbClr val="FF000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Liasse</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6</xdr:col>
      <xdr:colOff>66675</xdr:colOff>
      <xdr:row>5</xdr:row>
      <xdr:rowOff>85725</xdr:rowOff>
    </xdr:from>
    <xdr:to>
      <xdr:col>7</xdr:col>
      <xdr:colOff>295275</xdr:colOff>
      <xdr:row>9</xdr:row>
      <xdr:rowOff>9525</xdr:rowOff>
    </xdr:to>
    <xdr:sp macro="" textlink="">
      <xdr:nvSpPr>
        <xdr:cNvPr id="4" name="Flèche droite rayée 3">
          <a:hlinkClick xmlns:r="http://schemas.openxmlformats.org/officeDocument/2006/relationships" r:id="rId1"/>
          <a:extLst>
            <a:ext uri="{FF2B5EF4-FFF2-40B4-BE49-F238E27FC236}">
              <a16:creationId xmlns:a16="http://schemas.microsoft.com/office/drawing/2014/main" id="{00000000-0008-0000-1100-000004000000}"/>
            </a:ext>
          </a:extLst>
        </xdr:cNvPr>
        <xdr:cNvSpPr/>
      </xdr:nvSpPr>
      <xdr:spPr bwMode="auto">
        <a:xfrm rot="10800000">
          <a:off x="8763000" y="933450"/>
          <a:ext cx="914400" cy="571500"/>
        </a:xfrm>
        <a:prstGeom prst="stripedRightArrow">
          <a:avLst/>
        </a:prstGeom>
        <a:solidFill>
          <a:srgbClr val="00B05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ETIC</a:t>
          </a:r>
        </a:p>
      </xdr:txBody>
    </xdr:sp>
    <xdr:clientData/>
  </xdr:twoCellAnchor>
  <xdr:twoCellAnchor>
    <xdr:from>
      <xdr:col>6</xdr:col>
      <xdr:colOff>57150</xdr:colOff>
      <xdr:row>1</xdr:row>
      <xdr:rowOff>123825</xdr:rowOff>
    </xdr:from>
    <xdr:to>
      <xdr:col>7</xdr:col>
      <xdr:colOff>285751</xdr:colOff>
      <xdr:row>5</xdr:row>
      <xdr:rowOff>19050</xdr:rowOff>
    </xdr:to>
    <xdr:sp macro="" textlink="">
      <xdr:nvSpPr>
        <xdr:cNvPr id="5" name="Flèche droite rayée 4">
          <a:hlinkClick xmlns:r="http://schemas.openxmlformats.org/officeDocument/2006/relationships" r:id="rId2"/>
          <a:extLst>
            <a:ext uri="{FF2B5EF4-FFF2-40B4-BE49-F238E27FC236}">
              <a16:creationId xmlns:a16="http://schemas.microsoft.com/office/drawing/2014/main" id="{00000000-0008-0000-1100-000005000000}"/>
            </a:ext>
          </a:extLst>
        </xdr:cNvPr>
        <xdr:cNvSpPr/>
      </xdr:nvSpPr>
      <xdr:spPr bwMode="auto">
        <a:xfrm rot="10800000">
          <a:off x="8753475" y="295275"/>
          <a:ext cx="914401" cy="571500"/>
        </a:xfrm>
        <a:prstGeom prst="stripedRightArrow">
          <a:avLst/>
        </a:prstGeom>
        <a:solidFill>
          <a:srgbClr val="FF000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Liasse</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3</xdr:col>
      <xdr:colOff>381000</xdr:colOff>
      <xdr:row>15</xdr:row>
      <xdr:rowOff>38100</xdr:rowOff>
    </xdr:from>
    <xdr:to>
      <xdr:col>7</xdr:col>
      <xdr:colOff>676276</xdr:colOff>
      <xdr:row>22</xdr:row>
      <xdr:rowOff>133350</xdr:rowOff>
    </xdr:to>
    <xdr:sp macro="" textlink="">
      <xdr:nvSpPr>
        <xdr:cNvPr id="2" name="Texte 1">
          <a:extLst>
            <a:ext uri="{FF2B5EF4-FFF2-40B4-BE49-F238E27FC236}">
              <a16:creationId xmlns:a16="http://schemas.microsoft.com/office/drawing/2014/main" id="{00000000-0008-0000-1200-000002000000}"/>
            </a:ext>
          </a:extLst>
        </xdr:cNvPr>
        <xdr:cNvSpPr txBox="1">
          <a:spLocks noChangeArrowheads="1"/>
        </xdr:cNvSpPr>
      </xdr:nvSpPr>
      <xdr:spPr bwMode="auto">
        <a:xfrm>
          <a:off x="3819525" y="2533650"/>
          <a:ext cx="3800476" cy="1228725"/>
        </a:xfrm>
        <a:prstGeom prst="rect">
          <a:avLst/>
        </a:prstGeom>
        <a:noFill/>
        <a:ln w="1">
          <a:noFill/>
          <a:miter lim="800000"/>
          <a:headEnd/>
          <a:tailEnd/>
        </a:ln>
      </xdr:spPr>
      <xdr:txBody>
        <a:bodyPr vertOverflow="clip" wrap="square" lIns="64008" tIns="59436" rIns="64008" bIns="0" anchor="t" upright="1"/>
        <a:lstStyle/>
        <a:p>
          <a:pPr algn="ctr" rtl="0">
            <a:defRPr sz="1000"/>
          </a:pPr>
          <a:r>
            <a:rPr lang="fr-FR" sz="5600" b="1" i="1" strike="noStrike">
              <a:solidFill>
                <a:srgbClr val="000000"/>
              </a:solidFill>
              <a:latin typeface="Times New Roman"/>
              <a:cs typeface="Times New Roman"/>
            </a:rPr>
            <a:t>NEANT</a:t>
          </a:r>
        </a:p>
      </xdr:txBody>
    </xdr:sp>
    <xdr:clientData/>
  </xdr:twoCellAnchor>
  <xdr:twoCellAnchor>
    <xdr:from>
      <xdr:col>10</xdr:col>
      <xdr:colOff>104775</xdr:colOff>
      <xdr:row>0</xdr:row>
      <xdr:rowOff>76200</xdr:rowOff>
    </xdr:from>
    <xdr:to>
      <xdr:col>11</xdr:col>
      <xdr:colOff>333375</xdr:colOff>
      <xdr:row>3</xdr:row>
      <xdr:rowOff>123825</xdr:rowOff>
    </xdr:to>
    <xdr:sp macro="" textlink="">
      <xdr:nvSpPr>
        <xdr:cNvPr id="5" name="Flèche droite rayée 4">
          <a:hlinkClick xmlns:r="http://schemas.openxmlformats.org/officeDocument/2006/relationships" r:id="rId1"/>
          <a:extLst>
            <a:ext uri="{FF2B5EF4-FFF2-40B4-BE49-F238E27FC236}">
              <a16:creationId xmlns:a16="http://schemas.microsoft.com/office/drawing/2014/main" id="{00000000-0008-0000-1200-000005000000}"/>
            </a:ext>
          </a:extLst>
        </xdr:cNvPr>
        <xdr:cNvSpPr/>
      </xdr:nvSpPr>
      <xdr:spPr bwMode="auto">
        <a:xfrm rot="10800000">
          <a:off x="10487025" y="76200"/>
          <a:ext cx="914400" cy="571500"/>
        </a:xfrm>
        <a:prstGeom prst="stripedRightArrow">
          <a:avLst/>
        </a:prstGeom>
        <a:solidFill>
          <a:srgbClr val="00B05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ETIC</a:t>
          </a:r>
        </a:p>
      </xdr:txBody>
    </xdr:sp>
    <xdr:clientData/>
  </xdr:twoCellAnchor>
  <xdr:twoCellAnchor>
    <xdr:from>
      <xdr:col>9</xdr:col>
      <xdr:colOff>28575</xdr:colOff>
      <xdr:row>0</xdr:row>
      <xdr:rowOff>85725</xdr:rowOff>
    </xdr:from>
    <xdr:to>
      <xdr:col>9</xdr:col>
      <xdr:colOff>942976</xdr:colOff>
      <xdr:row>3</xdr:row>
      <xdr:rowOff>133350</xdr:rowOff>
    </xdr:to>
    <xdr:sp macro="" textlink="">
      <xdr:nvSpPr>
        <xdr:cNvPr id="6" name="Flèche droite rayée 5">
          <a:hlinkClick xmlns:r="http://schemas.openxmlformats.org/officeDocument/2006/relationships" r:id="rId2"/>
          <a:extLst>
            <a:ext uri="{FF2B5EF4-FFF2-40B4-BE49-F238E27FC236}">
              <a16:creationId xmlns:a16="http://schemas.microsoft.com/office/drawing/2014/main" id="{00000000-0008-0000-1200-000006000000}"/>
            </a:ext>
          </a:extLst>
        </xdr:cNvPr>
        <xdr:cNvSpPr/>
      </xdr:nvSpPr>
      <xdr:spPr bwMode="auto">
        <a:xfrm rot="10800000">
          <a:off x="9410700" y="85725"/>
          <a:ext cx="914401" cy="571500"/>
        </a:xfrm>
        <a:prstGeom prst="stripedRightArrow">
          <a:avLst/>
        </a:prstGeom>
        <a:solidFill>
          <a:srgbClr val="FF000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Liasse</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8</xdr:col>
      <xdr:colOff>142875</xdr:colOff>
      <xdr:row>5</xdr:row>
      <xdr:rowOff>114300</xdr:rowOff>
    </xdr:from>
    <xdr:to>
      <xdr:col>9</xdr:col>
      <xdr:colOff>295275</xdr:colOff>
      <xdr:row>9</xdr:row>
      <xdr:rowOff>28575</xdr:rowOff>
    </xdr:to>
    <xdr:sp macro="" textlink="">
      <xdr:nvSpPr>
        <xdr:cNvPr id="5" name="Flèche droite rayée 4">
          <a:hlinkClick xmlns:r="http://schemas.openxmlformats.org/officeDocument/2006/relationships" r:id="rId1"/>
          <a:extLst>
            <a:ext uri="{FF2B5EF4-FFF2-40B4-BE49-F238E27FC236}">
              <a16:creationId xmlns:a16="http://schemas.microsoft.com/office/drawing/2014/main" id="{00000000-0008-0000-1300-000005000000}"/>
            </a:ext>
          </a:extLst>
        </xdr:cNvPr>
        <xdr:cNvSpPr/>
      </xdr:nvSpPr>
      <xdr:spPr bwMode="auto">
        <a:xfrm rot="10800000">
          <a:off x="8667750" y="990600"/>
          <a:ext cx="914400" cy="571500"/>
        </a:xfrm>
        <a:prstGeom prst="stripedRightArrow">
          <a:avLst/>
        </a:prstGeom>
        <a:solidFill>
          <a:srgbClr val="00B05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ETIC</a:t>
          </a:r>
        </a:p>
      </xdr:txBody>
    </xdr:sp>
    <xdr:clientData/>
  </xdr:twoCellAnchor>
  <xdr:twoCellAnchor>
    <xdr:from>
      <xdr:col>8</xdr:col>
      <xdr:colOff>142875</xdr:colOff>
      <xdr:row>2</xdr:row>
      <xdr:rowOff>38100</xdr:rowOff>
    </xdr:from>
    <xdr:to>
      <xdr:col>9</xdr:col>
      <xdr:colOff>295276</xdr:colOff>
      <xdr:row>5</xdr:row>
      <xdr:rowOff>66675</xdr:rowOff>
    </xdr:to>
    <xdr:sp macro="" textlink="">
      <xdr:nvSpPr>
        <xdr:cNvPr id="6" name="Flèche droite rayée 5">
          <a:hlinkClick xmlns:r="http://schemas.openxmlformats.org/officeDocument/2006/relationships" r:id="rId2"/>
          <a:extLst>
            <a:ext uri="{FF2B5EF4-FFF2-40B4-BE49-F238E27FC236}">
              <a16:creationId xmlns:a16="http://schemas.microsoft.com/office/drawing/2014/main" id="{00000000-0008-0000-1300-000006000000}"/>
            </a:ext>
          </a:extLst>
        </xdr:cNvPr>
        <xdr:cNvSpPr/>
      </xdr:nvSpPr>
      <xdr:spPr bwMode="auto">
        <a:xfrm rot="10800000">
          <a:off x="8667750" y="371475"/>
          <a:ext cx="914401" cy="571500"/>
        </a:xfrm>
        <a:prstGeom prst="stripedRightArrow">
          <a:avLst/>
        </a:prstGeom>
        <a:solidFill>
          <a:srgbClr val="FF000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Liasse</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10</xdr:col>
      <xdr:colOff>171450</xdr:colOff>
      <xdr:row>4</xdr:row>
      <xdr:rowOff>152400</xdr:rowOff>
    </xdr:from>
    <xdr:to>
      <xdr:col>11</xdr:col>
      <xdr:colOff>323850</xdr:colOff>
      <xdr:row>8</xdr:row>
      <xdr:rowOff>104775</xdr:rowOff>
    </xdr:to>
    <xdr:sp macro="" textlink="">
      <xdr:nvSpPr>
        <xdr:cNvPr id="3" name="Flèche droite rayée 2">
          <a:hlinkClick xmlns:r="http://schemas.openxmlformats.org/officeDocument/2006/relationships" r:id="rId1"/>
          <a:extLst>
            <a:ext uri="{FF2B5EF4-FFF2-40B4-BE49-F238E27FC236}">
              <a16:creationId xmlns:a16="http://schemas.microsoft.com/office/drawing/2014/main" id="{00000000-0008-0000-1400-000003000000}"/>
            </a:ext>
          </a:extLst>
        </xdr:cNvPr>
        <xdr:cNvSpPr/>
      </xdr:nvSpPr>
      <xdr:spPr bwMode="auto">
        <a:xfrm rot="10800000">
          <a:off x="9906000" y="838200"/>
          <a:ext cx="914400" cy="571500"/>
        </a:xfrm>
        <a:prstGeom prst="stripedRightArrow">
          <a:avLst/>
        </a:prstGeom>
        <a:solidFill>
          <a:srgbClr val="00B05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ETIC</a:t>
          </a:r>
        </a:p>
      </xdr:txBody>
    </xdr:sp>
    <xdr:clientData/>
  </xdr:twoCellAnchor>
  <xdr:twoCellAnchor>
    <xdr:from>
      <xdr:col>10</xdr:col>
      <xdr:colOff>171450</xdr:colOff>
      <xdr:row>1</xdr:row>
      <xdr:rowOff>38100</xdr:rowOff>
    </xdr:from>
    <xdr:to>
      <xdr:col>11</xdr:col>
      <xdr:colOff>323851</xdr:colOff>
      <xdr:row>4</xdr:row>
      <xdr:rowOff>95250</xdr:rowOff>
    </xdr:to>
    <xdr:sp macro="" textlink="">
      <xdr:nvSpPr>
        <xdr:cNvPr id="5" name="Flèche droite rayée 4">
          <a:hlinkClick xmlns:r="http://schemas.openxmlformats.org/officeDocument/2006/relationships" r:id="rId2"/>
          <a:extLst>
            <a:ext uri="{FF2B5EF4-FFF2-40B4-BE49-F238E27FC236}">
              <a16:creationId xmlns:a16="http://schemas.microsoft.com/office/drawing/2014/main" id="{00000000-0008-0000-1400-000005000000}"/>
            </a:ext>
          </a:extLst>
        </xdr:cNvPr>
        <xdr:cNvSpPr/>
      </xdr:nvSpPr>
      <xdr:spPr bwMode="auto">
        <a:xfrm rot="10800000">
          <a:off x="9906000" y="209550"/>
          <a:ext cx="914401" cy="571500"/>
        </a:xfrm>
        <a:prstGeom prst="stripedRightArrow">
          <a:avLst/>
        </a:prstGeom>
        <a:solidFill>
          <a:srgbClr val="FF000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Liasse</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5</xdr:col>
      <xdr:colOff>123825</xdr:colOff>
      <xdr:row>4</xdr:row>
      <xdr:rowOff>152400</xdr:rowOff>
    </xdr:from>
    <xdr:to>
      <xdr:col>6</xdr:col>
      <xdr:colOff>142875</xdr:colOff>
      <xdr:row>8</xdr:row>
      <xdr:rowOff>76200</xdr:rowOff>
    </xdr:to>
    <xdr:sp macro="" textlink="">
      <xdr:nvSpPr>
        <xdr:cNvPr id="4" name="Flèche droite rayée 3">
          <a:hlinkClick xmlns:r="http://schemas.openxmlformats.org/officeDocument/2006/relationships" r:id="rId1"/>
          <a:extLst>
            <a:ext uri="{FF2B5EF4-FFF2-40B4-BE49-F238E27FC236}">
              <a16:creationId xmlns:a16="http://schemas.microsoft.com/office/drawing/2014/main" id="{00000000-0008-0000-1500-000004000000}"/>
            </a:ext>
          </a:extLst>
        </xdr:cNvPr>
        <xdr:cNvSpPr/>
      </xdr:nvSpPr>
      <xdr:spPr bwMode="auto">
        <a:xfrm rot="10800000">
          <a:off x="8591550" y="809625"/>
          <a:ext cx="914400" cy="571500"/>
        </a:xfrm>
        <a:prstGeom prst="stripedRightArrow">
          <a:avLst/>
        </a:prstGeom>
        <a:solidFill>
          <a:srgbClr val="00B05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ETIC</a:t>
          </a:r>
        </a:p>
      </xdr:txBody>
    </xdr:sp>
    <xdr:clientData/>
  </xdr:twoCellAnchor>
  <xdr:twoCellAnchor>
    <xdr:from>
      <xdr:col>5</xdr:col>
      <xdr:colOff>142875</xdr:colOff>
      <xdr:row>1</xdr:row>
      <xdr:rowOff>0</xdr:rowOff>
    </xdr:from>
    <xdr:to>
      <xdr:col>6</xdr:col>
      <xdr:colOff>161926</xdr:colOff>
      <xdr:row>4</xdr:row>
      <xdr:rowOff>85725</xdr:rowOff>
    </xdr:to>
    <xdr:sp macro="" textlink="">
      <xdr:nvSpPr>
        <xdr:cNvPr id="5" name="Flèche droite rayée 4">
          <a:hlinkClick xmlns:r="http://schemas.openxmlformats.org/officeDocument/2006/relationships" r:id="rId2"/>
          <a:extLst>
            <a:ext uri="{FF2B5EF4-FFF2-40B4-BE49-F238E27FC236}">
              <a16:creationId xmlns:a16="http://schemas.microsoft.com/office/drawing/2014/main" id="{00000000-0008-0000-1500-000005000000}"/>
            </a:ext>
          </a:extLst>
        </xdr:cNvPr>
        <xdr:cNvSpPr/>
      </xdr:nvSpPr>
      <xdr:spPr bwMode="auto">
        <a:xfrm rot="10800000">
          <a:off x="8610600" y="171450"/>
          <a:ext cx="914401" cy="571500"/>
        </a:xfrm>
        <a:prstGeom prst="stripedRightArrow">
          <a:avLst/>
        </a:prstGeom>
        <a:solidFill>
          <a:srgbClr val="FF000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Liasse</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10</xdr:col>
      <xdr:colOff>114300</xdr:colOff>
      <xdr:row>5</xdr:row>
      <xdr:rowOff>38100</xdr:rowOff>
    </xdr:from>
    <xdr:to>
      <xdr:col>11</xdr:col>
      <xdr:colOff>266700</xdr:colOff>
      <xdr:row>8</xdr:row>
      <xdr:rowOff>123825</xdr:rowOff>
    </xdr:to>
    <xdr:sp macro="" textlink="">
      <xdr:nvSpPr>
        <xdr:cNvPr id="4" name="Flèche droite rayée 3">
          <a:hlinkClick xmlns:r="http://schemas.openxmlformats.org/officeDocument/2006/relationships" r:id="rId1"/>
          <a:extLst>
            <a:ext uri="{FF2B5EF4-FFF2-40B4-BE49-F238E27FC236}">
              <a16:creationId xmlns:a16="http://schemas.microsoft.com/office/drawing/2014/main" id="{00000000-0008-0000-1600-000004000000}"/>
            </a:ext>
          </a:extLst>
        </xdr:cNvPr>
        <xdr:cNvSpPr/>
      </xdr:nvSpPr>
      <xdr:spPr bwMode="auto">
        <a:xfrm rot="10800000">
          <a:off x="10563225" y="857250"/>
          <a:ext cx="914400" cy="571500"/>
        </a:xfrm>
        <a:prstGeom prst="stripedRightArrow">
          <a:avLst/>
        </a:prstGeom>
        <a:solidFill>
          <a:srgbClr val="00B05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ETIC</a:t>
          </a:r>
        </a:p>
      </xdr:txBody>
    </xdr:sp>
    <xdr:clientData/>
  </xdr:twoCellAnchor>
  <xdr:twoCellAnchor>
    <xdr:from>
      <xdr:col>10</xdr:col>
      <xdr:colOff>104775</xdr:colOff>
      <xdr:row>1</xdr:row>
      <xdr:rowOff>57150</xdr:rowOff>
    </xdr:from>
    <xdr:to>
      <xdr:col>11</xdr:col>
      <xdr:colOff>257176</xdr:colOff>
      <xdr:row>4</xdr:row>
      <xdr:rowOff>142875</xdr:rowOff>
    </xdr:to>
    <xdr:sp macro="" textlink="">
      <xdr:nvSpPr>
        <xdr:cNvPr id="5" name="Flèche droite rayée 4">
          <a:hlinkClick xmlns:r="http://schemas.openxmlformats.org/officeDocument/2006/relationships" r:id="rId2"/>
          <a:extLst>
            <a:ext uri="{FF2B5EF4-FFF2-40B4-BE49-F238E27FC236}">
              <a16:creationId xmlns:a16="http://schemas.microsoft.com/office/drawing/2014/main" id="{00000000-0008-0000-1600-000005000000}"/>
            </a:ext>
          </a:extLst>
        </xdr:cNvPr>
        <xdr:cNvSpPr/>
      </xdr:nvSpPr>
      <xdr:spPr bwMode="auto">
        <a:xfrm rot="10800000">
          <a:off x="10553700" y="228600"/>
          <a:ext cx="914401" cy="571500"/>
        </a:xfrm>
        <a:prstGeom prst="stripedRightArrow">
          <a:avLst/>
        </a:prstGeom>
        <a:solidFill>
          <a:srgbClr val="FF000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Liasse</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4</xdr:col>
      <xdr:colOff>66675</xdr:colOff>
      <xdr:row>5</xdr:row>
      <xdr:rowOff>47625</xdr:rowOff>
    </xdr:from>
    <xdr:to>
      <xdr:col>5</xdr:col>
      <xdr:colOff>161925</xdr:colOff>
      <xdr:row>7</xdr:row>
      <xdr:rowOff>180975</xdr:rowOff>
    </xdr:to>
    <xdr:sp macro="" textlink="">
      <xdr:nvSpPr>
        <xdr:cNvPr id="4" name="Flèche droite rayée 3">
          <a:hlinkClick xmlns:r="http://schemas.openxmlformats.org/officeDocument/2006/relationships" r:id="rId1"/>
          <a:extLst>
            <a:ext uri="{FF2B5EF4-FFF2-40B4-BE49-F238E27FC236}">
              <a16:creationId xmlns:a16="http://schemas.microsoft.com/office/drawing/2014/main" id="{00000000-0008-0000-1700-000004000000}"/>
            </a:ext>
          </a:extLst>
        </xdr:cNvPr>
        <xdr:cNvSpPr/>
      </xdr:nvSpPr>
      <xdr:spPr bwMode="auto">
        <a:xfrm rot="10800000">
          <a:off x="7562850" y="866775"/>
          <a:ext cx="914400" cy="571500"/>
        </a:xfrm>
        <a:prstGeom prst="stripedRightArrow">
          <a:avLst/>
        </a:prstGeom>
        <a:solidFill>
          <a:srgbClr val="00B05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ETIC</a:t>
          </a:r>
        </a:p>
      </xdr:txBody>
    </xdr:sp>
    <xdr:clientData/>
  </xdr:twoCellAnchor>
  <xdr:twoCellAnchor>
    <xdr:from>
      <xdr:col>4</xdr:col>
      <xdr:colOff>76200</xdr:colOff>
      <xdr:row>1</xdr:row>
      <xdr:rowOff>85725</xdr:rowOff>
    </xdr:from>
    <xdr:to>
      <xdr:col>5</xdr:col>
      <xdr:colOff>171451</xdr:colOff>
      <xdr:row>5</xdr:row>
      <xdr:rowOff>9525</xdr:rowOff>
    </xdr:to>
    <xdr:sp macro="" textlink="">
      <xdr:nvSpPr>
        <xdr:cNvPr id="5" name="Flèche droite rayée 4">
          <a:hlinkClick xmlns:r="http://schemas.openxmlformats.org/officeDocument/2006/relationships" r:id="rId2"/>
          <a:extLst>
            <a:ext uri="{FF2B5EF4-FFF2-40B4-BE49-F238E27FC236}">
              <a16:creationId xmlns:a16="http://schemas.microsoft.com/office/drawing/2014/main" id="{00000000-0008-0000-1700-000005000000}"/>
            </a:ext>
          </a:extLst>
        </xdr:cNvPr>
        <xdr:cNvSpPr/>
      </xdr:nvSpPr>
      <xdr:spPr bwMode="auto">
        <a:xfrm rot="10800000">
          <a:off x="7572375" y="257175"/>
          <a:ext cx="914401" cy="571500"/>
        </a:xfrm>
        <a:prstGeom prst="stripedRightArrow">
          <a:avLst/>
        </a:prstGeom>
        <a:solidFill>
          <a:srgbClr val="FF000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Liasse</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xdr:col>
      <xdr:colOff>2638425</xdr:colOff>
      <xdr:row>16</xdr:row>
      <xdr:rowOff>9525</xdr:rowOff>
    </xdr:from>
    <xdr:to>
      <xdr:col>4</xdr:col>
      <xdr:colOff>590550</xdr:colOff>
      <xdr:row>19</xdr:row>
      <xdr:rowOff>123825</xdr:rowOff>
    </xdr:to>
    <xdr:sp macro="" textlink="">
      <xdr:nvSpPr>
        <xdr:cNvPr id="7169" name="Texte 1">
          <a:extLst>
            <a:ext uri="{FF2B5EF4-FFF2-40B4-BE49-F238E27FC236}">
              <a16:creationId xmlns:a16="http://schemas.microsoft.com/office/drawing/2014/main" id="{00000000-0008-0000-1800-0000011C0000}"/>
            </a:ext>
          </a:extLst>
        </xdr:cNvPr>
        <xdr:cNvSpPr txBox="1">
          <a:spLocks noChangeArrowheads="1"/>
        </xdr:cNvSpPr>
      </xdr:nvSpPr>
      <xdr:spPr bwMode="auto">
        <a:xfrm>
          <a:off x="2895600" y="2390775"/>
          <a:ext cx="3609975" cy="571500"/>
        </a:xfrm>
        <a:prstGeom prst="rect">
          <a:avLst/>
        </a:prstGeom>
        <a:noFill/>
        <a:ln w="1">
          <a:noFill/>
          <a:miter lim="800000"/>
          <a:headEnd/>
          <a:tailEnd/>
        </a:ln>
      </xdr:spPr>
      <xdr:txBody>
        <a:bodyPr vertOverflow="clip" wrap="square" lIns="64008" tIns="59436" rIns="64008" bIns="0" anchor="t" upright="1"/>
        <a:lstStyle/>
        <a:p>
          <a:pPr algn="ctr" rtl="0">
            <a:defRPr sz="1000"/>
          </a:pPr>
          <a:r>
            <a:rPr lang="fr-FR" sz="3600" b="1" i="1" strike="noStrike">
              <a:solidFill>
                <a:srgbClr val="000000"/>
              </a:solidFill>
              <a:latin typeface="Times New Roman"/>
              <a:cs typeface="Times New Roman"/>
            </a:rPr>
            <a:t>NEANT</a:t>
          </a:r>
        </a:p>
      </xdr:txBody>
    </xdr:sp>
    <xdr:clientData/>
  </xdr:twoCellAnchor>
  <xdr:twoCellAnchor>
    <xdr:from>
      <xdr:col>5</xdr:col>
      <xdr:colOff>200025</xdr:colOff>
      <xdr:row>0</xdr:row>
      <xdr:rowOff>123825</xdr:rowOff>
    </xdr:from>
    <xdr:to>
      <xdr:col>6</xdr:col>
      <xdr:colOff>428626</xdr:colOff>
      <xdr:row>4</xdr:row>
      <xdr:rowOff>47625</xdr:rowOff>
    </xdr:to>
    <xdr:sp macro="" textlink="">
      <xdr:nvSpPr>
        <xdr:cNvPr id="6" name="Flèche droite rayée 5">
          <a:hlinkClick xmlns:r="http://schemas.openxmlformats.org/officeDocument/2006/relationships" r:id="rId1"/>
          <a:extLst>
            <a:ext uri="{FF2B5EF4-FFF2-40B4-BE49-F238E27FC236}">
              <a16:creationId xmlns:a16="http://schemas.microsoft.com/office/drawing/2014/main" id="{00000000-0008-0000-1800-000006000000}"/>
            </a:ext>
          </a:extLst>
        </xdr:cNvPr>
        <xdr:cNvSpPr/>
      </xdr:nvSpPr>
      <xdr:spPr bwMode="auto">
        <a:xfrm rot="10800000">
          <a:off x="7477125" y="123825"/>
          <a:ext cx="914401" cy="571500"/>
        </a:xfrm>
        <a:prstGeom prst="stripedRightArrow">
          <a:avLst/>
        </a:prstGeom>
        <a:solidFill>
          <a:srgbClr val="FF000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Liasse</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9</xdr:col>
      <xdr:colOff>0</xdr:colOff>
      <xdr:row>2</xdr:row>
      <xdr:rowOff>0</xdr:rowOff>
    </xdr:from>
    <xdr:to>
      <xdr:col>9</xdr:col>
      <xdr:colOff>914401</xdr:colOff>
      <xdr:row>5</xdr:row>
      <xdr:rowOff>11906</xdr:rowOff>
    </xdr:to>
    <xdr:sp macro="" textlink="">
      <xdr:nvSpPr>
        <xdr:cNvPr id="4" name="Flèche droite rayée 3">
          <a:hlinkClick xmlns:r="http://schemas.openxmlformats.org/officeDocument/2006/relationships" r:id="rId1"/>
          <a:extLst>
            <a:ext uri="{FF2B5EF4-FFF2-40B4-BE49-F238E27FC236}">
              <a16:creationId xmlns:a16="http://schemas.microsoft.com/office/drawing/2014/main" id="{00000000-0008-0000-1900-000004000000}"/>
            </a:ext>
          </a:extLst>
        </xdr:cNvPr>
        <xdr:cNvSpPr/>
      </xdr:nvSpPr>
      <xdr:spPr bwMode="auto">
        <a:xfrm rot="10800000">
          <a:off x="8822531" y="333375"/>
          <a:ext cx="914401" cy="571500"/>
        </a:xfrm>
        <a:prstGeom prst="stripedRightArrow">
          <a:avLst/>
        </a:prstGeom>
        <a:solidFill>
          <a:srgbClr val="FF000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Liasse</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2</xdr:col>
      <xdr:colOff>47625</xdr:colOff>
      <xdr:row>11</xdr:row>
      <xdr:rowOff>76200</xdr:rowOff>
    </xdr:from>
    <xdr:to>
      <xdr:col>8</xdr:col>
      <xdr:colOff>142875</xdr:colOff>
      <xdr:row>15</xdr:row>
      <xdr:rowOff>123825</xdr:rowOff>
    </xdr:to>
    <xdr:sp macro="" textlink="">
      <xdr:nvSpPr>
        <xdr:cNvPr id="6145" name="Texte 1">
          <a:extLst>
            <a:ext uri="{FF2B5EF4-FFF2-40B4-BE49-F238E27FC236}">
              <a16:creationId xmlns:a16="http://schemas.microsoft.com/office/drawing/2014/main" id="{00000000-0008-0000-1A00-000001180000}"/>
            </a:ext>
          </a:extLst>
        </xdr:cNvPr>
        <xdr:cNvSpPr txBox="1">
          <a:spLocks noChangeArrowheads="1"/>
        </xdr:cNvSpPr>
      </xdr:nvSpPr>
      <xdr:spPr bwMode="auto">
        <a:xfrm>
          <a:off x="1914525" y="2628900"/>
          <a:ext cx="3609975" cy="657225"/>
        </a:xfrm>
        <a:prstGeom prst="rect">
          <a:avLst/>
        </a:prstGeom>
        <a:noFill/>
        <a:ln w="1">
          <a:noFill/>
          <a:miter lim="800000"/>
          <a:headEnd/>
          <a:tailEnd/>
        </a:ln>
      </xdr:spPr>
      <xdr:txBody>
        <a:bodyPr vertOverflow="clip" wrap="square" lIns="64008" tIns="59436" rIns="64008" bIns="0" anchor="t" upright="1"/>
        <a:lstStyle/>
        <a:p>
          <a:pPr algn="ctr" rtl="0">
            <a:defRPr sz="1000"/>
          </a:pPr>
          <a:r>
            <a:rPr lang="fr-FR" sz="3600" b="1" i="1" strike="noStrike">
              <a:solidFill>
                <a:srgbClr val="000000"/>
              </a:solidFill>
              <a:latin typeface="Times New Roman"/>
              <a:cs typeface="Times New Roman"/>
            </a:rPr>
            <a:t>NEANT</a:t>
          </a:r>
        </a:p>
      </xdr:txBody>
    </xdr:sp>
    <xdr:clientData/>
  </xdr:twoCellAnchor>
  <xdr:twoCellAnchor>
    <xdr:from>
      <xdr:col>10</xdr:col>
      <xdr:colOff>0</xdr:colOff>
      <xdr:row>0</xdr:row>
      <xdr:rowOff>57150</xdr:rowOff>
    </xdr:from>
    <xdr:to>
      <xdr:col>11</xdr:col>
      <xdr:colOff>228601</xdr:colOff>
      <xdr:row>3</xdr:row>
      <xdr:rowOff>161925</xdr:rowOff>
    </xdr:to>
    <xdr:sp macro="" textlink="">
      <xdr:nvSpPr>
        <xdr:cNvPr id="5" name="Flèche droite rayée 4">
          <a:hlinkClick xmlns:r="http://schemas.openxmlformats.org/officeDocument/2006/relationships" r:id="rId1"/>
          <a:extLst>
            <a:ext uri="{FF2B5EF4-FFF2-40B4-BE49-F238E27FC236}">
              <a16:creationId xmlns:a16="http://schemas.microsoft.com/office/drawing/2014/main" id="{00000000-0008-0000-1A00-000005000000}"/>
            </a:ext>
          </a:extLst>
        </xdr:cNvPr>
        <xdr:cNvSpPr/>
      </xdr:nvSpPr>
      <xdr:spPr bwMode="auto">
        <a:xfrm rot="10800000">
          <a:off x="6877050" y="57150"/>
          <a:ext cx="914401" cy="571500"/>
        </a:xfrm>
        <a:prstGeom prst="stripedRightArrow">
          <a:avLst/>
        </a:prstGeom>
        <a:solidFill>
          <a:srgbClr val="FF000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Liasse</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12</xdr:col>
      <xdr:colOff>0</xdr:colOff>
      <xdr:row>1</xdr:row>
      <xdr:rowOff>0</xdr:rowOff>
    </xdr:from>
    <xdr:to>
      <xdr:col>13</xdr:col>
      <xdr:colOff>223839</xdr:colOff>
      <xdr:row>4</xdr:row>
      <xdr:rowOff>11907</xdr:rowOff>
    </xdr:to>
    <xdr:sp macro="" textlink="">
      <xdr:nvSpPr>
        <xdr:cNvPr id="3" name="Flèche droite rayée 2">
          <a:hlinkClick xmlns:r="http://schemas.openxmlformats.org/officeDocument/2006/relationships" r:id="rId1"/>
          <a:extLst>
            <a:ext uri="{FF2B5EF4-FFF2-40B4-BE49-F238E27FC236}">
              <a16:creationId xmlns:a16="http://schemas.microsoft.com/office/drawing/2014/main" id="{00000000-0008-0000-1B00-000003000000}"/>
            </a:ext>
          </a:extLst>
        </xdr:cNvPr>
        <xdr:cNvSpPr/>
      </xdr:nvSpPr>
      <xdr:spPr bwMode="auto">
        <a:xfrm rot="10800000">
          <a:off x="9215438" y="166688"/>
          <a:ext cx="914401" cy="571500"/>
        </a:xfrm>
        <a:prstGeom prst="stripedRightArrow">
          <a:avLst/>
        </a:prstGeom>
        <a:solidFill>
          <a:srgbClr val="FF000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Liasse</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9</xdr:col>
      <xdr:colOff>0</xdr:colOff>
      <xdr:row>0</xdr:row>
      <xdr:rowOff>114300</xdr:rowOff>
    </xdr:from>
    <xdr:to>
      <xdr:col>10</xdr:col>
      <xdr:colOff>228601</xdr:colOff>
      <xdr:row>3</xdr:row>
      <xdr:rowOff>190500</xdr:rowOff>
    </xdr:to>
    <xdr:sp macro="" textlink="">
      <xdr:nvSpPr>
        <xdr:cNvPr id="4" name="Flèche droite rayée 3">
          <a:hlinkClick xmlns:r="http://schemas.openxmlformats.org/officeDocument/2006/relationships" r:id="rId1"/>
          <a:extLst>
            <a:ext uri="{FF2B5EF4-FFF2-40B4-BE49-F238E27FC236}">
              <a16:creationId xmlns:a16="http://schemas.microsoft.com/office/drawing/2014/main" id="{00000000-0008-0000-1C00-000004000000}"/>
            </a:ext>
          </a:extLst>
        </xdr:cNvPr>
        <xdr:cNvSpPr/>
      </xdr:nvSpPr>
      <xdr:spPr bwMode="auto">
        <a:xfrm rot="10800000">
          <a:off x="8362950" y="114300"/>
          <a:ext cx="914401" cy="571500"/>
        </a:xfrm>
        <a:prstGeom prst="stripedRightArrow">
          <a:avLst/>
        </a:prstGeom>
        <a:solidFill>
          <a:srgbClr val="FF000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Liasse</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9</xdr:col>
      <xdr:colOff>166684</xdr:colOff>
      <xdr:row>0</xdr:row>
      <xdr:rowOff>119063</xdr:rowOff>
    </xdr:from>
    <xdr:to>
      <xdr:col>10</xdr:col>
      <xdr:colOff>390523</xdr:colOff>
      <xdr:row>4</xdr:row>
      <xdr:rowOff>35719</xdr:rowOff>
    </xdr:to>
    <xdr:sp macro="" textlink="">
      <xdr:nvSpPr>
        <xdr:cNvPr id="5" name="Flèche droite rayée 4">
          <a:hlinkClick xmlns:r="http://schemas.openxmlformats.org/officeDocument/2006/relationships" r:id="rId1"/>
          <a:extLst>
            <a:ext uri="{FF2B5EF4-FFF2-40B4-BE49-F238E27FC236}">
              <a16:creationId xmlns:a16="http://schemas.microsoft.com/office/drawing/2014/main" id="{00000000-0008-0000-1D00-000005000000}"/>
            </a:ext>
          </a:extLst>
        </xdr:cNvPr>
        <xdr:cNvSpPr/>
      </xdr:nvSpPr>
      <xdr:spPr bwMode="auto">
        <a:xfrm rot="10800000">
          <a:off x="11632403" y="119063"/>
          <a:ext cx="914401" cy="571500"/>
        </a:xfrm>
        <a:prstGeom prst="stripedRightArrow">
          <a:avLst/>
        </a:prstGeom>
        <a:solidFill>
          <a:srgbClr val="FF000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Liasse</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4</xdr:col>
      <xdr:colOff>0</xdr:colOff>
      <xdr:row>1</xdr:row>
      <xdr:rowOff>0</xdr:rowOff>
    </xdr:from>
    <xdr:to>
      <xdr:col>5</xdr:col>
      <xdr:colOff>152400</xdr:colOff>
      <xdr:row>4</xdr:row>
      <xdr:rowOff>0</xdr:rowOff>
    </xdr:to>
    <xdr:sp macro="" textlink="">
      <xdr:nvSpPr>
        <xdr:cNvPr id="2" name="Flèche droite rayée 1">
          <a:hlinkClick xmlns:r="http://schemas.openxmlformats.org/officeDocument/2006/relationships" r:id="rId1"/>
          <a:extLst>
            <a:ext uri="{FF2B5EF4-FFF2-40B4-BE49-F238E27FC236}">
              <a16:creationId xmlns:a16="http://schemas.microsoft.com/office/drawing/2014/main" id="{00000000-0008-0000-1E00-000002000000}"/>
            </a:ext>
          </a:extLst>
        </xdr:cNvPr>
        <xdr:cNvSpPr/>
      </xdr:nvSpPr>
      <xdr:spPr bwMode="auto">
        <a:xfrm rot="10800000">
          <a:off x="11391900" y="165100"/>
          <a:ext cx="914400" cy="571500"/>
        </a:xfrm>
        <a:prstGeom prst="stripedRightArrow">
          <a:avLst/>
        </a:prstGeom>
        <a:solidFill>
          <a:srgbClr val="00B05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ETIC</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1885950</xdr:colOff>
      <xdr:row>13</xdr:row>
      <xdr:rowOff>152400</xdr:rowOff>
    </xdr:from>
    <xdr:to>
      <xdr:col>2</xdr:col>
      <xdr:colOff>1924050</xdr:colOff>
      <xdr:row>23</xdr:row>
      <xdr:rowOff>19050</xdr:rowOff>
    </xdr:to>
    <xdr:sp macro="" textlink="">
      <xdr:nvSpPr>
        <xdr:cNvPr id="2" name="Texte 1">
          <a:extLst>
            <a:ext uri="{FF2B5EF4-FFF2-40B4-BE49-F238E27FC236}">
              <a16:creationId xmlns:a16="http://schemas.microsoft.com/office/drawing/2014/main" id="{00000000-0008-0000-1F00-000002000000}"/>
            </a:ext>
          </a:extLst>
        </xdr:cNvPr>
        <xdr:cNvSpPr txBox="1">
          <a:spLocks noChangeArrowheads="1"/>
        </xdr:cNvSpPr>
      </xdr:nvSpPr>
      <xdr:spPr bwMode="auto">
        <a:xfrm>
          <a:off x="2647950" y="2466975"/>
          <a:ext cx="7534275" cy="1676400"/>
        </a:xfrm>
        <a:prstGeom prst="rect">
          <a:avLst/>
        </a:prstGeom>
        <a:noFill/>
        <a:ln w="1">
          <a:noFill/>
          <a:miter lim="800000"/>
          <a:headEnd/>
          <a:tailEnd/>
        </a:ln>
      </xdr:spPr>
      <xdr:txBody>
        <a:bodyPr vertOverflow="clip" wrap="square" lIns="137160" tIns="123444" rIns="137160" bIns="0" anchor="t" upright="1"/>
        <a:lstStyle/>
        <a:p>
          <a:pPr algn="ctr" rtl="0">
            <a:defRPr sz="1000"/>
          </a:pPr>
          <a:r>
            <a:rPr lang="fr-FR" sz="8000" b="1" i="1" strike="noStrike">
              <a:solidFill>
                <a:srgbClr val="000000"/>
              </a:solidFill>
              <a:latin typeface="Times New Roman"/>
              <a:cs typeface="Times New Roman"/>
            </a:rPr>
            <a:t>NEANT</a:t>
          </a:r>
        </a:p>
      </xdr:txBody>
    </xdr:sp>
    <xdr:clientData/>
  </xdr:twoCellAnchor>
  <xdr:twoCellAnchor>
    <xdr:from>
      <xdr:col>0</xdr:col>
      <xdr:colOff>2457450</xdr:colOff>
      <xdr:row>27</xdr:row>
      <xdr:rowOff>95250</xdr:rowOff>
    </xdr:from>
    <xdr:to>
      <xdr:col>2</xdr:col>
      <xdr:colOff>2495550</xdr:colOff>
      <xdr:row>36</xdr:row>
      <xdr:rowOff>133350</xdr:rowOff>
    </xdr:to>
    <xdr:sp macro="" textlink="">
      <xdr:nvSpPr>
        <xdr:cNvPr id="3" name="Texte 1">
          <a:extLst>
            <a:ext uri="{FF2B5EF4-FFF2-40B4-BE49-F238E27FC236}">
              <a16:creationId xmlns:a16="http://schemas.microsoft.com/office/drawing/2014/main" id="{00000000-0008-0000-1F00-000003000000}"/>
            </a:ext>
          </a:extLst>
        </xdr:cNvPr>
        <xdr:cNvSpPr txBox="1">
          <a:spLocks noChangeArrowheads="1"/>
        </xdr:cNvSpPr>
      </xdr:nvSpPr>
      <xdr:spPr bwMode="auto">
        <a:xfrm>
          <a:off x="3219450" y="4953000"/>
          <a:ext cx="7534275" cy="1676400"/>
        </a:xfrm>
        <a:prstGeom prst="rect">
          <a:avLst/>
        </a:prstGeom>
        <a:noFill/>
        <a:ln w="1">
          <a:noFill/>
          <a:miter lim="800000"/>
          <a:headEnd/>
          <a:tailEnd/>
        </a:ln>
      </xdr:spPr>
      <xdr:txBody>
        <a:bodyPr vertOverflow="clip" wrap="square" lIns="137160" tIns="123444" rIns="137160" bIns="0" anchor="t" upright="1"/>
        <a:lstStyle/>
        <a:p>
          <a:pPr algn="ctr" rtl="0">
            <a:defRPr sz="1000"/>
          </a:pPr>
          <a:r>
            <a:rPr lang="fr-FR" sz="8000" b="1" i="1" strike="noStrike">
              <a:solidFill>
                <a:srgbClr val="000000"/>
              </a:solidFill>
              <a:latin typeface="Times New Roman"/>
              <a:cs typeface="Times New Roman"/>
            </a:rPr>
            <a:t>NEANT</a:t>
          </a:r>
        </a:p>
      </xdr:txBody>
    </xdr:sp>
    <xdr:clientData/>
  </xdr:twoCellAnchor>
  <xdr:twoCellAnchor>
    <xdr:from>
      <xdr:col>4</xdr:col>
      <xdr:colOff>0</xdr:colOff>
      <xdr:row>1</xdr:row>
      <xdr:rowOff>0</xdr:rowOff>
    </xdr:from>
    <xdr:to>
      <xdr:col>5</xdr:col>
      <xdr:colOff>152400</xdr:colOff>
      <xdr:row>4</xdr:row>
      <xdr:rowOff>47625</xdr:rowOff>
    </xdr:to>
    <xdr:sp macro="" textlink="">
      <xdr:nvSpPr>
        <xdr:cNvPr id="4" name="Flèche droite rayée 3">
          <a:hlinkClick xmlns:r="http://schemas.openxmlformats.org/officeDocument/2006/relationships" r:id="rId1"/>
          <a:extLst>
            <a:ext uri="{FF2B5EF4-FFF2-40B4-BE49-F238E27FC236}">
              <a16:creationId xmlns:a16="http://schemas.microsoft.com/office/drawing/2014/main" id="{00000000-0008-0000-1F00-000004000000}"/>
            </a:ext>
          </a:extLst>
        </xdr:cNvPr>
        <xdr:cNvSpPr/>
      </xdr:nvSpPr>
      <xdr:spPr bwMode="auto">
        <a:xfrm rot="10800000">
          <a:off x="11644313" y="166688"/>
          <a:ext cx="914400" cy="571500"/>
        </a:xfrm>
        <a:prstGeom prst="stripedRightArrow">
          <a:avLst/>
        </a:prstGeom>
        <a:solidFill>
          <a:srgbClr val="00B05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ETIC</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1</xdr:col>
      <xdr:colOff>66675</xdr:colOff>
      <xdr:row>10</xdr:row>
      <xdr:rowOff>95250</xdr:rowOff>
    </xdr:from>
    <xdr:to>
      <xdr:col>3</xdr:col>
      <xdr:colOff>2247900</xdr:colOff>
      <xdr:row>19</xdr:row>
      <xdr:rowOff>85725</xdr:rowOff>
    </xdr:to>
    <xdr:sp macro="" textlink="">
      <xdr:nvSpPr>
        <xdr:cNvPr id="2" name="Texte 1">
          <a:extLst>
            <a:ext uri="{FF2B5EF4-FFF2-40B4-BE49-F238E27FC236}">
              <a16:creationId xmlns:a16="http://schemas.microsoft.com/office/drawing/2014/main" id="{00000000-0008-0000-2000-000002000000}"/>
            </a:ext>
          </a:extLst>
        </xdr:cNvPr>
        <xdr:cNvSpPr txBox="1">
          <a:spLocks noChangeArrowheads="1"/>
        </xdr:cNvSpPr>
      </xdr:nvSpPr>
      <xdr:spPr bwMode="auto">
        <a:xfrm>
          <a:off x="828675" y="1933575"/>
          <a:ext cx="6686550" cy="1676400"/>
        </a:xfrm>
        <a:prstGeom prst="rect">
          <a:avLst/>
        </a:prstGeom>
        <a:noFill/>
        <a:ln w="1">
          <a:noFill/>
          <a:miter lim="800000"/>
          <a:headEnd/>
          <a:tailEnd/>
        </a:ln>
      </xdr:spPr>
      <xdr:txBody>
        <a:bodyPr vertOverflow="clip" wrap="square" lIns="137160" tIns="123444" rIns="137160" bIns="0" anchor="t" upright="1"/>
        <a:lstStyle/>
        <a:p>
          <a:pPr algn="ctr" rtl="0">
            <a:defRPr sz="1000"/>
          </a:pPr>
          <a:r>
            <a:rPr lang="fr-FR" sz="8000" b="1" i="1" strike="noStrike">
              <a:solidFill>
                <a:srgbClr val="000000"/>
              </a:solidFill>
              <a:latin typeface="Times New Roman"/>
              <a:cs typeface="Times New Roman"/>
            </a:rPr>
            <a:t>NEANT</a:t>
          </a:r>
        </a:p>
      </xdr:txBody>
    </xdr:sp>
    <xdr:clientData/>
  </xdr:twoCellAnchor>
  <xdr:twoCellAnchor>
    <xdr:from>
      <xdr:col>1</xdr:col>
      <xdr:colOff>57150</xdr:colOff>
      <xdr:row>22</xdr:row>
      <xdr:rowOff>171450</xdr:rowOff>
    </xdr:from>
    <xdr:to>
      <xdr:col>3</xdr:col>
      <xdr:colOff>2238375</xdr:colOff>
      <xdr:row>32</xdr:row>
      <xdr:rowOff>38100</xdr:rowOff>
    </xdr:to>
    <xdr:sp macro="" textlink="">
      <xdr:nvSpPr>
        <xdr:cNvPr id="3" name="Texte 1">
          <a:extLst>
            <a:ext uri="{FF2B5EF4-FFF2-40B4-BE49-F238E27FC236}">
              <a16:creationId xmlns:a16="http://schemas.microsoft.com/office/drawing/2014/main" id="{00000000-0008-0000-2000-000003000000}"/>
            </a:ext>
          </a:extLst>
        </xdr:cNvPr>
        <xdr:cNvSpPr txBox="1">
          <a:spLocks noChangeArrowheads="1"/>
        </xdr:cNvSpPr>
      </xdr:nvSpPr>
      <xdr:spPr bwMode="auto">
        <a:xfrm>
          <a:off x="819150" y="4248150"/>
          <a:ext cx="6686550" cy="1676400"/>
        </a:xfrm>
        <a:prstGeom prst="rect">
          <a:avLst/>
        </a:prstGeom>
        <a:noFill/>
        <a:ln w="1">
          <a:noFill/>
          <a:miter lim="800000"/>
          <a:headEnd/>
          <a:tailEnd/>
        </a:ln>
      </xdr:spPr>
      <xdr:txBody>
        <a:bodyPr vertOverflow="clip" wrap="square" lIns="137160" tIns="123444" rIns="137160" bIns="0" anchor="t" upright="1"/>
        <a:lstStyle/>
        <a:p>
          <a:pPr algn="ctr" rtl="0">
            <a:defRPr sz="1000"/>
          </a:pPr>
          <a:r>
            <a:rPr lang="fr-FR" sz="8000" b="1" i="1" strike="noStrike">
              <a:solidFill>
                <a:srgbClr val="000000"/>
              </a:solidFill>
              <a:latin typeface="Times New Roman"/>
              <a:cs typeface="Times New Roman"/>
            </a:rPr>
            <a:t>NEANT</a:t>
          </a:r>
        </a:p>
      </xdr:txBody>
    </xdr:sp>
    <xdr:clientData/>
  </xdr:twoCellAnchor>
  <xdr:twoCellAnchor>
    <xdr:from>
      <xdr:col>5</xdr:col>
      <xdr:colOff>0</xdr:colOff>
      <xdr:row>1</xdr:row>
      <xdr:rowOff>0</xdr:rowOff>
    </xdr:from>
    <xdr:to>
      <xdr:col>6</xdr:col>
      <xdr:colOff>152400</xdr:colOff>
      <xdr:row>4</xdr:row>
      <xdr:rowOff>35719</xdr:rowOff>
    </xdr:to>
    <xdr:sp macro="" textlink="">
      <xdr:nvSpPr>
        <xdr:cNvPr id="4" name="Flèche droite rayée 3">
          <a:hlinkClick xmlns:r="http://schemas.openxmlformats.org/officeDocument/2006/relationships" r:id="rId1"/>
          <a:extLst>
            <a:ext uri="{FF2B5EF4-FFF2-40B4-BE49-F238E27FC236}">
              <a16:creationId xmlns:a16="http://schemas.microsoft.com/office/drawing/2014/main" id="{00000000-0008-0000-2000-000004000000}"/>
            </a:ext>
          </a:extLst>
        </xdr:cNvPr>
        <xdr:cNvSpPr/>
      </xdr:nvSpPr>
      <xdr:spPr bwMode="auto">
        <a:xfrm rot="10800000">
          <a:off x="8453438" y="190500"/>
          <a:ext cx="914400" cy="571500"/>
        </a:xfrm>
        <a:prstGeom prst="stripedRightArrow">
          <a:avLst/>
        </a:prstGeom>
        <a:solidFill>
          <a:srgbClr val="00B05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ETIC</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1</xdr:col>
      <xdr:colOff>561975</xdr:colOff>
      <xdr:row>17</xdr:row>
      <xdr:rowOff>85725</xdr:rowOff>
    </xdr:from>
    <xdr:to>
      <xdr:col>3</xdr:col>
      <xdr:colOff>457200</xdr:colOff>
      <xdr:row>21</xdr:row>
      <xdr:rowOff>95250</xdr:rowOff>
    </xdr:to>
    <xdr:sp macro="" textlink="">
      <xdr:nvSpPr>
        <xdr:cNvPr id="18433" name="Texte 1">
          <a:extLst>
            <a:ext uri="{FF2B5EF4-FFF2-40B4-BE49-F238E27FC236}">
              <a16:creationId xmlns:a16="http://schemas.microsoft.com/office/drawing/2014/main" id="{00000000-0008-0000-2100-000001480000}"/>
            </a:ext>
          </a:extLst>
        </xdr:cNvPr>
        <xdr:cNvSpPr txBox="1">
          <a:spLocks noChangeArrowheads="1"/>
        </xdr:cNvSpPr>
      </xdr:nvSpPr>
      <xdr:spPr bwMode="auto">
        <a:xfrm>
          <a:off x="971550" y="3038475"/>
          <a:ext cx="3609975" cy="657225"/>
        </a:xfrm>
        <a:prstGeom prst="rect">
          <a:avLst/>
        </a:prstGeom>
        <a:noFill/>
        <a:ln w="1">
          <a:noFill/>
          <a:miter lim="800000"/>
          <a:headEnd/>
          <a:tailEnd/>
        </a:ln>
      </xdr:spPr>
      <xdr:txBody>
        <a:bodyPr vertOverflow="clip" wrap="square" lIns="64008" tIns="59436" rIns="64008" bIns="0" anchor="t" upright="1"/>
        <a:lstStyle/>
        <a:p>
          <a:pPr algn="ctr" rtl="0">
            <a:defRPr sz="1000"/>
          </a:pPr>
          <a:r>
            <a:rPr lang="fr-FR" sz="3600" b="1" i="1" strike="noStrike">
              <a:solidFill>
                <a:srgbClr val="000000"/>
              </a:solidFill>
              <a:latin typeface="Times New Roman"/>
              <a:cs typeface="Times New Roman"/>
            </a:rPr>
            <a:t>NEANT</a:t>
          </a:r>
        </a:p>
      </xdr:txBody>
    </xdr:sp>
    <xdr:clientData/>
  </xdr:twoCellAnchor>
  <xdr:twoCellAnchor>
    <xdr:from>
      <xdr:col>5</xdr:col>
      <xdr:colOff>0</xdr:colOff>
      <xdr:row>1</xdr:row>
      <xdr:rowOff>0</xdr:rowOff>
    </xdr:from>
    <xdr:to>
      <xdr:col>6</xdr:col>
      <xdr:colOff>228600</xdr:colOff>
      <xdr:row>4</xdr:row>
      <xdr:rowOff>47625</xdr:rowOff>
    </xdr:to>
    <xdr:sp macro="" textlink="">
      <xdr:nvSpPr>
        <xdr:cNvPr id="3" name="Flèche droite rayée 2">
          <a:hlinkClick xmlns:r="http://schemas.openxmlformats.org/officeDocument/2006/relationships" r:id="rId1"/>
          <a:extLst>
            <a:ext uri="{FF2B5EF4-FFF2-40B4-BE49-F238E27FC236}">
              <a16:creationId xmlns:a16="http://schemas.microsoft.com/office/drawing/2014/main" id="{00000000-0008-0000-2100-000003000000}"/>
            </a:ext>
          </a:extLst>
        </xdr:cNvPr>
        <xdr:cNvSpPr/>
      </xdr:nvSpPr>
      <xdr:spPr bwMode="auto">
        <a:xfrm rot="10800000">
          <a:off x="5629275" y="161925"/>
          <a:ext cx="914400" cy="571500"/>
        </a:xfrm>
        <a:prstGeom prst="stripedRightArrow">
          <a:avLst/>
        </a:prstGeom>
        <a:solidFill>
          <a:srgbClr val="00B05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ETIC</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9</xdr:col>
      <xdr:colOff>0</xdr:colOff>
      <xdr:row>1</xdr:row>
      <xdr:rowOff>0</xdr:rowOff>
    </xdr:from>
    <xdr:to>
      <xdr:col>10</xdr:col>
      <xdr:colOff>223837</xdr:colOff>
      <xdr:row>4</xdr:row>
      <xdr:rowOff>71438</xdr:rowOff>
    </xdr:to>
    <xdr:sp macro="" textlink="">
      <xdr:nvSpPr>
        <xdr:cNvPr id="2" name="Flèche droite rayée 1">
          <a:hlinkClick xmlns:r="http://schemas.openxmlformats.org/officeDocument/2006/relationships" r:id="rId1"/>
          <a:extLst>
            <a:ext uri="{FF2B5EF4-FFF2-40B4-BE49-F238E27FC236}">
              <a16:creationId xmlns:a16="http://schemas.microsoft.com/office/drawing/2014/main" id="{00000000-0008-0000-2200-000002000000}"/>
            </a:ext>
          </a:extLst>
        </xdr:cNvPr>
        <xdr:cNvSpPr/>
      </xdr:nvSpPr>
      <xdr:spPr bwMode="auto">
        <a:xfrm rot="10800000">
          <a:off x="10572750" y="166688"/>
          <a:ext cx="914400" cy="571500"/>
        </a:xfrm>
        <a:prstGeom prst="stripedRightArrow">
          <a:avLst/>
        </a:prstGeom>
        <a:solidFill>
          <a:srgbClr val="00B05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ETIC</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9</xdr:col>
      <xdr:colOff>0</xdr:colOff>
      <xdr:row>1</xdr:row>
      <xdr:rowOff>0</xdr:rowOff>
    </xdr:from>
    <xdr:to>
      <xdr:col>10</xdr:col>
      <xdr:colOff>152400</xdr:colOff>
      <xdr:row>4</xdr:row>
      <xdr:rowOff>71438</xdr:rowOff>
    </xdr:to>
    <xdr:sp macro="" textlink="">
      <xdr:nvSpPr>
        <xdr:cNvPr id="2" name="Flèche droite rayée 1">
          <a:hlinkClick xmlns:r="http://schemas.openxmlformats.org/officeDocument/2006/relationships" r:id="rId1"/>
          <a:extLst>
            <a:ext uri="{FF2B5EF4-FFF2-40B4-BE49-F238E27FC236}">
              <a16:creationId xmlns:a16="http://schemas.microsoft.com/office/drawing/2014/main" id="{00000000-0008-0000-2300-000002000000}"/>
            </a:ext>
          </a:extLst>
        </xdr:cNvPr>
        <xdr:cNvSpPr/>
      </xdr:nvSpPr>
      <xdr:spPr bwMode="auto">
        <a:xfrm rot="10800000">
          <a:off x="12644438" y="166688"/>
          <a:ext cx="914400" cy="571500"/>
        </a:xfrm>
        <a:prstGeom prst="stripedRightArrow">
          <a:avLst/>
        </a:prstGeom>
        <a:solidFill>
          <a:srgbClr val="00B05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ETIC</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1</xdr:col>
      <xdr:colOff>304800</xdr:colOff>
      <xdr:row>12</xdr:row>
      <xdr:rowOff>85725</xdr:rowOff>
    </xdr:from>
    <xdr:to>
      <xdr:col>5</xdr:col>
      <xdr:colOff>1381125</xdr:colOff>
      <xdr:row>21</xdr:row>
      <xdr:rowOff>123825</xdr:rowOff>
    </xdr:to>
    <xdr:sp macro="" textlink="">
      <xdr:nvSpPr>
        <xdr:cNvPr id="21505" name="Text Box 1">
          <a:extLst>
            <a:ext uri="{FF2B5EF4-FFF2-40B4-BE49-F238E27FC236}">
              <a16:creationId xmlns:a16="http://schemas.microsoft.com/office/drawing/2014/main" id="{00000000-0008-0000-2400-000001540000}"/>
            </a:ext>
          </a:extLst>
        </xdr:cNvPr>
        <xdr:cNvSpPr txBox="1">
          <a:spLocks noChangeArrowheads="1"/>
        </xdr:cNvSpPr>
      </xdr:nvSpPr>
      <xdr:spPr bwMode="auto">
        <a:xfrm>
          <a:off x="2228850" y="2028825"/>
          <a:ext cx="5181600" cy="1495425"/>
        </a:xfrm>
        <a:prstGeom prst="rect">
          <a:avLst/>
        </a:prstGeom>
        <a:solidFill>
          <a:srgbClr val="FFFFFF"/>
        </a:solidFill>
        <a:ln w="9525">
          <a:noFill/>
          <a:miter lim="800000"/>
          <a:headEnd/>
          <a:tailEnd/>
        </a:ln>
      </xdr:spPr>
      <xdr:txBody>
        <a:bodyPr vertOverflow="clip" wrap="square" lIns="118872" tIns="105156" rIns="118872" bIns="0" anchor="t" upright="1"/>
        <a:lstStyle/>
        <a:p>
          <a:pPr algn="ctr" rtl="0">
            <a:defRPr sz="1000"/>
          </a:pPr>
          <a:r>
            <a:rPr lang="fr-FR" sz="6800" b="1" i="1" strike="noStrike">
              <a:solidFill>
                <a:srgbClr val="000000"/>
              </a:solidFill>
              <a:latin typeface="Times New Roman"/>
              <a:cs typeface="Times New Roman"/>
            </a:rPr>
            <a:t>NEANT</a:t>
          </a:r>
        </a:p>
      </xdr:txBody>
    </xdr:sp>
    <xdr:clientData/>
  </xdr:twoCellAnchor>
  <xdr:twoCellAnchor>
    <xdr:from>
      <xdr:col>7</xdr:col>
      <xdr:colOff>0</xdr:colOff>
      <xdr:row>1</xdr:row>
      <xdr:rowOff>0</xdr:rowOff>
    </xdr:from>
    <xdr:to>
      <xdr:col>8</xdr:col>
      <xdr:colOff>228600</xdr:colOff>
      <xdr:row>4</xdr:row>
      <xdr:rowOff>85725</xdr:rowOff>
    </xdr:to>
    <xdr:sp macro="" textlink="">
      <xdr:nvSpPr>
        <xdr:cNvPr id="3" name="Flèche droite rayée 2">
          <a:hlinkClick xmlns:r="http://schemas.openxmlformats.org/officeDocument/2006/relationships" r:id="rId1"/>
          <a:extLst>
            <a:ext uri="{FF2B5EF4-FFF2-40B4-BE49-F238E27FC236}">
              <a16:creationId xmlns:a16="http://schemas.microsoft.com/office/drawing/2014/main" id="{00000000-0008-0000-2400-000003000000}"/>
            </a:ext>
          </a:extLst>
        </xdr:cNvPr>
        <xdr:cNvSpPr/>
      </xdr:nvSpPr>
      <xdr:spPr bwMode="auto">
        <a:xfrm rot="10800000">
          <a:off x="8639175" y="161925"/>
          <a:ext cx="914400" cy="571500"/>
        </a:xfrm>
        <a:prstGeom prst="stripedRightArrow">
          <a:avLst/>
        </a:prstGeom>
        <a:solidFill>
          <a:srgbClr val="00B05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ETIC</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5</xdr:col>
      <xdr:colOff>0</xdr:colOff>
      <xdr:row>1</xdr:row>
      <xdr:rowOff>0</xdr:rowOff>
    </xdr:from>
    <xdr:to>
      <xdr:col>6</xdr:col>
      <xdr:colOff>238125</xdr:colOff>
      <xdr:row>4</xdr:row>
      <xdr:rowOff>85725</xdr:rowOff>
    </xdr:to>
    <xdr:sp macro="" textlink="">
      <xdr:nvSpPr>
        <xdr:cNvPr id="2" name="Flèche droite rayée 1">
          <a:hlinkClick xmlns:r="http://schemas.openxmlformats.org/officeDocument/2006/relationships" r:id="rId1"/>
          <a:extLst>
            <a:ext uri="{FF2B5EF4-FFF2-40B4-BE49-F238E27FC236}">
              <a16:creationId xmlns:a16="http://schemas.microsoft.com/office/drawing/2014/main" id="{00000000-0008-0000-2500-000002000000}"/>
            </a:ext>
          </a:extLst>
        </xdr:cNvPr>
        <xdr:cNvSpPr/>
      </xdr:nvSpPr>
      <xdr:spPr bwMode="auto">
        <a:xfrm rot="10800000">
          <a:off x="6238875" y="200025"/>
          <a:ext cx="914400" cy="571500"/>
        </a:xfrm>
        <a:prstGeom prst="stripedRightArrow">
          <a:avLst/>
        </a:prstGeom>
        <a:solidFill>
          <a:srgbClr val="00B05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ETIC</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1504950</xdr:colOff>
      <xdr:row>22</xdr:row>
      <xdr:rowOff>95250</xdr:rowOff>
    </xdr:from>
    <xdr:to>
      <xdr:col>0</xdr:col>
      <xdr:colOff>5114925</xdr:colOff>
      <xdr:row>26</xdr:row>
      <xdr:rowOff>104775</xdr:rowOff>
    </xdr:to>
    <xdr:sp macro="" textlink="">
      <xdr:nvSpPr>
        <xdr:cNvPr id="12289" name="Texte 1">
          <a:extLst>
            <a:ext uri="{FF2B5EF4-FFF2-40B4-BE49-F238E27FC236}">
              <a16:creationId xmlns:a16="http://schemas.microsoft.com/office/drawing/2014/main" id="{00000000-0008-0000-2600-000001300000}"/>
            </a:ext>
          </a:extLst>
        </xdr:cNvPr>
        <xdr:cNvSpPr txBox="1">
          <a:spLocks noChangeArrowheads="1"/>
        </xdr:cNvSpPr>
      </xdr:nvSpPr>
      <xdr:spPr bwMode="auto">
        <a:xfrm>
          <a:off x="1504950" y="3695700"/>
          <a:ext cx="3609975" cy="657225"/>
        </a:xfrm>
        <a:prstGeom prst="rect">
          <a:avLst/>
        </a:prstGeom>
        <a:noFill/>
        <a:ln w="1">
          <a:noFill/>
          <a:miter lim="800000"/>
          <a:headEnd/>
          <a:tailEnd/>
        </a:ln>
      </xdr:spPr>
      <xdr:txBody>
        <a:bodyPr vertOverflow="clip" wrap="square" lIns="64008" tIns="59436" rIns="64008" bIns="0" anchor="t" upright="1"/>
        <a:lstStyle/>
        <a:p>
          <a:pPr algn="ctr" rtl="0">
            <a:defRPr sz="1000"/>
          </a:pPr>
          <a:r>
            <a:rPr lang="fr-FR" sz="3600" b="1" i="1" strike="noStrike">
              <a:solidFill>
                <a:srgbClr val="000000"/>
              </a:solidFill>
              <a:latin typeface="Times New Roman"/>
              <a:cs typeface="Times New Roman"/>
            </a:rPr>
            <a:t>NEANT</a:t>
          </a:r>
        </a:p>
      </xdr:txBody>
    </xdr:sp>
    <xdr:clientData/>
  </xdr:twoCellAnchor>
  <xdr:twoCellAnchor>
    <xdr:from>
      <xdr:col>3</xdr:col>
      <xdr:colOff>0</xdr:colOff>
      <xdr:row>1</xdr:row>
      <xdr:rowOff>0</xdr:rowOff>
    </xdr:from>
    <xdr:to>
      <xdr:col>4</xdr:col>
      <xdr:colOff>228600</xdr:colOff>
      <xdr:row>4</xdr:row>
      <xdr:rowOff>85725</xdr:rowOff>
    </xdr:to>
    <xdr:sp macro="" textlink="">
      <xdr:nvSpPr>
        <xdr:cNvPr id="3" name="Flèche droite rayée 2">
          <a:hlinkClick xmlns:r="http://schemas.openxmlformats.org/officeDocument/2006/relationships" r:id="rId1"/>
          <a:extLst>
            <a:ext uri="{FF2B5EF4-FFF2-40B4-BE49-F238E27FC236}">
              <a16:creationId xmlns:a16="http://schemas.microsoft.com/office/drawing/2014/main" id="{00000000-0008-0000-2600-000003000000}"/>
            </a:ext>
          </a:extLst>
        </xdr:cNvPr>
        <xdr:cNvSpPr/>
      </xdr:nvSpPr>
      <xdr:spPr bwMode="auto">
        <a:xfrm rot="10800000">
          <a:off x="7077075" y="200025"/>
          <a:ext cx="914400" cy="571500"/>
        </a:xfrm>
        <a:prstGeom prst="stripedRightArrow">
          <a:avLst/>
        </a:prstGeom>
        <a:solidFill>
          <a:srgbClr val="00B05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ETIC</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1</xdr:col>
      <xdr:colOff>19050</xdr:colOff>
      <xdr:row>5</xdr:row>
      <xdr:rowOff>0</xdr:rowOff>
    </xdr:from>
    <xdr:to>
      <xdr:col>8</xdr:col>
      <xdr:colOff>676275</xdr:colOff>
      <xdr:row>10</xdr:row>
      <xdr:rowOff>57150</xdr:rowOff>
    </xdr:to>
    <xdr:sp macro="" textlink="">
      <xdr:nvSpPr>
        <xdr:cNvPr id="20624" name="Text Box 1">
          <a:extLst>
            <a:ext uri="{FF2B5EF4-FFF2-40B4-BE49-F238E27FC236}">
              <a16:creationId xmlns:a16="http://schemas.microsoft.com/office/drawing/2014/main" id="{00000000-0008-0000-2700-000090500000}"/>
            </a:ext>
          </a:extLst>
        </xdr:cNvPr>
        <xdr:cNvSpPr txBox="1">
          <a:spLocks noChangeArrowheads="1"/>
        </xdr:cNvSpPr>
      </xdr:nvSpPr>
      <xdr:spPr bwMode="auto">
        <a:xfrm>
          <a:off x="704850" y="828675"/>
          <a:ext cx="5457825" cy="866775"/>
        </a:xfrm>
        <a:prstGeom prst="rect">
          <a:avLst/>
        </a:prstGeom>
        <a:solidFill>
          <a:srgbClr val="FFFFFF"/>
        </a:solidFill>
        <a:ln w="9525">
          <a:noFill/>
          <a:miter lim="800000"/>
          <a:headEnd/>
          <a:tailEnd/>
        </a:ln>
      </xdr:spPr>
    </xdr:sp>
    <xdr:clientData/>
  </xdr:twoCellAnchor>
  <xdr:twoCellAnchor>
    <xdr:from>
      <xdr:col>0</xdr:col>
      <xdr:colOff>361950</xdr:colOff>
      <xdr:row>4</xdr:row>
      <xdr:rowOff>142875</xdr:rowOff>
    </xdr:from>
    <xdr:to>
      <xdr:col>8</xdr:col>
      <xdr:colOff>190500</xdr:colOff>
      <xdr:row>9</xdr:row>
      <xdr:rowOff>85725</xdr:rowOff>
    </xdr:to>
    <xdr:sp macro="" textlink="">
      <xdr:nvSpPr>
        <xdr:cNvPr id="20483" name="Text Box 3">
          <a:extLst>
            <a:ext uri="{FF2B5EF4-FFF2-40B4-BE49-F238E27FC236}">
              <a16:creationId xmlns:a16="http://schemas.microsoft.com/office/drawing/2014/main" id="{00000000-0008-0000-2700-000003500000}"/>
            </a:ext>
          </a:extLst>
        </xdr:cNvPr>
        <xdr:cNvSpPr txBox="1">
          <a:spLocks noChangeArrowheads="1"/>
        </xdr:cNvSpPr>
      </xdr:nvSpPr>
      <xdr:spPr bwMode="auto">
        <a:xfrm>
          <a:off x="333375" y="933450"/>
          <a:ext cx="5314950" cy="75247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r>
            <a:rPr lang="fr-FR" sz="1100">
              <a:latin typeface="+mn-lt"/>
              <a:ea typeface="+mn-ea"/>
              <a:cs typeface="+mn-cs"/>
            </a:rPr>
            <a:t>Les passifs éventuels peuvent découler d'un contrôle éventuel de l'administration fiscale au titre des exercices non  prescrits et ce pour l'Impôt sur les Sociétés (IS), l'Impôt sur le Revenu (IR), la Taxe sur la Valeur Ajoutée (TVA) et les autres impôts et taxes indirects. </a:t>
          </a:r>
        </a:p>
      </xdr:txBody>
    </xdr:sp>
    <xdr:clientData/>
  </xdr:twoCellAnchor>
  <xdr:twoCellAnchor>
    <xdr:from>
      <xdr:col>9</xdr:col>
      <xdr:colOff>0</xdr:colOff>
      <xdr:row>1</xdr:row>
      <xdr:rowOff>0</xdr:rowOff>
    </xdr:from>
    <xdr:to>
      <xdr:col>10</xdr:col>
      <xdr:colOff>228600</xdr:colOff>
      <xdr:row>4</xdr:row>
      <xdr:rowOff>66675</xdr:rowOff>
    </xdr:to>
    <xdr:sp macro="" textlink="">
      <xdr:nvSpPr>
        <xdr:cNvPr id="4" name="Flèche droite rayée 3">
          <a:hlinkClick xmlns:r="http://schemas.openxmlformats.org/officeDocument/2006/relationships" r:id="rId1"/>
          <a:extLst>
            <a:ext uri="{FF2B5EF4-FFF2-40B4-BE49-F238E27FC236}">
              <a16:creationId xmlns:a16="http://schemas.microsoft.com/office/drawing/2014/main" id="{00000000-0008-0000-2700-000004000000}"/>
            </a:ext>
          </a:extLst>
        </xdr:cNvPr>
        <xdr:cNvSpPr/>
      </xdr:nvSpPr>
      <xdr:spPr bwMode="auto">
        <a:xfrm rot="10800000">
          <a:off x="6172200" y="161925"/>
          <a:ext cx="914400" cy="571500"/>
        </a:xfrm>
        <a:prstGeom prst="stripedRightArrow">
          <a:avLst/>
        </a:prstGeom>
        <a:solidFill>
          <a:srgbClr val="00B05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ETIC</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5</xdr:col>
      <xdr:colOff>0</xdr:colOff>
      <xdr:row>1</xdr:row>
      <xdr:rowOff>0</xdr:rowOff>
    </xdr:from>
    <xdr:to>
      <xdr:col>6</xdr:col>
      <xdr:colOff>152400</xdr:colOff>
      <xdr:row>4</xdr:row>
      <xdr:rowOff>95250</xdr:rowOff>
    </xdr:to>
    <xdr:sp macro="" textlink="">
      <xdr:nvSpPr>
        <xdr:cNvPr id="2" name="Flèche droite rayée 1">
          <a:hlinkClick xmlns:r="http://schemas.openxmlformats.org/officeDocument/2006/relationships" r:id="rId1"/>
          <a:extLst>
            <a:ext uri="{FF2B5EF4-FFF2-40B4-BE49-F238E27FC236}">
              <a16:creationId xmlns:a16="http://schemas.microsoft.com/office/drawing/2014/main" id="{00000000-0008-0000-2800-000002000000}"/>
            </a:ext>
          </a:extLst>
        </xdr:cNvPr>
        <xdr:cNvSpPr/>
      </xdr:nvSpPr>
      <xdr:spPr bwMode="auto">
        <a:xfrm rot="10800000">
          <a:off x="8868833" y="201083"/>
          <a:ext cx="914400" cy="571500"/>
        </a:xfrm>
        <a:prstGeom prst="stripedRightArrow">
          <a:avLst/>
        </a:prstGeom>
        <a:solidFill>
          <a:srgbClr val="00B05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ETIC</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1</xdr:col>
      <xdr:colOff>685800</xdr:colOff>
      <xdr:row>17</xdr:row>
      <xdr:rowOff>66675</xdr:rowOff>
    </xdr:from>
    <xdr:to>
      <xdr:col>3</xdr:col>
      <xdr:colOff>419100</xdr:colOff>
      <xdr:row>20</xdr:row>
      <xdr:rowOff>152400</xdr:rowOff>
    </xdr:to>
    <xdr:sp macro="" textlink="">
      <xdr:nvSpPr>
        <xdr:cNvPr id="19457" name="Texte 1">
          <a:extLst>
            <a:ext uri="{FF2B5EF4-FFF2-40B4-BE49-F238E27FC236}">
              <a16:creationId xmlns:a16="http://schemas.microsoft.com/office/drawing/2014/main" id="{00000000-0008-0000-2900-0000014C0000}"/>
            </a:ext>
          </a:extLst>
        </xdr:cNvPr>
        <xdr:cNvSpPr txBox="1">
          <a:spLocks noChangeArrowheads="1"/>
        </xdr:cNvSpPr>
      </xdr:nvSpPr>
      <xdr:spPr bwMode="auto">
        <a:xfrm>
          <a:off x="1095375" y="3028950"/>
          <a:ext cx="3609975" cy="657225"/>
        </a:xfrm>
        <a:prstGeom prst="rect">
          <a:avLst/>
        </a:prstGeom>
        <a:noFill/>
        <a:ln w="1">
          <a:noFill/>
          <a:miter lim="800000"/>
          <a:headEnd/>
          <a:tailEnd/>
        </a:ln>
      </xdr:spPr>
      <xdr:txBody>
        <a:bodyPr vertOverflow="clip" wrap="square" lIns="64008" tIns="59436" rIns="64008" bIns="0" anchor="t" upright="1"/>
        <a:lstStyle/>
        <a:p>
          <a:pPr algn="ctr" rtl="0">
            <a:defRPr sz="1000"/>
          </a:pPr>
          <a:r>
            <a:rPr lang="fr-FR" sz="3600" b="1" i="1" strike="noStrike">
              <a:solidFill>
                <a:srgbClr val="000000"/>
              </a:solidFill>
              <a:latin typeface="Times New Roman"/>
              <a:cs typeface="Times New Roman"/>
            </a:rPr>
            <a:t>NEANT</a:t>
          </a:r>
        </a:p>
      </xdr:txBody>
    </xdr:sp>
    <xdr:clientData/>
  </xdr:twoCellAnchor>
  <xdr:twoCellAnchor>
    <xdr:from>
      <xdr:col>5</xdr:col>
      <xdr:colOff>0</xdr:colOff>
      <xdr:row>1</xdr:row>
      <xdr:rowOff>0</xdr:rowOff>
    </xdr:from>
    <xdr:to>
      <xdr:col>6</xdr:col>
      <xdr:colOff>152400</xdr:colOff>
      <xdr:row>4</xdr:row>
      <xdr:rowOff>85725</xdr:rowOff>
    </xdr:to>
    <xdr:sp macro="" textlink="">
      <xdr:nvSpPr>
        <xdr:cNvPr id="3" name="Flèche droite rayée 2">
          <a:hlinkClick xmlns:r="http://schemas.openxmlformats.org/officeDocument/2006/relationships" r:id="rId1"/>
          <a:extLst>
            <a:ext uri="{FF2B5EF4-FFF2-40B4-BE49-F238E27FC236}">
              <a16:creationId xmlns:a16="http://schemas.microsoft.com/office/drawing/2014/main" id="{00000000-0008-0000-2900-000003000000}"/>
            </a:ext>
          </a:extLst>
        </xdr:cNvPr>
        <xdr:cNvSpPr/>
      </xdr:nvSpPr>
      <xdr:spPr bwMode="auto">
        <a:xfrm rot="10800000">
          <a:off x="6096000" y="200025"/>
          <a:ext cx="914400" cy="571500"/>
        </a:xfrm>
        <a:prstGeom prst="stripedRightArrow">
          <a:avLst/>
        </a:prstGeom>
        <a:solidFill>
          <a:srgbClr val="00B05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ETIC</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2</xdr:col>
      <xdr:colOff>247650</xdr:colOff>
      <xdr:row>33</xdr:row>
      <xdr:rowOff>76200</xdr:rowOff>
    </xdr:from>
    <xdr:to>
      <xdr:col>3</xdr:col>
      <xdr:colOff>885825</xdr:colOff>
      <xdr:row>37</xdr:row>
      <xdr:rowOff>76200</xdr:rowOff>
    </xdr:to>
    <xdr:sp macro="" textlink="">
      <xdr:nvSpPr>
        <xdr:cNvPr id="11265" name="Texte 1">
          <a:extLst>
            <a:ext uri="{FF2B5EF4-FFF2-40B4-BE49-F238E27FC236}">
              <a16:creationId xmlns:a16="http://schemas.microsoft.com/office/drawing/2014/main" id="{00000000-0008-0000-2A00-0000012C0000}"/>
            </a:ext>
          </a:extLst>
        </xdr:cNvPr>
        <xdr:cNvSpPr txBox="1">
          <a:spLocks noChangeArrowheads="1"/>
        </xdr:cNvSpPr>
      </xdr:nvSpPr>
      <xdr:spPr bwMode="auto">
        <a:xfrm>
          <a:off x="1504950" y="5476875"/>
          <a:ext cx="3609975" cy="657225"/>
        </a:xfrm>
        <a:prstGeom prst="rect">
          <a:avLst/>
        </a:prstGeom>
        <a:noFill/>
        <a:ln w="1">
          <a:noFill/>
          <a:miter lim="800000"/>
          <a:headEnd/>
          <a:tailEnd/>
        </a:ln>
      </xdr:spPr>
      <xdr:txBody>
        <a:bodyPr vertOverflow="clip" wrap="square" lIns="64008" tIns="59436" rIns="64008" bIns="0" anchor="t" upright="1"/>
        <a:lstStyle/>
        <a:p>
          <a:pPr algn="ctr" rtl="0">
            <a:defRPr sz="1000"/>
          </a:pPr>
          <a:r>
            <a:rPr lang="fr-FR" sz="3600" b="1" i="1" strike="noStrike">
              <a:solidFill>
                <a:srgbClr val="000000"/>
              </a:solidFill>
              <a:latin typeface="Times New Roman"/>
              <a:cs typeface="Times New Roman"/>
            </a:rPr>
            <a:t>NEANT</a:t>
          </a:r>
        </a:p>
      </xdr:txBody>
    </xdr:sp>
    <xdr:clientData/>
  </xdr:twoCellAnchor>
  <xdr:twoCellAnchor>
    <xdr:from>
      <xdr:col>6</xdr:col>
      <xdr:colOff>647700</xdr:colOff>
      <xdr:row>0</xdr:row>
      <xdr:rowOff>142875</xdr:rowOff>
    </xdr:from>
    <xdr:to>
      <xdr:col>8</xdr:col>
      <xdr:colOff>38100</xdr:colOff>
      <xdr:row>4</xdr:row>
      <xdr:rowOff>28575</xdr:rowOff>
    </xdr:to>
    <xdr:sp macro="" textlink="">
      <xdr:nvSpPr>
        <xdr:cNvPr id="3" name="Flèche droite rayée 2">
          <a:hlinkClick xmlns:r="http://schemas.openxmlformats.org/officeDocument/2006/relationships" r:id="rId1"/>
          <a:extLst>
            <a:ext uri="{FF2B5EF4-FFF2-40B4-BE49-F238E27FC236}">
              <a16:creationId xmlns:a16="http://schemas.microsoft.com/office/drawing/2014/main" id="{00000000-0008-0000-2A00-000003000000}"/>
            </a:ext>
          </a:extLst>
        </xdr:cNvPr>
        <xdr:cNvSpPr/>
      </xdr:nvSpPr>
      <xdr:spPr bwMode="auto">
        <a:xfrm rot="10800000">
          <a:off x="7372350" y="142875"/>
          <a:ext cx="914400" cy="571500"/>
        </a:xfrm>
        <a:prstGeom prst="stripedRightArrow">
          <a:avLst/>
        </a:prstGeom>
        <a:solidFill>
          <a:srgbClr val="00B05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ETIC</a:t>
          </a:r>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8</xdr:col>
      <xdr:colOff>0</xdr:colOff>
      <xdr:row>1</xdr:row>
      <xdr:rowOff>0</xdr:rowOff>
    </xdr:from>
    <xdr:to>
      <xdr:col>8</xdr:col>
      <xdr:colOff>914400</xdr:colOff>
      <xdr:row>4</xdr:row>
      <xdr:rowOff>47625</xdr:rowOff>
    </xdr:to>
    <xdr:sp macro="" textlink="">
      <xdr:nvSpPr>
        <xdr:cNvPr id="2" name="Flèche droite rayée 1">
          <a:hlinkClick xmlns:r="http://schemas.openxmlformats.org/officeDocument/2006/relationships" r:id="rId1"/>
          <a:extLst>
            <a:ext uri="{FF2B5EF4-FFF2-40B4-BE49-F238E27FC236}">
              <a16:creationId xmlns:a16="http://schemas.microsoft.com/office/drawing/2014/main" id="{00000000-0008-0000-2B00-000002000000}"/>
            </a:ext>
          </a:extLst>
        </xdr:cNvPr>
        <xdr:cNvSpPr/>
      </xdr:nvSpPr>
      <xdr:spPr bwMode="auto">
        <a:xfrm rot="10800000">
          <a:off x="8143875" y="200025"/>
          <a:ext cx="914400" cy="571500"/>
        </a:xfrm>
        <a:prstGeom prst="stripedRightArrow">
          <a:avLst/>
        </a:prstGeom>
        <a:solidFill>
          <a:srgbClr val="00B050"/>
        </a:solidFill>
        <a:ln w="9525" cap="flat" cmpd="sng" algn="ctr">
          <a:no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txBody>
        <a:bodyPr vertOverflow="clip" wrap="square" lIns="18288" tIns="0" rIns="0" bIns="0" rtlCol="0" anchor="ctr" upright="1"/>
        <a:lstStyle/>
        <a:p>
          <a:pPr algn="ctr"/>
          <a:r>
            <a:rPr lang="fr-FR" sz="1600" b="1"/>
            <a:t>ETIC</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UADEN/LIASSE%20FISCALE%202007/LIASSE%20FISCALE/LIASSE%20FISCALE%202007%20LAST%20VERSI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E DE GARDE"/>
      <sheetName val="ESG"/>
      <sheetName val="TABLEAUX ANNEXES"/>
      <sheetName val="TABLEAU7"/>
      <sheetName val="TABLAU10"/>
      <sheetName val="TABLAU11"/>
      <sheetName val="TABLAU13"/>
      <sheetName val="TABLAU16 (FRAIS PRELIM)"/>
      <sheetName val="TABLAU16 (BREVETS) "/>
      <sheetName val="TABLAU16 (mat &amp; out)"/>
      <sheetName val="TABLAU16 (mat transport)"/>
      <sheetName val="TABLAU16 (MOBILIER DE BUREAU)"/>
      <sheetName val="TABLAU16(MAT.bur)"/>
      <sheetName val="TABLAU16 (mat-INFO)"/>
      <sheetName val="TABLAU16 (Mat.info suite1)"/>
      <sheetName val="TABLAU16 (mat.info suite 2)"/>
      <sheetName val="TABLAU17"/>
      <sheetName val="TABLAU18"/>
      <sheetName val="TABLAU19"/>
      <sheetName val="BILAN"/>
      <sheetName val="CPC"/>
      <sheetName val="MASSE"/>
      <sheetName val="MENU IMPRISSION"/>
      <sheetName val="detail"/>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
  <dimension ref="A12:H15"/>
  <sheetViews>
    <sheetView tabSelected="1" view="pageLayout" zoomScaleNormal="85" workbookViewId="0">
      <selection activeCell="D6" sqref="D6"/>
    </sheetView>
  </sheetViews>
  <sheetFormatPr baseColWidth="10" defaultColWidth="12" defaultRowHeight="12.75" x14ac:dyDescent="0.2"/>
  <cols>
    <col min="1" max="16384" width="12" style="983"/>
  </cols>
  <sheetData>
    <row r="12" spans="1:8" ht="18.75" x14ac:dyDescent="0.3">
      <c r="A12" s="984" t="s">
        <v>1072</v>
      </c>
    </row>
    <row r="15" spans="1:8" ht="18.75" x14ac:dyDescent="0.3">
      <c r="H15" s="984" t="s">
        <v>1071</v>
      </c>
    </row>
  </sheetData>
  <pageMargins left="0.7" right="0.7" top="0.75" bottom="0.75" header="0.3" footer="0.3"/>
  <pageSetup paperSize="9" scale="64" orientation="landscape" r:id="rId1"/>
  <headerFooter>
    <oddHeader>&amp;L&amp;G</oddHeader>
  </headerFooter>
  <rowBreaks count="1" manualBreakCount="1">
    <brk id="32" max="16383" man="1"/>
  </rowBreaks>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6"/>
  <dimension ref="A7:F17"/>
  <sheetViews>
    <sheetView workbookViewId="0">
      <selection activeCell="C18" sqref="C18"/>
    </sheetView>
  </sheetViews>
  <sheetFormatPr baseColWidth="10" defaultColWidth="12" defaultRowHeight="12.75" x14ac:dyDescent="0.2"/>
  <cols>
    <col min="1" max="1" width="33.6640625" style="983" customWidth="1"/>
    <col min="2" max="2" width="12" style="983"/>
    <col min="3" max="3" width="19.33203125" style="983" customWidth="1"/>
    <col min="4" max="4" width="12" style="983"/>
    <col min="5" max="5" width="19.6640625" style="983" customWidth="1"/>
    <col min="6" max="6" width="3.1640625" style="983" customWidth="1"/>
    <col min="7" max="16384" width="12" style="983"/>
  </cols>
  <sheetData>
    <row r="7" spans="1:6" ht="18.75" x14ac:dyDescent="0.3">
      <c r="A7" s="987" t="s">
        <v>1073</v>
      </c>
      <c r="B7" s="1177" t="s">
        <v>2871</v>
      </c>
      <c r="C7" s="1178"/>
      <c r="D7" s="1178"/>
      <c r="E7" s="1178"/>
      <c r="F7" s="1179"/>
    </row>
    <row r="9" spans="1:6" ht="19.5" x14ac:dyDescent="0.35">
      <c r="A9" s="987" t="s">
        <v>1074</v>
      </c>
      <c r="B9" s="1180" t="s">
        <v>2872</v>
      </c>
      <c r="C9" s="1181"/>
      <c r="D9" s="1181"/>
      <c r="E9" s="1181"/>
      <c r="F9" s="1181"/>
    </row>
    <row r="11" spans="1:6" ht="19.5" x14ac:dyDescent="0.35">
      <c r="A11" s="987" t="s">
        <v>1075</v>
      </c>
      <c r="B11" s="985" t="s">
        <v>1076</v>
      </c>
      <c r="C11" s="1134">
        <v>44562</v>
      </c>
      <c r="D11" s="986" t="s">
        <v>1077</v>
      </c>
      <c r="E11" s="1134" t="s">
        <v>2873</v>
      </c>
    </row>
    <row r="13" spans="1:6" ht="19.5" x14ac:dyDescent="0.35">
      <c r="A13" s="987" t="s">
        <v>1078</v>
      </c>
      <c r="C13" s="988">
        <v>7777777</v>
      </c>
    </row>
    <row r="15" spans="1:6" ht="19.5" x14ac:dyDescent="0.35">
      <c r="A15" s="987" t="s">
        <v>1079</v>
      </c>
      <c r="C15" s="988"/>
    </row>
    <row r="17" spans="1:3" ht="19.5" x14ac:dyDescent="0.35">
      <c r="A17" s="987" t="s">
        <v>1080</v>
      </c>
      <c r="C17" s="988">
        <v>7777</v>
      </c>
    </row>
  </sheetData>
  <mergeCells count="2">
    <mergeCell ref="B7:F7"/>
    <mergeCell ref="B9:F9"/>
  </mergeCells>
  <pageMargins left="0.7" right="0.7" top="0.75" bottom="0.75" header="0.3" footer="0.3"/>
  <pageSetup paperSize="9" scale="98"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
  <dimension ref="A1:N59"/>
  <sheetViews>
    <sheetView topLeftCell="A19" workbookViewId="0">
      <selection activeCell="G29" sqref="G29"/>
    </sheetView>
  </sheetViews>
  <sheetFormatPr baseColWidth="10" defaultColWidth="12" defaultRowHeight="12.75" x14ac:dyDescent="0.2"/>
  <cols>
    <col min="1" max="1" width="17.6640625" style="2" customWidth="1"/>
    <col min="2" max="2" width="14.5" style="2" customWidth="1"/>
    <col min="3" max="3" width="18" style="2" bestFit="1" customWidth="1"/>
    <col min="4" max="4" width="12" style="2"/>
    <col min="5" max="5" width="18" style="2" bestFit="1" customWidth="1"/>
    <col min="6" max="7" width="3.1640625" style="2" customWidth="1"/>
    <col min="8" max="8" width="3.1640625" style="695" customWidth="1"/>
    <col min="9" max="12" width="3.1640625" style="2" customWidth="1"/>
    <col min="13" max="13" width="3.1640625" style="695" customWidth="1"/>
    <col min="14" max="14" width="12" style="695"/>
    <col min="15" max="16384" width="12" style="2"/>
  </cols>
  <sheetData>
    <row r="1" spans="1:14" x14ac:dyDescent="0.2">
      <c r="A1" s="695"/>
      <c r="B1" s="695"/>
      <c r="C1" s="695"/>
      <c r="D1" s="695"/>
      <c r="E1" s="695"/>
      <c r="F1" s="695"/>
      <c r="G1" s="695"/>
      <c r="I1" s="695"/>
      <c r="J1" s="695"/>
      <c r="K1" s="695"/>
      <c r="L1" s="697"/>
    </row>
    <row r="2" spans="1:14" x14ac:dyDescent="0.2">
      <c r="A2" s="695"/>
      <c r="B2" s="695"/>
      <c r="C2" s="695"/>
      <c r="D2" s="695"/>
      <c r="E2" s="695"/>
      <c r="F2" s="695"/>
      <c r="G2" s="695"/>
      <c r="I2" s="695"/>
      <c r="J2" s="695"/>
      <c r="K2" s="695"/>
      <c r="L2" s="695"/>
    </row>
    <row r="3" spans="1:14" x14ac:dyDescent="0.2">
      <c r="A3" s="695"/>
      <c r="B3" s="695"/>
      <c r="C3" s="695"/>
      <c r="D3" s="695"/>
      <c r="E3" s="695"/>
      <c r="F3" s="695"/>
      <c r="G3" s="695"/>
      <c r="I3" s="695"/>
      <c r="J3" s="695"/>
      <c r="K3" s="695"/>
      <c r="L3" s="695"/>
    </row>
    <row r="4" spans="1:14" ht="27" x14ac:dyDescent="0.5">
      <c r="A4" s="698"/>
      <c r="B4" s="699"/>
      <c r="C4" s="699"/>
      <c r="D4" s="699"/>
      <c r="E4" s="699"/>
      <c r="F4" s="699"/>
      <c r="G4" s="699"/>
      <c r="H4" s="699"/>
      <c r="I4" s="699"/>
      <c r="J4" s="699"/>
      <c r="K4" s="698"/>
      <c r="L4" s="698"/>
      <c r="M4" s="698"/>
      <c r="N4" s="698"/>
    </row>
    <row r="5" spans="1:14" ht="27" x14ac:dyDescent="0.5">
      <c r="A5" s="698"/>
      <c r="B5" s="699"/>
      <c r="C5" s="699"/>
      <c r="D5" s="699"/>
      <c r="E5" s="699"/>
      <c r="F5" s="699"/>
      <c r="G5" s="699"/>
      <c r="H5" s="699"/>
      <c r="I5" s="699"/>
      <c r="J5" s="699"/>
      <c r="K5" s="698"/>
      <c r="L5" s="698"/>
      <c r="M5" s="698"/>
      <c r="N5" s="698"/>
    </row>
    <row r="6" spans="1:14" x14ac:dyDescent="0.2">
      <c r="A6" s="692"/>
      <c r="B6" s="692"/>
      <c r="C6" s="692"/>
      <c r="D6" s="692"/>
      <c r="E6" s="692"/>
      <c r="F6" s="692"/>
      <c r="G6" s="692"/>
      <c r="H6" s="692"/>
      <c r="I6" s="692"/>
      <c r="J6" s="692"/>
      <c r="K6" s="692"/>
      <c r="L6" s="692"/>
      <c r="M6" s="692"/>
      <c r="N6" s="692"/>
    </row>
    <row r="7" spans="1:14" ht="30" x14ac:dyDescent="0.4">
      <c r="A7" s="700"/>
      <c r="B7" s="700" t="s">
        <v>2811</v>
      </c>
      <c r="C7" s="700"/>
      <c r="D7" s="700"/>
      <c r="E7" s="700"/>
      <c r="F7" s="700"/>
      <c r="G7" s="700"/>
      <c r="H7" s="700"/>
      <c r="I7" s="700"/>
      <c r="J7" s="700"/>
      <c r="K7" s="700"/>
      <c r="L7" s="700"/>
      <c r="M7" s="700"/>
      <c r="N7" s="692"/>
    </row>
    <row r="8" spans="1:14" x14ac:dyDescent="0.2">
      <c r="A8" s="692"/>
      <c r="B8" s="692"/>
      <c r="C8" s="692"/>
      <c r="D8" s="692"/>
      <c r="E8" s="692"/>
      <c r="F8" s="692"/>
      <c r="G8" s="692"/>
      <c r="H8" s="692"/>
      <c r="I8" s="692"/>
      <c r="J8" s="692"/>
      <c r="K8" s="692"/>
      <c r="L8" s="692"/>
      <c r="M8" s="692"/>
    </row>
    <row r="9" spans="1:14" ht="20.25" x14ac:dyDescent="0.3">
      <c r="A9" s="701"/>
      <c r="B9" s="692"/>
      <c r="C9" s="692"/>
      <c r="D9" s="692"/>
      <c r="E9" s="692"/>
      <c r="F9" s="692"/>
      <c r="G9" s="692"/>
      <c r="H9" s="692"/>
      <c r="I9" s="692"/>
      <c r="J9" s="692"/>
      <c r="K9" s="692"/>
      <c r="L9" s="692"/>
      <c r="M9" s="692"/>
      <c r="N9" s="692"/>
    </row>
    <row r="10" spans="1:14" x14ac:dyDescent="0.2">
      <c r="A10" s="692"/>
      <c r="B10" s="692"/>
      <c r="C10" s="692"/>
      <c r="D10" s="692"/>
      <c r="E10" s="692"/>
      <c r="F10" s="692"/>
      <c r="G10" s="692"/>
      <c r="H10" s="692"/>
      <c r="I10" s="692"/>
      <c r="J10" s="692"/>
      <c r="K10" s="692"/>
      <c r="L10" s="692"/>
      <c r="M10" s="692"/>
      <c r="N10" s="692"/>
    </row>
    <row r="11" spans="1:14" x14ac:dyDescent="0.2">
      <c r="A11" s="692"/>
      <c r="B11" s="692"/>
      <c r="C11" s="692"/>
      <c r="D11" s="692"/>
      <c r="E11" s="692"/>
      <c r="F11" s="692"/>
      <c r="G11" s="692"/>
      <c r="H11" s="692"/>
      <c r="I11" s="692"/>
      <c r="J11" s="692"/>
      <c r="K11" s="692"/>
      <c r="L11" s="692"/>
      <c r="M11" s="692"/>
      <c r="N11" s="692"/>
    </row>
    <row r="12" spans="1:14" x14ac:dyDescent="0.2">
      <c r="A12" s="692"/>
      <c r="B12" s="692"/>
      <c r="C12" s="692"/>
      <c r="D12" s="692"/>
      <c r="E12" s="692"/>
      <c r="F12" s="692"/>
      <c r="G12" s="692"/>
      <c r="H12" s="692"/>
      <c r="I12" s="692"/>
      <c r="J12" s="692"/>
      <c r="K12" s="692"/>
      <c r="L12" s="692"/>
      <c r="M12" s="692"/>
      <c r="N12" s="692"/>
    </row>
    <row r="13" spans="1:14" ht="18" x14ac:dyDescent="0.25">
      <c r="A13" s="1182" t="s">
        <v>535</v>
      </c>
      <c r="B13" s="1182"/>
      <c r="C13" s="1182"/>
      <c r="D13" s="1182"/>
      <c r="E13" s="1182"/>
      <c r="F13" s="1182"/>
      <c r="G13" s="1182"/>
      <c r="H13" s="1182"/>
      <c r="I13" s="1182"/>
      <c r="J13" s="1182"/>
      <c r="K13" s="1182"/>
      <c r="L13" s="1182"/>
      <c r="M13" s="1182"/>
      <c r="N13" s="1182"/>
    </row>
    <row r="14" spans="1:14" x14ac:dyDescent="0.2">
      <c r="A14" s="695"/>
      <c r="B14" s="695"/>
      <c r="C14" s="695"/>
      <c r="D14" s="695"/>
      <c r="E14" s="695"/>
      <c r="F14" s="695"/>
      <c r="G14" s="695"/>
      <c r="I14" s="695"/>
      <c r="J14" s="695"/>
      <c r="K14" s="695"/>
      <c r="L14" s="695"/>
    </row>
    <row r="15" spans="1:14" ht="19.5" x14ac:dyDescent="0.35">
      <c r="A15" s="695"/>
      <c r="B15" s="852" t="s">
        <v>536</v>
      </c>
      <c r="C15" s="1133">
        <f>Identification!C11</f>
        <v>44562</v>
      </c>
      <c r="D15" s="853" t="s">
        <v>537</v>
      </c>
      <c r="E15" s="1133" t="str">
        <f>Identification!E11</f>
        <v>31/12/2022</v>
      </c>
      <c r="F15" s="696"/>
      <c r="G15" s="695"/>
      <c r="I15" s="695"/>
      <c r="J15" s="695"/>
      <c r="K15" s="695"/>
      <c r="L15" s="695"/>
    </row>
    <row r="16" spans="1:14" x14ac:dyDescent="0.2">
      <c r="A16" s="695"/>
      <c r="B16" s="695"/>
      <c r="C16" s="695"/>
      <c r="D16" s="695"/>
      <c r="E16" s="695"/>
      <c r="F16" s="695"/>
      <c r="G16" s="695"/>
      <c r="I16" s="695"/>
      <c r="J16" s="695"/>
      <c r="K16" s="695"/>
      <c r="L16" s="695"/>
    </row>
    <row r="17" spans="1:14" x14ac:dyDescent="0.2">
      <c r="A17" s="695"/>
      <c r="B17" s="695"/>
      <c r="C17" s="695"/>
      <c r="D17" s="695"/>
      <c r="E17" s="695"/>
      <c r="F17" s="695"/>
      <c r="G17" s="695"/>
      <c r="I17" s="695"/>
      <c r="J17" s="695"/>
      <c r="K17" s="695"/>
      <c r="L17" s="695"/>
    </row>
    <row r="18" spans="1:14" x14ac:dyDescent="0.2">
      <c r="A18" s="695"/>
      <c r="B18" s="695"/>
      <c r="C18" s="695"/>
      <c r="D18" s="695"/>
      <c r="E18" s="695"/>
      <c r="F18" s="695"/>
      <c r="G18" s="695"/>
      <c r="I18" s="695"/>
      <c r="J18" s="695"/>
      <c r="K18" s="695"/>
      <c r="L18" s="695"/>
    </row>
    <row r="19" spans="1:14" x14ac:dyDescent="0.2">
      <c r="A19" s="695"/>
      <c r="B19" s="695"/>
      <c r="C19" s="695"/>
      <c r="D19" s="695"/>
      <c r="E19" s="695"/>
      <c r="F19" s="695"/>
      <c r="G19" s="695"/>
      <c r="I19" s="695"/>
      <c r="J19" s="695"/>
      <c r="K19" s="695"/>
      <c r="L19" s="695"/>
    </row>
    <row r="20" spans="1:14" x14ac:dyDescent="0.2">
      <c r="A20" s="695"/>
      <c r="B20" s="695"/>
      <c r="C20" s="695"/>
      <c r="D20" s="695"/>
      <c r="E20" s="695"/>
      <c r="F20" s="695"/>
      <c r="G20" s="695"/>
      <c r="I20" s="695"/>
      <c r="J20" s="695"/>
      <c r="K20" s="695"/>
      <c r="L20" s="695"/>
    </row>
    <row r="21" spans="1:14" ht="19.5" x14ac:dyDescent="0.4">
      <c r="A21" s="702" t="s">
        <v>522</v>
      </c>
      <c r="B21" s="695"/>
      <c r="C21" s="703" t="str">
        <f>Identification!B7</f>
        <v>CLUB DE COMPTA</v>
      </c>
      <c r="D21" s="697"/>
      <c r="E21" s="697"/>
      <c r="F21" s="695"/>
      <c r="G21" s="695"/>
      <c r="I21" s="695"/>
      <c r="J21" s="695"/>
      <c r="K21" s="695"/>
      <c r="M21" s="2"/>
      <c r="N21" s="2"/>
    </row>
    <row r="22" spans="1:14" ht="19.5" x14ac:dyDescent="0.4">
      <c r="A22" s="695"/>
      <c r="B22" s="695"/>
      <c r="C22" s="703"/>
      <c r="D22" s="695"/>
      <c r="E22" s="695"/>
      <c r="F22" s="695"/>
      <c r="G22" s="695"/>
      <c r="I22" s="695"/>
      <c r="J22" s="695"/>
      <c r="K22" s="695"/>
      <c r="L22" s="695"/>
    </row>
    <row r="23" spans="1:14" ht="15.75" x14ac:dyDescent="0.25">
      <c r="A23" s="702" t="s">
        <v>523</v>
      </c>
      <c r="B23" s="695"/>
      <c r="C23" s="695"/>
      <c r="D23" s="695"/>
      <c r="E23" s="695"/>
      <c r="F23" s="1183">
        <f>Identification!C13</f>
        <v>7777777</v>
      </c>
      <c r="G23" s="1184"/>
      <c r="H23" s="1184"/>
      <c r="I23" s="1184"/>
      <c r="J23" s="1184"/>
      <c r="K23" s="1184"/>
      <c r="L23" s="1184"/>
      <c r="M23" s="1185"/>
    </row>
    <row r="24" spans="1:14" ht="15.75" x14ac:dyDescent="0.25">
      <c r="A24" s="702"/>
      <c r="B24" s="695"/>
      <c r="C24" s="695"/>
      <c r="D24" s="695"/>
      <c r="E24" s="695"/>
      <c r="F24" s="695"/>
      <c r="G24" s="695"/>
      <c r="I24" s="695"/>
      <c r="J24" s="695"/>
      <c r="K24" s="695"/>
      <c r="L24" s="695"/>
    </row>
    <row r="25" spans="1:14" ht="15.75" x14ac:dyDescent="0.25">
      <c r="A25" s="702"/>
      <c r="B25" s="695"/>
      <c r="C25" s="695"/>
      <c r="D25" s="695"/>
      <c r="E25" s="695"/>
      <c r="F25" s="695"/>
      <c r="G25" s="695"/>
      <c r="I25" s="695"/>
      <c r="J25" s="695"/>
      <c r="K25" s="695"/>
      <c r="L25" s="695"/>
    </row>
    <row r="26" spans="1:14" ht="15.75" x14ac:dyDescent="0.25">
      <c r="A26" s="702"/>
      <c r="B26" s="695"/>
      <c r="C26" s="695"/>
      <c r="D26" s="695"/>
      <c r="E26" s="695"/>
      <c r="F26" s="695"/>
      <c r="G26" s="695"/>
      <c r="I26" s="695"/>
      <c r="J26" s="695"/>
      <c r="K26" s="695"/>
      <c r="L26" s="695"/>
    </row>
    <row r="27" spans="1:14" ht="15.75" x14ac:dyDescent="0.25">
      <c r="A27" s="702" t="s">
        <v>524</v>
      </c>
      <c r="B27" s="695"/>
      <c r="C27" s="697" t="str">
        <f>Identification!B9</f>
        <v>MAROC</v>
      </c>
      <c r="D27" s="695"/>
      <c r="E27" s="695"/>
      <c r="F27" s="695"/>
      <c r="G27" s="695"/>
      <c r="I27" s="695"/>
      <c r="J27" s="695"/>
      <c r="K27" s="695"/>
      <c r="L27" s="695"/>
    </row>
    <row r="28" spans="1:14" x14ac:dyDescent="0.2">
      <c r="A28" s="695" t="s">
        <v>525</v>
      </c>
      <c r="B28" s="695"/>
      <c r="C28" s="695"/>
      <c r="D28" s="695"/>
      <c r="E28" s="695"/>
      <c r="F28" s="695"/>
      <c r="G28" s="695"/>
      <c r="I28" s="695"/>
      <c r="J28" s="695"/>
      <c r="K28" s="695"/>
      <c r="L28" s="695"/>
    </row>
    <row r="29" spans="1:14" x14ac:dyDescent="0.2">
      <c r="A29" s="695"/>
      <c r="B29" s="695"/>
      <c r="C29" s="695"/>
      <c r="D29" s="695"/>
      <c r="E29" s="695"/>
      <c r="F29" s="695"/>
      <c r="G29" s="695"/>
      <c r="I29" s="695"/>
      <c r="J29" s="695"/>
      <c r="K29" s="695"/>
      <c r="L29" s="695"/>
    </row>
    <row r="30" spans="1:14" x14ac:dyDescent="0.2">
      <c r="A30" s="695"/>
      <c r="B30" s="695"/>
      <c r="C30" s="695"/>
      <c r="D30" s="695"/>
      <c r="E30" s="695"/>
      <c r="F30" s="695"/>
      <c r="G30" s="695"/>
      <c r="I30" s="695"/>
      <c r="J30" s="695"/>
      <c r="K30" s="695"/>
      <c r="L30" s="695"/>
    </row>
    <row r="31" spans="1:14" x14ac:dyDescent="0.2">
      <c r="A31" s="695" t="s">
        <v>526</v>
      </c>
      <c r="B31" s="816"/>
      <c r="C31" s="695">
        <f>Identification!C17</f>
        <v>7777</v>
      </c>
      <c r="D31" s="695"/>
      <c r="E31" s="695"/>
      <c r="F31" s="695"/>
      <c r="G31" s="695"/>
      <c r="I31" s="695"/>
      <c r="J31" s="695"/>
      <c r="K31" s="695"/>
      <c r="L31" s="695"/>
    </row>
    <row r="32" spans="1:14" x14ac:dyDescent="0.2">
      <c r="A32" s="1136" t="s">
        <v>2812</v>
      </c>
      <c r="B32" s="817"/>
      <c r="C32" s="695">
        <f>Identification!C15</f>
        <v>0</v>
      </c>
      <c r="D32" s="695"/>
      <c r="E32" s="695"/>
      <c r="F32" s="695"/>
      <c r="G32" s="695"/>
      <c r="I32" s="695"/>
      <c r="J32" s="695"/>
      <c r="K32" s="695"/>
      <c r="L32" s="695"/>
    </row>
    <row r="33" spans="1:14" x14ac:dyDescent="0.2">
      <c r="A33" s="695"/>
      <c r="B33" s="695"/>
      <c r="C33" s="695"/>
      <c r="D33" s="695"/>
      <c r="E33" s="695"/>
      <c r="F33" s="695"/>
      <c r="G33" s="695"/>
      <c r="I33" s="695"/>
      <c r="J33" s="695"/>
      <c r="K33" s="695"/>
      <c r="L33" s="695"/>
    </row>
    <row r="34" spans="1:14" x14ac:dyDescent="0.2">
      <c r="A34" s="695"/>
      <c r="B34" s="695"/>
      <c r="C34" s="695"/>
      <c r="D34" s="695"/>
      <c r="E34" s="695"/>
      <c r="F34" s="695"/>
      <c r="G34" s="695"/>
      <c r="I34" s="695"/>
      <c r="J34" s="695"/>
      <c r="K34" s="695"/>
      <c r="L34" s="695"/>
    </row>
    <row r="35" spans="1:14" x14ac:dyDescent="0.2">
      <c r="A35" s="695"/>
      <c r="B35" s="695"/>
      <c r="C35" s="695"/>
      <c r="D35" s="695"/>
      <c r="E35" s="695"/>
      <c r="F35" s="695"/>
      <c r="G35" s="695"/>
      <c r="I35" s="695"/>
      <c r="J35" s="695"/>
      <c r="K35" s="695"/>
      <c r="L35" s="695"/>
    </row>
    <row r="36" spans="1:14" x14ac:dyDescent="0.2">
      <c r="A36" s="695"/>
      <c r="B36" s="695"/>
      <c r="C36" s="695"/>
      <c r="D36" s="695"/>
      <c r="E36" s="695" t="s">
        <v>361</v>
      </c>
      <c r="F36" s="695"/>
      <c r="G36" s="695"/>
      <c r="H36" s="704"/>
      <c r="I36" s="704"/>
      <c r="J36" s="704"/>
      <c r="K36" s="695"/>
      <c r="L36" s="695"/>
    </row>
    <row r="37" spans="1:14" x14ac:dyDescent="0.2">
      <c r="A37" s="695"/>
      <c r="B37" s="695"/>
      <c r="C37" s="695"/>
      <c r="D37" s="695"/>
      <c r="E37" s="695"/>
      <c r="F37" s="695"/>
      <c r="G37" s="695"/>
      <c r="I37" s="695"/>
      <c r="J37" s="695"/>
      <c r="K37" s="695"/>
      <c r="L37" s="695"/>
    </row>
    <row r="38" spans="1:14" x14ac:dyDescent="0.2">
      <c r="A38" s="695"/>
      <c r="B38" s="695"/>
      <c r="C38" s="695"/>
      <c r="D38" s="695"/>
      <c r="E38" s="695" t="s">
        <v>527</v>
      </c>
      <c r="F38" s="695"/>
      <c r="G38" s="695"/>
      <c r="I38" s="695"/>
      <c r="J38" s="695"/>
      <c r="K38" s="695"/>
      <c r="L38" s="695"/>
    </row>
    <row r="39" spans="1:14" x14ac:dyDescent="0.2">
      <c r="A39" s="695"/>
      <c r="B39" s="695"/>
      <c r="C39" s="695"/>
      <c r="D39" s="695"/>
      <c r="E39" s="695"/>
      <c r="F39" s="695"/>
      <c r="G39" s="695"/>
      <c r="I39" s="695"/>
      <c r="J39" s="695"/>
      <c r="K39" s="695"/>
      <c r="L39" s="695"/>
    </row>
    <row r="40" spans="1:14" x14ac:dyDescent="0.2">
      <c r="A40" s="695"/>
      <c r="B40" s="695"/>
      <c r="C40" s="695"/>
      <c r="D40" s="695"/>
      <c r="E40" s="695"/>
      <c r="F40" s="695"/>
      <c r="G40" s="695"/>
      <c r="I40" s="695"/>
      <c r="J40" s="695"/>
      <c r="K40" s="695"/>
      <c r="L40" s="695"/>
    </row>
    <row r="41" spans="1:14" x14ac:dyDescent="0.2">
      <c r="A41" s="695"/>
      <c r="B41" s="695"/>
      <c r="C41" s="695"/>
      <c r="D41" s="695"/>
      <c r="E41" s="695"/>
      <c r="F41" s="695"/>
      <c r="G41" s="695"/>
      <c r="I41" s="695"/>
      <c r="J41" s="695"/>
      <c r="K41" s="695"/>
      <c r="L41" s="695"/>
    </row>
    <row r="42" spans="1:14" x14ac:dyDescent="0.2">
      <c r="A42" s="695"/>
      <c r="B42" s="695"/>
      <c r="C42" s="695"/>
      <c r="D42" s="695"/>
      <c r="E42" s="695"/>
      <c r="F42" s="695"/>
      <c r="G42" s="695"/>
      <c r="I42" s="695"/>
      <c r="J42" s="695"/>
      <c r="K42" s="695"/>
      <c r="L42" s="695"/>
    </row>
    <row r="43" spans="1:14" x14ac:dyDescent="0.2">
      <c r="A43" s="695"/>
      <c r="B43" s="695"/>
      <c r="C43" s="695"/>
      <c r="D43" s="695"/>
      <c r="E43" s="695"/>
      <c r="F43" s="695"/>
      <c r="G43" s="695"/>
      <c r="I43" s="695"/>
      <c r="J43" s="695"/>
      <c r="K43" s="695"/>
      <c r="L43" s="695"/>
    </row>
    <row r="44" spans="1:14" x14ac:dyDescent="0.2">
      <c r="A44" s="705" t="s">
        <v>528</v>
      </c>
      <c r="B44" s="705"/>
      <c r="C44" s="705"/>
      <c r="D44" s="705"/>
      <c r="E44" s="705"/>
      <c r="F44" s="705"/>
      <c r="G44" s="705"/>
      <c r="H44" s="705"/>
      <c r="I44" s="705"/>
      <c r="J44" s="705"/>
      <c r="K44" s="705"/>
      <c r="L44" s="705"/>
      <c r="M44" s="705"/>
      <c r="N44" s="705"/>
    </row>
    <row r="45" spans="1:14" x14ac:dyDescent="0.2">
      <c r="A45" s="695"/>
      <c r="B45" s="695"/>
      <c r="C45" s="695"/>
      <c r="D45" s="695"/>
      <c r="E45" s="695"/>
      <c r="F45" s="695"/>
      <c r="G45" s="695"/>
      <c r="I45" s="695"/>
      <c r="J45" s="695"/>
      <c r="K45" s="695"/>
      <c r="L45" s="695"/>
    </row>
    <row r="46" spans="1:14" x14ac:dyDescent="0.2">
      <c r="A46" s="695" t="s">
        <v>529</v>
      </c>
      <c r="B46" s="695"/>
      <c r="C46" s="695"/>
      <c r="D46" s="695"/>
      <c r="E46" s="695"/>
      <c r="F46" s="695"/>
      <c r="G46" s="695"/>
      <c r="I46" s="695"/>
      <c r="J46" s="695"/>
      <c r="K46" s="695"/>
      <c r="L46" s="695"/>
    </row>
    <row r="47" spans="1:14" x14ac:dyDescent="0.2">
      <c r="A47" s="695"/>
      <c r="B47" s="695"/>
      <c r="C47" s="695"/>
      <c r="D47" s="695"/>
      <c r="E47" s="695"/>
      <c r="F47" s="695"/>
      <c r="G47" s="695"/>
      <c r="I47" s="695"/>
      <c r="J47" s="695"/>
      <c r="K47" s="695"/>
      <c r="L47" s="695"/>
    </row>
    <row r="48" spans="1:14" x14ac:dyDescent="0.2">
      <c r="A48" s="695" t="s">
        <v>530</v>
      </c>
      <c r="B48" s="695"/>
      <c r="C48" s="695"/>
      <c r="D48" s="695"/>
      <c r="E48" s="695"/>
      <c r="F48" s="695"/>
      <c r="G48" s="695"/>
      <c r="I48" s="695"/>
      <c r="J48" s="695"/>
      <c r="K48" s="695"/>
      <c r="L48" s="695"/>
    </row>
    <row r="49" spans="1:14" x14ac:dyDescent="0.2">
      <c r="A49" s="695" t="s">
        <v>315</v>
      </c>
      <c r="B49" s="695"/>
      <c r="C49" s="695"/>
      <c r="D49" s="695"/>
      <c r="E49" s="695" t="s">
        <v>531</v>
      </c>
      <c r="F49" s="695"/>
      <c r="G49" s="695"/>
      <c r="I49" s="695"/>
      <c r="J49" s="695"/>
      <c r="K49" s="695"/>
      <c r="L49" s="695"/>
    </row>
    <row r="50" spans="1:14" x14ac:dyDescent="0.2">
      <c r="A50" s="695"/>
      <c r="B50" s="695"/>
      <c r="C50" s="695"/>
      <c r="D50" s="695"/>
      <c r="E50" s="695"/>
      <c r="F50" s="695"/>
      <c r="G50" s="695"/>
      <c r="I50" s="695"/>
      <c r="J50" s="695"/>
      <c r="K50" s="695"/>
      <c r="L50" s="695"/>
    </row>
    <row r="51" spans="1:14" x14ac:dyDescent="0.2">
      <c r="A51" s="695"/>
      <c r="B51" s="695"/>
      <c r="C51" s="695"/>
      <c r="D51" s="695"/>
      <c r="E51" s="695"/>
      <c r="F51" s="695"/>
      <c r="G51" s="695"/>
      <c r="I51" s="695"/>
      <c r="J51" s="695"/>
      <c r="K51" s="695"/>
      <c r="L51" s="695"/>
    </row>
    <row r="52" spans="1:14" x14ac:dyDescent="0.2">
      <c r="A52" s="695"/>
      <c r="B52" s="695"/>
      <c r="C52" s="695"/>
      <c r="D52" s="695"/>
      <c r="E52" s="695"/>
      <c r="F52" s="695"/>
      <c r="G52" s="695"/>
      <c r="I52" s="695"/>
      <c r="J52" s="695"/>
      <c r="K52" s="695"/>
      <c r="L52" s="695"/>
    </row>
    <row r="53" spans="1:14" x14ac:dyDescent="0.2">
      <c r="A53" s="695"/>
      <c r="B53" s="695"/>
      <c r="C53" s="695"/>
      <c r="D53" s="695"/>
      <c r="E53" s="695"/>
      <c r="F53" s="695"/>
      <c r="G53" s="695"/>
      <c r="I53" s="695"/>
      <c r="J53" s="695"/>
      <c r="K53" s="695"/>
      <c r="L53" s="695"/>
    </row>
    <row r="54" spans="1:14" s="708" customFormat="1" ht="12" x14ac:dyDescent="0.2">
      <c r="A54" s="706" t="s">
        <v>532</v>
      </c>
      <c r="B54" s="707"/>
      <c r="C54" s="707"/>
      <c r="D54" s="707"/>
      <c r="E54" s="707"/>
      <c r="F54" s="707"/>
      <c r="G54" s="707"/>
      <c r="H54" s="707"/>
      <c r="I54" s="707"/>
      <c r="J54" s="707"/>
      <c r="K54" s="707"/>
      <c r="L54" s="707"/>
      <c r="M54" s="707"/>
      <c r="N54" s="707"/>
    </row>
    <row r="55" spans="1:14" s="708" customFormat="1" ht="12" x14ac:dyDescent="0.2">
      <c r="A55" s="707" t="s">
        <v>534</v>
      </c>
      <c r="B55" s="707"/>
      <c r="C55" s="707"/>
      <c r="D55" s="707"/>
      <c r="E55" s="707"/>
      <c r="F55" s="707"/>
      <c r="G55" s="707"/>
      <c r="H55" s="707"/>
      <c r="I55" s="707"/>
      <c r="J55" s="707"/>
      <c r="K55" s="707"/>
      <c r="L55" s="707"/>
      <c r="M55" s="707"/>
      <c r="N55" s="707"/>
    </row>
    <row r="56" spans="1:14" x14ac:dyDescent="0.2">
      <c r="A56" s="695"/>
      <c r="B56" s="695"/>
      <c r="C56" s="695"/>
      <c r="D56" s="695"/>
      <c r="E56" s="695"/>
      <c r="F56" s="695"/>
      <c r="G56" s="695"/>
      <c r="I56" s="695"/>
      <c r="J56" s="695"/>
      <c r="K56" s="695"/>
      <c r="L56" s="695"/>
    </row>
    <row r="57" spans="1:14" x14ac:dyDescent="0.2">
      <c r="A57" s="695"/>
      <c r="B57" s="695"/>
      <c r="C57" s="695"/>
      <c r="D57" s="695"/>
      <c r="E57" s="695"/>
      <c r="F57" s="695"/>
      <c r="G57" s="695"/>
      <c r="I57" s="695"/>
      <c r="J57" s="695"/>
      <c r="K57" s="695"/>
      <c r="L57" s="695"/>
    </row>
    <row r="58" spans="1:14" x14ac:dyDescent="0.2">
      <c r="A58" s="695"/>
      <c r="B58" s="695"/>
      <c r="C58" s="695"/>
      <c r="D58" s="695"/>
      <c r="E58" s="695"/>
      <c r="F58" s="695"/>
      <c r="G58" s="695"/>
      <c r="I58" s="695"/>
      <c r="J58" s="695"/>
      <c r="K58" s="695"/>
      <c r="L58" s="695"/>
    </row>
    <row r="59" spans="1:14" x14ac:dyDescent="0.2">
      <c r="A59" s="695"/>
      <c r="B59" s="695"/>
      <c r="C59" s="695"/>
      <c r="D59" s="695"/>
      <c r="E59" s="695"/>
      <c r="F59" s="695"/>
      <c r="G59" s="695"/>
      <c r="I59" s="695"/>
      <c r="J59" s="695"/>
    </row>
  </sheetData>
  <mergeCells count="2">
    <mergeCell ref="A13:N13"/>
    <mergeCell ref="F23:M23"/>
  </mergeCells>
  <phoneticPr fontId="0" type="noConversion"/>
  <pageMargins left="0.78740157499999996" right="0.78740157499999996" top="0.984251969" bottom="0.984251969" header="0.4921259845" footer="0.4921259845"/>
  <pageSetup paperSize="9" scale="80"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0"/>
  <dimension ref="A1:N59"/>
  <sheetViews>
    <sheetView topLeftCell="A33" workbookViewId="0">
      <selection activeCell="C15" sqref="C15"/>
    </sheetView>
  </sheetViews>
  <sheetFormatPr baseColWidth="10" defaultColWidth="12" defaultRowHeight="12.75" x14ac:dyDescent="0.2"/>
  <cols>
    <col min="1" max="1" width="17.6640625" style="2" customWidth="1"/>
    <col min="2" max="2" width="14.5" style="2" customWidth="1"/>
    <col min="3" max="3" width="18" style="2" bestFit="1" customWidth="1"/>
    <col min="4" max="4" width="12" style="2"/>
    <col min="5" max="5" width="18" style="2" bestFit="1" customWidth="1"/>
    <col min="6" max="7" width="3.1640625" style="2" customWidth="1"/>
    <col min="8" max="8" width="3.1640625" style="695" customWidth="1"/>
    <col min="9" max="12" width="3.1640625" style="2" customWidth="1"/>
    <col min="13" max="13" width="3.1640625" style="695" customWidth="1"/>
    <col min="14" max="14" width="12" style="695"/>
    <col min="15" max="16384" width="12" style="2"/>
  </cols>
  <sheetData>
    <row r="1" spans="1:14" x14ac:dyDescent="0.2">
      <c r="A1" s="695"/>
      <c r="B1" s="695"/>
      <c r="C1" s="695"/>
      <c r="D1" s="695"/>
      <c r="E1" s="695"/>
      <c r="F1" s="695"/>
      <c r="G1" s="695"/>
      <c r="I1" s="695"/>
      <c r="J1" s="695"/>
      <c r="K1" s="695"/>
      <c r="L1" s="697" t="s">
        <v>517</v>
      </c>
    </row>
    <row r="2" spans="1:14" x14ac:dyDescent="0.2">
      <c r="A2" s="695"/>
      <c r="B2" s="695"/>
      <c r="C2" s="695"/>
      <c r="D2" s="695"/>
      <c r="E2" s="695"/>
      <c r="F2" s="695"/>
      <c r="G2" s="695"/>
      <c r="I2" s="695"/>
      <c r="J2" s="695"/>
      <c r="K2" s="695"/>
      <c r="L2" s="695"/>
    </row>
    <row r="3" spans="1:14" x14ac:dyDescent="0.2">
      <c r="A3" s="695"/>
      <c r="B3" s="695"/>
      <c r="C3" s="695"/>
      <c r="D3" s="695"/>
      <c r="E3" s="695"/>
      <c r="F3" s="695"/>
      <c r="G3" s="695"/>
      <c r="I3" s="695"/>
      <c r="J3" s="695"/>
      <c r="K3" s="695"/>
      <c r="L3" s="695"/>
    </row>
    <row r="4" spans="1:14" ht="27" x14ac:dyDescent="0.5">
      <c r="A4" s="698" t="s">
        <v>518</v>
      </c>
      <c r="B4" s="699"/>
      <c r="C4" s="699"/>
      <c r="D4" s="699"/>
      <c r="E4" s="699"/>
      <c r="F4" s="699"/>
      <c r="G4" s="699"/>
      <c r="H4" s="699"/>
      <c r="I4" s="699"/>
      <c r="J4" s="699"/>
      <c r="K4" s="698"/>
      <c r="L4" s="698"/>
      <c r="M4" s="698"/>
      <c r="N4" s="698"/>
    </row>
    <row r="5" spans="1:14" ht="27" x14ac:dyDescent="0.5">
      <c r="A5" s="698" t="s">
        <v>519</v>
      </c>
      <c r="B5" s="699"/>
      <c r="C5" s="699"/>
      <c r="D5" s="699"/>
      <c r="E5" s="699"/>
      <c r="F5" s="699"/>
      <c r="G5" s="699"/>
      <c r="H5" s="699"/>
      <c r="I5" s="699"/>
      <c r="J5" s="699"/>
      <c r="K5" s="698"/>
      <c r="L5" s="698"/>
      <c r="M5" s="698"/>
      <c r="N5" s="698"/>
    </row>
    <row r="6" spans="1:14" x14ac:dyDescent="0.2">
      <c r="A6" s="692"/>
      <c r="B6" s="692"/>
      <c r="C6" s="692"/>
      <c r="D6" s="692"/>
      <c r="E6" s="692"/>
      <c r="F6" s="692"/>
      <c r="G6" s="692"/>
      <c r="H6" s="692"/>
      <c r="I6" s="692"/>
      <c r="J6" s="692"/>
      <c r="K6" s="692"/>
      <c r="L6" s="692"/>
      <c r="M6" s="692"/>
      <c r="N6" s="692"/>
    </row>
    <row r="7" spans="1:14" ht="30" x14ac:dyDescent="0.4">
      <c r="A7" s="700" t="s">
        <v>520</v>
      </c>
      <c r="B7" s="700"/>
      <c r="C7" s="700"/>
      <c r="D7" s="700"/>
      <c r="E7" s="700"/>
      <c r="F7" s="700"/>
      <c r="G7" s="700"/>
      <c r="H7" s="700"/>
      <c r="I7" s="700"/>
      <c r="J7" s="700"/>
      <c r="K7" s="700"/>
      <c r="L7" s="700"/>
      <c r="M7" s="700"/>
      <c r="N7" s="692"/>
    </row>
    <row r="8" spans="1:14" x14ac:dyDescent="0.2">
      <c r="A8" s="692"/>
      <c r="B8" s="692"/>
      <c r="C8" s="692"/>
      <c r="D8" s="692"/>
      <c r="E8" s="692"/>
      <c r="F8" s="692"/>
      <c r="G8" s="692"/>
      <c r="H8" s="692"/>
      <c r="I8" s="692"/>
      <c r="J8" s="692"/>
      <c r="K8" s="692"/>
      <c r="L8" s="692"/>
      <c r="M8" s="692"/>
    </row>
    <row r="9" spans="1:14" ht="20.25" x14ac:dyDescent="0.3">
      <c r="A9" s="701" t="s">
        <v>521</v>
      </c>
      <c r="B9" s="692"/>
      <c r="C9" s="692"/>
      <c r="D9" s="692"/>
      <c r="E9" s="692"/>
      <c r="F9" s="692"/>
      <c r="G9" s="692"/>
      <c r="H9" s="692"/>
      <c r="I9" s="692"/>
      <c r="J9" s="692"/>
      <c r="K9" s="692"/>
      <c r="L9" s="692"/>
      <c r="M9" s="692"/>
      <c r="N9" s="692"/>
    </row>
    <row r="10" spans="1:14" x14ac:dyDescent="0.2">
      <c r="A10" s="692"/>
      <c r="B10" s="692"/>
      <c r="C10" s="692"/>
      <c r="D10" s="692"/>
      <c r="E10" s="692"/>
      <c r="F10" s="692"/>
      <c r="G10" s="692"/>
      <c r="H10" s="692"/>
      <c r="I10" s="692"/>
      <c r="J10" s="692"/>
      <c r="K10" s="692"/>
      <c r="L10" s="692"/>
      <c r="M10" s="692"/>
      <c r="N10" s="692"/>
    </row>
    <row r="11" spans="1:14" x14ac:dyDescent="0.2">
      <c r="A11" s="692"/>
      <c r="B11" s="692"/>
      <c r="C11" s="692"/>
      <c r="D11" s="692"/>
      <c r="E11" s="692"/>
      <c r="F11" s="692"/>
      <c r="G11" s="692"/>
      <c r="H11" s="692"/>
      <c r="I11" s="692"/>
      <c r="J11" s="692"/>
      <c r="K11" s="692"/>
      <c r="L11" s="692"/>
      <c r="M11" s="692"/>
      <c r="N11" s="692"/>
    </row>
    <row r="12" spans="1:14" x14ac:dyDescent="0.2">
      <c r="A12" s="692"/>
      <c r="B12" s="692"/>
      <c r="C12" s="692"/>
      <c r="D12" s="692"/>
      <c r="E12" s="692"/>
      <c r="F12" s="692"/>
      <c r="G12" s="692"/>
      <c r="H12" s="692"/>
      <c r="I12" s="692"/>
      <c r="J12" s="692"/>
      <c r="K12" s="692"/>
      <c r="L12" s="692"/>
      <c r="M12" s="692"/>
      <c r="N12" s="692"/>
    </row>
    <row r="13" spans="1:14" ht="18" x14ac:dyDescent="0.25">
      <c r="A13" s="1182" t="s">
        <v>535</v>
      </c>
      <c r="B13" s="1182"/>
      <c r="C13" s="1182"/>
      <c r="D13" s="1182"/>
      <c r="E13" s="1182"/>
      <c r="F13" s="1182"/>
      <c r="G13" s="1182"/>
      <c r="H13" s="1182"/>
      <c r="I13" s="1182"/>
      <c r="J13" s="1182"/>
      <c r="K13" s="1182"/>
      <c r="L13" s="1182"/>
      <c r="M13" s="1182"/>
      <c r="N13" s="1182"/>
    </row>
    <row r="14" spans="1:14" x14ac:dyDescent="0.2">
      <c r="A14" s="695"/>
      <c r="B14" s="695"/>
      <c r="C14" s="695"/>
      <c r="D14" s="695"/>
      <c r="E14" s="695"/>
      <c r="F14" s="695"/>
      <c r="G14" s="695"/>
      <c r="I14" s="695"/>
      <c r="J14" s="695"/>
      <c r="K14" s="695"/>
      <c r="L14" s="695"/>
    </row>
    <row r="15" spans="1:14" ht="19.5" x14ac:dyDescent="0.35">
      <c r="A15" s="695"/>
      <c r="B15" s="852" t="s">
        <v>536</v>
      </c>
      <c r="C15" s="1075">
        <f>Identification!C11</f>
        <v>44562</v>
      </c>
      <c r="D15" s="853" t="s">
        <v>537</v>
      </c>
      <c r="E15" s="1075" t="str">
        <f>Identification!E11</f>
        <v>31/12/2022</v>
      </c>
      <c r="F15" s="696"/>
      <c r="G15" s="695"/>
      <c r="I15" s="695"/>
      <c r="J15" s="695"/>
      <c r="K15" s="695"/>
      <c r="L15" s="695"/>
    </row>
    <row r="16" spans="1:14" x14ac:dyDescent="0.2">
      <c r="A16" s="695"/>
      <c r="B16" s="695"/>
      <c r="C16" s="695"/>
      <c r="D16" s="695"/>
      <c r="E16" s="695"/>
      <c r="F16" s="695"/>
      <c r="G16" s="695"/>
      <c r="I16" s="695"/>
      <c r="J16" s="695"/>
      <c r="K16" s="695"/>
      <c r="L16" s="695"/>
    </row>
    <row r="17" spans="1:14" x14ac:dyDescent="0.2">
      <c r="A17" s="695"/>
      <c r="B17" s="695"/>
      <c r="C17" s="695"/>
      <c r="D17" s="695"/>
      <c r="E17" s="695"/>
      <c r="F17" s="695"/>
      <c r="G17" s="695"/>
      <c r="I17" s="695"/>
      <c r="J17" s="695"/>
      <c r="K17" s="695"/>
      <c r="L17" s="695"/>
    </row>
    <row r="18" spans="1:14" x14ac:dyDescent="0.2">
      <c r="A18" s="695"/>
      <c r="B18" s="695"/>
      <c r="C18" s="695"/>
      <c r="D18" s="695"/>
      <c r="E18" s="695"/>
      <c r="F18" s="695"/>
      <c r="G18" s="695"/>
      <c r="I18" s="695"/>
      <c r="J18" s="695"/>
      <c r="K18" s="695"/>
      <c r="L18" s="695"/>
    </row>
    <row r="19" spans="1:14" x14ac:dyDescent="0.2">
      <c r="A19" s="695"/>
      <c r="B19" s="695"/>
      <c r="C19" s="695"/>
      <c r="D19" s="695"/>
      <c r="E19" s="695"/>
      <c r="F19" s="695"/>
      <c r="G19" s="695"/>
      <c r="I19" s="695"/>
      <c r="J19" s="695"/>
      <c r="K19" s="695"/>
      <c r="L19" s="695"/>
    </row>
    <row r="20" spans="1:14" x14ac:dyDescent="0.2">
      <c r="A20" s="695"/>
      <c r="B20" s="695"/>
      <c r="C20" s="695"/>
      <c r="D20" s="695"/>
      <c r="E20" s="695"/>
      <c r="F20" s="695"/>
      <c r="G20" s="695"/>
      <c r="I20" s="695"/>
      <c r="J20" s="695"/>
      <c r="K20" s="695"/>
      <c r="L20" s="695"/>
    </row>
    <row r="21" spans="1:14" ht="19.5" x14ac:dyDescent="0.4">
      <c r="A21" s="702" t="s">
        <v>522</v>
      </c>
      <c r="B21" s="695"/>
      <c r="C21" s="703" t="str">
        <f>Identification!B7</f>
        <v>CLUB DE COMPTA</v>
      </c>
      <c r="D21" s="697"/>
      <c r="E21" s="697"/>
      <c r="F21" s="695"/>
      <c r="G21" s="695"/>
      <c r="I21" s="695"/>
      <c r="J21" s="695"/>
      <c r="K21" s="695"/>
      <c r="M21" s="2"/>
      <c r="N21" s="2"/>
    </row>
    <row r="22" spans="1:14" ht="19.5" x14ac:dyDescent="0.4">
      <c r="A22" s="695"/>
      <c r="B22" s="695"/>
      <c r="C22" s="703"/>
      <c r="D22" s="695"/>
      <c r="E22" s="695"/>
      <c r="F22" s="695"/>
      <c r="G22" s="695"/>
      <c r="I22" s="695"/>
      <c r="J22" s="695"/>
      <c r="K22" s="695"/>
      <c r="L22" s="695"/>
    </row>
    <row r="23" spans="1:14" ht="15.75" x14ac:dyDescent="0.25">
      <c r="A23" s="702" t="s">
        <v>523</v>
      </c>
      <c r="B23" s="695"/>
      <c r="C23" s="695"/>
      <c r="D23" s="695"/>
      <c r="E23" s="695"/>
      <c r="F23" s="1183" t="str">
        <f>Identification!B7</f>
        <v>CLUB DE COMPTA</v>
      </c>
      <c r="G23" s="1184"/>
      <c r="H23" s="1184"/>
      <c r="I23" s="1184"/>
      <c r="J23" s="1184"/>
      <c r="K23" s="1184"/>
      <c r="L23" s="1184"/>
      <c r="M23" s="1185"/>
    </row>
    <row r="24" spans="1:14" ht="15.75" x14ac:dyDescent="0.25">
      <c r="A24" s="702"/>
      <c r="B24" s="695"/>
      <c r="C24" s="695"/>
      <c r="D24" s="695"/>
      <c r="E24" s="695"/>
      <c r="F24" s="695"/>
      <c r="G24" s="695"/>
      <c r="I24" s="695"/>
      <c r="J24" s="695"/>
      <c r="K24" s="695"/>
      <c r="L24" s="695"/>
    </row>
    <row r="25" spans="1:14" ht="15.75" x14ac:dyDescent="0.25">
      <c r="A25" s="702"/>
      <c r="B25" s="695"/>
      <c r="C25" s="695"/>
      <c r="D25" s="695"/>
      <c r="E25" s="695"/>
      <c r="F25" s="695"/>
      <c r="G25" s="695"/>
      <c r="I25" s="695"/>
      <c r="J25" s="695"/>
      <c r="K25" s="695"/>
      <c r="L25" s="695"/>
    </row>
    <row r="26" spans="1:14" ht="15.75" x14ac:dyDescent="0.25">
      <c r="A26" s="702"/>
      <c r="B26" s="695"/>
      <c r="C26" s="695"/>
      <c r="D26" s="695"/>
      <c r="E26" s="695"/>
      <c r="F26" s="695"/>
      <c r="G26" s="695"/>
      <c r="I26" s="695"/>
      <c r="J26" s="695"/>
      <c r="K26" s="695"/>
      <c r="L26" s="695"/>
    </row>
    <row r="27" spans="1:14" ht="15.75" x14ac:dyDescent="0.25">
      <c r="A27" s="702" t="s">
        <v>524</v>
      </c>
      <c r="B27" s="908" t="str">
        <f>Identification!B9</f>
        <v>MAROC</v>
      </c>
      <c r="C27" s="697"/>
      <c r="D27" s="695"/>
      <c r="E27" s="695"/>
      <c r="F27" s="695"/>
      <c r="G27" s="695"/>
      <c r="I27" s="695"/>
      <c r="J27" s="695"/>
      <c r="K27" s="695"/>
      <c r="L27" s="695"/>
    </row>
    <row r="28" spans="1:14" x14ac:dyDescent="0.2">
      <c r="A28" s="695" t="s">
        <v>525</v>
      </c>
      <c r="B28" s="695"/>
      <c r="C28" s="695"/>
      <c r="D28" s="695"/>
      <c r="E28" s="695"/>
      <c r="F28" s="695"/>
      <c r="G28" s="695"/>
      <c r="I28" s="695"/>
      <c r="J28" s="695"/>
      <c r="K28" s="695"/>
      <c r="L28" s="695"/>
    </row>
    <row r="29" spans="1:14" x14ac:dyDescent="0.2">
      <c r="A29" s="695"/>
      <c r="B29" s="695"/>
      <c r="C29" s="695"/>
      <c r="D29" s="695"/>
      <c r="E29" s="695"/>
      <c r="F29" s="695"/>
      <c r="G29" s="695"/>
      <c r="I29" s="695"/>
      <c r="J29" s="695"/>
      <c r="K29" s="695"/>
      <c r="L29" s="695"/>
    </row>
    <row r="30" spans="1:14" x14ac:dyDescent="0.2">
      <c r="A30" s="695"/>
      <c r="B30" s="695"/>
      <c r="C30" s="695"/>
      <c r="D30" s="695"/>
      <c r="E30" s="695"/>
      <c r="F30" s="695"/>
      <c r="G30" s="695"/>
      <c r="I30" s="695"/>
      <c r="J30" s="695"/>
      <c r="K30" s="695"/>
      <c r="L30" s="695"/>
    </row>
    <row r="31" spans="1:14" x14ac:dyDescent="0.2">
      <c r="A31" s="695" t="s">
        <v>526</v>
      </c>
      <c r="B31" s="816">
        <f>Identification!C17</f>
        <v>7777</v>
      </c>
      <c r="C31" s="695"/>
      <c r="D31" s="695"/>
      <c r="E31" s="695"/>
      <c r="F31" s="695"/>
      <c r="G31" s="695"/>
      <c r="I31" s="695"/>
      <c r="J31" s="695"/>
      <c r="K31" s="695"/>
      <c r="L31" s="695"/>
    </row>
    <row r="32" spans="1:14" x14ac:dyDescent="0.2">
      <c r="A32" s="1136" t="s">
        <v>2812</v>
      </c>
      <c r="B32" s="817">
        <f>Identification!C15</f>
        <v>0</v>
      </c>
      <c r="C32" s="695"/>
      <c r="D32" s="695"/>
      <c r="E32" s="695"/>
      <c r="F32" s="695"/>
      <c r="G32" s="695"/>
      <c r="I32" s="695"/>
      <c r="J32" s="695"/>
      <c r="K32" s="695"/>
      <c r="L32" s="695"/>
    </row>
    <row r="33" spans="1:14" x14ac:dyDescent="0.2">
      <c r="A33" s="695"/>
      <c r="B33" s="695"/>
      <c r="C33" s="695"/>
      <c r="D33" s="695"/>
      <c r="E33" s="695"/>
      <c r="F33" s="695"/>
      <c r="G33" s="695"/>
      <c r="I33" s="695"/>
      <c r="J33" s="695"/>
      <c r="K33" s="695"/>
      <c r="L33" s="695"/>
    </row>
    <row r="34" spans="1:14" x14ac:dyDescent="0.2">
      <c r="A34" s="695"/>
      <c r="B34" s="695"/>
      <c r="C34" s="695"/>
      <c r="D34" s="695"/>
      <c r="E34" s="695"/>
      <c r="F34" s="695"/>
      <c r="G34" s="695"/>
      <c r="I34" s="695"/>
      <c r="J34" s="695"/>
      <c r="K34" s="695"/>
      <c r="L34" s="695"/>
    </row>
    <row r="35" spans="1:14" x14ac:dyDescent="0.2">
      <c r="A35" s="695"/>
      <c r="B35" s="695"/>
      <c r="C35" s="695"/>
      <c r="D35" s="695"/>
      <c r="E35" s="695"/>
      <c r="F35" s="695"/>
      <c r="G35" s="695"/>
      <c r="I35" s="695"/>
      <c r="J35" s="695"/>
      <c r="K35" s="695"/>
      <c r="L35" s="695"/>
    </row>
    <row r="36" spans="1:14" x14ac:dyDescent="0.2">
      <c r="A36" s="695"/>
      <c r="B36" s="695"/>
      <c r="C36" s="695"/>
      <c r="D36" s="695"/>
      <c r="E36" s="695" t="str">
        <f>'Couverture Etats de synthèse'!E36</f>
        <v>A …………………  Le …/…/……..</v>
      </c>
      <c r="F36" s="695"/>
      <c r="G36" s="695"/>
      <c r="H36" s="704"/>
      <c r="I36" s="704"/>
      <c r="J36" s="704"/>
      <c r="K36" s="695"/>
      <c r="L36" s="695"/>
    </row>
    <row r="37" spans="1:14" x14ac:dyDescent="0.2">
      <c r="A37" s="695"/>
      <c r="B37" s="695"/>
      <c r="C37" s="695"/>
      <c r="D37" s="695"/>
      <c r="E37" s="695"/>
      <c r="F37" s="695"/>
      <c r="G37" s="695"/>
      <c r="I37" s="695"/>
      <c r="J37" s="695"/>
      <c r="K37" s="695"/>
      <c r="L37" s="695"/>
    </row>
    <row r="38" spans="1:14" x14ac:dyDescent="0.2">
      <c r="A38" s="695"/>
      <c r="B38" s="695"/>
      <c r="C38" s="695"/>
      <c r="D38" s="695"/>
      <c r="E38" s="695" t="s">
        <v>527</v>
      </c>
      <c r="F38" s="695"/>
      <c r="G38" s="695"/>
      <c r="I38" s="695"/>
      <c r="J38" s="695"/>
      <c r="K38" s="695"/>
      <c r="L38" s="695"/>
    </row>
    <row r="39" spans="1:14" x14ac:dyDescent="0.2">
      <c r="A39" s="695"/>
      <c r="B39" s="695"/>
      <c r="C39" s="695"/>
      <c r="D39" s="695"/>
      <c r="E39" s="695"/>
      <c r="F39" s="695"/>
      <c r="G39" s="695"/>
      <c r="I39" s="695"/>
      <c r="J39" s="695"/>
      <c r="K39" s="695"/>
      <c r="L39" s="695"/>
    </row>
    <row r="40" spans="1:14" x14ac:dyDescent="0.2">
      <c r="A40" s="695"/>
      <c r="B40" s="695"/>
      <c r="C40" s="695"/>
      <c r="D40" s="695"/>
      <c r="E40" s="695"/>
      <c r="F40" s="695"/>
      <c r="G40" s="695"/>
      <c r="I40" s="695"/>
      <c r="J40" s="695"/>
      <c r="K40" s="695"/>
      <c r="L40" s="695"/>
    </row>
    <row r="41" spans="1:14" x14ac:dyDescent="0.2">
      <c r="A41" s="695"/>
      <c r="B41" s="695"/>
      <c r="C41" s="695"/>
      <c r="D41" s="695"/>
      <c r="E41" s="695"/>
      <c r="F41" s="695"/>
      <c r="G41" s="695"/>
      <c r="I41" s="695"/>
      <c r="J41" s="695"/>
      <c r="K41" s="695"/>
      <c r="L41" s="695"/>
    </row>
    <row r="42" spans="1:14" x14ac:dyDescent="0.2">
      <c r="A42" s="695"/>
      <c r="B42" s="695"/>
      <c r="C42" s="695"/>
      <c r="D42" s="695"/>
      <c r="E42" s="695"/>
      <c r="F42" s="695"/>
      <c r="G42" s="695"/>
      <c r="I42" s="695"/>
      <c r="J42" s="695"/>
      <c r="K42" s="695"/>
      <c r="L42" s="695"/>
    </row>
    <row r="43" spans="1:14" x14ac:dyDescent="0.2">
      <c r="A43" s="695"/>
      <c r="B43" s="695"/>
      <c r="C43" s="695"/>
      <c r="D43" s="695"/>
      <c r="E43" s="695"/>
      <c r="F43" s="695"/>
      <c r="G43" s="695"/>
      <c r="I43" s="695"/>
      <c r="J43" s="695"/>
      <c r="K43" s="695"/>
      <c r="L43" s="695"/>
    </row>
    <row r="44" spans="1:14" x14ac:dyDescent="0.2">
      <c r="A44" s="705" t="s">
        <v>528</v>
      </c>
      <c r="B44" s="705"/>
      <c r="C44" s="705"/>
      <c r="D44" s="705"/>
      <c r="E44" s="705"/>
      <c r="F44" s="705"/>
      <c r="G44" s="705"/>
      <c r="H44" s="705"/>
      <c r="I44" s="705"/>
      <c r="J44" s="705"/>
      <c r="K44" s="705"/>
      <c r="L44" s="705"/>
      <c r="M44" s="705"/>
      <c r="N44" s="705"/>
    </row>
    <row r="45" spans="1:14" x14ac:dyDescent="0.2">
      <c r="A45" s="695"/>
      <c r="B45" s="695"/>
      <c r="C45" s="695"/>
      <c r="D45" s="695"/>
      <c r="E45" s="695"/>
      <c r="F45" s="695"/>
      <c r="G45" s="695"/>
      <c r="I45" s="695"/>
      <c r="J45" s="695"/>
      <c r="K45" s="695"/>
      <c r="L45" s="695"/>
    </row>
    <row r="46" spans="1:14" x14ac:dyDescent="0.2">
      <c r="A46" s="695" t="s">
        <v>529</v>
      </c>
      <c r="B46" s="695"/>
      <c r="C46" s="695"/>
      <c r="D46" s="695"/>
      <c r="E46" s="695"/>
      <c r="F46" s="695"/>
      <c r="G46" s="695"/>
      <c r="I46" s="695"/>
      <c r="J46" s="695"/>
      <c r="K46" s="695"/>
      <c r="L46" s="695"/>
    </row>
    <row r="47" spans="1:14" x14ac:dyDescent="0.2">
      <c r="A47" s="695"/>
      <c r="B47" s="695"/>
      <c r="C47" s="695"/>
      <c r="D47" s="695"/>
      <c r="E47" s="695"/>
      <c r="F47" s="695"/>
      <c r="G47" s="695"/>
      <c r="I47" s="695"/>
      <c r="J47" s="695"/>
      <c r="K47" s="695"/>
      <c r="L47" s="695"/>
    </row>
    <row r="48" spans="1:14" x14ac:dyDescent="0.2">
      <c r="A48" s="695" t="s">
        <v>530</v>
      </c>
      <c r="B48" s="695"/>
      <c r="C48" s="695"/>
      <c r="D48" s="695"/>
      <c r="E48" s="695"/>
      <c r="F48" s="695"/>
      <c r="G48" s="695"/>
      <c r="I48" s="695"/>
      <c r="J48" s="695"/>
      <c r="K48" s="695"/>
      <c r="L48" s="695"/>
    </row>
    <row r="49" spans="1:14" x14ac:dyDescent="0.2">
      <c r="A49" s="695" t="s">
        <v>315</v>
      </c>
      <c r="B49" s="695"/>
      <c r="C49" s="695"/>
      <c r="D49" s="695"/>
      <c r="E49" s="695" t="s">
        <v>531</v>
      </c>
      <c r="F49" s="695"/>
      <c r="G49" s="695"/>
      <c r="I49" s="695"/>
      <c r="J49" s="695"/>
      <c r="K49" s="695"/>
      <c r="L49" s="695"/>
    </row>
    <row r="50" spans="1:14" x14ac:dyDescent="0.2">
      <c r="A50" s="695"/>
      <c r="B50" s="695"/>
      <c r="C50" s="695"/>
      <c r="D50" s="695"/>
      <c r="E50" s="695"/>
      <c r="F50" s="695"/>
      <c r="G50" s="695"/>
      <c r="I50" s="695"/>
      <c r="J50" s="695"/>
      <c r="K50" s="695"/>
      <c r="L50" s="695"/>
    </row>
    <row r="51" spans="1:14" x14ac:dyDescent="0.2">
      <c r="A51" s="695"/>
      <c r="B51" s="695"/>
      <c r="C51" s="695"/>
      <c r="D51" s="695"/>
      <c r="E51" s="695"/>
      <c r="F51" s="695"/>
      <c r="G51" s="695"/>
      <c r="I51" s="695"/>
      <c r="J51" s="695"/>
      <c r="K51" s="695"/>
      <c r="L51" s="695"/>
    </row>
    <row r="52" spans="1:14" x14ac:dyDescent="0.2">
      <c r="A52" s="695"/>
      <c r="B52" s="695"/>
      <c r="C52" s="695"/>
      <c r="D52" s="695"/>
      <c r="E52" s="695"/>
      <c r="F52" s="695"/>
      <c r="G52" s="695"/>
      <c r="I52" s="695"/>
      <c r="J52" s="695"/>
      <c r="K52" s="695"/>
      <c r="L52" s="695"/>
    </row>
    <row r="53" spans="1:14" x14ac:dyDescent="0.2">
      <c r="A53" s="695"/>
      <c r="B53" s="695"/>
      <c r="C53" s="695"/>
      <c r="D53" s="695"/>
      <c r="E53" s="695"/>
      <c r="F53" s="695"/>
      <c r="G53" s="695"/>
      <c r="I53" s="695"/>
      <c r="J53" s="695"/>
      <c r="K53" s="695"/>
      <c r="L53" s="695"/>
    </row>
    <row r="54" spans="1:14" s="708" customFormat="1" ht="12" x14ac:dyDescent="0.2">
      <c r="A54" s="706" t="s">
        <v>532</v>
      </c>
      <c r="B54" s="707"/>
      <c r="C54" s="707"/>
      <c r="D54" s="707"/>
      <c r="E54" s="707"/>
      <c r="F54" s="707"/>
      <c r="G54" s="707"/>
      <c r="H54" s="707"/>
      <c r="I54" s="707"/>
      <c r="J54" s="707"/>
      <c r="K54" s="707"/>
      <c r="L54" s="707"/>
      <c r="M54" s="707"/>
      <c r="N54" s="707"/>
    </row>
    <row r="55" spans="1:14" s="708" customFormat="1" ht="12" x14ac:dyDescent="0.2">
      <c r="A55" s="707" t="s">
        <v>534</v>
      </c>
      <c r="B55" s="707"/>
      <c r="C55" s="707"/>
      <c r="D55" s="707"/>
      <c r="E55" s="707"/>
      <c r="F55" s="707"/>
      <c r="G55" s="707"/>
      <c r="H55" s="707"/>
      <c r="I55" s="707"/>
      <c r="J55" s="707"/>
      <c r="K55" s="707"/>
      <c r="L55" s="707"/>
      <c r="M55" s="707"/>
      <c r="N55" s="707"/>
    </row>
    <row r="56" spans="1:14" x14ac:dyDescent="0.2">
      <c r="A56" s="695"/>
      <c r="B56" s="695"/>
      <c r="C56" s="695"/>
      <c r="D56" s="695"/>
      <c r="E56" s="695"/>
      <c r="F56" s="695"/>
      <c r="G56" s="695"/>
      <c r="I56" s="695"/>
      <c r="J56" s="695"/>
      <c r="K56" s="695"/>
      <c r="L56" s="695"/>
    </row>
    <row r="57" spans="1:14" x14ac:dyDescent="0.2">
      <c r="A57" s="695"/>
      <c r="B57" s="695"/>
      <c r="C57" s="695"/>
      <c r="D57" s="695"/>
      <c r="E57" s="695"/>
      <c r="F57" s="695"/>
      <c r="G57" s="695"/>
      <c r="I57" s="695"/>
      <c r="J57" s="695"/>
      <c r="K57" s="695"/>
      <c r="L57" s="695"/>
    </row>
    <row r="58" spans="1:14" x14ac:dyDescent="0.2">
      <c r="A58" s="695"/>
      <c r="B58" s="695"/>
      <c r="C58" s="695"/>
      <c r="D58" s="695"/>
      <c r="E58" s="695"/>
      <c r="F58" s="695"/>
      <c r="G58" s="695"/>
      <c r="I58" s="695"/>
      <c r="J58" s="695"/>
      <c r="K58" s="695"/>
      <c r="L58" s="695"/>
    </row>
    <row r="59" spans="1:14" x14ac:dyDescent="0.2">
      <c r="A59" s="695"/>
      <c r="B59" s="695"/>
      <c r="C59" s="695"/>
      <c r="D59" s="695"/>
      <c r="E59" s="695"/>
      <c r="F59" s="695"/>
      <c r="G59" s="695"/>
      <c r="I59" s="695"/>
      <c r="J59" s="695"/>
    </row>
  </sheetData>
  <mergeCells count="2">
    <mergeCell ref="A13:N13"/>
    <mergeCell ref="F23:M23"/>
  </mergeCells>
  <phoneticPr fontId="0" type="noConversion"/>
  <pageMargins left="0.78740157499999996" right="0.78740157499999996" top="0.984251969" bottom="0.984251969" header="0.4921259845" footer="0.4921259845"/>
  <pageSetup paperSize="9" scale="80" orientation="portrait" horizontalDpi="300" verticalDpi="3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1"/>
  <dimension ref="A1:M11923"/>
  <sheetViews>
    <sheetView topLeftCell="A1460" workbookViewId="0"/>
  </sheetViews>
  <sheetFormatPr baseColWidth="10" defaultColWidth="12" defaultRowHeight="12.75" x14ac:dyDescent="0.2"/>
  <cols>
    <col min="1" max="2" width="12" style="983"/>
    <col min="3" max="3" width="13.6640625" style="983" customWidth="1"/>
    <col min="4" max="4" width="23.6640625" style="983" customWidth="1"/>
    <col min="5" max="5" width="18.33203125" style="983" customWidth="1"/>
    <col min="6" max="6" width="18.5" style="983" customWidth="1"/>
    <col min="7" max="7" width="11" style="983" customWidth="1"/>
    <col min="8" max="8" width="12" style="983"/>
    <col min="9" max="9" width="26.1640625" style="983" bestFit="1" customWidth="1"/>
    <col min="10" max="10" width="24.1640625" style="983" bestFit="1" customWidth="1"/>
    <col min="11" max="16384" width="12" style="983"/>
  </cols>
  <sheetData>
    <row r="1" spans="1:13" x14ac:dyDescent="0.2">
      <c r="A1" s="997" t="s">
        <v>2727</v>
      </c>
      <c r="B1" s="997" t="s">
        <v>2728</v>
      </c>
      <c r="C1" s="997" t="s">
        <v>450</v>
      </c>
      <c r="D1" s="997" t="s">
        <v>2729</v>
      </c>
      <c r="E1" s="997" t="s">
        <v>476</v>
      </c>
      <c r="F1" s="997" t="s">
        <v>2730</v>
      </c>
      <c r="G1" s="997" t="s">
        <v>441</v>
      </c>
      <c r="H1" s="997" t="s">
        <v>471</v>
      </c>
      <c r="I1" s="997" t="s">
        <v>2731</v>
      </c>
      <c r="J1" s="997"/>
      <c r="K1" s="997"/>
      <c r="L1" s="997"/>
      <c r="M1" s="997"/>
    </row>
    <row r="2" spans="1:13" x14ac:dyDescent="0.2">
      <c r="A2" s="997">
        <v>1</v>
      </c>
      <c r="B2" s="983" t="s">
        <v>2733</v>
      </c>
      <c r="C2" s="985" t="s">
        <v>2749</v>
      </c>
    </row>
    <row r="3" spans="1:13" x14ac:dyDescent="0.2">
      <c r="A3" s="997">
        <f>+A2+1</f>
        <v>2</v>
      </c>
      <c r="B3" s="983" t="s">
        <v>2733</v>
      </c>
      <c r="C3" s="1090" t="s">
        <v>1096</v>
      </c>
    </row>
    <row r="4" spans="1:13" x14ac:dyDescent="0.2">
      <c r="A4" s="997">
        <f t="shared" ref="A4:A67" si="0">+A3+1</f>
        <v>3</v>
      </c>
      <c r="B4" s="983" t="s">
        <v>2733</v>
      </c>
      <c r="C4" s="994"/>
      <c r="D4" s="983" t="s">
        <v>1097</v>
      </c>
    </row>
    <row r="5" spans="1:13" x14ac:dyDescent="0.2">
      <c r="A5" s="997">
        <f t="shared" si="0"/>
        <v>4</v>
      </c>
      <c r="B5" s="983" t="s">
        <v>2733</v>
      </c>
      <c r="C5" s="995"/>
      <c r="E5" s="983" t="s">
        <v>1123</v>
      </c>
    </row>
    <row r="6" spans="1:13" x14ac:dyDescent="0.2">
      <c r="A6" s="997">
        <f t="shared" si="0"/>
        <v>5</v>
      </c>
      <c r="B6" s="983" t="s">
        <v>2733</v>
      </c>
      <c r="C6" s="996"/>
      <c r="D6" s="983" t="s">
        <v>1098</v>
      </c>
    </row>
    <row r="7" spans="1:13" x14ac:dyDescent="0.2">
      <c r="A7" s="997">
        <f t="shared" si="0"/>
        <v>6</v>
      </c>
      <c r="B7" s="983" t="s">
        <v>2733</v>
      </c>
      <c r="C7" s="994"/>
      <c r="D7" s="983" t="s">
        <v>1099</v>
      </c>
    </row>
    <row r="8" spans="1:13" x14ac:dyDescent="0.2">
      <c r="A8" s="997">
        <f t="shared" si="0"/>
        <v>7</v>
      </c>
      <c r="B8" s="983" t="s">
        <v>2733</v>
      </c>
      <c r="C8" s="994"/>
      <c r="D8" s="985" t="str">
        <f>CONCATENATE("&lt;identifiantFiscal&gt;",Identification!C13,"&lt;/identifiantFiscal&gt;")</f>
        <v>&lt;identifiantFiscal&gt;7777777&lt;/identifiantFiscal&gt;</v>
      </c>
    </row>
    <row r="9" spans="1:13" x14ac:dyDescent="0.2">
      <c r="A9" s="997">
        <f t="shared" si="0"/>
        <v>8</v>
      </c>
      <c r="B9" s="983" t="s">
        <v>2733</v>
      </c>
      <c r="C9" s="995"/>
      <c r="E9" s="985" t="str">
        <f>CONCATENATE("&lt;exerciceFiscalDu&gt;",CONCATENATE(YEAR(Identification!C11),"-0",MONTH(Identification!C11),"-0",DAY(Identification!C11)),"&lt;/exerciceFiscalDu&gt;")</f>
        <v>&lt;exerciceFiscalDu&gt;2022-01-01&lt;/exerciceFiscalDu&gt;</v>
      </c>
      <c r="G9" s="997"/>
    </row>
    <row r="10" spans="1:13" x14ac:dyDescent="0.2">
      <c r="A10" s="997">
        <f t="shared" si="0"/>
        <v>9</v>
      </c>
      <c r="B10" s="983" t="s">
        <v>2733</v>
      </c>
      <c r="C10" s="998"/>
      <c r="E10" s="983" t="str">
        <f>CONCATENATE("&lt;exerciceFiscalAu&gt;",CONCATENATE(YEAR(Identification!E11),"-",MONTH(Identification!E11),"-",DAY(Identification!E11)),"&lt;/exerciceFiscalAu&gt;")</f>
        <v>&lt;exerciceFiscalAu&gt;2022-12-31&lt;/exerciceFiscalAu&gt;</v>
      </c>
    </row>
    <row r="11" spans="1:13" x14ac:dyDescent="0.2">
      <c r="A11" s="997">
        <f t="shared" si="0"/>
        <v>10</v>
      </c>
      <c r="B11" s="983" t="s">
        <v>2733</v>
      </c>
      <c r="C11" s="999"/>
      <c r="D11" s="983" t="s">
        <v>1100</v>
      </c>
    </row>
    <row r="12" spans="1:13" x14ac:dyDescent="0.2">
      <c r="A12" s="997">
        <f t="shared" si="0"/>
        <v>11</v>
      </c>
      <c r="B12" s="983" t="s">
        <v>2733</v>
      </c>
      <c r="C12" s="998"/>
      <c r="D12" s="983" t="s">
        <v>1101</v>
      </c>
    </row>
    <row r="13" spans="1:13" x14ac:dyDescent="0.2">
      <c r="A13" s="997">
        <f t="shared" si="0"/>
        <v>12</v>
      </c>
      <c r="B13" s="983" t="s">
        <v>2733</v>
      </c>
      <c r="C13" s="998"/>
      <c r="D13" s="983" t="s">
        <v>1102</v>
      </c>
    </row>
    <row r="14" spans="1:13" x14ac:dyDescent="0.2">
      <c r="A14" s="997">
        <f t="shared" si="0"/>
        <v>13</v>
      </c>
      <c r="B14" s="983" t="s">
        <v>2733</v>
      </c>
      <c r="C14" s="999"/>
      <c r="D14" s="983" t="s">
        <v>1103</v>
      </c>
    </row>
    <row r="15" spans="1:13" x14ac:dyDescent="0.2">
      <c r="A15" s="997">
        <f t="shared" si="0"/>
        <v>14</v>
      </c>
      <c r="B15" s="983" t="s">
        <v>2733</v>
      </c>
      <c r="C15" s="1000"/>
      <c r="E15" s="983" t="s">
        <v>1104</v>
      </c>
    </row>
    <row r="16" spans="1:13" x14ac:dyDescent="0.2">
      <c r="A16" s="997">
        <f t="shared" si="0"/>
        <v>15</v>
      </c>
      <c r="B16" s="983" t="s">
        <v>2709</v>
      </c>
      <c r="C16" s="1001"/>
      <c r="F16" s="983" t="s">
        <v>1124</v>
      </c>
    </row>
    <row r="17" spans="1:9" x14ac:dyDescent="0.2">
      <c r="A17" s="997">
        <f t="shared" si="0"/>
        <v>16</v>
      </c>
      <c r="B17" s="983" t="s">
        <v>2709</v>
      </c>
      <c r="C17" s="1000"/>
      <c r="F17" s="983" t="s">
        <v>1105</v>
      </c>
    </row>
    <row r="18" spans="1:9" x14ac:dyDescent="0.2">
      <c r="A18" s="997">
        <f t="shared" si="0"/>
        <v>17</v>
      </c>
      <c r="B18" s="983" t="s">
        <v>2709</v>
      </c>
      <c r="C18" s="1000"/>
      <c r="G18" s="983" t="s">
        <v>1106</v>
      </c>
    </row>
    <row r="19" spans="1:9" x14ac:dyDescent="0.2">
      <c r="A19" s="997">
        <f t="shared" si="0"/>
        <v>18</v>
      </c>
      <c r="B19" s="983" t="s">
        <v>2709</v>
      </c>
      <c r="C19" s="999"/>
      <c r="G19" s="1002"/>
      <c r="H19" s="983" t="s">
        <v>1107</v>
      </c>
    </row>
    <row r="20" spans="1:9" x14ac:dyDescent="0.2">
      <c r="A20" s="997">
        <f t="shared" si="0"/>
        <v>19</v>
      </c>
      <c r="B20" s="983" t="s">
        <v>2709</v>
      </c>
      <c r="C20" s="999"/>
      <c r="I20" s="983" t="s">
        <v>1120</v>
      </c>
    </row>
    <row r="21" spans="1:9" x14ac:dyDescent="0.2">
      <c r="A21" s="997">
        <f t="shared" si="0"/>
        <v>20</v>
      </c>
      <c r="B21" s="983" t="s">
        <v>2709</v>
      </c>
      <c r="C21" s="1000"/>
      <c r="G21" s="1002"/>
      <c r="H21" s="983" t="s">
        <v>1108</v>
      </c>
    </row>
    <row r="22" spans="1:9" x14ac:dyDescent="0.2">
      <c r="A22" s="997">
        <f t="shared" si="0"/>
        <v>21</v>
      </c>
      <c r="B22" s="983" t="s">
        <v>2709</v>
      </c>
      <c r="C22" s="1001"/>
      <c r="H22" s="983" t="str">
        <f>CONCATENATE("&lt;valeur&gt;",Cellule_238,"&lt;/valeur&gt;")</f>
        <v>&lt;valeur&gt;5000&lt;/valeur&gt;</v>
      </c>
    </row>
    <row r="23" spans="1:9" x14ac:dyDescent="0.2">
      <c r="A23" s="997">
        <f t="shared" si="0"/>
        <v>22</v>
      </c>
      <c r="B23" s="983" t="s">
        <v>2709</v>
      </c>
      <c r="C23" s="1000"/>
      <c r="G23" s="983" t="s">
        <v>1109</v>
      </c>
    </row>
    <row r="24" spans="1:9" x14ac:dyDescent="0.2">
      <c r="A24" s="997">
        <f t="shared" si="0"/>
        <v>23</v>
      </c>
      <c r="B24" s="983" t="s">
        <v>2709</v>
      </c>
      <c r="C24" s="1000"/>
      <c r="G24" s="983" t="s">
        <v>1106</v>
      </c>
    </row>
    <row r="25" spans="1:9" x14ac:dyDescent="0.2">
      <c r="A25" s="997">
        <f t="shared" si="0"/>
        <v>24</v>
      </c>
      <c r="B25" s="983" t="s">
        <v>2709</v>
      </c>
      <c r="C25" s="999"/>
      <c r="H25" s="983" t="s">
        <v>1107</v>
      </c>
    </row>
    <row r="26" spans="1:9" x14ac:dyDescent="0.2">
      <c r="A26" s="997">
        <f t="shared" si="0"/>
        <v>25</v>
      </c>
      <c r="B26" s="983" t="s">
        <v>2709</v>
      </c>
      <c r="C26" s="999"/>
      <c r="I26" s="983" t="s">
        <v>1121</v>
      </c>
    </row>
    <row r="27" spans="1:9" x14ac:dyDescent="0.2">
      <c r="A27" s="997">
        <f t="shared" si="0"/>
        <v>26</v>
      </c>
      <c r="B27" s="983" t="s">
        <v>2709</v>
      </c>
      <c r="C27" s="1000"/>
      <c r="H27" s="983" t="s">
        <v>1108</v>
      </c>
    </row>
    <row r="28" spans="1:9" x14ac:dyDescent="0.2">
      <c r="A28" s="997">
        <f t="shared" si="0"/>
        <v>27</v>
      </c>
      <c r="B28" s="983" t="s">
        <v>2709</v>
      </c>
      <c r="C28" s="1001"/>
      <c r="H28" s="983" t="str">
        <f>CONCATENATE("&lt;valeur&gt;",Cellule_239,"&lt;/valeur&gt;")</f>
        <v>&lt;valeur&gt;0&lt;/valeur&gt;</v>
      </c>
    </row>
    <row r="29" spans="1:9" x14ac:dyDescent="0.2">
      <c r="A29" s="997">
        <f t="shared" si="0"/>
        <v>28</v>
      </c>
      <c r="B29" s="983" t="s">
        <v>2709</v>
      </c>
      <c r="C29" s="1000"/>
      <c r="G29" s="983" t="s">
        <v>1109</v>
      </c>
    </row>
    <row r="30" spans="1:9" x14ac:dyDescent="0.2">
      <c r="A30" s="997">
        <f t="shared" si="0"/>
        <v>29</v>
      </c>
      <c r="B30" s="983" t="s">
        <v>2709</v>
      </c>
      <c r="C30" s="1000"/>
      <c r="G30" s="983" t="s">
        <v>1106</v>
      </c>
    </row>
    <row r="31" spans="1:9" x14ac:dyDescent="0.2">
      <c r="A31" s="997">
        <f t="shared" si="0"/>
        <v>30</v>
      </c>
      <c r="B31" s="983" t="s">
        <v>2709</v>
      </c>
      <c r="C31" s="999"/>
      <c r="H31" s="983" t="s">
        <v>1107</v>
      </c>
    </row>
    <row r="32" spans="1:9" x14ac:dyDescent="0.2">
      <c r="A32" s="997">
        <f t="shared" si="0"/>
        <v>31</v>
      </c>
      <c r="B32" s="983" t="s">
        <v>2709</v>
      </c>
      <c r="C32" s="999"/>
      <c r="I32" s="983" t="s">
        <v>1122</v>
      </c>
    </row>
    <row r="33" spans="1:9" x14ac:dyDescent="0.2">
      <c r="A33" s="997">
        <f t="shared" si="0"/>
        <v>32</v>
      </c>
      <c r="B33" s="983" t="s">
        <v>2709</v>
      </c>
      <c r="C33" s="1000"/>
      <c r="H33" s="983" t="s">
        <v>1108</v>
      </c>
    </row>
    <row r="34" spans="1:9" x14ac:dyDescent="0.2">
      <c r="A34" s="997">
        <f t="shared" si="0"/>
        <v>33</v>
      </c>
      <c r="B34" s="983" t="s">
        <v>2709</v>
      </c>
      <c r="C34" s="1001"/>
      <c r="H34" s="983" t="str">
        <f>CONCATENATE("&lt;valeur&gt;",Cellule_240,"&lt;/valeur&gt;")</f>
        <v>&lt;valeur&gt;0&lt;/valeur&gt;</v>
      </c>
    </row>
    <row r="35" spans="1:9" x14ac:dyDescent="0.2">
      <c r="A35" s="997">
        <f t="shared" si="0"/>
        <v>34</v>
      </c>
      <c r="B35" s="983" t="s">
        <v>2709</v>
      </c>
      <c r="C35" s="1000"/>
      <c r="G35" s="983" t="s">
        <v>1109</v>
      </c>
    </row>
    <row r="36" spans="1:9" x14ac:dyDescent="0.2">
      <c r="A36" s="997">
        <f t="shared" si="0"/>
        <v>35</v>
      </c>
      <c r="B36" s="983" t="s">
        <v>2709</v>
      </c>
      <c r="C36" s="1000"/>
      <c r="G36" s="983" t="s">
        <v>1106</v>
      </c>
    </row>
    <row r="37" spans="1:9" x14ac:dyDescent="0.2">
      <c r="A37" s="997">
        <f t="shared" si="0"/>
        <v>36</v>
      </c>
      <c r="B37" s="983" t="s">
        <v>2709</v>
      </c>
      <c r="C37" s="999"/>
      <c r="H37" s="983" t="s">
        <v>1107</v>
      </c>
    </row>
    <row r="38" spans="1:9" x14ac:dyDescent="0.2">
      <c r="A38" s="997">
        <f t="shared" si="0"/>
        <v>37</v>
      </c>
      <c r="B38" s="983" t="s">
        <v>2709</v>
      </c>
      <c r="C38" s="999"/>
      <c r="I38" s="983" t="s">
        <v>1125</v>
      </c>
    </row>
    <row r="39" spans="1:9" x14ac:dyDescent="0.2">
      <c r="A39" s="997">
        <f t="shared" si="0"/>
        <v>38</v>
      </c>
      <c r="B39" s="983" t="s">
        <v>2709</v>
      </c>
      <c r="C39" s="1000"/>
      <c r="H39" s="983" t="s">
        <v>1108</v>
      </c>
    </row>
    <row r="40" spans="1:9" x14ac:dyDescent="0.2">
      <c r="A40" s="997">
        <f t="shared" si="0"/>
        <v>39</v>
      </c>
      <c r="B40" s="983" t="s">
        <v>2709</v>
      </c>
      <c r="C40" s="1001"/>
      <c r="H40" s="983" t="str">
        <f>CONCATENATE("&lt;valeur&gt;",Cellule_497,"&lt;/valeur&gt;")</f>
        <v>&lt;valeur&gt;5000&lt;/valeur&gt;</v>
      </c>
    </row>
    <row r="41" spans="1:9" x14ac:dyDescent="0.2">
      <c r="A41" s="997">
        <f t="shared" si="0"/>
        <v>40</v>
      </c>
      <c r="B41" s="983" t="s">
        <v>2709</v>
      </c>
      <c r="C41" s="1000"/>
      <c r="G41" s="983" t="s">
        <v>1109</v>
      </c>
    </row>
    <row r="42" spans="1:9" x14ac:dyDescent="0.2">
      <c r="A42" s="997">
        <f t="shared" si="0"/>
        <v>41</v>
      </c>
      <c r="B42" s="983" t="s">
        <v>2709</v>
      </c>
      <c r="C42" s="1000"/>
      <c r="G42" s="983" t="s">
        <v>1106</v>
      </c>
    </row>
    <row r="43" spans="1:9" x14ac:dyDescent="0.2">
      <c r="A43" s="997">
        <f t="shared" si="0"/>
        <v>42</v>
      </c>
      <c r="B43" s="983" t="s">
        <v>2709</v>
      </c>
      <c r="C43" s="999"/>
      <c r="H43" s="983" t="s">
        <v>1107</v>
      </c>
    </row>
    <row r="44" spans="1:9" x14ac:dyDescent="0.2">
      <c r="A44" s="997">
        <f t="shared" si="0"/>
        <v>43</v>
      </c>
      <c r="B44" s="983" t="s">
        <v>2709</v>
      </c>
      <c r="C44" s="999"/>
      <c r="I44" s="983" t="s">
        <v>1126</v>
      </c>
    </row>
    <row r="45" spans="1:9" x14ac:dyDescent="0.2">
      <c r="A45" s="997">
        <f t="shared" si="0"/>
        <v>44</v>
      </c>
      <c r="B45" s="983" t="s">
        <v>2709</v>
      </c>
      <c r="C45" s="1000"/>
      <c r="H45" s="983" t="s">
        <v>1108</v>
      </c>
    </row>
    <row r="46" spans="1:9" x14ac:dyDescent="0.2">
      <c r="A46" s="997">
        <f t="shared" si="0"/>
        <v>45</v>
      </c>
      <c r="B46" s="983" t="s">
        <v>2709</v>
      </c>
      <c r="C46" s="1001"/>
      <c r="H46" s="983" t="str">
        <f>CONCATENATE("&lt;valeur&gt;",Cellule_241,"&lt;/valeur&gt;")</f>
        <v>&lt;valeur&gt;2360,87&lt;/valeur&gt;</v>
      </c>
    </row>
    <row r="47" spans="1:9" x14ac:dyDescent="0.2">
      <c r="A47" s="997">
        <f t="shared" si="0"/>
        <v>46</v>
      </c>
      <c r="B47" s="983" t="s">
        <v>2709</v>
      </c>
      <c r="C47" s="1000"/>
      <c r="G47" s="983" t="s">
        <v>1109</v>
      </c>
    </row>
    <row r="48" spans="1:9" x14ac:dyDescent="0.2">
      <c r="A48" s="997">
        <f t="shared" si="0"/>
        <v>47</v>
      </c>
      <c r="B48" s="983" t="s">
        <v>2709</v>
      </c>
      <c r="C48" s="1000"/>
      <c r="G48" s="983" t="s">
        <v>1106</v>
      </c>
    </row>
    <row r="49" spans="1:9" x14ac:dyDescent="0.2">
      <c r="A49" s="997">
        <f t="shared" si="0"/>
        <v>48</v>
      </c>
      <c r="B49" s="983" t="s">
        <v>2709</v>
      </c>
      <c r="C49" s="999"/>
      <c r="H49" s="983" t="s">
        <v>1107</v>
      </c>
    </row>
    <row r="50" spans="1:9" x14ac:dyDescent="0.2">
      <c r="A50" s="997">
        <f t="shared" si="0"/>
        <v>49</v>
      </c>
      <c r="B50" s="983" t="s">
        <v>2709</v>
      </c>
      <c r="C50" s="999"/>
      <c r="I50" s="983" t="s">
        <v>1127</v>
      </c>
    </row>
    <row r="51" spans="1:9" x14ac:dyDescent="0.2">
      <c r="A51" s="997">
        <f t="shared" si="0"/>
        <v>50</v>
      </c>
      <c r="B51" s="983" t="s">
        <v>2709</v>
      </c>
      <c r="C51" s="1000"/>
      <c r="H51" s="983" t="s">
        <v>1108</v>
      </c>
    </row>
    <row r="52" spans="1:9" x14ac:dyDescent="0.2">
      <c r="A52" s="997">
        <f t="shared" si="0"/>
        <v>51</v>
      </c>
      <c r="B52" s="983" t="s">
        <v>2709</v>
      </c>
      <c r="C52" s="1001"/>
      <c r="H52" s="983" t="str">
        <f>CONCATENATE("&lt;valeur&gt;",Cellule_242,"&lt;/valeur&gt;")</f>
        <v>&lt;valeur&gt;0&lt;/valeur&gt;</v>
      </c>
    </row>
    <row r="53" spans="1:9" x14ac:dyDescent="0.2">
      <c r="A53" s="997">
        <f t="shared" si="0"/>
        <v>52</v>
      </c>
      <c r="B53" s="983" t="s">
        <v>2709</v>
      </c>
      <c r="C53" s="1000"/>
      <c r="G53" s="983" t="s">
        <v>1109</v>
      </c>
    </row>
    <row r="54" spans="1:9" x14ac:dyDescent="0.2">
      <c r="A54" s="997">
        <f t="shared" si="0"/>
        <v>53</v>
      </c>
      <c r="B54" s="983" t="s">
        <v>2709</v>
      </c>
      <c r="C54" s="1000"/>
      <c r="G54" s="983" t="s">
        <v>1106</v>
      </c>
    </row>
    <row r="55" spans="1:9" x14ac:dyDescent="0.2">
      <c r="A55" s="997">
        <f t="shared" si="0"/>
        <v>54</v>
      </c>
      <c r="B55" s="983" t="s">
        <v>2709</v>
      </c>
      <c r="C55" s="999"/>
      <c r="H55" s="983" t="s">
        <v>1107</v>
      </c>
    </row>
    <row r="56" spans="1:9" x14ac:dyDescent="0.2">
      <c r="A56" s="997">
        <f t="shared" si="0"/>
        <v>55</v>
      </c>
      <c r="B56" s="983" t="s">
        <v>2709</v>
      </c>
      <c r="C56" s="999"/>
      <c r="I56" s="983" t="s">
        <v>1128</v>
      </c>
    </row>
    <row r="57" spans="1:9" x14ac:dyDescent="0.2">
      <c r="A57" s="997">
        <f t="shared" si="0"/>
        <v>56</v>
      </c>
      <c r="B57" s="983" t="s">
        <v>2709</v>
      </c>
      <c r="C57" s="1000"/>
      <c r="H57" s="983" t="s">
        <v>1108</v>
      </c>
    </row>
    <row r="58" spans="1:9" x14ac:dyDescent="0.2">
      <c r="A58" s="997">
        <f t="shared" si="0"/>
        <v>57</v>
      </c>
      <c r="B58" s="983" t="s">
        <v>2709</v>
      </c>
      <c r="C58" s="1001"/>
      <c r="H58" s="983" t="str">
        <f>CONCATENATE("&lt;valeur&gt;",Cellule_243,"&lt;/valeur&gt;")</f>
        <v>&lt;valeur&gt;0&lt;/valeur&gt;</v>
      </c>
    </row>
    <row r="59" spans="1:9" x14ac:dyDescent="0.2">
      <c r="A59" s="997">
        <f t="shared" si="0"/>
        <v>58</v>
      </c>
      <c r="B59" s="983" t="s">
        <v>2709</v>
      </c>
      <c r="C59" s="1000"/>
      <c r="G59" s="983" t="s">
        <v>1109</v>
      </c>
    </row>
    <row r="60" spans="1:9" x14ac:dyDescent="0.2">
      <c r="A60" s="997">
        <f t="shared" si="0"/>
        <v>59</v>
      </c>
      <c r="B60" s="983" t="s">
        <v>2709</v>
      </c>
      <c r="C60" s="1000"/>
      <c r="G60" s="983" t="s">
        <v>1106</v>
      </c>
    </row>
    <row r="61" spans="1:9" x14ac:dyDescent="0.2">
      <c r="A61" s="997">
        <f t="shared" si="0"/>
        <v>60</v>
      </c>
      <c r="B61" s="983" t="s">
        <v>2709</v>
      </c>
      <c r="C61" s="999"/>
      <c r="H61" s="983" t="s">
        <v>1107</v>
      </c>
    </row>
    <row r="62" spans="1:9" x14ac:dyDescent="0.2">
      <c r="A62" s="997">
        <f t="shared" si="0"/>
        <v>61</v>
      </c>
      <c r="B62" s="983" t="s">
        <v>2709</v>
      </c>
      <c r="C62" s="999"/>
      <c r="I62" s="983" t="s">
        <v>1129</v>
      </c>
    </row>
    <row r="63" spans="1:9" x14ac:dyDescent="0.2">
      <c r="A63" s="997">
        <f t="shared" si="0"/>
        <v>62</v>
      </c>
      <c r="B63" s="983" t="s">
        <v>2709</v>
      </c>
      <c r="C63" s="1000"/>
      <c r="H63" s="983" t="s">
        <v>1108</v>
      </c>
    </row>
    <row r="64" spans="1:9" x14ac:dyDescent="0.2">
      <c r="A64" s="997">
        <f t="shared" si="0"/>
        <v>63</v>
      </c>
      <c r="B64" s="983" t="s">
        <v>2709</v>
      </c>
      <c r="C64" s="1001"/>
      <c r="H64" s="983" t="str">
        <f>CONCATENATE("&lt;valeur&gt;",Cellule_498,"&lt;/valeur&gt;")</f>
        <v>&lt;valeur&gt;2360,87&lt;/valeur&gt;</v>
      </c>
    </row>
    <row r="65" spans="1:9" x14ac:dyDescent="0.2">
      <c r="A65" s="997">
        <f t="shared" si="0"/>
        <v>64</v>
      </c>
      <c r="B65" s="983" t="s">
        <v>2709</v>
      </c>
      <c r="C65" s="1000"/>
      <c r="G65" s="983" t="s">
        <v>1109</v>
      </c>
    </row>
    <row r="66" spans="1:9" x14ac:dyDescent="0.2">
      <c r="A66" s="997">
        <f t="shared" si="0"/>
        <v>65</v>
      </c>
      <c r="B66" s="983" t="s">
        <v>2709</v>
      </c>
      <c r="C66" s="1000"/>
      <c r="G66" s="983" t="s">
        <v>1106</v>
      </c>
    </row>
    <row r="67" spans="1:9" x14ac:dyDescent="0.2">
      <c r="A67" s="997">
        <f t="shared" si="0"/>
        <v>66</v>
      </c>
      <c r="B67" s="983" t="s">
        <v>2709</v>
      </c>
      <c r="C67" s="999"/>
      <c r="H67" s="983" t="s">
        <v>1107</v>
      </c>
    </row>
    <row r="68" spans="1:9" x14ac:dyDescent="0.2">
      <c r="A68" s="997">
        <f t="shared" ref="A68:A131" si="1">+A67+1</f>
        <v>67</v>
      </c>
      <c r="B68" s="983" t="s">
        <v>2709</v>
      </c>
      <c r="C68" s="999"/>
      <c r="I68" s="983" t="s">
        <v>1130</v>
      </c>
    </row>
    <row r="69" spans="1:9" x14ac:dyDescent="0.2">
      <c r="A69" s="997">
        <f t="shared" si="1"/>
        <v>68</v>
      </c>
      <c r="B69" s="983" t="s">
        <v>2709</v>
      </c>
      <c r="C69" s="1000"/>
      <c r="H69" s="983" t="s">
        <v>1108</v>
      </c>
    </row>
    <row r="70" spans="1:9" x14ac:dyDescent="0.2">
      <c r="A70" s="997">
        <f t="shared" si="1"/>
        <v>69</v>
      </c>
      <c r="B70" s="983" t="s">
        <v>2709</v>
      </c>
      <c r="C70" s="1001"/>
      <c r="H70" s="983" t="str">
        <f>CONCATENATE("&lt;valeur&gt;",Cellule_244,"&lt;/valeur&gt;")</f>
        <v>&lt;valeur&gt;2639,13&lt;/valeur&gt;</v>
      </c>
    </row>
    <row r="71" spans="1:9" x14ac:dyDescent="0.2">
      <c r="A71" s="997">
        <f t="shared" si="1"/>
        <v>70</v>
      </c>
      <c r="B71" s="983" t="s">
        <v>2709</v>
      </c>
      <c r="C71" s="1000"/>
      <c r="G71" s="983" t="s">
        <v>1109</v>
      </c>
    </row>
    <row r="72" spans="1:9" x14ac:dyDescent="0.2">
      <c r="A72" s="997">
        <f t="shared" si="1"/>
        <v>71</v>
      </c>
      <c r="B72" s="983" t="s">
        <v>2709</v>
      </c>
      <c r="C72" s="1000"/>
      <c r="G72" s="983" t="s">
        <v>1106</v>
      </c>
    </row>
    <row r="73" spans="1:9" x14ac:dyDescent="0.2">
      <c r="A73" s="997">
        <f t="shared" si="1"/>
        <v>72</v>
      </c>
      <c r="B73" s="983" t="s">
        <v>2709</v>
      </c>
      <c r="C73" s="999"/>
      <c r="H73" s="983" t="s">
        <v>1107</v>
      </c>
    </row>
    <row r="74" spans="1:9" x14ac:dyDescent="0.2">
      <c r="A74" s="997">
        <f t="shared" si="1"/>
        <v>73</v>
      </c>
      <c r="B74" s="983" t="s">
        <v>2709</v>
      </c>
      <c r="C74" s="999"/>
      <c r="I74" s="983" t="s">
        <v>1131</v>
      </c>
    </row>
    <row r="75" spans="1:9" x14ac:dyDescent="0.2">
      <c r="A75" s="997">
        <f t="shared" si="1"/>
        <v>74</v>
      </c>
      <c r="B75" s="983" t="s">
        <v>2709</v>
      </c>
      <c r="C75" s="1000"/>
      <c r="H75" s="983" t="s">
        <v>1108</v>
      </c>
    </row>
    <row r="76" spans="1:9" x14ac:dyDescent="0.2">
      <c r="A76" s="997">
        <f t="shared" si="1"/>
        <v>75</v>
      </c>
      <c r="B76" s="983" t="s">
        <v>2709</v>
      </c>
      <c r="C76" s="1001"/>
      <c r="H76" s="983" t="str">
        <f>CONCATENATE("&lt;valeur&gt;",Cellule_245,"&lt;/valeur&gt;")</f>
        <v>&lt;valeur&gt;0&lt;/valeur&gt;</v>
      </c>
    </row>
    <row r="77" spans="1:9" x14ac:dyDescent="0.2">
      <c r="A77" s="997">
        <f t="shared" si="1"/>
        <v>76</v>
      </c>
      <c r="B77" s="983" t="s">
        <v>2709</v>
      </c>
      <c r="C77" s="1000"/>
      <c r="G77" s="983" t="s">
        <v>1109</v>
      </c>
    </row>
    <row r="78" spans="1:9" x14ac:dyDescent="0.2">
      <c r="A78" s="997">
        <f t="shared" si="1"/>
        <v>77</v>
      </c>
      <c r="B78" s="983" t="s">
        <v>2709</v>
      </c>
      <c r="C78" s="1000"/>
      <c r="G78" s="983" t="s">
        <v>1106</v>
      </c>
    </row>
    <row r="79" spans="1:9" x14ac:dyDescent="0.2">
      <c r="A79" s="997">
        <f t="shared" si="1"/>
        <v>78</v>
      </c>
      <c r="B79" s="983" t="s">
        <v>2709</v>
      </c>
      <c r="C79" s="999"/>
      <c r="H79" s="983" t="s">
        <v>1107</v>
      </c>
    </row>
    <row r="80" spans="1:9" x14ac:dyDescent="0.2">
      <c r="A80" s="997">
        <f t="shared" si="1"/>
        <v>79</v>
      </c>
      <c r="B80" s="983" t="s">
        <v>2709</v>
      </c>
      <c r="C80" s="999"/>
      <c r="I80" s="983" t="s">
        <v>1132</v>
      </c>
    </row>
    <row r="81" spans="1:9" x14ac:dyDescent="0.2">
      <c r="A81" s="997">
        <f t="shared" si="1"/>
        <v>80</v>
      </c>
      <c r="B81" s="983" t="s">
        <v>2709</v>
      </c>
      <c r="C81" s="1000"/>
      <c r="H81" s="983" t="s">
        <v>1108</v>
      </c>
    </row>
    <row r="82" spans="1:9" x14ac:dyDescent="0.2">
      <c r="A82" s="997">
        <f t="shared" si="1"/>
        <v>81</v>
      </c>
      <c r="B82" s="983" t="s">
        <v>2709</v>
      </c>
      <c r="C82" s="1001"/>
      <c r="H82" s="983" t="str">
        <f>CONCATENATE("&lt;valeur&gt;",Cellule_246,"&lt;/valeur&gt;")</f>
        <v>&lt;valeur&gt;0&lt;/valeur&gt;</v>
      </c>
    </row>
    <row r="83" spans="1:9" x14ac:dyDescent="0.2">
      <c r="A83" s="997">
        <f t="shared" si="1"/>
        <v>82</v>
      </c>
      <c r="B83" s="983" t="s">
        <v>2709</v>
      </c>
      <c r="C83" s="1000"/>
      <c r="G83" s="983" t="s">
        <v>1109</v>
      </c>
    </row>
    <row r="84" spans="1:9" x14ac:dyDescent="0.2">
      <c r="A84" s="997">
        <f t="shared" si="1"/>
        <v>83</v>
      </c>
      <c r="B84" s="983" t="s">
        <v>2709</v>
      </c>
      <c r="C84" s="1000"/>
      <c r="G84" s="983" t="s">
        <v>1106</v>
      </c>
    </row>
    <row r="85" spans="1:9" x14ac:dyDescent="0.2">
      <c r="A85" s="997">
        <f t="shared" si="1"/>
        <v>84</v>
      </c>
      <c r="B85" s="983" t="s">
        <v>2709</v>
      </c>
      <c r="C85" s="999"/>
      <c r="H85" s="983" t="s">
        <v>1107</v>
      </c>
    </row>
    <row r="86" spans="1:9" x14ac:dyDescent="0.2">
      <c r="A86" s="997">
        <f t="shared" si="1"/>
        <v>85</v>
      </c>
      <c r="B86" s="983" t="s">
        <v>2709</v>
      </c>
      <c r="C86" s="999"/>
      <c r="I86" s="983" t="s">
        <v>1133</v>
      </c>
    </row>
    <row r="87" spans="1:9" x14ac:dyDescent="0.2">
      <c r="A87" s="997">
        <f t="shared" si="1"/>
        <v>86</v>
      </c>
      <c r="B87" s="983" t="s">
        <v>2709</v>
      </c>
      <c r="C87" s="1000"/>
      <c r="H87" s="983" t="s">
        <v>1108</v>
      </c>
    </row>
    <row r="88" spans="1:9" x14ac:dyDescent="0.2">
      <c r="A88" s="997">
        <f t="shared" si="1"/>
        <v>87</v>
      </c>
      <c r="B88" s="983" t="s">
        <v>2709</v>
      </c>
      <c r="C88" s="1001"/>
      <c r="H88" s="983" t="str">
        <f>CONCATENATE("&lt;valeur&gt;",Cellule_499,"&lt;/valeur&gt;")</f>
        <v>&lt;valeur&gt;2639,13&lt;/valeur&gt;</v>
      </c>
    </row>
    <row r="89" spans="1:9" x14ac:dyDescent="0.2">
      <c r="A89" s="997">
        <f t="shared" si="1"/>
        <v>88</v>
      </c>
      <c r="B89" s="983" t="s">
        <v>2709</v>
      </c>
      <c r="C89" s="1000"/>
      <c r="G89" s="983" t="s">
        <v>1109</v>
      </c>
    </row>
    <row r="90" spans="1:9" x14ac:dyDescent="0.2">
      <c r="A90" s="997">
        <f t="shared" si="1"/>
        <v>89</v>
      </c>
      <c r="B90" s="983" t="s">
        <v>2709</v>
      </c>
      <c r="C90" s="1000"/>
      <c r="G90" s="983" t="s">
        <v>1106</v>
      </c>
    </row>
    <row r="91" spans="1:9" x14ac:dyDescent="0.2">
      <c r="A91" s="997">
        <f t="shared" si="1"/>
        <v>90</v>
      </c>
      <c r="B91" s="983" t="s">
        <v>2709</v>
      </c>
      <c r="C91" s="999"/>
      <c r="H91" s="983" t="s">
        <v>1107</v>
      </c>
    </row>
    <row r="92" spans="1:9" x14ac:dyDescent="0.2">
      <c r="A92" s="997">
        <f t="shared" si="1"/>
        <v>91</v>
      </c>
      <c r="B92" s="983" t="s">
        <v>2709</v>
      </c>
      <c r="C92" s="999"/>
      <c r="I92" s="983" t="s">
        <v>1134</v>
      </c>
    </row>
    <row r="93" spans="1:9" x14ac:dyDescent="0.2">
      <c r="A93" s="997">
        <f t="shared" si="1"/>
        <v>92</v>
      </c>
      <c r="B93" s="983" t="s">
        <v>2709</v>
      </c>
      <c r="C93" s="1000"/>
      <c r="H93" s="983" t="s">
        <v>1108</v>
      </c>
    </row>
    <row r="94" spans="1:9" x14ac:dyDescent="0.2">
      <c r="A94" s="997">
        <f t="shared" si="1"/>
        <v>93</v>
      </c>
      <c r="B94" s="983" t="s">
        <v>2709</v>
      </c>
      <c r="C94" s="1001"/>
      <c r="H94" s="983" t="str">
        <f>CONCATENATE("&lt;valeur&gt;",Cellule_247,"&lt;/valeur&gt;")</f>
        <v>&lt;valeur&gt;4305,63&lt;/valeur&gt;</v>
      </c>
    </row>
    <row r="95" spans="1:9" x14ac:dyDescent="0.2">
      <c r="A95" s="997">
        <f t="shared" si="1"/>
        <v>94</v>
      </c>
      <c r="B95" s="983" t="s">
        <v>2709</v>
      </c>
      <c r="C95" s="1000"/>
      <c r="G95" s="983" t="s">
        <v>1109</v>
      </c>
    </row>
    <row r="96" spans="1:9" x14ac:dyDescent="0.2">
      <c r="A96" s="997">
        <f t="shared" si="1"/>
        <v>95</v>
      </c>
      <c r="B96" s="983" t="s">
        <v>2709</v>
      </c>
      <c r="C96" s="1000"/>
      <c r="G96" s="983" t="s">
        <v>1106</v>
      </c>
    </row>
    <row r="97" spans="1:9" x14ac:dyDescent="0.2">
      <c r="A97" s="997">
        <f t="shared" si="1"/>
        <v>96</v>
      </c>
      <c r="B97" s="983" t="s">
        <v>2709</v>
      </c>
      <c r="C97" s="999"/>
      <c r="H97" s="983" t="s">
        <v>1107</v>
      </c>
    </row>
    <row r="98" spans="1:9" x14ac:dyDescent="0.2">
      <c r="A98" s="997">
        <f t="shared" si="1"/>
        <v>97</v>
      </c>
      <c r="B98" s="983" t="s">
        <v>2709</v>
      </c>
      <c r="C98" s="999"/>
      <c r="I98" s="983" t="s">
        <v>1135</v>
      </c>
    </row>
    <row r="99" spans="1:9" x14ac:dyDescent="0.2">
      <c r="A99" s="997">
        <f t="shared" si="1"/>
        <v>98</v>
      </c>
      <c r="B99" s="983" t="s">
        <v>2709</v>
      </c>
      <c r="C99" s="1000"/>
      <c r="H99" s="983" t="s">
        <v>1108</v>
      </c>
    </row>
    <row r="100" spans="1:9" x14ac:dyDescent="0.2">
      <c r="A100" s="997">
        <f t="shared" si="1"/>
        <v>99</v>
      </c>
      <c r="B100" s="983" t="s">
        <v>2709</v>
      </c>
      <c r="C100" s="1001"/>
      <c r="H100" s="983" t="str">
        <f>CONCATENATE("&lt;valeur&gt;",Cellule_248,"&lt;/valeur&gt;")</f>
        <v>&lt;valeur&gt;0&lt;/valeur&gt;</v>
      </c>
    </row>
    <row r="101" spans="1:9" x14ac:dyDescent="0.2">
      <c r="A101" s="997">
        <f t="shared" si="1"/>
        <v>100</v>
      </c>
      <c r="B101" s="983" t="s">
        <v>2709</v>
      </c>
      <c r="C101" s="1000"/>
      <c r="G101" s="983" t="s">
        <v>1109</v>
      </c>
    </row>
    <row r="102" spans="1:9" x14ac:dyDescent="0.2">
      <c r="A102" s="997">
        <f t="shared" si="1"/>
        <v>101</v>
      </c>
      <c r="B102" s="983" t="s">
        <v>2709</v>
      </c>
      <c r="C102" s="1000"/>
      <c r="G102" s="983" t="s">
        <v>1106</v>
      </c>
    </row>
    <row r="103" spans="1:9" x14ac:dyDescent="0.2">
      <c r="A103" s="997">
        <f t="shared" si="1"/>
        <v>102</v>
      </c>
      <c r="B103" s="983" t="s">
        <v>2709</v>
      </c>
      <c r="C103" s="999"/>
      <c r="H103" s="983" t="s">
        <v>1107</v>
      </c>
    </row>
    <row r="104" spans="1:9" x14ac:dyDescent="0.2">
      <c r="A104" s="997">
        <f t="shared" si="1"/>
        <v>103</v>
      </c>
      <c r="B104" s="983" t="s">
        <v>2709</v>
      </c>
      <c r="C104" s="999"/>
      <c r="I104" s="983" t="s">
        <v>1136</v>
      </c>
    </row>
    <row r="105" spans="1:9" x14ac:dyDescent="0.2">
      <c r="A105" s="997">
        <f t="shared" si="1"/>
        <v>104</v>
      </c>
      <c r="B105" s="983" t="s">
        <v>2709</v>
      </c>
      <c r="C105" s="1000"/>
      <c r="H105" s="983" t="s">
        <v>1108</v>
      </c>
    </row>
    <row r="106" spans="1:9" x14ac:dyDescent="0.2">
      <c r="A106" s="997">
        <f t="shared" si="1"/>
        <v>105</v>
      </c>
      <c r="B106" s="983" t="s">
        <v>2709</v>
      </c>
      <c r="C106" s="1001"/>
      <c r="H106" s="983" t="str">
        <f>CONCATENATE("&lt;valeur&gt;",Cellule_249,"&lt;/valeur&gt;")</f>
        <v>&lt;valeur&gt;0&lt;/valeur&gt;</v>
      </c>
    </row>
    <row r="107" spans="1:9" x14ac:dyDescent="0.2">
      <c r="A107" s="997">
        <f t="shared" si="1"/>
        <v>106</v>
      </c>
      <c r="B107" s="983" t="s">
        <v>2709</v>
      </c>
      <c r="C107" s="1000"/>
      <c r="G107" s="983" t="s">
        <v>1109</v>
      </c>
    </row>
    <row r="108" spans="1:9" x14ac:dyDescent="0.2">
      <c r="A108" s="997">
        <f t="shared" si="1"/>
        <v>107</v>
      </c>
      <c r="B108" s="983" t="s">
        <v>2709</v>
      </c>
      <c r="C108" s="1000"/>
      <c r="G108" s="983" t="s">
        <v>1106</v>
      </c>
    </row>
    <row r="109" spans="1:9" x14ac:dyDescent="0.2">
      <c r="A109" s="997">
        <f t="shared" si="1"/>
        <v>108</v>
      </c>
      <c r="B109" s="983" t="s">
        <v>2709</v>
      </c>
      <c r="C109" s="999"/>
      <c r="H109" s="983" t="s">
        <v>1107</v>
      </c>
    </row>
    <row r="110" spans="1:9" x14ac:dyDescent="0.2">
      <c r="A110" s="997">
        <f t="shared" si="1"/>
        <v>109</v>
      </c>
      <c r="B110" s="983" t="s">
        <v>2709</v>
      </c>
      <c r="C110" s="999"/>
      <c r="I110" s="983" t="s">
        <v>1137</v>
      </c>
    </row>
    <row r="111" spans="1:9" x14ac:dyDescent="0.2">
      <c r="A111" s="997">
        <f t="shared" si="1"/>
        <v>110</v>
      </c>
      <c r="B111" s="983" t="s">
        <v>2709</v>
      </c>
      <c r="C111" s="1000"/>
      <c r="H111" s="983" t="s">
        <v>1108</v>
      </c>
    </row>
    <row r="112" spans="1:9" x14ac:dyDescent="0.2">
      <c r="A112" s="997">
        <f t="shared" si="1"/>
        <v>111</v>
      </c>
      <c r="B112" s="983" t="s">
        <v>2709</v>
      </c>
      <c r="C112" s="1001"/>
      <c r="H112" s="983" t="str">
        <f>CONCATENATE("&lt;valeur&gt;",Cellule_500,"&lt;/valeur&gt;")</f>
        <v>&lt;valeur&gt;4305,63&lt;/valeur&gt;</v>
      </c>
    </row>
    <row r="113" spans="1:9" x14ac:dyDescent="0.2">
      <c r="A113" s="997">
        <f t="shared" si="1"/>
        <v>112</v>
      </c>
      <c r="B113" s="983" t="s">
        <v>2709</v>
      </c>
      <c r="C113" s="1000"/>
      <c r="G113" s="983" t="s">
        <v>1109</v>
      </c>
    </row>
    <row r="114" spans="1:9" x14ac:dyDescent="0.2">
      <c r="A114" s="997">
        <f t="shared" si="1"/>
        <v>113</v>
      </c>
      <c r="B114" s="983" t="s">
        <v>2709</v>
      </c>
      <c r="C114" s="1000"/>
      <c r="G114" s="983" t="s">
        <v>1106</v>
      </c>
    </row>
    <row r="115" spans="1:9" x14ac:dyDescent="0.2">
      <c r="A115" s="997">
        <f t="shared" si="1"/>
        <v>114</v>
      </c>
      <c r="B115" s="983" t="s">
        <v>2709</v>
      </c>
      <c r="C115" s="999"/>
      <c r="H115" s="983" t="s">
        <v>1107</v>
      </c>
    </row>
    <row r="116" spans="1:9" x14ac:dyDescent="0.2">
      <c r="A116" s="997">
        <f t="shared" si="1"/>
        <v>115</v>
      </c>
      <c r="B116" s="983" t="s">
        <v>2709</v>
      </c>
      <c r="C116" s="999"/>
      <c r="I116" s="983" t="s">
        <v>1138</v>
      </c>
    </row>
    <row r="117" spans="1:9" x14ac:dyDescent="0.2">
      <c r="A117" s="997">
        <f t="shared" si="1"/>
        <v>116</v>
      </c>
      <c r="B117" s="983" t="s">
        <v>2709</v>
      </c>
      <c r="C117" s="1000"/>
      <c r="H117" s="983" t="s">
        <v>1108</v>
      </c>
    </row>
    <row r="118" spans="1:9" x14ac:dyDescent="0.2">
      <c r="A118" s="997">
        <f t="shared" si="1"/>
        <v>117</v>
      </c>
      <c r="B118" s="983" t="s">
        <v>2709</v>
      </c>
      <c r="C118" s="1001"/>
      <c r="H118" s="983" t="str">
        <f>CONCATENATE("&lt;valeur&gt;",Cellule_274,"&lt;/valeur&gt;")</f>
        <v>&lt;valeur&gt;0&lt;/valeur&gt;</v>
      </c>
    </row>
    <row r="119" spans="1:9" x14ac:dyDescent="0.2">
      <c r="A119" s="997">
        <f t="shared" si="1"/>
        <v>118</v>
      </c>
      <c r="B119" s="983" t="s">
        <v>2709</v>
      </c>
      <c r="C119" s="1000"/>
      <c r="G119" s="983" t="s">
        <v>1109</v>
      </c>
    </row>
    <row r="120" spans="1:9" x14ac:dyDescent="0.2">
      <c r="A120" s="997">
        <f t="shared" si="1"/>
        <v>119</v>
      </c>
      <c r="B120" s="983" t="s">
        <v>2709</v>
      </c>
      <c r="C120" s="1000"/>
      <c r="G120" s="983" t="s">
        <v>1106</v>
      </c>
    </row>
    <row r="121" spans="1:9" x14ac:dyDescent="0.2">
      <c r="A121" s="997">
        <f t="shared" si="1"/>
        <v>120</v>
      </c>
      <c r="B121" s="983" t="s">
        <v>2709</v>
      </c>
      <c r="C121" s="999"/>
      <c r="H121" s="983" t="s">
        <v>1107</v>
      </c>
    </row>
    <row r="122" spans="1:9" x14ac:dyDescent="0.2">
      <c r="A122" s="997">
        <f t="shared" si="1"/>
        <v>121</v>
      </c>
      <c r="B122" s="983" t="s">
        <v>2709</v>
      </c>
      <c r="C122" s="999"/>
      <c r="I122" s="983" t="s">
        <v>1139</v>
      </c>
    </row>
    <row r="123" spans="1:9" x14ac:dyDescent="0.2">
      <c r="A123" s="997">
        <f t="shared" si="1"/>
        <v>122</v>
      </c>
      <c r="B123" s="983" t="s">
        <v>2709</v>
      </c>
      <c r="C123" s="1000"/>
      <c r="H123" s="983" t="s">
        <v>1108</v>
      </c>
    </row>
    <row r="124" spans="1:9" x14ac:dyDescent="0.2">
      <c r="A124" s="997">
        <f t="shared" si="1"/>
        <v>123</v>
      </c>
      <c r="B124" s="983" t="s">
        <v>2709</v>
      </c>
      <c r="C124" s="1001"/>
      <c r="H124" s="983" t="str">
        <f>CONCATENATE("&lt;valeur&gt;",Cellule_275,"&lt;/valeur&gt;")</f>
        <v>&lt;valeur&gt;0&lt;/valeur&gt;</v>
      </c>
    </row>
    <row r="125" spans="1:9" x14ac:dyDescent="0.2">
      <c r="A125" s="997">
        <f t="shared" si="1"/>
        <v>124</v>
      </c>
      <c r="B125" s="983" t="s">
        <v>2709</v>
      </c>
      <c r="C125" s="1000"/>
      <c r="G125" s="983" t="s">
        <v>1109</v>
      </c>
    </row>
    <row r="126" spans="1:9" x14ac:dyDescent="0.2">
      <c r="A126" s="997">
        <f t="shared" si="1"/>
        <v>125</v>
      </c>
      <c r="B126" s="983" t="s">
        <v>2709</v>
      </c>
      <c r="C126" s="1000"/>
      <c r="G126" s="983" t="s">
        <v>1106</v>
      </c>
    </row>
    <row r="127" spans="1:9" x14ac:dyDescent="0.2">
      <c r="A127" s="997">
        <f t="shared" si="1"/>
        <v>126</v>
      </c>
      <c r="B127" s="983" t="s">
        <v>2709</v>
      </c>
      <c r="C127" s="999"/>
      <c r="H127" s="983" t="s">
        <v>1107</v>
      </c>
    </row>
    <row r="128" spans="1:9" x14ac:dyDescent="0.2">
      <c r="A128" s="997">
        <f t="shared" si="1"/>
        <v>127</v>
      </c>
      <c r="B128" s="983" t="s">
        <v>2709</v>
      </c>
      <c r="C128" s="999"/>
      <c r="I128" s="983" t="s">
        <v>1140</v>
      </c>
    </row>
    <row r="129" spans="1:9" x14ac:dyDescent="0.2">
      <c r="A129" s="997">
        <f t="shared" si="1"/>
        <v>128</v>
      </c>
      <c r="B129" s="983" t="s">
        <v>2709</v>
      </c>
      <c r="C129" s="1000"/>
      <c r="H129" s="983" t="s">
        <v>1108</v>
      </c>
    </row>
    <row r="130" spans="1:9" x14ac:dyDescent="0.2">
      <c r="A130" s="997">
        <f t="shared" si="1"/>
        <v>129</v>
      </c>
      <c r="B130" s="983" t="s">
        <v>2709</v>
      </c>
      <c r="C130" s="1001"/>
      <c r="H130" s="983" t="str">
        <f>CONCATENATE("&lt;valeur&gt;",Cellule_276,"&lt;/valeur&gt;")</f>
        <v>&lt;valeur&gt;0&lt;/valeur&gt;</v>
      </c>
    </row>
    <row r="131" spans="1:9" x14ac:dyDescent="0.2">
      <c r="A131" s="997">
        <f t="shared" si="1"/>
        <v>130</v>
      </c>
      <c r="B131" s="983" t="s">
        <v>2709</v>
      </c>
      <c r="C131" s="1000"/>
      <c r="G131" s="983" t="s">
        <v>1109</v>
      </c>
    </row>
    <row r="132" spans="1:9" x14ac:dyDescent="0.2">
      <c r="A132" s="997">
        <f t="shared" ref="A132:A195" si="2">+A131+1</f>
        <v>131</v>
      </c>
      <c r="B132" s="983" t="s">
        <v>2709</v>
      </c>
      <c r="C132" s="1000"/>
      <c r="G132" s="983" t="s">
        <v>1106</v>
      </c>
    </row>
    <row r="133" spans="1:9" x14ac:dyDescent="0.2">
      <c r="A133" s="997">
        <f t="shared" si="2"/>
        <v>132</v>
      </c>
      <c r="B133" s="983" t="s">
        <v>2709</v>
      </c>
      <c r="C133" s="999"/>
      <c r="H133" s="983" t="s">
        <v>1107</v>
      </c>
    </row>
    <row r="134" spans="1:9" x14ac:dyDescent="0.2">
      <c r="A134" s="997">
        <f t="shared" si="2"/>
        <v>133</v>
      </c>
      <c r="B134" s="983" t="s">
        <v>2709</v>
      </c>
      <c r="C134" s="999"/>
      <c r="I134" s="983" t="s">
        <v>1141</v>
      </c>
    </row>
    <row r="135" spans="1:9" x14ac:dyDescent="0.2">
      <c r="A135" s="997">
        <f t="shared" si="2"/>
        <v>134</v>
      </c>
      <c r="B135" s="983" t="s">
        <v>2709</v>
      </c>
      <c r="C135" s="1000"/>
      <c r="H135" s="983" t="s">
        <v>1108</v>
      </c>
    </row>
    <row r="136" spans="1:9" x14ac:dyDescent="0.2">
      <c r="A136" s="997">
        <f t="shared" si="2"/>
        <v>135</v>
      </c>
      <c r="B136" s="983" t="s">
        <v>2709</v>
      </c>
      <c r="C136" s="1001"/>
      <c r="H136" s="983" t="str">
        <f>CONCATENATE("&lt;valeur&gt;",Cellule_277,"&lt;/valeur&gt;")</f>
        <v>&lt;valeur&gt;0&lt;/valeur&gt;</v>
      </c>
    </row>
    <row r="137" spans="1:9" x14ac:dyDescent="0.2">
      <c r="A137" s="997">
        <f t="shared" si="2"/>
        <v>136</v>
      </c>
      <c r="B137" s="983" t="s">
        <v>2709</v>
      </c>
      <c r="C137" s="1000"/>
      <c r="G137" s="983" t="s">
        <v>1109</v>
      </c>
    </row>
    <row r="138" spans="1:9" x14ac:dyDescent="0.2">
      <c r="A138" s="997">
        <f t="shared" si="2"/>
        <v>137</v>
      </c>
      <c r="B138" s="983" t="s">
        <v>2709</v>
      </c>
      <c r="C138" s="1000"/>
      <c r="G138" s="983" t="s">
        <v>1106</v>
      </c>
    </row>
    <row r="139" spans="1:9" x14ac:dyDescent="0.2">
      <c r="A139" s="997">
        <f t="shared" si="2"/>
        <v>138</v>
      </c>
      <c r="B139" s="983" t="s">
        <v>2709</v>
      </c>
      <c r="C139" s="999"/>
      <c r="H139" s="983" t="s">
        <v>1107</v>
      </c>
    </row>
    <row r="140" spans="1:9" x14ac:dyDescent="0.2">
      <c r="A140" s="997">
        <f t="shared" si="2"/>
        <v>139</v>
      </c>
      <c r="B140" s="983" t="s">
        <v>2709</v>
      </c>
      <c r="C140" s="999"/>
      <c r="I140" s="983" t="s">
        <v>1142</v>
      </c>
    </row>
    <row r="141" spans="1:9" x14ac:dyDescent="0.2">
      <c r="A141" s="997">
        <f t="shared" si="2"/>
        <v>140</v>
      </c>
      <c r="B141" s="983" t="s">
        <v>2709</v>
      </c>
      <c r="C141" s="1000"/>
      <c r="H141" s="983" t="s">
        <v>1108</v>
      </c>
    </row>
    <row r="142" spans="1:9" x14ac:dyDescent="0.2">
      <c r="A142" s="997">
        <f t="shared" si="2"/>
        <v>141</v>
      </c>
      <c r="B142" s="983" t="s">
        <v>2709</v>
      </c>
      <c r="C142" s="1001"/>
      <c r="H142" s="983" t="str">
        <f>CONCATENATE("&lt;valeur&gt;",Cellule_502,"&lt;/valeur&gt;")</f>
        <v>&lt;valeur&gt;0&lt;/valeur&gt;</v>
      </c>
    </row>
    <row r="143" spans="1:9" x14ac:dyDescent="0.2">
      <c r="A143" s="997">
        <f t="shared" si="2"/>
        <v>142</v>
      </c>
      <c r="B143" s="983" t="s">
        <v>2709</v>
      </c>
      <c r="C143" s="1000"/>
      <c r="G143" s="983" t="s">
        <v>1109</v>
      </c>
    </row>
    <row r="144" spans="1:9" x14ac:dyDescent="0.2">
      <c r="A144" s="997">
        <f t="shared" si="2"/>
        <v>143</v>
      </c>
      <c r="B144" s="983" t="s">
        <v>2709</v>
      </c>
      <c r="C144" s="1000"/>
      <c r="G144" s="983" t="s">
        <v>1106</v>
      </c>
    </row>
    <row r="145" spans="1:9" x14ac:dyDescent="0.2">
      <c r="A145" s="997">
        <f t="shared" si="2"/>
        <v>144</v>
      </c>
      <c r="B145" s="983" t="s">
        <v>2709</v>
      </c>
      <c r="C145" s="999"/>
      <c r="H145" s="983" t="s">
        <v>1107</v>
      </c>
    </row>
    <row r="146" spans="1:9" x14ac:dyDescent="0.2">
      <c r="A146" s="997">
        <f t="shared" si="2"/>
        <v>145</v>
      </c>
      <c r="B146" s="983" t="s">
        <v>2709</v>
      </c>
      <c r="C146" s="999"/>
      <c r="I146" s="983" t="s">
        <v>1143</v>
      </c>
    </row>
    <row r="147" spans="1:9" x14ac:dyDescent="0.2">
      <c r="A147" s="997">
        <f t="shared" si="2"/>
        <v>146</v>
      </c>
      <c r="B147" s="983" t="s">
        <v>2709</v>
      </c>
      <c r="C147" s="1000"/>
      <c r="H147" s="983" t="s">
        <v>1108</v>
      </c>
    </row>
    <row r="148" spans="1:9" x14ac:dyDescent="0.2">
      <c r="A148" s="997">
        <f t="shared" si="2"/>
        <v>147</v>
      </c>
      <c r="B148" s="983" t="s">
        <v>2709</v>
      </c>
      <c r="C148" s="1001"/>
      <c r="H148" s="983" t="str">
        <f>CONCATENATE("&lt;valeur&gt;",Cellule_278,"&lt;/valeur&gt;")</f>
        <v>&lt;valeur&gt;0&lt;/valeur&gt;</v>
      </c>
    </row>
    <row r="149" spans="1:9" x14ac:dyDescent="0.2">
      <c r="A149" s="997">
        <f t="shared" si="2"/>
        <v>148</v>
      </c>
      <c r="B149" s="983" t="s">
        <v>2709</v>
      </c>
      <c r="C149" s="1000"/>
      <c r="G149" s="983" t="s">
        <v>1109</v>
      </c>
    </row>
    <row r="150" spans="1:9" x14ac:dyDescent="0.2">
      <c r="A150" s="997">
        <f t="shared" si="2"/>
        <v>149</v>
      </c>
      <c r="B150" s="983" t="s">
        <v>2709</v>
      </c>
      <c r="C150" s="1000"/>
      <c r="G150" s="983" t="s">
        <v>1106</v>
      </c>
    </row>
    <row r="151" spans="1:9" x14ac:dyDescent="0.2">
      <c r="A151" s="997">
        <f t="shared" si="2"/>
        <v>150</v>
      </c>
      <c r="B151" s="983" t="s">
        <v>2709</v>
      </c>
      <c r="C151" s="999"/>
      <c r="H151" s="983" t="s">
        <v>1107</v>
      </c>
    </row>
    <row r="152" spans="1:9" x14ac:dyDescent="0.2">
      <c r="A152" s="997">
        <f t="shared" si="2"/>
        <v>151</v>
      </c>
      <c r="B152" s="983" t="s">
        <v>2709</v>
      </c>
      <c r="C152" s="999"/>
      <c r="I152" s="983" t="s">
        <v>1144</v>
      </c>
    </row>
    <row r="153" spans="1:9" x14ac:dyDescent="0.2">
      <c r="A153" s="997">
        <f t="shared" si="2"/>
        <v>152</v>
      </c>
      <c r="B153" s="983" t="s">
        <v>2709</v>
      </c>
      <c r="C153" s="1000"/>
      <c r="H153" s="983" t="s">
        <v>1108</v>
      </c>
    </row>
    <row r="154" spans="1:9" x14ac:dyDescent="0.2">
      <c r="A154" s="997">
        <f t="shared" si="2"/>
        <v>153</v>
      </c>
      <c r="B154" s="983" t="s">
        <v>2709</v>
      </c>
      <c r="C154" s="1001"/>
      <c r="H154" s="983" t="str">
        <f>CONCATENATE("&lt;valeur&gt;",Cellule_279,"&lt;/valeur&gt;")</f>
        <v>&lt;valeur&gt;0&lt;/valeur&gt;</v>
      </c>
    </row>
    <row r="155" spans="1:9" x14ac:dyDescent="0.2">
      <c r="A155" s="997">
        <f t="shared" si="2"/>
        <v>154</v>
      </c>
      <c r="B155" s="983" t="s">
        <v>2709</v>
      </c>
      <c r="C155" s="1000"/>
      <c r="G155" s="983" t="s">
        <v>1109</v>
      </c>
    </row>
    <row r="156" spans="1:9" x14ac:dyDescent="0.2">
      <c r="A156" s="997">
        <f t="shared" si="2"/>
        <v>155</v>
      </c>
      <c r="B156" s="983" t="s">
        <v>2709</v>
      </c>
      <c r="C156" s="1000"/>
      <c r="G156" s="983" t="s">
        <v>1106</v>
      </c>
    </row>
    <row r="157" spans="1:9" x14ac:dyDescent="0.2">
      <c r="A157" s="997">
        <f t="shared" si="2"/>
        <v>156</v>
      </c>
      <c r="B157" s="983" t="s">
        <v>2709</v>
      </c>
      <c r="C157" s="999"/>
      <c r="H157" s="983" t="s">
        <v>1107</v>
      </c>
    </row>
    <row r="158" spans="1:9" x14ac:dyDescent="0.2">
      <c r="A158" s="997">
        <f t="shared" si="2"/>
        <v>157</v>
      </c>
      <c r="B158" s="983" t="s">
        <v>2709</v>
      </c>
      <c r="C158" s="999"/>
      <c r="I158" s="983" t="s">
        <v>1145</v>
      </c>
    </row>
    <row r="159" spans="1:9" x14ac:dyDescent="0.2">
      <c r="A159" s="997">
        <f t="shared" si="2"/>
        <v>158</v>
      </c>
      <c r="B159" s="983" t="s">
        <v>2709</v>
      </c>
      <c r="C159" s="1000"/>
      <c r="H159" s="983" t="s">
        <v>1108</v>
      </c>
    </row>
    <row r="160" spans="1:9" x14ac:dyDescent="0.2">
      <c r="A160" s="997">
        <f t="shared" si="2"/>
        <v>159</v>
      </c>
      <c r="B160" s="983" t="s">
        <v>2709</v>
      </c>
      <c r="C160" s="1001"/>
      <c r="H160" s="983" t="str">
        <f>CONCATENATE("&lt;valeur&gt;",Cellule_280,"&lt;/valeur&gt;")</f>
        <v>&lt;valeur&gt;0&lt;/valeur&gt;</v>
      </c>
    </row>
    <row r="161" spans="1:9" x14ac:dyDescent="0.2">
      <c r="A161" s="997">
        <f t="shared" si="2"/>
        <v>160</v>
      </c>
      <c r="B161" s="983" t="s">
        <v>2709</v>
      </c>
      <c r="C161" s="1000"/>
      <c r="G161" s="983" t="s">
        <v>1109</v>
      </c>
    </row>
    <row r="162" spans="1:9" x14ac:dyDescent="0.2">
      <c r="A162" s="997">
        <f t="shared" si="2"/>
        <v>161</v>
      </c>
      <c r="B162" s="983" t="s">
        <v>2709</v>
      </c>
      <c r="C162" s="1000"/>
      <c r="G162" s="983" t="s">
        <v>1106</v>
      </c>
    </row>
    <row r="163" spans="1:9" x14ac:dyDescent="0.2">
      <c r="A163" s="997">
        <f t="shared" si="2"/>
        <v>162</v>
      </c>
      <c r="B163" s="983" t="s">
        <v>2709</v>
      </c>
      <c r="C163" s="999"/>
      <c r="H163" s="983" t="s">
        <v>1107</v>
      </c>
    </row>
    <row r="164" spans="1:9" x14ac:dyDescent="0.2">
      <c r="A164" s="997">
        <f t="shared" si="2"/>
        <v>163</v>
      </c>
      <c r="B164" s="983" t="s">
        <v>2709</v>
      </c>
      <c r="C164" s="999"/>
      <c r="I164" s="983" t="s">
        <v>1146</v>
      </c>
    </row>
    <row r="165" spans="1:9" x14ac:dyDescent="0.2">
      <c r="A165" s="997">
        <f t="shared" si="2"/>
        <v>164</v>
      </c>
      <c r="B165" s="983" t="s">
        <v>2709</v>
      </c>
      <c r="C165" s="1000"/>
      <c r="H165" s="983" t="s">
        <v>1108</v>
      </c>
    </row>
    <row r="166" spans="1:9" x14ac:dyDescent="0.2">
      <c r="A166" s="997">
        <f t="shared" si="2"/>
        <v>165</v>
      </c>
      <c r="B166" s="983" t="s">
        <v>2709</v>
      </c>
      <c r="C166" s="1001"/>
      <c r="H166" s="983" t="str">
        <f>CONCATENATE("&lt;valeur&gt;",Cellule_281,"&lt;/valeur&gt;")</f>
        <v>&lt;valeur&gt;0&lt;/valeur&gt;</v>
      </c>
    </row>
    <row r="167" spans="1:9" x14ac:dyDescent="0.2">
      <c r="A167" s="997">
        <f t="shared" si="2"/>
        <v>166</v>
      </c>
      <c r="B167" s="983" t="s">
        <v>2709</v>
      </c>
      <c r="C167" s="1000"/>
      <c r="G167" s="983" t="s">
        <v>1109</v>
      </c>
    </row>
    <row r="168" spans="1:9" x14ac:dyDescent="0.2">
      <c r="A168" s="997">
        <f t="shared" si="2"/>
        <v>167</v>
      </c>
      <c r="B168" s="983" t="s">
        <v>2709</v>
      </c>
      <c r="C168" s="1000"/>
      <c r="G168" s="983" t="s">
        <v>1106</v>
      </c>
    </row>
    <row r="169" spans="1:9" x14ac:dyDescent="0.2">
      <c r="A169" s="997">
        <f t="shared" si="2"/>
        <v>168</v>
      </c>
      <c r="B169" s="983" t="s">
        <v>2709</v>
      </c>
      <c r="C169" s="999"/>
      <c r="H169" s="983" t="s">
        <v>1107</v>
      </c>
    </row>
    <row r="170" spans="1:9" x14ac:dyDescent="0.2">
      <c r="A170" s="997">
        <f t="shared" si="2"/>
        <v>169</v>
      </c>
      <c r="B170" s="983" t="s">
        <v>2709</v>
      </c>
      <c r="C170" s="999"/>
      <c r="I170" s="983" t="s">
        <v>1147</v>
      </c>
    </row>
    <row r="171" spans="1:9" x14ac:dyDescent="0.2">
      <c r="A171" s="997">
        <f t="shared" si="2"/>
        <v>170</v>
      </c>
      <c r="B171" s="983" t="s">
        <v>2709</v>
      </c>
      <c r="C171" s="1000"/>
      <c r="H171" s="983" t="s">
        <v>1108</v>
      </c>
    </row>
    <row r="172" spans="1:9" x14ac:dyDescent="0.2">
      <c r="A172" s="997">
        <f t="shared" si="2"/>
        <v>171</v>
      </c>
      <c r="B172" s="983" t="s">
        <v>2709</v>
      </c>
      <c r="C172" s="1001"/>
      <c r="H172" s="983" t="str">
        <f>CONCATENATE("&lt;valeur&gt;",Cellule_503,"&lt;/valeur&gt;")</f>
        <v>&lt;valeur&gt;0&lt;/valeur&gt;</v>
      </c>
    </row>
    <row r="173" spans="1:9" x14ac:dyDescent="0.2">
      <c r="A173" s="997">
        <f t="shared" si="2"/>
        <v>172</v>
      </c>
      <c r="B173" s="983" t="s">
        <v>2709</v>
      </c>
      <c r="C173" s="1000"/>
      <c r="G173" s="983" t="s">
        <v>1109</v>
      </c>
    </row>
    <row r="174" spans="1:9" x14ac:dyDescent="0.2">
      <c r="A174" s="997">
        <f t="shared" si="2"/>
        <v>173</v>
      </c>
      <c r="B174" s="983" t="s">
        <v>2709</v>
      </c>
      <c r="C174" s="1000"/>
      <c r="G174" s="983" t="s">
        <v>1106</v>
      </c>
    </row>
    <row r="175" spans="1:9" x14ac:dyDescent="0.2">
      <c r="A175" s="997">
        <f t="shared" si="2"/>
        <v>174</v>
      </c>
      <c r="B175" s="983" t="s">
        <v>2709</v>
      </c>
      <c r="C175" s="999"/>
      <c r="H175" s="983" t="s">
        <v>1107</v>
      </c>
    </row>
    <row r="176" spans="1:9" x14ac:dyDescent="0.2">
      <c r="A176" s="997">
        <f t="shared" si="2"/>
        <v>175</v>
      </c>
      <c r="B176" s="983" t="s">
        <v>2709</v>
      </c>
      <c r="C176" s="999"/>
      <c r="I176" s="983" t="s">
        <v>1148</v>
      </c>
    </row>
    <row r="177" spans="1:9" x14ac:dyDescent="0.2">
      <c r="A177" s="997">
        <f t="shared" si="2"/>
        <v>176</v>
      </c>
      <c r="B177" s="983" t="s">
        <v>2709</v>
      </c>
      <c r="C177" s="1000"/>
      <c r="H177" s="983" t="s">
        <v>1108</v>
      </c>
    </row>
    <row r="178" spans="1:9" x14ac:dyDescent="0.2">
      <c r="A178" s="997">
        <f t="shared" si="2"/>
        <v>177</v>
      </c>
      <c r="B178" s="983" t="s">
        <v>2709</v>
      </c>
      <c r="C178" s="1001"/>
      <c r="H178" s="983" t="str">
        <f>CONCATENATE("&lt;valeur&gt;",Cellule_282,"&lt;/valeur&gt;")</f>
        <v>&lt;valeur&gt;0&lt;/valeur&gt;</v>
      </c>
    </row>
    <row r="179" spans="1:9" x14ac:dyDescent="0.2">
      <c r="A179" s="997">
        <f t="shared" si="2"/>
        <v>178</v>
      </c>
      <c r="B179" s="983" t="s">
        <v>2709</v>
      </c>
      <c r="C179" s="1000"/>
      <c r="G179" s="983" t="s">
        <v>1109</v>
      </c>
    </row>
    <row r="180" spans="1:9" x14ac:dyDescent="0.2">
      <c r="A180" s="997">
        <f t="shared" si="2"/>
        <v>179</v>
      </c>
      <c r="B180" s="983" t="s">
        <v>2709</v>
      </c>
      <c r="C180" s="1000"/>
      <c r="G180" s="983" t="s">
        <v>1106</v>
      </c>
    </row>
    <row r="181" spans="1:9" x14ac:dyDescent="0.2">
      <c r="A181" s="997">
        <f t="shared" si="2"/>
        <v>180</v>
      </c>
      <c r="B181" s="983" t="s">
        <v>2709</v>
      </c>
      <c r="C181" s="999"/>
      <c r="H181" s="983" t="s">
        <v>1107</v>
      </c>
    </row>
    <row r="182" spans="1:9" x14ac:dyDescent="0.2">
      <c r="A182" s="997">
        <f t="shared" si="2"/>
        <v>181</v>
      </c>
      <c r="B182" s="983" t="s">
        <v>2709</v>
      </c>
      <c r="C182" s="999"/>
      <c r="I182" s="983" t="s">
        <v>1149</v>
      </c>
    </row>
    <row r="183" spans="1:9" x14ac:dyDescent="0.2">
      <c r="A183" s="997">
        <f t="shared" si="2"/>
        <v>182</v>
      </c>
      <c r="B183" s="983" t="s">
        <v>2709</v>
      </c>
      <c r="C183" s="1000"/>
      <c r="H183" s="983" t="s">
        <v>1108</v>
      </c>
    </row>
    <row r="184" spans="1:9" x14ac:dyDescent="0.2">
      <c r="A184" s="997">
        <f t="shared" si="2"/>
        <v>183</v>
      </c>
      <c r="B184" s="983" t="s">
        <v>2709</v>
      </c>
      <c r="C184" s="1001"/>
      <c r="H184" s="983" t="str">
        <f>CONCATENATE("&lt;valeur&gt;",Cellule_283,"&lt;/valeur&gt;")</f>
        <v>&lt;valeur&gt;0&lt;/valeur&gt;</v>
      </c>
    </row>
    <row r="185" spans="1:9" x14ac:dyDescent="0.2">
      <c r="A185" s="997">
        <f t="shared" si="2"/>
        <v>184</v>
      </c>
      <c r="B185" s="983" t="s">
        <v>2709</v>
      </c>
      <c r="C185" s="1000"/>
      <c r="G185" s="983" t="s">
        <v>1109</v>
      </c>
    </row>
    <row r="186" spans="1:9" x14ac:dyDescent="0.2">
      <c r="A186" s="997">
        <f t="shared" si="2"/>
        <v>185</v>
      </c>
      <c r="B186" s="983" t="s">
        <v>2709</v>
      </c>
      <c r="C186" s="1000"/>
      <c r="G186" s="983" t="s">
        <v>1106</v>
      </c>
    </row>
    <row r="187" spans="1:9" x14ac:dyDescent="0.2">
      <c r="A187" s="997">
        <f t="shared" si="2"/>
        <v>186</v>
      </c>
      <c r="B187" s="983" t="s">
        <v>2709</v>
      </c>
      <c r="C187" s="999"/>
      <c r="H187" s="983" t="s">
        <v>1107</v>
      </c>
    </row>
    <row r="188" spans="1:9" x14ac:dyDescent="0.2">
      <c r="A188" s="997">
        <f t="shared" si="2"/>
        <v>187</v>
      </c>
      <c r="B188" s="983" t="s">
        <v>2709</v>
      </c>
      <c r="C188" s="999"/>
      <c r="I188" s="983" t="s">
        <v>1150</v>
      </c>
    </row>
    <row r="189" spans="1:9" x14ac:dyDescent="0.2">
      <c r="A189" s="997">
        <f t="shared" si="2"/>
        <v>188</v>
      </c>
      <c r="B189" s="983" t="s">
        <v>2709</v>
      </c>
      <c r="C189" s="1000"/>
      <c r="H189" s="983" t="s">
        <v>1108</v>
      </c>
    </row>
    <row r="190" spans="1:9" x14ac:dyDescent="0.2">
      <c r="A190" s="997">
        <f t="shared" si="2"/>
        <v>189</v>
      </c>
      <c r="B190" s="983" t="s">
        <v>2709</v>
      </c>
      <c r="C190" s="1001"/>
      <c r="H190" s="983" t="str">
        <f>CONCATENATE("&lt;valeur&gt;",Cellule_284,"&lt;/valeur&gt;")</f>
        <v>&lt;valeur&gt;0&lt;/valeur&gt;</v>
      </c>
    </row>
    <row r="191" spans="1:9" x14ac:dyDescent="0.2">
      <c r="A191" s="997">
        <f t="shared" si="2"/>
        <v>190</v>
      </c>
      <c r="B191" s="983" t="s">
        <v>2709</v>
      </c>
      <c r="C191" s="1000"/>
      <c r="G191" s="983" t="s">
        <v>1109</v>
      </c>
    </row>
    <row r="192" spans="1:9" x14ac:dyDescent="0.2">
      <c r="A192" s="997">
        <f t="shared" si="2"/>
        <v>191</v>
      </c>
      <c r="B192" s="983" t="s">
        <v>2709</v>
      </c>
      <c r="C192" s="1000"/>
      <c r="G192" s="983" t="s">
        <v>1106</v>
      </c>
    </row>
    <row r="193" spans="1:9" x14ac:dyDescent="0.2">
      <c r="A193" s="997">
        <f t="shared" si="2"/>
        <v>192</v>
      </c>
      <c r="B193" s="983" t="s">
        <v>2709</v>
      </c>
      <c r="C193" s="999"/>
      <c r="H193" s="983" t="s">
        <v>1107</v>
      </c>
    </row>
    <row r="194" spans="1:9" x14ac:dyDescent="0.2">
      <c r="A194" s="997">
        <f t="shared" si="2"/>
        <v>193</v>
      </c>
      <c r="B194" s="983" t="s">
        <v>2709</v>
      </c>
      <c r="C194" s="999"/>
      <c r="I194" s="983" t="s">
        <v>1151</v>
      </c>
    </row>
    <row r="195" spans="1:9" x14ac:dyDescent="0.2">
      <c r="A195" s="997">
        <f t="shared" si="2"/>
        <v>194</v>
      </c>
      <c r="B195" s="983" t="s">
        <v>2709</v>
      </c>
      <c r="C195" s="1000"/>
      <c r="H195" s="983" t="s">
        <v>1108</v>
      </c>
    </row>
    <row r="196" spans="1:9" x14ac:dyDescent="0.2">
      <c r="A196" s="997">
        <f t="shared" ref="A196:A259" si="3">+A195+1</f>
        <v>195</v>
      </c>
      <c r="B196" s="983" t="s">
        <v>2709</v>
      </c>
      <c r="C196" s="1001"/>
      <c r="H196" s="983" t="str">
        <f>CONCATENATE("&lt;valeur&gt;",Cellule_285,"&lt;/valeur&gt;")</f>
        <v>&lt;valeur&gt;0&lt;/valeur&gt;</v>
      </c>
    </row>
    <row r="197" spans="1:9" x14ac:dyDescent="0.2">
      <c r="A197" s="997">
        <f t="shared" si="3"/>
        <v>196</v>
      </c>
      <c r="B197" s="983" t="s">
        <v>2709</v>
      </c>
      <c r="C197" s="1000"/>
      <c r="G197" s="983" t="s">
        <v>1109</v>
      </c>
    </row>
    <row r="198" spans="1:9" x14ac:dyDescent="0.2">
      <c r="A198" s="997">
        <f t="shared" si="3"/>
        <v>197</v>
      </c>
      <c r="B198" s="983" t="s">
        <v>2709</v>
      </c>
      <c r="C198" s="1000"/>
      <c r="G198" s="983" t="s">
        <v>1106</v>
      </c>
    </row>
    <row r="199" spans="1:9" x14ac:dyDescent="0.2">
      <c r="A199" s="997">
        <f t="shared" si="3"/>
        <v>198</v>
      </c>
      <c r="B199" s="983" t="s">
        <v>2709</v>
      </c>
      <c r="C199" s="999"/>
      <c r="H199" s="983" t="s">
        <v>1107</v>
      </c>
    </row>
    <row r="200" spans="1:9" x14ac:dyDescent="0.2">
      <c r="A200" s="997">
        <f t="shared" si="3"/>
        <v>199</v>
      </c>
      <c r="B200" s="983" t="s">
        <v>2709</v>
      </c>
      <c r="C200" s="999"/>
      <c r="I200" s="983" t="s">
        <v>1152</v>
      </c>
    </row>
    <row r="201" spans="1:9" x14ac:dyDescent="0.2">
      <c r="A201" s="997">
        <f t="shared" si="3"/>
        <v>200</v>
      </c>
      <c r="B201" s="983" t="s">
        <v>2709</v>
      </c>
      <c r="C201" s="1000"/>
      <c r="H201" s="983" t="s">
        <v>1108</v>
      </c>
    </row>
    <row r="202" spans="1:9" x14ac:dyDescent="0.2">
      <c r="A202" s="997">
        <f t="shared" si="3"/>
        <v>201</v>
      </c>
      <c r="B202" s="983" t="s">
        <v>2709</v>
      </c>
      <c r="C202" s="1001"/>
      <c r="H202" s="983" t="str">
        <f>CONCATENATE("&lt;valeur&gt;",Cellule_504,"&lt;/valeur&gt;")</f>
        <v>&lt;valeur&gt;0&lt;/valeur&gt;</v>
      </c>
    </row>
    <row r="203" spans="1:9" x14ac:dyDescent="0.2">
      <c r="A203" s="997">
        <f t="shared" si="3"/>
        <v>202</v>
      </c>
      <c r="B203" s="983" t="s">
        <v>2709</v>
      </c>
      <c r="C203" s="1000"/>
      <c r="G203" s="983" t="s">
        <v>1109</v>
      </c>
    </row>
    <row r="204" spans="1:9" x14ac:dyDescent="0.2">
      <c r="A204" s="997">
        <f t="shared" si="3"/>
        <v>203</v>
      </c>
      <c r="B204" s="983" t="s">
        <v>2709</v>
      </c>
      <c r="C204" s="1000"/>
      <c r="G204" s="983" t="s">
        <v>1106</v>
      </c>
    </row>
    <row r="205" spans="1:9" x14ac:dyDescent="0.2">
      <c r="A205" s="997">
        <f t="shared" si="3"/>
        <v>204</v>
      </c>
      <c r="B205" s="983" t="s">
        <v>2709</v>
      </c>
      <c r="C205" s="999"/>
      <c r="H205" s="983" t="s">
        <v>1107</v>
      </c>
    </row>
    <row r="206" spans="1:9" x14ac:dyDescent="0.2">
      <c r="A206" s="997">
        <f t="shared" si="3"/>
        <v>205</v>
      </c>
      <c r="B206" s="983" t="s">
        <v>2709</v>
      </c>
      <c r="C206" s="999"/>
      <c r="I206" s="983" t="s">
        <v>1153</v>
      </c>
    </row>
    <row r="207" spans="1:9" x14ac:dyDescent="0.2">
      <c r="A207" s="997">
        <f t="shared" si="3"/>
        <v>206</v>
      </c>
      <c r="B207" s="983" t="s">
        <v>2709</v>
      </c>
      <c r="C207" s="1000"/>
      <c r="H207" s="983" t="s">
        <v>1108</v>
      </c>
    </row>
    <row r="208" spans="1:9" x14ac:dyDescent="0.2">
      <c r="A208" s="997">
        <f t="shared" si="3"/>
        <v>207</v>
      </c>
      <c r="B208" s="983" t="s">
        <v>2709</v>
      </c>
      <c r="C208" s="1001"/>
      <c r="H208" s="983" t="str">
        <f>CONCATENATE("&lt;valeur&gt;",Cellule_286,"&lt;/valeur&gt;")</f>
        <v>&lt;valeur&gt;0&lt;/valeur&gt;</v>
      </c>
    </row>
    <row r="209" spans="1:9" x14ac:dyDescent="0.2">
      <c r="A209" s="997">
        <f t="shared" si="3"/>
        <v>208</v>
      </c>
      <c r="B209" s="983" t="s">
        <v>2709</v>
      </c>
      <c r="C209" s="1000"/>
      <c r="G209" s="983" t="s">
        <v>1109</v>
      </c>
    </row>
    <row r="210" spans="1:9" x14ac:dyDescent="0.2">
      <c r="A210" s="997">
        <f t="shared" si="3"/>
        <v>209</v>
      </c>
      <c r="B210" s="983" t="s">
        <v>2709</v>
      </c>
      <c r="C210" s="1000"/>
      <c r="G210" s="983" t="s">
        <v>1106</v>
      </c>
    </row>
    <row r="211" spans="1:9" x14ac:dyDescent="0.2">
      <c r="A211" s="997">
        <f t="shared" si="3"/>
        <v>210</v>
      </c>
      <c r="B211" s="983" t="s">
        <v>2709</v>
      </c>
      <c r="C211" s="999"/>
      <c r="H211" s="983" t="s">
        <v>1107</v>
      </c>
    </row>
    <row r="212" spans="1:9" x14ac:dyDescent="0.2">
      <c r="A212" s="997">
        <f t="shared" si="3"/>
        <v>211</v>
      </c>
      <c r="B212" s="983" t="s">
        <v>2709</v>
      </c>
      <c r="C212" s="999"/>
      <c r="I212" s="983" t="s">
        <v>1154</v>
      </c>
    </row>
    <row r="213" spans="1:9" x14ac:dyDescent="0.2">
      <c r="A213" s="997">
        <f t="shared" si="3"/>
        <v>212</v>
      </c>
      <c r="B213" s="983" t="s">
        <v>2709</v>
      </c>
      <c r="C213" s="1000"/>
      <c r="H213" s="983" t="s">
        <v>1108</v>
      </c>
    </row>
    <row r="214" spans="1:9" x14ac:dyDescent="0.2">
      <c r="A214" s="997">
        <f t="shared" si="3"/>
        <v>213</v>
      </c>
      <c r="B214" s="983" t="s">
        <v>2709</v>
      </c>
      <c r="C214" s="1001"/>
      <c r="H214" s="983" t="str">
        <f>CONCATENATE("&lt;valeur&gt;",Cellule_287,"&lt;/valeur&gt;")</f>
        <v>&lt;valeur&gt;0&lt;/valeur&gt;</v>
      </c>
    </row>
    <row r="215" spans="1:9" x14ac:dyDescent="0.2">
      <c r="A215" s="997">
        <f t="shared" si="3"/>
        <v>214</v>
      </c>
      <c r="B215" s="983" t="s">
        <v>2709</v>
      </c>
      <c r="C215" s="1000"/>
      <c r="G215" s="983" t="s">
        <v>1109</v>
      </c>
    </row>
    <row r="216" spans="1:9" x14ac:dyDescent="0.2">
      <c r="A216" s="997">
        <f t="shared" si="3"/>
        <v>215</v>
      </c>
      <c r="B216" s="983" t="s">
        <v>2709</v>
      </c>
      <c r="C216" s="1000"/>
      <c r="G216" s="983" t="s">
        <v>1106</v>
      </c>
    </row>
    <row r="217" spans="1:9" x14ac:dyDescent="0.2">
      <c r="A217" s="997">
        <f t="shared" si="3"/>
        <v>216</v>
      </c>
      <c r="B217" s="983" t="s">
        <v>2709</v>
      </c>
      <c r="C217" s="999"/>
      <c r="H217" s="983" t="s">
        <v>1107</v>
      </c>
    </row>
    <row r="218" spans="1:9" x14ac:dyDescent="0.2">
      <c r="A218" s="997">
        <f t="shared" si="3"/>
        <v>217</v>
      </c>
      <c r="B218" s="983" t="s">
        <v>2709</v>
      </c>
      <c r="C218" s="999"/>
      <c r="I218" s="983" t="s">
        <v>1155</v>
      </c>
    </row>
    <row r="219" spans="1:9" x14ac:dyDescent="0.2">
      <c r="A219" s="997">
        <f t="shared" si="3"/>
        <v>218</v>
      </c>
      <c r="B219" s="983" t="s">
        <v>2709</v>
      </c>
      <c r="C219" s="1000"/>
      <c r="H219" s="983" t="s">
        <v>1108</v>
      </c>
    </row>
    <row r="220" spans="1:9" x14ac:dyDescent="0.2">
      <c r="A220" s="997">
        <f t="shared" si="3"/>
        <v>219</v>
      </c>
      <c r="B220" s="983" t="s">
        <v>2709</v>
      </c>
      <c r="C220" s="1001"/>
      <c r="H220" s="983" t="str">
        <f>CONCATENATE("&lt;valeur&gt;",Cellule_288,"&lt;/valeur&gt;")</f>
        <v>&lt;valeur&gt;0&lt;/valeur&gt;</v>
      </c>
    </row>
    <row r="221" spans="1:9" x14ac:dyDescent="0.2">
      <c r="A221" s="997">
        <f t="shared" si="3"/>
        <v>220</v>
      </c>
      <c r="B221" s="983" t="s">
        <v>2709</v>
      </c>
      <c r="C221" s="1000"/>
      <c r="G221" s="983" t="s">
        <v>1109</v>
      </c>
    </row>
    <row r="222" spans="1:9" x14ac:dyDescent="0.2">
      <c r="A222" s="997">
        <f t="shared" si="3"/>
        <v>221</v>
      </c>
      <c r="B222" s="983" t="s">
        <v>2709</v>
      </c>
      <c r="C222" s="1000"/>
      <c r="G222" s="983" t="s">
        <v>1106</v>
      </c>
    </row>
    <row r="223" spans="1:9" x14ac:dyDescent="0.2">
      <c r="A223" s="997">
        <f t="shared" si="3"/>
        <v>222</v>
      </c>
      <c r="B223" s="983" t="s">
        <v>2709</v>
      </c>
      <c r="C223" s="999"/>
      <c r="H223" s="983" t="s">
        <v>1107</v>
      </c>
    </row>
    <row r="224" spans="1:9" x14ac:dyDescent="0.2">
      <c r="A224" s="997">
        <f t="shared" si="3"/>
        <v>223</v>
      </c>
      <c r="B224" s="983" t="s">
        <v>2709</v>
      </c>
      <c r="C224" s="999"/>
      <c r="I224" s="983" t="s">
        <v>1156</v>
      </c>
    </row>
    <row r="225" spans="1:9" x14ac:dyDescent="0.2">
      <c r="A225" s="997">
        <f t="shared" si="3"/>
        <v>224</v>
      </c>
      <c r="B225" s="983" t="s">
        <v>2709</v>
      </c>
      <c r="C225" s="1000"/>
      <c r="H225" s="983" t="s">
        <v>1108</v>
      </c>
    </row>
    <row r="226" spans="1:9" x14ac:dyDescent="0.2">
      <c r="A226" s="997">
        <f t="shared" si="3"/>
        <v>225</v>
      </c>
      <c r="B226" s="983" t="s">
        <v>2709</v>
      </c>
      <c r="C226" s="1001"/>
      <c r="H226" s="983" t="str">
        <f>CONCATENATE("&lt;valeur&gt;",Cellule_289,"&lt;/valeur&gt;")</f>
        <v>&lt;valeur&gt;0&lt;/valeur&gt;</v>
      </c>
    </row>
    <row r="227" spans="1:9" x14ac:dyDescent="0.2">
      <c r="A227" s="997">
        <f t="shared" si="3"/>
        <v>226</v>
      </c>
      <c r="B227" s="983" t="s">
        <v>2709</v>
      </c>
      <c r="C227" s="1000"/>
      <c r="G227" s="983" t="s">
        <v>1109</v>
      </c>
    </row>
    <row r="228" spans="1:9" x14ac:dyDescent="0.2">
      <c r="A228" s="997">
        <f t="shared" si="3"/>
        <v>227</v>
      </c>
      <c r="B228" s="983" t="s">
        <v>2709</v>
      </c>
      <c r="C228" s="1000"/>
      <c r="G228" s="983" t="s">
        <v>1106</v>
      </c>
    </row>
    <row r="229" spans="1:9" x14ac:dyDescent="0.2">
      <c r="A229" s="997">
        <f t="shared" si="3"/>
        <v>228</v>
      </c>
      <c r="B229" s="983" t="s">
        <v>2709</v>
      </c>
      <c r="C229" s="999"/>
      <c r="H229" s="983" t="s">
        <v>1107</v>
      </c>
    </row>
    <row r="230" spans="1:9" x14ac:dyDescent="0.2">
      <c r="A230" s="997">
        <f t="shared" si="3"/>
        <v>229</v>
      </c>
      <c r="B230" s="983" t="s">
        <v>2709</v>
      </c>
      <c r="C230" s="999"/>
      <c r="I230" s="983" t="s">
        <v>1157</v>
      </c>
    </row>
    <row r="231" spans="1:9" x14ac:dyDescent="0.2">
      <c r="A231" s="997">
        <f t="shared" si="3"/>
        <v>230</v>
      </c>
      <c r="B231" s="983" t="s">
        <v>2709</v>
      </c>
      <c r="C231" s="1000"/>
      <c r="H231" s="983" t="s">
        <v>1108</v>
      </c>
    </row>
    <row r="232" spans="1:9" x14ac:dyDescent="0.2">
      <c r="A232" s="997">
        <f t="shared" si="3"/>
        <v>231</v>
      </c>
      <c r="B232" s="983" t="s">
        <v>2709</v>
      </c>
      <c r="C232" s="1001"/>
      <c r="H232" s="983" t="str">
        <f>CONCATENATE("&lt;valeur&gt;",Cellule_505,"&lt;/valeur&gt;")</f>
        <v>&lt;valeur&gt;0&lt;/valeur&gt;</v>
      </c>
    </row>
    <row r="233" spans="1:9" x14ac:dyDescent="0.2">
      <c r="A233" s="997">
        <f t="shared" si="3"/>
        <v>232</v>
      </c>
      <c r="B233" s="983" t="s">
        <v>2709</v>
      </c>
      <c r="C233" s="1000"/>
      <c r="G233" s="983" t="s">
        <v>1109</v>
      </c>
    </row>
    <row r="234" spans="1:9" x14ac:dyDescent="0.2">
      <c r="A234" s="997">
        <f t="shared" si="3"/>
        <v>233</v>
      </c>
      <c r="B234" s="983" t="s">
        <v>2709</v>
      </c>
      <c r="C234" s="1000"/>
      <c r="G234" s="983" t="s">
        <v>1106</v>
      </c>
    </row>
    <row r="235" spans="1:9" x14ac:dyDescent="0.2">
      <c r="A235" s="997">
        <f t="shared" si="3"/>
        <v>234</v>
      </c>
      <c r="B235" s="983" t="s">
        <v>2709</v>
      </c>
      <c r="C235" s="999"/>
      <c r="H235" s="983" t="s">
        <v>1107</v>
      </c>
    </row>
    <row r="236" spans="1:9" x14ac:dyDescent="0.2">
      <c r="A236" s="997">
        <f t="shared" si="3"/>
        <v>235</v>
      </c>
      <c r="B236" s="983" t="s">
        <v>2709</v>
      </c>
      <c r="C236" s="999"/>
      <c r="I236" s="983" t="s">
        <v>1158</v>
      </c>
    </row>
    <row r="237" spans="1:9" x14ac:dyDescent="0.2">
      <c r="A237" s="997">
        <f t="shared" si="3"/>
        <v>236</v>
      </c>
      <c r="B237" s="983" t="s">
        <v>2709</v>
      </c>
      <c r="C237" s="1000"/>
      <c r="H237" s="983" t="s">
        <v>1108</v>
      </c>
    </row>
    <row r="238" spans="1:9" x14ac:dyDescent="0.2">
      <c r="A238" s="997">
        <f t="shared" si="3"/>
        <v>237</v>
      </c>
      <c r="B238" s="983" t="s">
        <v>2709</v>
      </c>
      <c r="C238" s="1001"/>
      <c r="H238" s="983" t="str">
        <f>CONCATENATE("&lt;valeur&gt;",Cellule_207,"&lt;/valeur&gt;")</f>
        <v>&lt;valeur&gt;0&lt;/valeur&gt;</v>
      </c>
    </row>
    <row r="239" spans="1:9" x14ac:dyDescent="0.2">
      <c r="A239" s="997">
        <f t="shared" si="3"/>
        <v>238</v>
      </c>
      <c r="B239" s="983" t="s">
        <v>2709</v>
      </c>
      <c r="C239" s="1000"/>
      <c r="G239" s="983" t="s">
        <v>1109</v>
      </c>
    </row>
    <row r="240" spans="1:9" x14ac:dyDescent="0.2">
      <c r="A240" s="997">
        <f t="shared" si="3"/>
        <v>239</v>
      </c>
      <c r="B240" s="983" t="s">
        <v>2709</v>
      </c>
      <c r="C240" s="1000"/>
      <c r="G240" s="983" t="s">
        <v>1106</v>
      </c>
    </row>
    <row r="241" spans="1:9" x14ac:dyDescent="0.2">
      <c r="A241" s="997">
        <f t="shared" si="3"/>
        <v>240</v>
      </c>
      <c r="B241" s="983" t="s">
        <v>2709</v>
      </c>
      <c r="C241" s="999"/>
      <c r="H241" s="983" t="s">
        <v>1107</v>
      </c>
    </row>
    <row r="242" spans="1:9" x14ac:dyDescent="0.2">
      <c r="A242" s="997">
        <f t="shared" si="3"/>
        <v>241</v>
      </c>
      <c r="B242" s="983" t="s">
        <v>2709</v>
      </c>
      <c r="C242" s="999"/>
      <c r="I242" s="983" t="s">
        <v>1159</v>
      </c>
    </row>
    <row r="243" spans="1:9" x14ac:dyDescent="0.2">
      <c r="A243" s="997">
        <f t="shared" si="3"/>
        <v>242</v>
      </c>
      <c r="B243" s="983" t="s">
        <v>2709</v>
      </c>
      <c r="C243" s="1000"/>
      <c r="H243" s="983" t="s">
        <v>1108</v>
      </c>
    </row>
    <row r="244" spans="1:9" x14ac:dyDescent="0.2">
      <c r="A244" s="997">
        <f t="shared" si="3"/>
        <v>243</v>
      </c>
      <c r="B244" s="983" t="s">
        <v>2709</v>
      </c>
      <c r="C244" s="1001"/>
      <c r="H244" s="983" t="str">
        <f>CONCATENATE("&lt;valeur&gt;",Cellule_208,"&lt;/valeur&gt;")</f>
        <v>&lt;valeur&gt;9700&lt;/valeur&gt;</v>
      </c>
    </row>
    <row r="245" spans="1:9" x14ac:dyDescent="0.2">
      <c r="A245" s="997">
        <f t="shared" si="3"/>
        <v>244</v>
      </c>
      <c r="B245" s="983" t="s">
        <v>2709</v>
      </c>
      <c r="C245" s="1000"/>
      <c r="G245" s="983" t="s">
        <v>1109</v>
      </c>
    </row>
    <row r="246" spans="1:9" x14ac:dyDescent="0.2">
      <c r="A246" s="997">
        <f t="shared" si="3"/>
        <v>245</v>
      </c>
      <c r="B246" s="983" t="s">
        <v>2709</v>
      </c>
      <c r="C246" s="1000"/>
      <c r="G246" s="983" t="s">
        <v>1106</v>
      </c>
    </row>
    <row r="247" spans="1:9" x14ac:dyDescent="0.2">
      <c r="A247" s="997">
        <f t="shared" si="3"/>
        <v>246</v>
      </c>
      <c r="B247" s="983" t="s">
        <v>2709</v>
      </c>
      <c r="C247" s="999"/>
      <c r="H247" s="983" t="s">
        <v>1107</v>
      </c>
    </row>
    <row r="248" spans="1:9" x14ac:dyDescent="0.2">
      <c r="A248" s="997">
        <f t="shared" si="3"/>
        <v>247</v>
      </c>
      <c r="B248" s="983" t="s">
        <v>2709</v>
      </c>
      <c r="C248" s="999"/>
      <c r="I248" s="983" t="s">
        <v>1160</v>
      </c>
    </row>
    <row r="249" spans="1:9" x14ac:dyDescent="0.2">
      <c r="A249" s="997">
        <f t="shared" si="3"/>
        <v>248</v>
      </c>
      <c r="B249" s="983" t="s">
        <v>2709</v>
      </c>
      <c r="C249" s="1000"/>
      <c r="H249" s="983" t="s">
        <v>1108</v>
      </c>
    </row>
    <row r="250" spans="1:9" x14ac:dyDescent="0.2">
      <c r="A250" s="997">
        <f t="shared" si="3"/>
        <v>249</v>
      </c>
      <c r="B250" s="983" t="s">
        <v>2709</v>
      </c>
      <c r="C250" s="1001"/>
      <c r="H250" s="983" t="str">
        <f>CONCATENATE("&lt;valeur&gt;",Cellule_209,"&lt;/valeur&gt;")</f>
        <v>&lt;valeur&gt;0&lt;/valeur&gt;</v>
      </c>
    </row>
    <row r="251" spans="1:9" x14ac:dyDescent="0.2">
      <c r="A251" s="997">
        <f t="shared" si="3"/>
        <v>250</v>
      </c>
      <c r="B251" s="983" t="s">
        <v>2709</v>
      </c>
      <c r="C251" s="1000"/>
      <c r="G251" s="983" t="s">
        <v>1109</v>
      </c>
    </row>
    <row r="252" spans="1:9" x14ac:dyDescent="0.2">
      <c r="A252" s="997">
        <f t="shared" si="3"/>
        <v>251</v>
      </c>
      <c r="B252" s="983" t="s">
        <v>2709</v>
      </c>
      <c r="C252" s="1000"/>
      <c r="G252" s="983" t="s">
        <v>1106</v>
      </c>
    </row>
    <row r="253" spans="1:9" x14ac:dyDescent="0.2">
      <c r="A253" s="997">
        <f t="shared" si="3"/>
        <v>252</v>
      </c>
      <c r="B253" s="983" t="s">
        <v>2709</v>
      </c>
      <c r="C253" s="999"/>
      <c r="H253" s="983" t="s">
        <v>1107</v>
      </c>
    </row>
    <row r="254" spans="1:9" x14ac:dyDescent="0.2">
      <c r="A254" s="997">
        <f t="shared" si="3"/>
        <v>253</v>
      </c>
      <c r="B254" s="983" t="s">
        <v>2709</v>
      </c>
      <c r="C254" s="999"/>
      <c r="I254" s="983" t="s">
        <v>1161</v>
      </c>
    </row>
    <row r="255" spans="1:9" x14ac:dyDescent="0.2">
      <c r="A255" s="997">
        <f t="shared" si="3"/>
        <v>254</v>
      </c>
      <c r="B255" s="983" t="s">
        <v>2709</v>
      </c>
      <c r="C255" s="1000"/>
      <c r="H255" s="983" t="s">
        <v>1108</v>
      </c>
    </row>
    <row r="256" spans="1:9" x14ac:dyDescent="0.2">
      <c r="A256" s="997">
        <f t="shared" si="3"/>
        <v>255</v>
      </c>
      <c r="B256" s="983" t="s">
        <v>2709</v>
      </c>
      <c r="C256" s="1001"/>
      <c r="H256" s="983" t="str">
        <f>CONCATENATE("&lt;valeur&gt;",Cellule_210,"&lt;/valeur&gt;")</f>
        <v>&lt;valeur&gt;1578827,58&lt;/valeur&gt;</v>
      </c>
    </row>
    <row r="257" spans="1:9" x14ac:dyDescent="0.2">
      <c r="A257" s="997">
        <f t="shared" si="3"/>
        <v>256</v>
      </c>
      <c r="B257" s="983" t="s">
        <v>2709</v>
      </c>
      <c r="C257" s="1000"/>
      <c r="G257" s="983" t="s">
        <v>1109</v>
      </c>
    </row>
    <row r="258" spans="1:9" x14ac:dyDescent="0.2">
      <c r="A258" s="997">
        <f t="shared" si="3"/>
        <v>257</v>
      </c>
      <c r="B258" s="983" t="s">
        <v>2709</v>
      </c>
      <c r="C258" s="1000"/>
      <c r="G258" s="983" t="s">
        <v>1106</v>
      </c>
    </row>
    <row r="259" spans="1:9" x14ac:dyDescent="0.2">
      <c r="A259" s="997">
        <f t="shared" si="3"/>
        <v>258</v>
      </c>
      <c r="B259" s="983" t="s">
        <v>2709</v>
      </c>
      <c r="C259" s="999"/>
      <c r="H259" s="983" t="s">
        <v>1107</v>
      </c>
    </row>
    <row r="260" spans="1:9" x14ac:dyDescent="0.2">
      <c r="A260" s="997">
        <f t="shared" ref="A260:A323" si="4">+A259+1</f>
        <v>259</v>
      </c>
      <c r="B260" s="983" t="s">
        <v>2709</v>
      </c>
      <c r="C260" s="999"/>
      <c r="I260" s="983" t="s">
        <v>1162</v>
      </c>
    </row>
    <row r="261" spans="1:9" x14ac:dyDescent="0.2">
      <c r="A261" s="997">
        <f t="shared" si="4"/>
        <v>260</v>
      </c>
      <c r="B261" s="983" t="s">
        <v>2709</v>
      </c>
      <c r="C261" s="1000"/>
      <c r="H261" s="983" t="s">
        <v>1108</v>
      </c>
    </row>
    <row r="262" spans="1:9" x14ac:dyDescent="0.2">
      <c r="A262" s="997">
        <f t="shared" si="4"/>
        <v>261</v>
      </c>
      <c r="B262" s="983" t="s">
        <v>2709</v>
      </c>
      <c r="C262" s="1001"/>
      <c r="H262" s="983" t="str">
        <f>CONCATENATE("&lt;valeur&gt;",Cellule_211,"&lt;/valeur&gt;")</f>
        <v>&lt;valeur&gt;0&lt;/valeur&gt;</v>
      </c>
    </row>
    <row r="263" spans="1:9" x14ac:dyDescent="0.2">
      <c r="A263" s="997">
        <f t="shared" si="4"/>
        <v>262</v>
      </c>
      <c r="B263" s="983" t="s">
        <v>2709</v>
      </c>
      <c r="C263" s="1000"/>
      <c r="G263" s="983" t="s">
        <v>1109</v>
      </c>
    </row>
    <row r="264" spans="1:9" x14ac:dyDescent="0.2">
      <c r="A264" s="997">
        <f t="shared" si="4"/>
        <v>263</v>
      </c>
      <c r="B264" s="983" t="s">
        <v>2709</v>
      </c>
      <c r="C264" s="1000"/>
      <c r="G264" s="983" t="s">
        <v>1106</v>
      </c>
    </row>
    <row r="265" spans="1:9" x14ac:dyDescent="0.2">
      <c r="A265" s="997">
        <f t="shared" si="4"/>
        <v>264</v>
      </c>
      <c r="B265" s="983" t="s">
        <v>2709</v>
      </c>
      <c r="C265" s="999"/>
      <c r="H265" s="983" t="s">
        <v>1107</v>
      </c>
    </row>
    <row r="266" spans="1:9" x14ac:dyDescent="0.2">
      <c r="A266" s="997">
        <f t="shared" si="4"/>
        <v>265</v>
      </c>
      <c r="B266" s="983" t="s">
        <v>2709</v>
      </c>
      <c r="C266" s="999"/>
      <c r="I266" s="983" t="s">
        <v>1163</v>
      </c>
    </row>
    <row r="267" spans="1:9" x14ac:dyDescent="0.2">
      <c r="A267" s="997">
        <f t="shared" si="4"/>
        <v>266</v>
      </c>
      <c r="B267" s="983" t="s">
        <v>2709</v>
      </c>
      <c r="C267" s="1000"/>
      <c r="H267" s="983" t="s">
        <v>1108</v>
      </c>
    </row>
    <row r="268" spans="1:9" x14ac:dyDescent="0.2">
      <c r="A268" s="997">
        <f t="shared" si="4"/>
        <v>267</v>
      </c>
      <c r="B268" s="983" t="s">
        <v>2709</v>
      </c>
      <c r="C268" s="1001"/>
      <c r="H268" s="983" t="str">
        <f>CONCATENATE("&lt;valeur&gt;",Cellule_212,"&lt;/valeur&gt;")</f>
        <v>&lt;valeur&gt;0&lt;/valeur&gt;</v>
      </c>
    </row>
    <row r="269" spans="1:9" x14ac:dyDescent="0.2">
      <c r="A269" s="997">
        <f t="shared" si="4"/>
        <v>268</v>
      </c>
      <c r="B269" s="983" t="s">
        <v>2709</v>
      </c>
      <c r="C269" s="1000"/>
      <c r="G269" s="983" t="s">
        <v>1109</v>
      </c>
    </row>
    <row r="270" spans="1:9" x14ac:dyDescent="0.2">
      <c r="A270" s="997">
        <f t="shared" si="4"/>
        <v>269</v>
      </c>
      <c r="B270" s="983" t="s">
        <v>2709</v>
      </c>
      <c r="C270" s="1000"/>
      <c r="G270" s="983" t="s">
        <v>1106</v>
      </c>
    </row>
    <row r="271" spans="1:9" x14ac:dyDescent="0.2">
      <c r="A271" s="997">
        <f t="shared" si="4"/>
        <v>270</v>
      </c>
      <c r="B271" s="983" t="s">
        <v>2709</v>
      </c>
      <c r="C271" s="999"/>
      <c r="H271" s="983" t="s">
        <v>1107</v>
      </c>
    </row>
    <row r="272" spans="1:9" x14ac:dyDescent="0.2">
      <c r="A272" s="997">
        <f t="shared" si="4"/>
        <v>271</v>
      </c>
      <c r="B272" s="983" t="s">
        <v>2709</v>
      </c>
      <c r="C272" s="999"/>
      <c r="I272" s="983" t="s">
        <v>1164</v>
      </c>
    </row>
    <row r="273" spans="1:9" x14ac:dyDescent="0.2">
      <c r="A273" s="997">
        <f t="shared" si="4"/>
        <v>272</v>
      </c>
      <c r="B273" s="983" t="s">
        <v>2709</v>
      </c>
      <c r="C273" s="1000"/>
      <c r="H273" s="983" t="s">
        <v>1108</v>
      </c>
    </row>
    <row r="274" spans="1:9" x14ac:dyDescent="0.2">
      <c r="A274" s="997">
        <f t="shared" si="4"/>
        <v>273</v>
      </c>
      <c r="B274" s="983" t="s">
        <v>2709</v>
      </c>
      <c r="C274" s="1001"/>
      <c r="H274" s="983" t="str">
        <f>CONCATENATE("&lt;valeur&gt;",Cellule_213,"&lt;/valeur&gt;")</f>
        <v>&lt;valeur&gt;0&lt;/valeur&gt;</v>
      </c>
    </row>
    <row r="275" spans="1:9" x14ac:dyDescent="0.2">
      <c r="A275" s="997">
        <f t="shared" si="4"/>
        <v>274</v>
      </c>
      <c r="B275" s="983" t="s">
        <v>2709</v>
      </c>
      <c r="C275" s="1000"/>
      <c r="G275" s="983" t="s">
        <v>1109</v>
      </c>
    </row>
    <row r="276" spans="1:9" x14ac:dyDescent="0.2">
      <c r="A276" s="997">
        <f t="shared" si="4"/>
        <v>275</v>
      </c>
      <c r="B276" s="983" t="s">
        <v>2709</v>
      </c>
      <c r="C276" s="1000"/>
      <c r="G276" s="983" t="s">
        <v>1106</v>
      </c>
    </row>
    <row r="277" spans="1:9" x14ac:dyDescent="0.2">
      <c r="A277" s="997">
        <f t="shared" si="4"/>
        <v>276</v>
      </c>
      <c r="B277" s="983" t="s">
        <v>2709</v>
      </c>
      <c r="C277" s="999"/>
      <c r="H277" s="983" t="s">
        <v>1107</v>
      </c>
    </row>
    <row r="278" spans="1:9" x14ac:dyDescent="0.2">
      <c r="A278" s="997">
        <f t="shared" si="4"/>
        <v>277</v>
      </c>
      <c r="B278" s="983" t="s">
        <v>2709</v>
      </c>
      <c r="C278" s="999"/>
      <c r="I278" s="983" t="s">
        <v>1165</v>
      </c>
    </row>
    <row r="279" spans="1:9" x14ac:dyDescent="0.2">
      <c r="A279" s="997">
        <f t="shared" si="4"/>
        <v>278</v>
      </c>
      <c r="B279" s="983" t="s">
        <v>2709</v>
      </c>
      <c r="C279" s="1000"/>
      <c r="H279" s="983" t="s">
        <v>1108</v>
      </c>
    </row>
    <row r="280" spans="1:9" x14ac:dyDescent="0.2">
      <c r="A280" s="997">
        <f t="shared" si="4"/>
        <v>279</v>
      </c>
      <c r="B280" s="983" t="s">
        <v>2709</v>
      </c>
      <c r="C280" s="1001"/>
      <c r="H280" s="983" t="str">
        <f>CONCATENATE("&lt;valeur&gt;",Cellule_507,"&lt;/valeur&gt;")</f>
        <v>&lt;valeur&gt;1588527,58&lt;/valeur&gt;</v>
      </c>
    </row>
    <row r="281" spans="1:9" x14ac:dyDescent="0.2">
      <c r="A281" s="997">
        <f t="shared" si="4"/>
        <v>280</v>
      </c>
      <c r="B281" s="983" t="s">
        <v>2709</v>
      </c>
      <c r="C281" s="1000"/>
      <c r="G281" s="983" t="s">
        <v>1109</v>
      </c>
    </row>
    <row r="282" spans="1:9" x14ac:dyDescent="0.2">
      <c r="A282" s="997">
        <f t="shared" si="4"/>
        <v>281</v>
      </c>
      <c r="B282" s="983" t="s">
        <v>2709</v>
      </c>
      <c r="C282" s="1000"/>
      <c r="G282" s="983" t="s">
        <v>1106</v>
      </c>
    </row>
    <row r="283" spans="1:9" x14ac:dyDescent="0.2">
      <c r="A283" s="997">
        <f t="shared" si="4"/>
        <v>282</v>
      </c>
      <c r="B283" s="983" t="s">
        <v>2709</v>
      </c>
      <c r="C283" s="999"/>
      <c r="H283" s="983" t="s">
        <v>1107</v>
      </c>
    </row>
    <row r="284" spans="1:9" x14ac:dyDescent="0.2">
      <c r="A284" s="997">
        <f t="shared" si="4"/>
        <v>283</v>
      </c>
      <c r="B284" s="983" t="s">
        <v>2709</v>
      </c>
      <c r="C284" s="999"/>
      <c r="I284" s="983" t="s">
        <v>1166</v>
      </c>
    </row>
    <row r="285" spans="1:9" x14ac:dyDescent="0.2">
      <c r="A285" s="997">
        <f t="shared" si="4"/>
        <v>284</v>
      </c>
      <c r="B285" s="983" t="s">
        <v>2709</v>
      </c>
      <c r="C285" s="1000"/>
      <c r="H285" s="983" t="s">
        <v>1108</v>
      </c>
    </row>
    <row r="286" spans="1:9" x14ac:dyDescent="0.2">
      <c r="A286" s="997">
        <f t="shared" si="4"/>
        <v>285</v>
      </c>
      <c r="B286" s="983" t="s">
        <v>2709</v>
      </c>
      <c r="C286" s="1001"/>
      <c r="H286" s="983" t="str">
        <f>CONCATENATE("&lt;valeur&gt;",Cellule_214,"&lt;/valeur&gt;")</f>
        <v>&lt;valeur&gt;0&lt;/valeur&gt;</v>
      </c>
    </row>
    <row r="287" spans="1:9" x14ac:dyDescent="0.2">
      <c r="A287" s="997">
        <f t="shared" si="4"/>
        <v>286</v>
      </c>
      <c r="B287" s="983" t="s">
        <v>2709</v>
      </c>
      <c r="C287" s="1000"/>
      <c r="G287" s="983" t="s">
        <v>1109</v>
      </c>
    </row>
    <row r="288" spans="1:9" x14ac:dyDescent="0.2">
      <c r="A288" s="997">
        <f t="shared" si="4"/>
        <v>287</v>
      </c>
      <c r="B288" s="983" t="s">
        <v>2709</v>
      </c>
      <c r="C288" s="1000"/>
      <c r="G288" s="983" t="s">
        <v>1106</v>
      </c>
    </row>
    <row r="289" spans="1:9" x14ac:dyDescent="0.2">
      <c r="A289" s="997">
        <f t="shared" si="4"/>
        <v>288</v>
      </c>
      <c r="B289" s="983" t="s">
        <v>2709</v>
      </c>
      <c r="C289" s="999"/>
      <c r="H289" s="983" t="s">
        <v>1107</v>
      </c>
    </row>
    <row r="290" spans="1:9" x14ac:dyDescent="0.2">
      <c r="A290" s="997">
        <f t="shared" si="4"/>
        <v>289</v>
      </c>
      <c r="B290" s="983" t="s">
        <v>2709</v>
      </c>
      <c r="C290" s="999"/>
      <c r="I290" s="983" t="s">
        <v>1167</v>
      </c>
    </row>
    <row r="291" spans="1:9" x14ac:dyDescent="0.2">
      <c r="A291" s="997">
        <f t="shared" si="4"/>
        <v>290</v>
      </c>
      <c r="B291" s="983" t="s">
        <v>2709</v>
      </c>
      <c r="C291" s="1000"/>
      <c r="H291" s="983" t="s">
        <v>1108</v>
      </c>
    </row>
    <row r="292" spans="1:9" x14ac:dyDescent="0.2">
      <c r="A292" s="997">
        <f t="shared" si="4"/>
        <v>291</v>
      </c>
      <c r="B292" s="983" t="s">
        <v>2709</v>
      </c>
      <c r="C292" s="1001"/>
      <c r="H292" s="983" t="str">
        <f>CONCATENATE("&lt;valeur&gt;",Cellule_215,"&lt;/valeur&gt;")</f>
        <v>&lt;valeur&gt;1215&lt;/valeur&gt;</v>
      </c>
    </row>
    <row r="293" spans="1:9" x14ac:dyDescent="0.2">
      <c r="A293" s="997">
        <f t="shared" si="4"/>
        <v>292</v>
      </c>
      <c r="B293" s="983" t="s">
        <v>2709</v>
      </c>
      <c r="C293" s="1000"/>
      <c r="G293" s="983" t="s">
        <v>1109</v>
      </c>
    </row>
    <row r="294" spans="1:9" x14ac:dyDescent="0.2">
      <c r="A294" s="997">
        <f t="shared" si="4"/>
        <v>293</v>
      </c>
      <c r="B294" s="983" t="s">
        <v>2709</v>
      </c>
      <c r="C294" s="1000"/>
      <c r="G294" s="983" t="s">
        <v>1106</v>
      </c>
    </row>
    <row r="295" spans="1:9" x14ac:dyDescent="0.2">
      <c r="A295" s="997">
        <f t="shared" si="4"/>
        <v>294</v>
      </c>
      <c r="B295" s="983" t="s">
        <v>2709</v>
      </c>
      <c r="C295" s="999"/>
      <c r="H295" s="983" t="s">
        <v>1107</v>
      </c>
    </row>
    <row r="296" spans="1:9" x14ac:dyDescent="0.2">
      <c r="A296" s="997">
        <f t="shared" si="4"/>
        <v>295</v>
      </c>
      <c r="B296" s="983" t="s">
        <v>2709</v>
      </c>
      <c r="C296" s="999"/>
      <c r="I296" s="983" t="s">
        <v>1168</v>
      </c>
    </row>
    <row r="297" spans="1:9" x14ac:dyDescent="0.2">
      <c r="A297" s="997">
        <f t="shared" si="4"/>
        <v>296</v>
      </c>
      <c r="B297" s="983" t="s">
        <v>2709</v>
      </c>
      <c r="C297" s="1000"/>
      <c r="H297" s="983" t="s">
        <v>1108</v>
      </c>
    </row>
    <row r="298" spans="1:9" x14ac:dyDescent="0.2">
      <c r="A298" s="997">
        <f t="shared" si="4"/>
        <v>297</v>
      </c>
      <c r="B298" s="983" t="s">
        <v>2709</v>
      </c>
      <c r="C298" s="1001"/>
      <c r="H298" s="983" t="str">
        <f>CONCATENATE("&lt;valeur&gt;",Cellule_216,"&lt;/valeur&gt;")</f>
        <v>&lt;valeur&gt;0&lt;/valeur&gt;</v>
      </c>
    </row>
    <row r="299" spans="1:9" x14ac:dyDescent="0.2">
      <c r="A299" s="997">
        <f t="shared" si="4"/>
        <v>298</v>
      </c>
      <c r="B299" s="983" t="s">
        <v>2709</v>
      </c>
      <c r="C299" s="1000"/>
      <c r="G299" s="983" t="s">
        <v>1109</v>
      </c>
    </row>
    <row r="300" spans="1:9" x14ac:dyDescent="0.2">
      <c r="A300" s="997">
        <f t="shared" si="4"/>
        <v>299</v>
      </c>
      <c r="B300" s="983" t="s">
        <v>2709</v>
      </c>
      <c r="C300" s="1000"/>
      <c r="G300" s="983" t="s">
        <v>1106</v>
      </c>
    </row>
    <row r="301" spans="1:9" x14ac:dyDescent="0.2">
      <c r="A301" s="997">
        <f t="shared" si="4"/>
        <v>300</v>
      </c>
      <c r="B301" s="983" t="s">
        <v>2709</v>
      </c>
      <c r="C301" s="999"/>
      <c r="H301" s="983" t="s">
        <v>1107</v>
      </c>
    </row>
    <row r="302" spans="1:9" x14ac:dyDescent="0.2">
      <c r="A302" s="997">
        <f t="shared" si="4"/>
        <v>301</v>
      </c>
      <c r="B302" s="983" t="s">
        <v>2709</v>
      </c>
      <c r="C302" s="999"/>
      <c r="I302" s="983" t="s">
        <v>1169</v>
      </c>
    </row>
    <row r="303" spans="1:9" x14ac:dyDescent="0.2">
      <c r="A303" s="997">
        <f t="shared" si="4"/>
        <v>302</v>
      </c>
      <c r="B303" s="983" t="s">
        <v>2709</v>
      </c>
      <c r="C303" s="1000"/>
      <c r="H303" s="983" t="s">
        <v>1108</v>
      </c>
    </row>
    <row r="304" spans="1:9" x14ac:dyDescent="0.2">
      <c r="A304" s="997">
        <f t="shared" si="4"/>
        <v>303</v>
      </c>
      <c r="B304" s="983" t="s">
        <v>2709</v>
      </c>
      <c r="C304" s="1001"/>
      <c r="H304" s="983" t="str">
        <f>CONCATENATE("&lt;valeur&gt;",Cellule_217,"&lt;/valeur&gt;")</f>
        <v>&lt;valeur&gt;169962,26&lt;/valeur&gt;</v>
      </c>
    </row>
    <row r="305" spans="1:9" x14ac:dyDescent="0.2">
      <c r="A305" s="997">
        <f t="shared" si="4"/>
        <v>304</v>
      </c>
      <c r="B305" s="983" t="s">
        <v>2709</v>
      </c>
      <c r="C305" s="1000"/>
      <c r="G305" s="983" t="s">
        <v>1109</v>
      </c>
    </row>
    <row r="306" spans="1:9" x14ac:dyDescent="0.2">
      <c r="A306" s="997">
        <f t="shared" si="4"/>
        <v>305</v>
      </c>
      <c r="B306" s="983" t="s">
        <v>2709</v>
      </c>
      <c r="C306" s="1000"/>
      <c r="G306" s="983" t="s">
        <v>1106</v>
      </c>
    </row>
    <row r="307" spans="1:9" x14ac:dyDescent="0.2">
      <c r="A307" s="997">
        <f t="shared" si="4"/>
        <v>306</v>
      </c>
      <c r="B307" s="983" t="s">
        <v>2709</v>
      </c>
      <c r="C307" s="999"/>
      <c r="H307" s="983" t="s">
        <v>1107</v>
      </c>
    </row>
    <row r="308" spans="1:9" x14ac:dyDescent="0.2">
      <c r="A308" s="997">
        <f t="shared" si="4"/>
        <v>307</v>
      </c>
      <c r="B308" s="983" t="s">
        <v>2709</v>
      </c>
      <c r="C308" s="999"/>
      <c r="I308" s="983" t="s">
        <v>1170</v>
      </c>
    </row>
    <row r="309" spans="1:9" x14ac:dyDescent="0.2">
      <c r="A309" s="997">
        <f t="shared" si="4"/>
        <v>308</v>
      </c>
      <c r="B309" s="983" t="s">
        <v>2709</v>
      </c>
      <c r="C309" s="1000"/>
      <c r="H309" s="983" t="s">
        <v>1108</v>
      </c>
    </row>
    <row r="310" spans="1:9" x14ac:dyDescent="0.2">
      <c r="A310" s="997">
        <f t="shared" si="4"/>
        <v>309</v>
      </c>
      <c r="B310" s="983" t="s">
        <v>2709</v>
      </c>
      <c r="C310" s="1001"/>
      <c r="H310" s="983" t="str">
        <f>CONCATENATE("&lt;valeur&gt;",Cellule_218,"&lt;/valeur&gt;")</f>
        <v>&lt;valeur&gt;0&lt;/valeur&gt;</v>
      </c>
    </row>
    <row r="311" spans="1:9" x14ac:dyDescent="0.2">
      <c r="A311" s="997">
        <f t="shared" si="4"/>
        <v>310</v>
      </c>
      <c r="B311" s="983" t="s">
        <v>2709</v>
      </c>
      <c r="C311" s="1000"/>
      <c r="G311" s="983" t="s">
        <v>1109</v>
      </c>
    </row>
    <row r="312" spans="1:9" x14ac:dyDescent="0.2">
      <c r="A312" s="997">
        <f t="shared" si="4"/>
        <v>311</v>
      </c>
      <c r="B312" s="983" t="s">
        <v>2709</v>
      </c>
      <c r="C312" s="1000"/>
      <c r="G312" s="983" t="s">
        <v>1106</v>
      </c>
    </row>
    <row r="313" spans="1:9" x14ac:dyDescent="0.2">
      <c r="A313" s="997">
        <f t="shared" si="4"/>
        <v>312</v>
      </c>
      <c r="B313" s="983" t="s">
        <v>2709</v>
      </c>
      <c r="C313" s="999"/>
      <c r="H313" s="983" t="s">
        <v>1107</v>
      </c>
    </row>
    <row r="314" spans="1:9" x14ac:dyDescent="0.2">
      <c r="A314" s="997">
        <f t="shared" si="4"/>
        <v>313</v>
      </c>
      <c r="B314" s="983" t="s">
        <v>2709</v>
      </c>
      <c r="C314" s="999"/>
      <c r="I314" s="983" t="s">
        <v>1171</v>
      </c>
    </row>
    <row r="315" spans="1:9" x14ac:dyDescent="0.2">
      <c r="A315" s="997">
        <f t="shared" si="4"/>
        <v>314</v>
      </c>
      <c r="B315" s="983" t="s">
        <v>2709</v>
      </c>
      <c r="C315" s="1000"/>
      <c r="H315" s="983" t="s">
        <v>1108</v>
      </c>
    </row>
    <row r="316" spans="1:9" x14ac:dyDescent="0.2">
      <c r="A316" s="997">
        <f t="shared" si="4"/>
        <v>315</v>
      </c>
      <c r="B316" s="983" t="s">
        <v>2709</v>
      </c>
      <c r="C316" s="1001"/>
      <c r="H316" s="983" t="str">
        <f>CONCATENATE("&lt;valeur&gt;",Cellule_219,"&lt;/valeur&gt;")</f>
        <v>&lt;valeur&gt;0&lt;/valeur&gt;</v>
      </c>
    </row>
    <row r="317" spans="1:9" x14ac:dyDescent="0.2">
      <c r="A317" s="997">
        <f t="shared" si="4"/>
        <v>316</v>
      </c>
      <c r="B317" s="983" t="s">
        <v>2709</v>
      </c>
      <c r="C317" s="1000"/>
      <c r="G317" s="983" t="s">
        <v>1109</v>
      </c>
    </row>
    <row r="318" spans="1:9" x14ac:dyDescent="0.2">
      <c r="A318" s="997">
        <f t="shared" si="4"/>
        <v>317</v>
      </c>
      <c r="B318" s="983" t="s">
        <v>2709</v>
      </c>
      <c r="C318" s="1000"/>
      <c r="G318" s="983" t="s">
        <v>1106</v>
      </c>
    </row>
    <row r="319" spans="1:9" x14ac:dyDescent="0.2">
      <c r="A319" s="997">
        <f t="shared" si="4"/>
        <v>318</v>
      </c>
      <c r="B319" s="983" t="s">
        <v>2709</v>
      </c>
      <c r="C319" s="999"/>
      <c r="H319" s="983" t="s">
        <v>1107</v>
      </c>
    </row>
    <row r="320" spans="1:9" x14ac:dyDescent="0.2">
      <c r="A320" s="997">
        <f t="shared" si="4"/>
        <v>319</v>
      </c>
      <c r="B320" s="983" t="s">
        <v>2709</v>
      </c>
      <c r="C320" s="999"/>
      <c r="I320" s="983" t="s">
        <v>1172</v>
      </c>
    </row>
    <row r="321" spans="1:9" x14ac:dyDescent="0.2">
      <c r="A321" s="997">
        <f t="shared" si="4"/>
        <v>320</v>
      </c>
      <c r="B321" s="983" t="s">
        <v>2709</v>
      </c>
      <c r="C321" s="1000"/>
      <c r="H321" s="983" t="s">
        <v>1108</v>
      </c>
    </row>
    <row r="322" spans="1:9" x14ac:dyDescent="0.2">
      <c r="A322" s="997">
        <f t="shared" si="4"/>
        <v>321</v>
      </c>
      <c r="B322" s="983" t="s">
        <v>2709</v>
      </c>
      <c r="C322" s="1001"/>
      <c r="H322" s="983" t="str">
        <f>CONCATENATE("&lt;valeur&gt;",Cellule_220,"&lt;/valeur&gt;")</f>
        <v>&lt;valeur&gt;0&lt;/valeur&gt;</v>
      </c>
    </row>
    <row r="323" spans="1:9" x14ac:dyDescent="0.2">
      <c r="A323" s="997">
        <f t="shared" si="4"/>
        <v>322</v>
      </c>
      <c r="B323" s="983" t="s">
        <v>2709</v>
      </c>
      <c r="C323" s="1000"/>
      <c r="G323" s="983" t="s">
        <v>1109</v>
      </c>
    </row>
    <row r="324" spans="1:9" x14ac:dyDescent="0.2">
      <c r="A324" s="997">
        <f t="shared" ref="A324:A387" si="5">+A323+1</f>
        <v>323</v>
      </c>
      <c r="B324" s="983" t="s">
        <v>2709</v>
      </c>
      <c r="C324" s="1000"/>
      <c r="G324" s="983" t="s">
        <v>1106</v>
      </c>
    </row>
    <row r="325" spans="1:9" x14ac:dyDescent="0.2">
      <c r="A325" s="997">
        <f t="shared" si="5"/>
        <v>324</v>
      </c>
      <c r="B325" s="983" t="s">
        <v>2709</v>
      </c>
      <c r="C325" s="999"/>
      <c r="H325" s="983" t="s">
        <v>1107</v>
      </c>
    </row>
    <row r="326" spans="1:9" x14ac:dyDescent="0.2">
      <c r="A326" s="997">
        <f t="shared" si="5"/>
        <v>325</v>
      </c>
      <c r="B326" s="983" t="s">
        <v>2709</v>
      </c>
      <c r="C326" s="999"/>
      <c r="I326" s="983" t="s">
        <v>1173</v>
      </c>
    </row>
    <row r="327" spans="1:9" x14ac:dyDescent="0.2">
      <c r="A327" s="997">
        <f t="shared" si="5"/>
        <v>326</v>
      </c>
      <c r="B327" s="983" t="s">
        <v>2709</v>
      </c>
      <c r="C327" s="1000"/>
      <c r="H327" s="983" t="s">
        <v>1108</v>
      </c>
    </row>
    <row r="328" spans="1:9" x14ac:dyDescent="0.2">
      <c r="A328" s="997">
        <f t="shared" si="5"/>
        <v>327</v>
      </c>
      <c r="B328" s="983" t="s">
        <v>2709</v>
      </c>
      <c r="C328" s="1001"/>
      <c r="H328" s="983" t="str">
        <f>CONCATENATE("&lt;valeur&gt;",Cellule_508,"&lt;/valeur&gt;")</f>
        <v>&lt;valeur&gt;171177,26&lt;/valeur&gt;</v>
      </c>
    </row>
    <row r="329" spans="1:9" x14ac:dyDescent="0.2">
      <c r="A329" s="997">
        <f t="shared" si="5"/>
        <v>328</v>
      </c>
      <c r="B329" s="983" t="s">
        <v>2709</v>
      </c>
      <c r="C329" s="1000"/>
      <c r="G329" s="983" t="s">
        <v>1109</v>
      </c>
    </row>
    <row r="330" spans="1:9" x14ac:dyDescent="0.2">
      <c r="A330" s="997">
        <f t="shared" si="5"/>
        <v>329</v>
      </c>
      <c r="B330" s="983" t="s">
        <v>2709</v>
      </c>
      <c r="C330" s="1000"/>
      <c r="G330" s="983" t="s">
        <v>1106</v>
      </c>
    </row>
    <row r="331" spans="1:9" x14ac:dyDescent="0.2">
      <c r="A331" s="997">
        <f t="shared" si="5"/>
        <v>330</v>
      </c>
      <c r="B331" s="983" t="s">
        <v>2709</v>
      </c>
      <c r="C331" s="999"/>
      <c r="H331" s="983" t="s">
        <v>1107</v>
      </c>
    </row>
    <row r="332" spans="1:9" x14ac:dyDescent="0.2">
      <c r="A332" s="997">
        <f t="shared" si="5"/>
        <v>331</v>
      </c>
      <c r="B332" s="983" t="s">
        <v>2709</v>
      </c>
      <c r="C332" s="999"/>
      <c r="I332" s="983" t="s">
        <v>1174</v>
      </c>
    </row>
    <row r="333" spans="1:9" x14ac:dyDescent="0.2">
      <c r="A333" s="997">
        <f t="shared" si="5"/>
        <v>332</v>
      </c>
      <c r="B333" s="983" t="s">
        <v>2709</v>
      </c>
      <c r="C333" s="1000"/>
      <c r="H333" s="983" t="s">
        <v>1108</v>
      </c>
    </row>
    <row r="334" spans="1:9" x14ac:dyDescent="0.2">
      <c r="A334" s="997">
        <f t="shared" si="5"/>
        <v>333</v>
      </c>
      <c r="B334" s="983" t="s">
        <v>2709</v>
      </c>
      <c r="C334" s="1001"/>
      <c r="H334" s="983" t="str">
        <f>CONCATENATE("&lt;valeur&gt;",Cellule_221,"&lt;/valeur&gt;")</f>
        <v>&lt;valeur&gt;0&lt;/valeur&gt;</v>
      </c>
    </row>
    <row r="335" spans="1:9" x14ac:dyDescent="0.2">
      <c r="A335" s="997">
        <f t="shared" si="5"/>
        <v>334</v>
      </c>
      <c r="B335" s="983" t="s">
        <v>2709</v>
      </c>
      <c r="C335" s="1000"/>
      <c r="G335" s="983" t="s">
        <v>1109</v>
      </c>
    </row>
    <row r="336" spans="1:9" x14ac:dyDescent="0.2">
      <c r="A336" s="997">
        <f t="shared" si="5"/>
        <v>335</v>
      </c>
      <c r="B336" s="983" t="s">
        <v>2709</v>
      </c>
      <c r="C336" s="1000"/>
      <c r="G336" s="983" t="s">
        <v>1106</v>
      </c>
    </row>
    <row r="337" spans="1:9" x14ac:dyDescent="0.2">
      <c r="A337" s="997">
        <f t="shared" si="5"/>
        <v>336</v>
      </c>
      <c r="B337" s="983" t="s">
        <v>2709</v>
      </c>
      <c r="C337" s="999"/>
      <c r="H337" s="983" t="s">
        <v>1107</v>
      </c>
    </row>
    <row r="338" spans="1:9" x14ac:dyDescent="0.2">
      <c r="A338" s="997">
        <f t="shared" si="5"/>
        <v>337</v>
      </c>
      <c r="B338" s="983" t="s">
        <v>2709</v>
      </c>
      <c r="C338" s="999"/>
      <c r="I338" s="983" t="s">
        <v>1175</v>
      </c>
    </row>
    <row r="339" spans="1:9" x14ac:dyDescent="0.2">
      <c r="A339" s="997">
        <f t="shared" si="5"/>
        <v>338</v>
      </c>
      <c r="B339" s="983" t="s">
        <v>2709</v>
      </c>
      <c r="C339" s="1000"/>
      <c r="H339" s="983" t="s">
        <v>1108</v>
      </c>
    </row>
    <row r="340" spans="1:9" x14ac:dyDescent="0.2">
      <c r="A340" s="997">
        <f t="shared" si="5"/>
        <v>339</v>
      </c>
      <c r="B340" s="983" t="s">
        <v>2709</v>
      </c>
      <c r="C340" s="1001"/>
      <c r="H340" s="983" t="str">
        <f>CONCATENATE("&lt;valeur&gt;",Cellule_222,"&lt;/valeur&gt;")</f>
        <v>&lt;valeur&gt;8485&lt;/valeur&gt;</v>
      </c>
    </row>
    <row r="341" spans="1:9" x14ac:dyDescent="0.2">
      <c r="A341" s="997">
        <f t="shared" si="5"/>
        <v>340</v>
      </c>
      <c r="B341" s="983" t="s">
        <v>2709</v>
      </c>
      <c r="C341" s="1000"/>
      <c r="G341" s="983" t="s">
        <v>1109</v>
      </c>
    </row>
    <row r="342" spans="1:9" x14ac:dyDescent="0.2">
      <c r="A342" s="997">
        <f t="shared" si="5"/>
        <v>341</v>
      </c>
      <c r="B342" s="983" t="s">
        <v>2709</v>
      </c>
      <c r="C342" s="1000"/>
      <c r="G342" s="983" t="s">
        <v>1106</v>
      </c>
    </row>
    <row r="343" spans="1:9" x14ac:dyDescent="0.2">
      <c r="A343" s="997">
        <f t="shared" si="5"/>
        <v>342</v>
      </c>
      <c r="B343" s="983" t="s">
        <v>2709</v>
      </c>
      <c r="C343" s="999"/>
      <c r="H343" s="983" t="s">
        <v>1107</v>
      </c>
    </row>
    <row r="344" spans="1:9" x14ac:dyDescent="0.2">
      <c r="A344" s="997">
        <f t="shared" si="5"/>
        <v>343</v>
      </c>
      <c r="B344" s="983" t="s">
        <v>2709</v>
      </c>
      <c r="C344" s="999"/>
      <c r="I344" s="983" t="s">
        <v>1176</v>
      </c>
    </row>
    <row r="345" spans="1:9" x14ac:dyDescent="0.2">
      <c r="A345" s="997">
        <f t="shared" si="5"/>
        <v>344</v>
      </c>
      <c r="B345" s="983" t="s">
        <v>2709</v>
      </c>
      <c r="C345" s="1000"/>
      <c r="H345" s="983" t="s">
        <v>1108</v>
      </c>
    </row>
    <row r="346" spans="1:9" x14ac:dyDescent="0.2">
      <c r="A346" s="997">
        <f t="shared" si="5"/>
        <v>345</v>
      </c>
      <c r="B346" s="983" t="s">
        <v>2709</v>
      </c>
      <c r="C346" s="1001"/>
      <c r="H346" s="983" t="str">
        <f>CONCATENATE("&lt;valeur&gt;",Cellule_223,"&lt;/valeur&gt;")</f>
        <v>&lt;valeur&gt;0&lt;/valeur&gt;</v>
      </c>
    </row>
    <row r="347" spans="1:9" x14ac:dyDescent="0.2">
      <c r="A347" s="997">
        <f t="shared" si="5"/>
        <v>346</v>
      </c>
      <c r="B347" s="983" t="s">
        <v>2709</v>
      </c>
      <c r="C347" s="1000"/>
      <c r="G347" s="983" t="s">
        <v>1109</v>
      </c>
    </row>
    <row r="348" spans="1:9" x14ac:dyDescent="0.2">
      <c r="A348" s="997">
        <f t="shared" si="5"/>
        <v>347</v>
      </c>
      <c r="B348" s="983" t="s">
        <v>2709</v>
      </c>
      <c r="C348" s="1000"/>
      <c r="G348" s="983" t="s">
        <v>1106</v>
      </c>
    </row>
    <row r="349" spans="1:9" x14ac:dyDescent="0.2">
      <c r="A349" s="997">
        <f t="shared" si="5"/>
        <v>348</v>
      </c>
      <c r="B349" s="983" t="s">
        <v>2709</v>
      </c>
      <c r="C349" s="999"/>
      <c r="H349" s="983" t="s">
        <v>1107</v>
      </c>
    </row>
    <row r="350" spans="1:9" x14ac:dyDescent="0.2">
      <c r="A350" s="997">
        <f t="shared" si="5"/>
        <v>349</v>
      </c>
      <c r="B350" s="983" t="s">
        <v>2709</v>
      </c>
      <c r="C350" s="999"/>
      <c r="I350" s="983" t="s">
        <v>1177</v>
      </c>
    </row>
    <row r="351" spans="1:9" x14ac:dyDescent="0.2">
      <c r="A351" s="997">
        <f t="shared" si="5"/>
        <v>350</v>
      </c>
      <c r="B351" s="983" t="s">
        <v>2709</v>
      </c>
      <c r="C351" s="1000"/>
      <c r="H351" s="983" t="s">
        <v>1108</v>
      </c>
    </row>
    <row r="352" spans="1:9" x14ac:dyDescent="0.2">
      <c r="A352" s="997">
        <f t="shared" si="5"/>
        <v>351</v>
      </c>
      <c r="B352" s="983" t="s">
        <v>2709</v>
      </c>
      <c r="C352" s="1001"/>
      <c r="H352" s="983" t="str">
        <f>CONCATENATE("&lt;valeur&gt;",Cellule_224,"&lt;/valeur&gt;")</f>
        <v>&lt;valeur&gt;1408865,32&lt;/valeur&gt;</v>
      </c>
    </row>
    <row r="353" spans="1:9" x14ac:dyDescent="0.2">
      <c r="A353" s="997">
        <f t="shared" si="5"/>
        <v>352</v>
      </c>
      <c r="B353" s="983" t="s">
        <v>2709</v>
      </c>
      <c r="C353" s="1000"/>
      <c r="G353" s="983" t="s">
        <v>1109</v>
      </c>
    </row>
    <row r="354" spans="1:9" x14ac:dyDescent="0.2">
      <c r="A354" s="997">
        <f t="shared" si="5"/>
        <v>353</v>
      </c>
      <c r="B354" s="983" t="s">
        <v>2709</v>
      </c>
      <c r="C354" s="1000"/>
      <c r="G354" s="983" t="s">
        <v>1106</v>
      </c>
    </row>
    <row r="355" spans="1:9" x14ac:dyDescent="0.2">
      <c r="A355" s="997">
        <f t="shared" si="5"/>
        <v>354</v>
      </c>
      <c r="B355" s="983" t="s">
        <v>2709</v>
      </c>
      <c r="C355" s="999"/>
      <c r="H355" s="983" t="s">
        <v>1107</v>
      </c>
    </row>
    <row r="356" spans="1:9" x14ac:dyDescent="0.2">
      <c r="A356" s="997">
        <f t="shared" si="5"/>
        <v>355</v>
      </c>
      <c r="B356" s="983" t="s">
        <v>2709</v>
      </c>
      <c r="C356" s="999"/>
      <c r="I356" s="983" t="s">
        <v>1178</v>
      </c>
    </row>
    <row r="357" spans="1:9" x14ac:dyDescent="0.2">
      <c r="A357" s="997">
        <f t="shared" si="5"/>
        <v>356</v>
      </c>
      <c r="B357" s="983" t="s">
        <v>2709</v>
      </c>
      <c r="C357" s="1000"/>
      <c r="H357" s="983" t="s">
        <v>1108</v>
      </c>
    </row>
    <row r="358" spans="1:9" x14ac:dyDescent="0.2">
      <c r="A358" s="997">
        <f t="shared" si="5"/>
        <v>357</v>
      </c>
      <c r="B358" s="983" t="s">
        <v>2709</v>
      </c>
      <c r="C358" s="1001"/>
      <c r="H358" s="983" t="str">
        <f>CONCATENATE("&lt;valeur&gt;",Cellule_225,"&lt;/valeur&gt;")</f>
        <v>&lt;valeur&gt;0&lt;/valeur&gt;</v>
      </c>
    </row>
    <row r="359" spans="1:9" x14ac:dyDescent="0.2">
      <c r="A359" s="997">
        <f t="shared" si="5"/>
        <v>358</v>
      </c>
      <c r="B359" s="983" t="s">
        <v>2709</v>
      </c>
      <c r="C359" s="1000"/>
      <c r="G359" s="983" t="s">
        <v>1109</v>
      </c>
    </row>
    <row r="360" spans="1:9" x14ac:dyDescent="0.2">
      <c r="A360" s="997">
        <f t="shared" si="5"/>
        <v>359</v>
      </c>
      <c r="B360" s="983" t="s">
        <v>2709</v>
      </c>
      <c r="C360" s="1000"/>
      <c r="G360" s="983" t="s">
        <v>1106</v>
      </c>
    </row>
    <row r="361" spans="1:9" x14ac:dyDescent="0.2">
      <c r="A361" s="997">
        <f t="shared" si="5"/>
        <v>360</v>
      </c>
      <c r="B361" s="983" t="s">
        <v>2709</v>
      </c>
      <c r="C361" s="999"/>
      <c r="H361" s="983" t="s">
        <v>1107</v>
      </c>
    </row>
    <row r="362" spans="1:9" x14ac:dyDescent="0.2">
      <c r="A362" s="997">
        <f t="shared" si="5"/>
        <v>361</v>
      </c>
      <c r="B362" s="983" t="s">
        <v>2709</v>
      </c>
      <c r="C362" s="999"/>
      <c r="I362" s="983" t="s">
        <v>1179</v>
      </c>
    </row>
    <row r="363" spans="1:9" x14ac:dyDescent="0.2">
      <c r="A363" s="997">
        <f t="shared" si="5"/>
        <v>362</v>
      </c>
      <c r="B363" s="983" t="s">
        <v>2709</v>
      </c>
      <c r="C363" s="1000"/>
      <c r="H363" s="983" t="s">
        <v>1108</v>
      </c>
    </row>
    <row r="364" spans="1:9" x14ac:dyDescent="0.2">
      <c r="A364" s="997">
        <f t="shared" si="5"/>
        <v>363</v>
      </c>
      <c r="B364" s="983" t="s">
        <v>2709</v>
      </c>
      <c r="C364" s="1001"/>
      <c r="H364" s="983" t="str">
        <f>CONCATENATE("&lt;valeur&gt;",Cellule_226,"&lt;/valeur&gt;")</f>
        <v>&lt;valeur&gt;0&lt;/valeur&gt;</v>
      </c>
    </row>
    <row r="365" spans="1:9" x14ac:dyDescent="0.2">
      <c r="A365" s="997">
        <f t="shared" si="5"/>
        <v>364</v>
      </c>
      <c r="B365" s="983" t="s">
        <v>2709</v>
      </c>
      <c r="C365" s="1000"/>
      <c r="G365" s="983" t="s">
        <v>1109</v>
      </c>
    </row>
    <row r="366" spans="1:9" x14ac:dyDescent="0.2">
      <c r="A366" s="997">
        <f t="shared" si="5"/>
        <v>365</v>
      </c>
      <c r="B366" s="983" t="s">
        <v>2709</v>
      </c>
      <c r="C366" s="1000"/>
      <c r="G366" s="983" t="s">
        <v>1106</v>
      </c>
    </row>
    <row r="367" spans="1:9" x14ac:dyDescent="0.2">
      <c r="A367" s="997">
        <f t="shared" si="5"/>
        <v>366</v>
      </c>
      <c r="B367" s="983" t="s">
        <v>2709</v>
      </c>
      <c r="C367" s="999"/>
      <c r="H367" s="983" t="s">
        <v>1107</v>
      </c>
    </row>
    <row r="368" spans="1:9" x14ac:dyDescent="0.2">
      <c r="A368" s="997">
        <f t="shared" si="5"/>
        <v>367</v>
      </c>
      <c r="B368" s="983" t="s">
        <v>2709</v>
      </c>
      <c r="C368" s="999"/>
      <c r="I368" s="983" t="s">
        <v>1180</v>
      </c>
    </row>
    <row r="369" spans="1:9" x14ac:dyDescent="0.2">
      <c r="A369" s="997">
        <f t="shared" si="5"/>
        <v>368</v>
      </c>
      <c r="B369" s="983" t="s">
        <v>2709</v>
      </c>
      <c r="C369" s="1000"/>
      <c r="H369" s="983" t="s">
        <v>1108</v>
      </c>
    </row>
    <row r="370" spans="1:9" x14ac:dyDescent="0.2">
      <c r="A370" s="997">
        <f t="shared" si="5"/>
        <v>369</v>
      </c>
      <c r="B370" s="983" t="s">
        <v>2709</v>
      </c>
      <c r="C370" s="1001"/>
      <c r="H370" s="983" t="str">
        <f>CONCATENATE("&lt;valeur&gt;",Cellule_227,"&lt;/valeur&gt;")</f>
        <v>&lt;valeur&gt;0&lt;/valeur&gt;</v>
      </c>
    </row>
    <row r="371" spans="1:9" x14ac:dyDescent="0.2">
      <c r="A371" s="997">
        <f t="shared" si="5"/>
        <v>370</v>
      </c>
      <c r="B371" s="983" t="s">
        <v>2709</v>
      </c>
      <c r="C371" s="1000"/>
      <c r="G371" s="983" t="s">
        <v>1109</v>
      </c>
    </row>
    <row r="372" spans="1:9" x14ac:dyDescent="0.2">
      <c r="A372" s="997">
        <f t="shared" si="5"/>
        <v>371</v>
      </c>
      <c r="B372" s="983" t="s">
        <v>2709</v>
      </c>
      <c r="C372" s="1000"/>
      <c r="G372" s="983" t="s">
        <v>1106</v>
      </c>
    </row>
    <row r="373" spans="1:9" x14ac:dyDescent="0.2">
      <c r="A373" s="997">
        <f t="shared" si="5"/>
        <v>372</v>
      </c>
      <c r="B373" s="983" t="s">
        <v>2709</v>
      </c>
      <c r="C373" s="999"/>
      <c r="H373" s="983" t="s">
        <v>1107</v>
      </c>
    </row>
    <row r="374" spans="1:9" x14ac:dyDescent="0.2">
      <c r="A374" s="997">
        <f t="shared" si="5"/>
        <v>373</v>
      </c>
      <c r="B374" s="983" t="s">
        <v>2709</v>
      </c>
      <c r="C374" s="999"/>
      <c r="I374" s="983" t="s">
        <v>1181</v>
      </c>
    </row>
    <row r="375" spans="1:9" x14ac:dyDescent="0.2">
      <c r="A375" s="997">
        <f t="shared" si="5"/>
        <v>374</v>
      </c>
      <c r="B375" s="983" t="s">
        <v>2709</v>
      </c>
      <c r="C375" s="1000"/>
      <c r="H375" s="983" t="s">
        <v>1108</v>
      </c>
    </row>
    <row r="376" spans="1:9" x14ac:dyDescent="0.2">
      <c r="A376" s="997">
        <f t="shared" si="5"/>
        <v>375</v>
      </c>
      <c r="B376" s="983" t="s">
        <v>2709</v>
      </c>
      <c r="C376" s="1001"/>
      <c r="H376" s="983" t="str">
        <f>CONCATENATE("&lt;valeur&gt;",Cellule_509,"&lt;/valeur&gt;")</f>
        <v>&lt;valeur&gt;1417350,32&lt;/valeur&gt;</v>
      </c>
    </row>
    <row r="377" spans="1:9" x14ac:dyDescent="0.2">
      <c r="A377" s="997">
        <f t="shared" si="5"/>
        <v>376</v>
      </c>
      <c r="B377" s="983" t="s">
        <v>2709</v>
      </c>
      <c r="C377" s="1000"/>
      <c r="G377" s="983" t="s">
        <v>1109</v>
      </c>
    </row>
    <row r="378" spans="1:9" x14ac:dyDescent="0.2">
      <c r="A378" s="997">
        <f t="shared" si="5"/>
        <v>377</v>
      </c>
      <c r="B378" s="983" t="s">
        <v>2709</v>
      </c>
      <c r="C378" s="1000"/>
      <c r="G378" s="983" t="s">
        <v>1106</v>
      </c>
    </row>
    <row r="379" spans="1:9" x14ac:dyDescent="0.2">
      <c r="A379" s="997">
        <f t="shared" si="5"/>
        <v>378</v>
      </c>
      <c r="B379" s="983" t="s">
        <v>2709</v>
      </c>
      <c r="C379" s="999"/>
      <c r="H379" s="983" t="s">
        <v>1107</v>
      </c>
    </row>
    <row r="380" spans="1:9" x14ac:dyDescent="0.2">
      <c r="A380" s="997">
        <f t="shared" si="5"/>
        <v>379</v>
      </c>
      <c r="B380" s="983" t="s">
        <v>2709</v>
      </c>
      <c r="C380" s="999"/>
      <c r="I380" s="983" t="s">
        <v>1182</v>
      </c>
    </row>
    <row r="381" spans="1:9" x14ac:dyDescent="0.2">
      <c r="A381" s="997">
        <f t="shared" si="5"/>
        <v>380</v>
      </c>
      <c r="B381" s="983" t="s">
        <v>2709</v>
      </c>
      <c r="C381" s="1000"/>
      <c r="H381" s="983" t="s">
        <v>1108</v>
      </c>
    </row>
    <row r="382" spans="1:9" x14ac:dyDescent="0.2">
      <c r="A382" s="997">
        <f t="shared" si="5"/>
        <v>381</v>
      </c>
      <c r="B382" s="983" t="s">
        <v>2709</v>
      </c>
      <c r="C382" s="1001"/>
      <c r="H382" s="983" t="str">
        <f>CONCATENATE("&lt;valeur&gt;",Cellule_228,"&lt;/valeur&gt;")</f>
        <v>&lt;valeur&gt;0&lt;/valeur&gt;</v>
      </c>
    </row>
    <row r="383" spans="1:9" x14ac:dyDescent="0.2">
      <c r="A383" s="997">
        <f t="shared" si="5"/>
        <v>382</v>
      </c>
      <c r="B383" s="983" t="s">
        <v>2709</v>
      </c>
      <c r="C383" s="1000"/>
      <c r="G383" s="983" t="s">
        <v>1109</v>
      </c>
    </row>
    <row r="384" spans="1:9" x14ac:dyDescent="0.2">
      <c r="A384" s="997">
        <f t="shared" si="5"/>
        <v>383</v>
      </c>
      <c r="B384" s="983" t="s">
        <v>2709</v>
      </c>
      <c r="C384" s="1000"/>
      <c r="G384" s="983" t="s">
        <v>1106</v>
      </c>
    </row>
    <row r="385" spans="1:9" x14ac:dyDescent="0.2">
      <c r="A385" s="997">
        <f t="shared" si="5"/>
        <v>384</v>
      </c>
      <c r="B385" s="983" t="s">
        <v>2709</v>
      </c>
      <c r="C385" s="999"/>
      <c r="H385" s="983" t="s">
        <v>1107</v>
      </c>
    </row>
    <row r="386" spans="1:9" x14ac:dyDescent="0.2">
      <c r="A386" s="997">
        <f t="shared" si="5"/>
        <v>385</v>
      </c>
      <c r="B386" s="983" t="s">
        <v>2709</v>
      </c>
      <c r="C386" s="999"/>
      <c r="I386" s="983" t="s">
        <v>1183</v>
      </c>
    </row>
    <row r="387" spans="1:9" x14ac:dyDescent="0.2">
      <c r="A387" s="997">
        <f t="shared" si="5"/>
        <v>386</v>
      </c>
      <c r="B387" s="983" t="s">
        <v>2709</v>
      </c>
      <c r="C387" s="1000"/>
      <c r="H387" s="983" t="s">
        <v>1108</v>
      </c>
    </row>
    <row r="388" spans="1:9" x14ac:dyDescent="0.2">
      <c r="A388" s="997">
        <f t="shared" ref="A388:A451" si="6">+A387+1</f>
        <v>387</v>
      </c>
      <c r="B388" s="983" t="s">
        <v>2709</v>
      </c>
      <c r="C388" s="1001"/>
      <c r="H388" s="983" t="str">
        <f>CONCATENATE("&lt;valeur&gt;",Cellule_229,"&lt;/valeur&gt;")</f>
        <v>&lt;valeur&gt;0&lt;/valeur&gt;</v>
      </c>
    </row>
    <row r="389" spans="1:9" x14ac:dyDescent="0.2">
      <c r="A389" s="997">
        <f t="shared" si="6"/>
        <v>388</v>
      </c>
      <c r="B389" s="983" t="s">
        <v>2709</v>
      </c>
      <c r="C389" s="1000"/>
      <c r="G389" s="983" t="s">
        <v>1109</v>
      </c>
    </row>
    <row r="390" spans="1:9" x14ac:dyDescent="0.2">
      <c r="A390" s="997">
        <f t="shared" si="6"/>
        <v>389</v>
      </c>
      <c r="B390" s="983" t="s">
        <v>2709</v>
      </c>
      <c r="C390" s="1000"/>
      <c r="G390" s="983" t="s">
        <v>1106</v>
      </c>
    </row>
    <row r="391" spans="1:9" x14ac:dyDescent="0.2">
      <c r="A391" s="997">
        <f t="shared" si="6"/>
        <v>390</v>
      </c>
      <c r="B391" s="983" t="s">
        <v>2709</v>
      </c>
      <c r="C391" s="999"/>
      <c r="H391" s="983" t="s">
        <v>1107</v>
      </c>
    </row>
    <row r="392" spans="1:9" x14ac:dyDescent="0.2">
      <c r="A392" s="997">
        <f t="shared" si="6"/>
        <v>391</v>
      </c>
      <c r="B392" s="983" t="s">
        <v>2709</v>
      </c>
      <c r="C392" s="999"/>
      <c r="I392" s="983" t="s">
        <v>1184</v>
      </c>
    </row>
    <row r="393" spans="1:9" x14ac:dyDescent="0.2">
      <c r="A393" s="997">
        <f t="shared" si="6"/>
        <v>392</v>
      </c>
      <c r="B393" s="983" t="s">
        <v>2709</v>
      </c>
      <c r="C393" s="1000"/>
      <c r="H393" s="983" t="s">
        <v>1108</v>
      </c>
    </row>
    <row r="394" spans="1:9" x14ac:dyDescent="0.2">
      <c r="A394" s="997">
        <f t="shared" si="6"/>
        <v>393</v>
      </c>
      <c r="B394" s="983" t="s">
        <v>2709</v>
      </c>
      <c r="C394" s="1001"/>
      <c r="H394" s="983" t="str">
        <f>CONCATENATE("&lt;valeur&gt;",Cellule_230,"&lt;/valeur&gt;")</f>
        <v>&lt;valeur&gt;0&lt;/valeur&gt;</v>
      </c>
    </row>
    <row r="395" spans="1:9" x14ac:dyDescent="0.2">
      <c r="A395" s="997">
        <f t="shared" si="6"/>
        <v>394</v>
      </c>
      <c r="B395" s="983" t="s">
        <v>2709</v>
      </c>
      <c r="C395" s="1000"/>
      <c r="G395" s="983" t="s">
        <v>1109</v>
      </c>
    </row>
    <row r="396" spans="1:9" x14ac:dyDescent="0.2">
      <c r="A396" s="997">
        <f t="shared" si="6"/>
        <v>395</v>
      </c>
      <c r="B396" s="983" t="s">
        <v>2709</v>
      </c>
      <c r="C396" s="1000"/>
      <c r="G396" s="983" t="s">
        <v>1106</v>
      </c>
    </row>
    <row r="397" spans="1:9" x14ac:dyDescent="0.2">
      <c r="A397" s="997">
        <f t="shared" si="6"/>
        <v>396</v>
      </c>
      <c r="B397" s="983" t="s">
        <v>2709</v>
      </c>
      <c r="C397" s="999"/>
      <c r="H397" s="983" t="s">
        <v>1107</v>
      </c>
    </row>
    <row r="398" spans="1:9" x14ac:dyDescent="0.2">
      <c r="A398" s="997">
        <f t="shared" si="6"/>
        <v>397</v>
      </c>
      <c r="B398" s="983" t="s">
        <v>2709</v>
      </c>
      <c r="C398" s="999"/>
      <c r="I398" s="983" t="s">
        <v>1185</v>
      </c>
    </row>
    <row r="399" spans="1:9" x14ac:dyDescent="0.2">
      <c r="A399" s="997">
        <f t="shared" si="6"/>
        <v>398</v>
      </c>
      <c r="B399" s="983" t="s">
        <v>2709</v>
      </c>
      <c r="C399" s="1000"/>
      <c r="H399" s="983" t="s">
        <v>1108</v>
      </c>
    </row>
    <row r="400" spans="1:9" x14ac:dyDescent="0.2">
      <c r="A400" s="997">
        <f t="shared" si="6"/>
        <v>399</v>
      </c>
      <c r="B400" s="983" t="s">
        <v>2709</v>
      </c>
      <c r="C400" s="1001"/>
      <c r="H400" s="983" t="str">
        <f>CONCATENATE("&lt;valeur&gt;",Cellule_231,"&lt;/valeur&gt;")</f>
        <v>&lt;valeur&gt;0&lt;/valeur&gt;</v>
      </c>
    </row>
    <row r="401" spans="1:9" x14ac:dyDescent="0.2">
      <c r="A401" s="997">
        <f t="shared" si="6"/>
        <v>400</v>
      </c>
      <c r="B401" s="983" t="s">
        <v>2709</v>
      </c>
      <c r="C401" s="1000"/>
      <c r="G401" s="983" t="s">
        <v>1109</v>
      </c>
    </row>
    <row r="402" spans="1:9" x14ac:dyDescent="0.2">
      <c r="A402" s="997">
        <f t="shared" si="6"/>
        <v>401</v>
      </c>
      <c r="B402" s="983" t="s">
        <v>2709</v>
      </c>
      <c r="C402" s="1000"/>
      <c r="G402" s="983" t="s">
        <v>1106</v>
      </c>
    </row>
    <row r="403" spans="1:9" x14ac:dyDescent="0.2">
      <c r="A403" s="997">
        <f t="shared" si="6"/>
        <v>402</v>
      </c>
      <c r="B403" s="983" t="s">
        <v>2709</v>
      </c>
      <c r="C403" s="999"/>
      <c r="H403" s="983" t="s">
        <v>1107</v>
      </c>
    </row>
    <row r="404" spans="1:9" x14ac:dyDescent="0.2">
      <c r="A404" s="997">
        <f t="shared" si="6"/>
        <v>403</v>
      </c>
      <c r="B404" s="983" t="s">
        <v>2709</v>
      </c>
      <c r="C404" s="999"/>
      <c r="I404" s="983" t="s">
        <v>1186</v>
      </c>
    </row>
    <row r="405" spans="1:9" x14ac:dyDescent="0.2">
      <c r="A405" s="997">
        <f t="shared" si="6"/>
        <v>404</v>
      </c>
      <c r="B405" s="983" t="s">
        <v>2709</v>
      </c>
      <c r="C405" s="1000"/>
      <c r="H405" s="983" t="s">
        <v>1108</v>
      </c>
    </row>
    <row r="406" spans="1:9" x14ac:dyDescent="0.2">
      <c r="A406" s="997">
        <f t="shared" si="6"/>
        <v>405</v>
      </c>
      <c r="B406" s="983" t="s">
        <v>2709</v>
      </c>
      <c r="C406" s="1001"/>
      <c r="H406" s="983" t="str">
        <f>CONCATENATE("&lt;valeur&gt;",Cellule_232,"&lt;/valeur&gt;")</f>
        <v>&lt;valeur&gt;0&lt;/valeur&gt;</v>
      </c>
    </row>
    <row r="407" spans="1:9" x14ac:dyDescent="0.2">
      <c r="A407" s="997">
        <f t="shared" si="6"/>
        <v>406</v>
      </c>
      <c r="B407" s="983" t="s">
        <v>2709</v>
      </c>
      <c r="C407" s="1000"/>
      <c r="G407" s="983" t="s">
        <v>1109</v>
      </c>
    </row>
    <row r="408" spans="1:9" x14ac:dyDescent="0.2">
      <c r="A408" s="997">
        <f t="shared" si="6"/>
        <v>407</v>
      </c>
      <c r="B408" s="983" t="s">
        <v>2709</v>
      </c>
      <c r="C408" s="1000"/>
      <c r="G408" s="983" t="s">
        <v>1106</v>
      </c>
    </row>
    <row r="409" spans="1:9" x14ac:dyDescent="0.2">
      <c r="A409" s="997">
        <f t="shared" si="6"/>
        <v>408</v>
      </c>
      <c r="B409" s="983" t="s">
        <v>2709</v>
      </c>
      <c r="C409" s="999"/>
      <c r="H409" s="983" t="s">
        <v>1107</v>
      </c>
    </row>
    <row r="410" spans="1:9" x14ac:dyDescent="0.2">
      <c r="A410" s="997">
        <f t="shared" si="6"/>
        <v>409</v>
      </c>
      <c r="B410" s="983" t="s">
        <v>2709</v>
      </c>
      <c r="C410" s="999"/>
      <c r="I410" s="983" t="s">
        <v>1187</v>
      </c>
    </row>
    <row r="411" spans="1:9" x14ac:dyDescent="0.2">
      <c r="A411" s="997">
        <f t="shared" si="6"/>
        <v>410</v>
      </c>
      <c r="B411" s="983" t="s">
        <v>2709</v>
      </c>
      <c r="C411" s="1000"/>
      <c r="H411" s="983" t="s">
        <v>1108</v>
      </c>
    </row>
    <row r="412" spans="1:9" x14ac:dyDescent="0.2">
      <c r="A412" s="997">
        <f t="shared" si="6"/>
        <v>411</v>
      </c>
      <c r="B412" s="983" t="s">
        <v>2709</v>
      </c>
      <c r="C412" s="1001"/>
      <c r="H412" s="983" t="str">
        <f>CONCATENATE("&lt;valeur&gt;",Cellule_233,"&lt;/valeur&gt;")</f>
        <v>&lt;valeur&gt;0&lt;/valeur&gt;</v>
      </c>
    </row>
    <row r="413" spans="1:9" x14ac:dyDescent="0.2">
      <c r="A413" s="997">
        <f t="shared" si="6"/>
        <v>412</v>
      </c>
      <c r="B413" s="983" t="s">
        <v>2709</v>
      </c>
      <c r="C413" s="1000"/>
      <c r="G413" s="983" t="s">
        <v>1109</v>
      </c>
    </row>
    <row r="414" spans="1:9" x14ac:dyDescent="0.2">
      <c r="A414" s="997">
        <f t="shared" si="6"/>
        <v>413</v>
      </c>
      <c r="B414" s="983" t="s">
        <v>2709</v>
      </c>
      <c r="C414" s="1000"/>
      <c r="G414" s="983" t="s">
        <v>1106</v>
      </c>
    </row>
    <row r="415" spans="1:9" x14ac:dyDescent="0.2">
      <c r="A415" s="997">
        <f t="shared" si="6"/>
        <v>414</v>
      </c>
      <c r="B415" s="983" t="s">
        <v>2709</v>
      </c>
      <c r="C415" s="999"/>
      <c r="H415" s="983" t="s">
        <v>1107</v>
      </c>
    </row>
    <row r="416" spans="1:9" x14ac:dyDescent="0.2">
      <c r="A416" s="997">
        <f t="shared" si="6"/>
        <v>415</v>
      </c>
      <c r="B416" s="983" t="s">
        <v>2709</v>
      </c>
      <c r="C416" s="999"/>
      <c r="I416" s="983" t="s">
        <v>1188</v>
      </c>
    </row>
    <row r="417" spans="1:9" x14ac:dyDescent="0.2">
      <c r="A417" s="997">
        <f t="shared" si="6"/>
        <v>416</v>
      </c>
      <c r="B417" s="983" t="s">
        <v>2709</v>
      </c>
      <c r="C417" s="1000"/>
      <c r="H417" s="983" t="s">
        <v>1108</v>
      </c>
    </row>
    <row r="418" spans="1:9" x14ac:dyDescent="0.2">
      <c r="A418" s="997">
        <f t="shared" si="6"/>
        <v>417</v>
      </c>
      <c r="B418" s="983" t="s">
        <v>2709</v>
      </c>
      <c r="C418" s="1001"/>
      <c r="H418" s="983" t="str">
        <f>CONCATENATE("&lt;valeur&gt;",Cellule_234,"&lt;/valeur&gt;")</f>
        <v>&lt;valeur&gt;0&lt;/valeur&gt;</v>
      </c>
    </row>
    <row r="419" spans="1:9" x14ac:dyDescent="0.2">
      <c r="A419" s="997">
        <f t="shared" si="6"/>
        <v>418</v>
      </c>
      <c r="B419" s="983" t="s">
        <v>2709</v>
      </c>
      <c r="C419" s="1000"/>
      <c r="G419" s="983" t="s">
        <v>1109</v>
      </c>
    </row>
    <row r="420" spans="1:9" x14ac:dyDescent="0.2">
      <c r="A420" s="997">
        <f t="shared" si="6"/>
        <v>419</v>
      </c>
      <c r="B420" s="983" t="s">
        <v>2709</v>
      </c>
      <c r="C420" s="1000"/>
      <c r="G420" s="983" t="s">
        <v>1106</v>
      </c>
    </row>
    <row r="421" spans="1:9" x14ac:dyDescent="0.2">
      <c r="A421" s="997">
        <f t="shared" si="6"/>
        <v>420</v>
      </c>
      <c r="B421" s="983" t="s">
        <v>2709</v>
      </c>
      <c r="C421" s="999"/>
      <c r="H421" s="983" t="s">
        <v>1107</v>
      </c>
    </row>
    <row r="422" spans="1:9" x14ac:dyDescent="0.2">
      <c r="A422" s="997">
        <f t="shared" si="6"/>
        <v>421</v>
      </c>
      <c r="B422" s="983" t="s">
        <v>2709</v>
      </c>
      <c r="C422" s="999"/>
      <c r="I422" s="983" t="s">
        <v>1189</v>
      </c>
    </row>
    <row r="423" spans="1:9" x14ac:dyDescent="0.2">
      <c r="A423" s="997">
        <f t="shared" si="6"/>
        <v>422</v>
      </c>
      <c r="B423" s="983" t="s">
        <v>2709</v>
      </c>
      <c r="C423" s="1000"/>
      <c r="H423" s="983" t="s">
        <v>1108</v>
      </c>
    </row>
    <row r="424" spans="1:9" x14ac:dyDescent="0.2">
      <c r="A424" s="997">
        <f t="shared" si="6"/>
        <v>423</v>
      </c>
      <c r="B424" s="983" t="s">
        <v>2709</v>
      </c>
      <c r="C424" s="1001"/>
      <c r="H424" s="983" t="str">
        <f>CONCATENATE("&lt;valeur&gt;",Cellule_510,"&lt;/valeur&gt;")</f>
        <v>&lt;valeur&gt;0&lt;/valeur&gt;</v>
      </c>
    </row>
    <row r="425" spans="1:9" x14ac:dyDescent="0.2">
      <c r="A425" s="997">
        <f t="shared" si="6"/>
        <v>424</v>
      </c>
      <c r="B425" s="983" t="s">
        <v>2709</v>
      </c>
      <c r="C425" s="1000"/>
      <c r="G425" s="983" t="s">
        <v>1109</v>
      </c>
    </row>
    <row r="426" spans="1:9" x14ac:dyDescent="0.2">
      <c r="A426" s="997">
        <f t="shared" si="6"/>
        <v>425</v>
      </c>
      <c r="B426" s="983" t="s">
        <v>2709</v>
      </c>
      <c r="C426" s="1000"/>
      <c r="G426" s="983" t="s">
        <v>1106</v>
      </c>
    </row>
    <row r="427" spans="1:9" x14ac:dyDescent="0.2">
      <c r="A427" s="997">
        <f t="shared" si="6"/>
        <v>426</v>
      </c>
      <c r="B427" s="983" t="s">
        <v>2709</v>
      </c>
      <c r="C427" s="999"/>
      <c r="H427" s="983" t="s">
        <v>1107</v>
      </c>
    </row>
    <row r="428" spans="1:9" x14ac:dyDescent="0.2">
      <c r="A428" s="997">
        <f t="shared" si="6"/>
        <v>427</v>
      </c>
      <c r="B428" s="983" t="s">
        <v>2709</v>
      </c>
      <c r="C428" s="999"/>
      <c r="I428" s="983" t="s">
        <v>1190</v>
      </c>
    </row>
    <row r="429" spans="1:9" x14ac:dyDescent="0.2">
      <c r="A429" s="997">
        <f t="shared" si="6"/>
        <v>428</v>
      </c>
      <c r="B429" s="983" t="s">
        <v>2709</v>
      </c>
      <c r="C429" s="1000"/>
      <c r="H429" s="983" t="s">
        <v>1108</v>
      </c>
    </row>
    <row r="430" spans="1:9" x14ac:dyDescent="0.2">
      <c r="A430" s="997">
        <f t="shared" si="6"/>
        <v>429</v>
      </c>
      <c r="B430" s="983" t="s">
        <v>2709</v>
      </c>
      <c r="C430" s="1001"/>
      <c r="H430" s="983" t="str">
        <f>CONCATENATE("&lt;valeur&gt;",Cellule_254,"&lt;/valeur&gt;")</f>
        <v>&lt;valeur&gt;0&lt;/valeur&gt;</v>
      </c>
    </row>
    <row r="431" spans="1:9" x14ac:dyDescent="0.2">
      <c r="A431" s="997">
        <f t="shared" si="6"/>
        <v>430</v>
      </c>
      <c r="B431" s="983" t="s">
        <v>2709</v>
      </c>
      <c r="C431" s="1000"/>
      <c r="G431" s="983" t="s">
        <v>1109</v>
      </c>
    </row>
    <row r="432" spans="1:9" x14ac:dyDescent="0.2">
      <c r="A432" s="997">
        <f t="shared" si="6"/>
        <v>431</v>
      </c>
      <c r="B432" s="983" t="s">
        <v>2709</v>
      </c>
      <c r="C432" s="1000"/>
      <c r="G432" s="983" t="s">
        <v>1106</v>
      </c>
    </row>
    <row r="433" spans="1:9" x14ac:dyDescent="0.2">
      <c r="A433" s="997">
        <f t="shared" si="6"/>
        <v>432</v>
      </c>
      <c r="B433" s="983" t="s">
        <v>2709</v>
      </c>
      <c r="C433" s="999"/>
      <c r="H433" s="983" t="s">
        <v>1107</v>
      </c>
    </row>
    <row r="434" spans="1:9" x14ac:dyDescent="0.2">
      <c r="A434" s="997">
        <f t="shared" si="6"/>
        <v>433</v>
      </c>
      <c r="B434" s="983" t="s">
        <v>2709</v>
      </c>
      <c r="C434" s="999"/>
      <c r="I434" s="983" t="s">
        <v>1191</v>
      </c>
    </row>
    <row r="435" spans="1:9" x14ac:dyDescent="0.2">
      <c r="A435" s="997">
        <f t="shared" si="6"/>
        <v>434</v>
      </c>
      <c r="B435" s="983" t="s">
        <v>2709</v>
      </c>
      <c r="C435" s="1000"/>
      <c r="H435" s="983" t="s">
        <v>1108</v>
      </c>
    </row>
    <row r="436" spans="1:9" x14ac:dyDescent="0.2">
      <c r="A436" s="997">
        <f t="shared" si="6"/>
        <v>435</v>
      </c>
      <c r="B436" s="983" t="s">
        <v>2709</v>
      </c>
      <c r="C436" s="1001"/>
      <c r="H436" s="983" t="str">
        <f>CONCATENATE("&lt;valeur&gt;",Cellule_255,"&lt;/valeur&gt;")</f>
        <v>&lt;valeur&gt;0&lt;/valeur&gt;</v>
      </c>
    </row>
    <row r="437" spans="1:9" x14ac:dyDescent="0.2">
      <c r="A437" s="997">
        <f t="shared" si="6"/>
        <v>436</v>
      </c>
      <c r="B437" s="983" t="s">
        <v>2709</v>
      </c>
      <c r="C437" s="1000"/>
      <c r="G437" s="983" t="s">
        <v>1109</v>
      </c>
    </row>
    <row r="438" spans="1:9" x14ac:dyDescent="0.2">
      <c r="A438" s="997">
        <f t="shared" si="6"/>
        <v>437</v>
      </c>
      <c r="B438" s="983" t="s">
        <v>2709</v>
      </c>
      <c r="C438" s="1000"/>
      <c r="G438" s="983" t="s">
        <v>1106</v>
      </c>
    </row>
    <row r="439" spans="1:9" x14ac:dyDescent="0.2">
      <c r="A439" s="997">
        <f t="shared" si="6"/>
        <v>438</v>
      </c>
      <c r="B439" s="983" t="s">
        <v>2709</v>
      </c>
      <c r="C439" s="999"/>
      <c r="H439" s="983" t="s">
        <v>1107</v>
      </c>
    </row>
    <row r="440" spans="1:9" x14ac:dyDescent="0.2">
      <c r="A440" s="997">
        <f t="shared" si="6"/>
        <v>439</v>
      </c>
      <c r="B440" s="983" t="s">
        <v>2709</v>
      </c>
      <c r="C440" s="999"/>
      <c r="I440" s="983" t="s">
        <v>1192</v>
      </c>
    </row>
    <row r="441" spans="1:9" x14ac:dyDescent="0.2">
      <c r="A441" s="997">
        <f t="shared" si="6"/>
        <v>440</v>
      </c>
      <c r="B441" s="983" t="s">
        <v>2709</v>
      </c>
      <c r="C441" s="1000"/>
      <c r="H441" s="983" t="s">
        <v>1108</v>
      </c>
    </row>
    <row r="442" spans="1:9" x14ac:dyDescent="0.2">
      <c r="A442" s="997">
        <f t="shared" si="6"/>
        <v>441</v>
      </c>
      <c r="B442" s="983" t="s">
        <v>2709</v>
      </c>
      <c r="C442" s="1001"/>
      <c r="H442" s="983" t="str">
        <f>CONCATENATE("&lt;valeur&gt;",Cellule_256,"&lt;/valeur&gt;")</f>
        <v>&lt;valeur&gt;0&lt;/valeur&gt;</v>
      </c>
    </row>
    <row r="443" spans="1:9" x14ac:dyDescent="0.2">
      <c r="A443" s="997">
        <f t="shared" si="6"/>
        <v>442</v>
      </c>
      <c r="B443" s="983" t="s">
        <v>2709</v>
      </c>
      <c r="C443" s="1000"/>
      <c r="G443" s="983" t="s">
        <v>1109</v>
      </c>
    </row>
    <row r="444" spans="1:9" x14ac:dyDescent="0.2">
      <c r="A444" s="997">
        <f t="shared" si="6"/>
        <v>443</v>
      </c>
      <c r="B444" s="983" t="s">
        <v>2709</v>
      </c>
      <c r="C444" s="1000"/>
      <c r="G444" s="983" t="s">
        <v>1106</v>
      </c>
    </row>
    <row r="445" spans="1:9" x14ac:dyDescent="0.2">
      <c r="A445" s="997">
        <f t="shared" si="6"/>
        <v>444</v>
      </c>
      <c r="B445" s="983" t="s">
        <v>2709</v>
      </c>
      <c r="C445" s="999"/>
      <c r="H445" s="983" t="s">
        <v>1107</v>
      </c>
    </row>
    <row r="446" spans="1:9" x14ac:dyDescent="0.2">
      <c r="A446" s="997">
        <f t="shared" si="6"/>
        <v>445</v>
      </c>
      <c r="B446" s="983" t="s">
        <v>2709</v>
      </c>
      <c r="C446" s="999"/>
      <c r="I446" s="983" t="s">
        <v>1193</v>
      </c>
    </row>
    <row r="447" spans="1:9" x14ac:dyDescent="0.2">
      <c r="A447" s="997">
        <f t="shared" si="6"/>
        <v>446</v>
      </c>
      <c r="B447" s="983" t="s">
        <v>2709</v>
      </c>
      <c r="C447" s="1000"/>
      <c r="H447" s="983" t="s">
        <v>1108</v>
      </c>
    </row>
    <row r="448" spans="1:9" x14ac:dyDescent="0.2">
      <c r="A448" s="997">
        <f t="shared" si="6"/>
        <v>447</v>
      </c>
      <c r="B448" s="983" t="s">
        <v>2709</v>
      </c>
      <c r="C448" s="1001"/>
      <c r="H448" s="983" t="str">
        <f>CONCATENATE("&lt;valeur&gt;",Cellule_257,"&lt;/valeur&gt;")</f>
        <v>&lt;valeur&gt;0&lt;/valeur&gt;</v>
      </c>
    </row>
    <row r="449" spans="1:9" x14ac:dyDescent="0.2">
      <c r="A449" s="997">
        <f t="shared" si="6"/>
        <v>448</v>
      </c>
      <c r="B449" s="983" t="s">
        <v>2709</v>
      </c>
      <c r="C449" s="1000"/>
      <c r="G449" s="983" t="s">
        <v>1109</v>
      </c>
    </row>
    <row r="450" spans="1:9" x14ac:dyDescent="0.2">
      <c r="A450" s="997">
        <f t="shared" si="6"/>
        <v>449</v>
      </c>
      <c r="B450" s="983" t="s">
        <v>2709</v>
      </c>
      <c r="C450" s="1000"/>
      <c r="G450" s="983" t="s">
        <v>1106</v>
      </c>
    </row>
    <row r="451" spans="1:9" x14ac:dyDescent="0.2">
      <c r="A451" s="997">
        <f t="shared" si="6"/>
        <v>450</v>
      </c>
      <c r="B451" s="983" t="s">
        <v>2709</v>
      </c>
      <c r="C451" s="999"/>
      <c r="H451" s="983" t="s">
        <v>1107</v>
      </c>
    </row>
    <row r="452" spans="1:9" x14ac:dyDescent="0.2">
      <c r="A452" s="997">
        <f t="shared" ref="A452:A515" si="7">+A451+1</f>
        <v>451</v>
      </c>
      <c r="B452" s="983" t="s">
        <v>2709</v>
      </c>
      <c r="C452" s="999"/>
      <c r="I452" s="983" t="s">
        <v>1194</v>
      </c>
    </row>
    <row r="453" spans="1:9" x14ac:dyDescent="0.2">
      <c r="A453" s="997">
        <f t="shared" si="7"/>
        <v>452</v>
      </c>
      <c r="B453" s="983" t="s">
        <v>2709</v>
      </c>
      <c r="C453" s="1000"/>
      <c r="H453" s="983" t="s">
        <v>1108</v>
      </c>
    </row>
    <row r="454" spans="1:9" x14ac:dyDescent="0.2">
      <c r="A454" s="997">
        <f t="shared" si="7"/>
        <v>453</v>
      </c>
      <c r="B454" s="983" t="s">
        <v>2709</v>
      </c>
      <c r="C454" s="1001"/>
      <c r="H454" s="983" t="str">
        <f>CONCATENATE("&lt;valeur&gt;",Cellule_512,"&lt;/valeur&gt;")</f>
        <v>&lt;valeur&gt;0&lt;/valeur&gt;</v>
      </c>
    </row>
    <row r="455" spans="1:9" x14ac:dyDescent="0.2">
      <c r="A455" s="997">
        <f t="shared" si="7"/>
        <v>454</v>
      </c>
      <c r="B455" s="983" t="s">
        <v>2709</v>
      </c>
      <c r="C455" s="1000"/>
      <c r="G455" s="983" t="s">
        <v>1109</v>
      </c>
    </row>
    <row r="456" spans="1:9" x14ac:dyDescent="0.2">
      <c r="A456" s="997">
        <f t="shared" si="7"/>
        <v>455</v>
      </c>
      <c r="B456" s="983" t="s">
        <v>2709</v>
      </c>
      <c r="C456" s="1000"/>
      <c r="G456" s="983" t="s">
        <v>1106</v>
      </c>
    </row>
    <row r="457" spans="1:9" x14ac:dyDescent="0.2">
      <c r="A457" s="997">
        <f t="shared" si="7"/>
        <v>456</v>
      </c>
      <c r="B457" s="983" t="s">
        <v>2709</v>
      </c>
      <c r="C457" s="999"/>
      <c r="H457" s="983" t="s">
        <v>1107</v>
      </c>
    </row>
    <row r="458" spans="1:9" x14ac:dyDescent="0.2">
      <c r="A458" s="997">
        <f t="shared" si="7"/>
        <v>457</v>
      </c>
      <c r="B458" s="983" t="s">
        <v>2709</v>
      </c>
      <c r="C458" s="999"/>
      <c r="I458" s="983" t="s">
        <v>1195</v>
      </c>
    </row>
    <row r="459" spans="1:9" x14ac:dyDescent="0.2">
      <c r="A459" s="997">
        <f t="shared" si="7"/>
        <v>458</v>
      </c>
      <c r="B459" s="983" t="s">
        <v>2709</v>
      </c>
      <c r="C459" s="1000"/>
      <c r="H459" s="983" t="s">
        <v>1108</v>
      </c>
    </row>
    <row r="460" spans="1:9" x14ac:dyDescent="0.2">
      <c r="A460" s="997">
        <f t="shared" si="7"/>
        <v>459</v>
      </c>
      <c r="B460" s="983" t="s">
        <v>2709</v>
      </c>
      <c r="C460" s="1001"/>
      <c r="H460" s="983" t="str">
        <f>CONCATENATE("&lt;valeur&gt;",Cellule_258,"&lt;/valeur&gt;")</f>
        <v>&lt;valeur&gt;0&lt;/valeur&gt;</v>
      </c>
    </row>
    <row r="461" spans="1:9" x14ac:dyDescent="0.2">
      <c r="A461" s="997">
        <f t="shared" si="7"/>
        <v>460</v>
      </c>
      <c r="B461" s="983" t="s">
        <v>2709</v>
      </c>
      <c r="C461" s="1000"/>
      <c r="G461" s="983" t="s">
        <v>1109</v>
      </c>
    </row>
    <row r="462" spans="1:9" x14ac:dyDescent="0.2">
      <c r="A462" s="997">
        <f t="shared" si="7"/>
        <v>461</v>
      </c>
      <c r="B462" s="983" t="s">
        <v>2709</v>
      </c>
      <c r="C462" s="1000"/>
      <c r="G462" s="983" t="s">
        <v>1106</v>
      </c>
    </row>
    <row r="463" spans="1:9" x14ac:dyDescent="0.2">
      <c r="A463" s="997">
        <f t="shared" si="7"/>
        <v>462</v>
      </c>
      <c r="B463" s="983" t="s">
        <v>2709</v>
      </c>
      <c r="C463" s="999"/>
      <c r="H463" s="983" t="s">
        <v>1107</v>
      </c>
    </row>
    <row r="464" spans="1:9" x14ac:dyDescent="0.2">
      <c r="A464" s="997">
        <f t="shared" si="7"/>
        <v>463</v>
      </c>
      <c r="B464" s="983" t="s">
        <v>2709</v>
      </c>
      <c r="C464" s="999"/>
      <c r="I464" s="983" t="s">
        <v>1196</v>
      </c>
    </row>
    <row r="465" spans="1:9" x14ac:dyDescent="0.2">
      <c r="A465" s="997">
        <f t="shared" si="7"/>
        <v>464</v>
      </c>
      <c r="B465" s="983" t="s">
        <v>2709</v>
      </c>
      <c r="C465" s="1000"/>
      <c r="H465" s="983" t="s">
        <v>1108</v>
      </c>
    </row>
    <row r="466" spans="1:9" x14ac:dyDescent="0.2">
      <c r="A466" s="997">
        <f t="shared" si="7"/>
        <v>465</v>
      </c>
      <c r="B466" s="983" t="s">
        <v>2709</v>
      </c>
      <c r="C466" s="1001"/>
      <c r="H466" s="983" t="str">
        <f>CONCATENATE("&lt;valeur&gt;",Cellule_259,"&lt;/valeur&gt;")</f>
        <v>&lt;valeur&gt;0&lt;/valeur&gt;</v>
      </c>
    </row>
    <row r="467" spans="1:9" x14ac:dyDescent="0.2">
      <c r="A467" s="997">
        <f t="shared" si="7"/>
        <v>466</v>
      </c>
      <c r="B467" s="983" t="s">
        <v>2709</v>
      </c>
      <c r="C467" s="1000"/>
      <c r="G467" s="983" t="s">
        <v>1109</v>
      </c>
    </row>
    <row r="468" spans="1:9" x14ac:dyDescent="0.2">
      <c r="A468" s="997">
        <f t="shared" si="7"/>
        <v>467</v>
      </c>
      <c r="B468" s="983" t="s">
        <v>2709</v>
      </c>
      <c r="C468" s="1000"/>
      <c r="G468" s="983" t="s">
        <v>1106</v>
      </c>
    </row>
    <row r="469" spans="1:9" x14ac:dyDescent="0.2">
      <c r="A469" s="997">
        <f t="shared" si="7"/>
        <v>468</v>
      </c>
      <c r="B469" s="983" t="s">
        <v>2709</v>
      </c>
      <c r="C469" s="999"/>
      <c r="H469" s="983" t="s">
        <v>1107</v>
      </c>
    </row>
    <row r="470" spans="1:9" x14ac:dyDescent="0.2">
      <c r="A470" s="997">
        <f t="shared" si="7"/>
        <v>469</v>
      </c>
      <c r="B470" s="983" t="s">
        <v>2709</v>
      </c>
      <c r="C470" s="999"/>
      <c r="I470" s="983" t="s">
        <v>1197</v>
      </c>
    </row>
    <row r="471" spans="1:9" x14ac:dyDescent="0.2">
      <c r="A471" s="997">
        <f t="shared" si="7"/>
        <v>470</v>
      </c>
      <c r="B471" s="983" t="s">
        <v>2709</v>
      </c>
      <c r="C471" s="1000"/>
      <c r="H471" s="983" t="s">
        <v>1108</v>
      </c>
    </row>
    <row r="472" spans="1:9" x14ac:dyDescent="0.2">
      <c r="A472" s="997">
        <f t="shared" si="7"/>
        <v>471</v>
      </c>
      <c r="B472" s="983" t="s">
        <v>2709</v>
      </c>
      <c r="C472" s="1001"/>
      <c r="H472" s="983" t="str">
        <f>CONCATENATE("&lt;valeur&gt;",Cellule_260,"&lt;/valeur&gt;")</f>
        <v>&lt;valeur&gt;0&lt;/valeur&gt;</v>
      </c>
    </row>
    <row r="473" spans="1:9" x14ac:dyDescent="0.2">
      <c r="A473" s="997">
        <f t="shared" si="7"/>
        <v>472</v>
      </c>
      <c r="B473" s="983" t="s">
        <v>2709</v>
      </c>
      <c r="C473" s="1000"/>
      <c r="G473" s="983" t="s">
        <v>1109</v>
      </c>
    </row>
    <row r="474" spans="1:9" x14ac:dyDescent="0.2">
      <c r="A474" s="997">
        <f t="shared" si="7"/>
        <v>473</v>
      </c>
      <c r="B474" s="983" t="s">
        <v>2709</v>
      </c>
      <c r="C474" s="1000"/>
      <c r="G474" s="983" t="s">
        <v>1106</v>
      </c>
    </row>
    <row r="475" spans="1:9" x14ac:dyDescent="0.2">
      <c r="A475" s="997">
        <f t="shared" si="7"/>
        <v>474</v>
      </c>
      <c r="B475" s="983" t="s">
        <v>2709</v>
      </c>
      <c r="C475" s="999"/>
      <c r="H475" s="983" t="s">
        <v>1107</v>
      </c>
    </row>
    <row r="476" spans="1:9" x14ac:dyDescent="0.2">
      <c r="A476" s="997">
        <f t="shared" si="7"/>
        <v>475</v>
      </c>
      <c r="B476" s="983" t="s">
        <v>2709</v>
      </c>
      <c r="C476" s="999"/>
      <c r="I476" s="983" t="s">
        <v>1198</v>
      </c>
    </row>
    <row r="477" spans="1:9" x14ac:dyDescent="0.2">
      <c r="A477" s="997">
        <f t="shared" si="7"/>
        <v>476</v>
      </c>
      <c r="B477" s="983" t="s">
        <v>2709</v>
      </c>
      <c r="C477" s="1000"/>
      <c r="H477" s="983" t="s">
        <v>1108</v>
      </c>
    </row>
    <row r="478" spans="1:9" x14ac:dyDescent="0.2">
      <c r="A478" s="997">
        <f t="shared" si="7"/>
        <v>477</v>
      </c>
      <c r="B478" s="983" t="s">
        <v>2709</v>
      </c>
      <c r="C478" s="1001"/>
      <c r="H478" s="983" t="str">
        <f>CONCATENATE("&lt;valeur&gt;",Cellule_261,"&lt;/valeur&gt;")</f>
        <v>&lt;valeur&gt;0&lt;/valeur&gt;</v>
      </c>
    </row>
    <row r="479" spans="1:9" x14ac:dyDescent="0.2">
      <c r="A479" s="997">
        <f t="shared" si="7"/>
        <v>478</v>
      </c>
      <c r="B479" s="983" t="s">
        <v>2709</v>
      </c>
      <c r="C479" s="1000"/>
      <c r="G479" s="983" t="s">
        <v>1109</v>
      </c>
    </row>
    <row r="480" spans="1:9" x14ac:dyDescent="0.2">
      <c r="A480" s="997">
        <f t="shared" si="7"/>
        <v>479</v>
      </c>
      <c r="B480" s="983" t="s">
        <v>2709</v>
      </c>
      <c r="C480" s="1000"/>
      <c r="G480" s="983" t="s">
        <v>1106</v>
      </c>
    </row>
    <row r="481" spans="1:9" x14ac:dyDescent="0.2">
      <c r="A481" s="997">
        <f t="shared" si="7"/>
        <v>480</v>
      </c>
      <c r="B481" s="983" t="s">
        <v>2709</v>
      </c>
      <c r="C481" s="999"/>
      <c r="H481" s="983" t="s">
        <v>1107</v>
      </c>
    </row>
    <row r="482" spans="1:9" x14ac:dyDescent="0.2">
      <c r="A482" s="997">
        <f t="shared" si="7"/>
        <v>481</v>
      </c>
      <c r="B482" s="983" t="s">
        <v>2709</v>
      </c>
      <c r="C482" s="999"/>
      <c r="I482" s="983" t="s">
        <v>1199</v>
      </c>
    </row>
    <row r="483" spans="1:9" x14ac:dyDescent="0.2">
      <c r="A483" s="997">
        <f t="shared" si="7"/>
        <v>482</v>
      </c>
      <c r="B483" s="983" t="s">
        <v>2709</v>
      </c>
      <c r="C483" s="1000"/>
      <c r="H483" s="983" t="s">
        <v>1108</v>
      </c>
    </row>
    <row r="484" spans="1:9" x14ac:dyDescent="0.2">
      <c r="A484" s="997">
        <f t="shared" si="7"/>
        <v>483</v>
      </c>
      <c r="B484" s="983" t="s">
        <v>2709</v>
      </c>
      <c r="C484" s="1001"/>
      <c r="H484" s="983" t="str">
        <f>CONCATENATE("&lt;valeur&gt;",Cellule_513,"&lt;/valeur&gt;")</f>
        <v>&lt;valeur&gt;0&lt;/valeur&gt;</v>
      </c>
    </row>
    <row r="485" spans="1:9" x14ac:dyDescent="0.2">
      <c r="A485" s="997">
        <f t="shared" si="7"/>
        <v>484</v>
      </c>
      <c r="B485" s="983" t="s">
        <v>2709</v>
      </c>
      <c r="C485" s="1000"/>
      <c r="G485" s="983" t="s">
        <v>1109</v>
      </c>
    </row>
    <row r="486" spans="1:9" x14ac:dyDescent="0.2">
      <c r="A486" s="997">
        <f t="shared" si="7"/>
        <v>485</v>
      </c>
      <c r="B486" s="983" t="s">
        <v>2709</v>
      </c>
      <c r="C486" s="1000"/>
      <c r="G486" s="983" t="s">
        <v>1106</v>
      </c>
    </row>
    <row r="487" spans="1:9" x14ac:dyDescent="0.2">
      <c r="A487" s="997">
        <f t="shared" si="7"/>
        <v>486</v>
      </c>
      <c r="B487" s="983" t="s">
        <v>2709</v>
      </c>
      <c r="C487" s="999"/>
      <c r="H487" s="983" t="s">
        <v>1107</v>
      </c>
    </row>
    <row r="488" spans="1:9" x14ac:dyDescent="0.2">
      <c r="A488" s="997">
        <f t="shared" si="7"/>
        <v>487</v>
      </c>
      <c r="B488" s="983" t="s">
        <v>2709</v>
      </c>
      <c r="C488" s="999"/>
      <c r="I488" s="983" t="s">
        <v>1200</v>
      </c>
    </row>
    <row r="489" spans="1:9" x14ac:dyDescent="0.2">
      <c r="A489" s="997">
        <f t="shared" si="7"/>
        <v>488</v>
      </c>
      <c r="B489" s="983" t="s">
        <v>2709</v>
      </c>
      <c r="C489" s="1000"/>
      <c r="H489" s="983" t="s">
        <v>1108</v>
      </c>
    </row>
    <row r="490" spans="1:9" x14ac:dyDescent="0.2">
      <c r="A490" s="997">
        <f t="shared" si="7"/>
        <v>489</v>
      </c>
      <c r="B490" s="983" t="s">
        <v>2709</v>
      </c>
      <c r="C490" s="1001"/>
      <c r="H490" s="983" t="str">
        <f>CONCATENATE("&lt;valeur&gt;",Cellule_262,"&lt;/valeur&gt;")</f>
        <v>&lt;valeur&gt;0&lt;/valeur&gt;</v>
      </c>
    </row>
    <row r="491" spans="1:9" x14ac:dyDescent="0.2">
      <c r="A491" s="997">
        <f t="shared" si="7"/>
        <v>490</v>
      </c>
      <c r="B491" s="983" t="s">
        <v>2709</v>
      </c>
      <c r="C491" s="1000"/>
      <c r="G491" s="983" t="s">
        <v>1109</v>
      </c>
    </row>
    <row r="492" spans="1:9" x14ac:dyDescent="0.2">
      <c r="A492" s="997">
        <f t="shared" si="7"/>
        <v>491</v>
      </c>
      <c r="B492" s="983" t="s">
        <v>2709</v>
      </c>
      <c r="C492" s="1000"/>
      <c r="G492" s="983" t="s">
        <v>1106</v>
      </c>
    </row>
    <row r="493" spans="1:9" x14ac:dyDescent="0.2">
      <c r="A493" s="997">
        <f t="shared" si="7"/>
        <v>492</v>
      </c>
      <c r="B493" s="983" t="s">
        <v>2709</v>
      </c>
      <c r="C493" s="999"/>
      <c r="H493" s="983" t="s">
        <v>1107</v>
      </c>
    </row>
    <row r="494" spans="1:9" x14ac:dyDescent="0.2">
      <c r="A494" s="997">
        <f t="shared" si="7"/>
        <v>493</v>
      </c>
      <c r="B494" s="983" t="s">
        <v>2709</v>
      </c>
      <c r="C494" s="999"/>
      <c r="I494" s="983" t="s">
        <v>1201</v>
      </c>
    </row>
    <row r="495" spans="1:9" x14ac:dyDescent="0.2">
      <c r="A495" s="997">
        <f t="shared" si="7"/>
        <v>494</v>
      </c>
      <c r="B495" s="983" t="s">
        <v>2709</v>
      </c>
      <c r="C495" s="1000"/>
      <c r="H495" s="983" t="s">
        <v>1108</v>
      </c>
    </row>
    <row r="496" spans="1:9" x14ac:dyDescent="0.2">
      <c r="A496" s="997">
        <f t="shared" si="7"/>
        <v>495</v>
      </c>
      <c r="B496" s="983" t="s">
        <v>2709</v>
      </c>
      <c r="C496" s="1001"/>
      <c r="H496" s="983" t="str">
        <f>CONCATENATE("&lt;valeur&gt;",Cellule_263,"&lt;/valeur&gt;")</f>
        <v>&lt;valeur&gt;0&lt;/valeur&gt;</v>
      </c>
    </row>
    <row r="497" spans="1:9" x14ac:dyDescent="0.2">
      <c r="A497" s="997">
        <f t="shared" si="7"/>
        <v>496</v>
      </c>
      <c r="B497" s="983" t="s">
        <v>2709</v>
      </c>
      <c r="C497" s="1000"/>
      <c r="G497" s="983" t="s">
        <v>1109</v>
      </c>
    </row>
    <row r="498" spans="1:9" x14ac:dyDescent="0.2">
      <c r="A498" s="997">
        <f t="shared" si="7"/>
        <v>497</v>
      </c>
      <c r="B498" s="983" t="s">
        <v>2709</v>
      </c>
      <c r="C498" s="1000"/>
      <c r="G498" s="983" t="s">
        <v>1106</v>
      </c>
    </row>
    <row r="499" spans="1:9" x14ac:dyDescent="0.2">
      <c r="A499" s="997">
        <f t="shared" si="7"/>
        <v>498</v>
      </c>
      <c r="B499" s="983" t="s">
        <v>2709</v>
      </c>
      <c r="C499" s="999"/>
      <c r="H499" s="983" t="s">
        <v>1107</v>
      </c>
    </row>
    <row r="500" spans="1:9" x14ac:dyDescent="0.2">
      <c r="A500" s="997">
        <f t="shared" si="7"/>
        <v>499</v>
      </c>
      <c r="B500" s="983" t="s">
        <v>2709</v>
      </c>
      <c r="C500" s="999"/>
      <c r="I500" s="983" t="s">
        <v>1202</v>
      </c>
    </row>
    <row r="501" spans="1:9" x14ac:dyDescent="0.2">
      <c r="A501" s="997">
        <f t="shared" si="7"/>
        <v>500</v>
      </c>
      <c r="B501" s="983" t="s">
        <v>2709</v>
      </c>
      <c r="C501" s="1000"/>
      <c r="H501" s="983" t="s">
        <v>1108</v>
      </c>
    </row>
    <row r="502" spans="1:9" x14ac:dyDescent="0.2">
      <c r="A502" s="997">
        <f t="shared" si="7"/>
        <v>501</v>
      </c>
      <c r="B502" s="983" t="s">
        <v>2709</v>
      </c>
      <c r="C502" s="1001"/>
      <c r="H502" s="983" t="str">
        <f>CONCATENATE("&lt;valeur&gt;",Cellule_264,"&lt;/valeur&gt;")</f>
        <v>&lt;valeur&gt;0&lt;/valeur&gt;</v>
      </c>
    </row>
    <row r="503" spans="1:9" x14ac:dyDescent="0.2">
      <c r="A503" s="997">
        <f t="shared" si="7"/>
        <v>502</v>
      </c>
      <c r="B503" s="983" t="s">
        <v>2709</v>
      </c>
      <c r="C503" s="1000"/>
      <c r="G503" s="983" t="s">
        <v>1109</v>
      </c>
    </row>
    <row r="504" spans="1:9" x14ac:dyDescent="0.2">
      <c r="A504" s="997">
        <f t="shared" si="7"/>
        <v>503</v>
      </c>
      <c r="B504" s="983" t="s">
        <v>2709</v>
      </c>
      <c r="C504" s="1000"/>
      <c r="G504" s="983" t="s">
        <v>1106</v>
      </c>
    </row>
    <row r="505" spans="1:9" x14ac:dyDescent="0.2">
      <c r="A505" s="997">
        <f t="shared" si="7"/>
        <v>504</v>
      </c>
      <c r="B505" s="983" t="s">
        <v>2709</v>
      </c>
      <c r="C505" s="999"/>
      <c r="H505" s="983" t="s">
        <v>1107</v>
      </c>
    </row>
    <row r="506" spans="1:9" x14ac:dyDescent="0.2">
      <c r="A506" s="997">
        <f t="shared" si="7"/>
        <v>505</v>
      </c>
      <c r="B506" s="983" t="s">
        <v>2709</v>
      </c>
      <c r="C506" s="999"/>
      <c r="I506" s="983" t="s">
        <v>1203</v>
      </c>
    </row>
    <row r="507" spans="1:9" x14ac:dyDescent="0.2">
      <c r="A507" s="997">
        <f t="shared" si="7"/>
        <v>506</v>
      </c>
      <c r="B507" s="983" t="s">
        <v>2709</v>
      </c>
      <c r="C507" s="1000"/>
      <c r="H507" s="983" t="s">
        <v>1108</v>
      </c>
    </row>
    <row r="508" spans="1:9" x14ac:dyDescent="0.2">
      <c r="A508" s="997">
        <f t="shared" si="7"/>
        <v>507</v>
      </c>
      <c r="B508" s="983" t="s">
        <v>2709</v>
      </c>
      <c r="C508" s="1001"/>
      <c r="H508" s="983" t="str">
        <f>CONCATENATE("&lt;valeur&gt;",Cellule_265,"&lt;/valeur&gt;")</f>
        <v>&lt;valeur&gt;0&lt;/valeur&gt;</v>
      </c>
    </row>
    <row r="509" spans="1:9" x14ac:dyDescent="0.2">
      <c r="A509" s="997">
        <f t="shared" si="7"/>
        <v>508</v>
      </c>
      <c r="B509" s="983" t="s">
        <v>2709</v>
      </c>
      <c r="C509" s="1000"/>
      <c r="G509" s="983" t="s">
        <v>1109</v>
      </c>
    </row>
    <row r="510" spans="1:9" x14ac:dyDescent="0.2">
      <c r="A510" s="997">
        <f t="shared" si="7"/>
        <v>509</v>
      </c>
      <c r="B510" s="983" t="s">
        <v>2709</v>
      </c>
      <c r="C510" s="1000"/>
      <c r="G510" s="983" t="s">
        <v>1106</v>
      </c>
    </row>
    <row r="511" spans="1:9" x14ac:dyDescent="0.2">
      <c r="A511" s="997">
        <f t="shared" si="7"/>
        <v>510</v>
      </c>
      <c r="B511" s="983" t="s">
        <v>2709</v>
      </c>
      <c r="C511" s="999"/>
      <c r="H511" s="983" t="s">
        <v>1107</v>
      </c>
    </row>
    <row r="512" spans="1:9" x14ac:dyDescent="0.2">
      <c r="A512" s="997">
        <f t="shared" si="7"/>
        <v>511</v>
      </c>
      <c r="B512" s="983" t="s">
        <v>2709</v>
      </c>
      <c r="C512" s="999"/>
      <c r="I512" s="983" t="s">
        <v>1204</v>
      </c>
    </row>
    <row r="513" spans="1:9" x14ac:dyDescent="0.2">
      <c r="A513" s="997">
        <f t="shared" si="7"/>
        <v>512</v>
      </c>
      <c r="B513" s="983" t="s">
        <v>2709</v>
      </c>
      <c r="C513" s="1000"/>
      <c r="H513" s="983" t="s">
        <v>1108</v>
      </c>
    </row>
    <row r="514" spans="1:9" x14ac:dyDescent="0.2">
      <c r="A514" s="997">
        <f t="shared" si="7"/>
        <v>513</v>
      </c>
      <c r="B514" s="983" t="s">
        <v>2709</v>
      </c>
      <c r="C514" s="1001"/>
      <c r="H514" s="983" t="str">
        <f>CONCATENATE("&lt;valeur&gt;",Cellule_514,"&lt;/valeur&gt;")</f>
        <v>&lt;valeur&gt;0&lt;/valeur&gt;</v>
      </c>
    </row>
    <row r="515" spans="1:9" x14ac:dyDescent="0.2">
      <c r="A515" s="997">
        <f t="shared" si="7"/>
        <v>514</v>
      </c>
      <c r="B515" s="983" t="s">
        <v>2709</v>
      </c>
      <c r="C515" s="1000"/>
      <c r="G515" s="983" t="s">
        <v>1109</v>
      </c>
    </row>
    <row r="516" spans="1:9" x14ac:dyDescent="0.2">
      <c r="A516" s="997">
        <f t="shared" ref="A516:A579" si="8">+A515+1</f>
        <v>515</v>
      </c>
      <c r="B516" s="983" t="s">
        <v>2709</v>
      </c>
      <c r="C516" s="1000"/>
      <c r="G516" s="983" t="s">
        <v>1106</v>
      </c>
    </row>
    <row r="517" spans="1:9" x14ac:dyDescent="0.2">
      <c r="A517" s="997">
        <f t="shared" si="8"/>
        <v>516</v>
      </c>
      <c r="B517" s="983" t="s">
        <v>2709</v>
      </c>
      <c r="C517" s="999"/>
      <c r="H517" s="983" t="s">
        <v>1107</v>
      </c>
    </row>
    <row r="518" spans="1:9" x14ac:dyDescent="0.2">
      <c r="A518" s="997">
        <f t="shared" si="8"/>
        <v>517</v>
      </c>
      <c r="B518" s="983" t="s">
        <v>2709</v>
      </c>
      <c r="C518" s="999"/>
      <c r="I518" s="983" t="s">
        <v>1205</v>
      </c>
    </row>
    <row r="519" spans="1:9" x14ac:dyDescent="0.2">
      <c r="A519" s="997">
        <f t="shared" si="8"/>
        <v>518</v>
      </c>
      <c r="B519" s="983" t="s">
        <v>2709</v>
      </c>
      <c r="C519" s="1000"/>
      <c r="H519" s="983" t="s">
        <v>1108</v>
      </c>
    </row>
    <row r="520" spans="1:9" x14ac:dyDescent="0.2">
      <c r="A520" s="997">
        <f t="shared" si="8"/>
        <v>519</v>
      </c>
      <c r="B520" s="983" t="s">
        <v>2709</v>
      </c>
      <c r="C520" s="1001"/>
      <c r="H520" s="983" t="str">
        <f>CONCATENATE("&lt;valeur&gt;",Cellule_266,"&lt;/valeur&gt;")</f>
        <v>&lt;valeur&gt;0&lt;/valeur&gt;</v>
      </c>
    </row>
    <row r="521" spans="1:9" x14ac:dyDescent="0.2">
      <c r="A521" s="997">
        <f t="shared" si="8"/>
        <v>520</v>
      </c>
      <c r="B521" s="983" t="s">
        <v>2709</v>
      </c>
      <c r="C521" s="1000"/>
      <c r="G521" s="983" t="s">
        <v>1109</v>
      </c>
    </row>
    <row r="522" spans="1:9" x14ac:dyDescent="0.2">
      <c r="A522" s="997">
        <f t="shared" si="8"/>
        <v>521</v>
      </c>
      <c r="B522" s="983" t="s">
        <v>2709</v>
      </c>
      <c r="C522" s="1000"/>
      <c r="G522" s="983" t="s">
        <v>1106</v>
      </c>
    </row>
    <row r="523" spans="1:9" x14ac:dyDescent="0.2">
      <c r="A523" s="997">
        <f t="shared" si="8"/>
        <v>522</v>
      </c>
      <c r="B523" s="983" t="s">
        <v>2709</v>
      </c>
      <c r="C523" s="999"/>
      <c r="H523" s="983" t="s">
        <v>1107</v>
      </c>
    </row>
    <row r="524" spans="1:9" x14ac:dyDescent="0.2">
      <c r="A524" s="997">
        <f t="shared" si="8"/>
        <v>523</v>
      </c>
      <c r="B524" s="983" t="s">
        <v>2709</v>
      </c>
      <c r="C524" s="999"/>
      <c r="I524" s="983" t="s">
        <v>1206</v>
      </c>
    </row>
    <row r="525" spans="1:9" x14ac:dyDescent="0.2">
      <c r="A525" s="997">
        <f t="shared" si="8"/>
        <v>524</v>
      </c>
      <c r="B525" s="983" t="s">
        <v>2709</v>
      </c>
      <c r="C525" s="1000"/>
      <c r="H525" s="983" t="s">
        <v>1108</v>
      </c>
    </row>
    <row r="526" spans="1:9" x14ac:dyDescent="0.2">
      <c r="A526" s="997">
        <f t="shared" si="8"/>
        <v>525</v>
      </c>
      <c r="B526" s="983" t="s">
        <v>2709</v>
      </c>
      <c r="C526" s="1001"/>
      <c r="H526" s="983" t="str">
        <f>CONCATENATE("&lt;valeur&gt;",Cellule_267,"&lt;/valeur&gt;")</f>
        <v>&lt;valeur&gt;0&lt;/valeur&gt;</v>
      </c>
    </row>
    <row r="527" spans="1:9" x14ac:dyDescent="0.2">
      <c r="A527" s="997">
        <f t="shared" si="8"/>
        <v>526</v>
      </c>
      <c r="B527" s="983" t="s">
        <v>2709</v>
      </c>
      <c r="C527" s="1000"/>
      <c r="G527" s="983" t="s">
        <v>1109</v>
      </c>
    </row>
    <row r="528" spans="1:9" x14ac:dyDescent="0.2">
      <c r="A528" s="997">
        <f t="shared" si="8"/>
        <v>527</v>
      </c>
      <c r="B528" s="983" t="s">
        <v>2709</v>
      </c>
      <c r="C528" s="1000"/>
      <c r="G528" s="983" t="s">
        <v>1106</v>
      </c>
    </row>
    <row r="529" spans="1:9" x14ac:dyDescent="0.2">
      <c r="A529" s="997">
        <f t="shared" si="8"/>
        <v>528</v>
      </c>
      <c r="B529" s="983" t="s">
        <v>2709</v>
      </c>
      <c r="C529" s="999"/>
      <c r="H529" s="983" t="s">
        <v>1107</v>
      </c>
    </row>
    <row r="530" spans="1:9" x14ac:dyDescent="0.2">
      <c r="A530" s="997">
        <f t="shared" si="8"/>
        <v>529</v>
      </c>
      <c r="B530" s="983" t="s">
        <v>2709</v>
      </c>
      <c r="C530" s="999"/>
      <c r="I530" s="983" t="s">
        <v>1207</v>
      </c>
    </row>
    <row r="531" spans="1:9" x14ac:dyDescent="0.2">
      <c r="A531" s="997">
        <f t="shared" si="8"/>
        <v>530</v>
      </c>
      <c r="B531" s="983" t="s">
        <v>2709</v>
      </c>
      <c r="C531" s="1000"/>
      <c r="H531" s="983" t="s">
        <v>1108</v>
      </c>
    </row>
    <row r="532" spans="1:9" x14ac:dyDescent="0.2">
      <c r="A532" s="997">
        <f t="shared" si="8"/>
        <v>531</v>
      </c>
      <c r="B532" s="983" t="s">
        <v>2709</v>
      </c>
      <c r="C532" s="1001"/>
      <c r="H532" s="983" t="str">
        <f>CONCATENATE("&lt;valeur&gt;",Cellule_268,"&lt;/valeur&gt;")</f>
        <v>&lt;valeur&gt;0&lt;/valeur&gt;</v>
      </c>
    </row>
    <row r="533" spans="1:9" x14ac:dyDescent="0.2">
      <c r="A533" s="997">
        <f t="shared" si="8"/>
        <v>532</v>
      </c>
      <c r="B533" s="983" t="s">
        <v>2709</v>
      </c>
      <c r="C533" s="1000"/>
      <c r="G533" s="983" t="s">
        <v>1109</v>
      </c>
    </row>
    <row r="534" spans="1:9" x14ac:dyDescent="0.2">
      <c r="A534" s="997">
        <f t="shared" si="8"/>
        <v>533</v>
      </c>
      <c r="B534" s="983" t="s">
        <v>2709</v>
      </c>
      <c r="C534" s="1000"/>
      <c r="G534" s="983" t="s">
        <v>1106</v>
      </c>
    </row>
    <row r="535" spans="1:9" x14ac:dyDescent="0.2">
      <c r="A535" s="997">
        <f t="shared" si="8"/>
        <v>534</v>
      </c>
      <c r="B535" s="983" t="s">
        <v>2709</v>
      </c>
      <c r="C535" s="999"/>
      <c r="H535" s="983" t="s">
        <v>1107</v>
      </c>
    </row>
    <row r="536" spans="1:9" x14ac:dyDescent="0.2">
      <c r="A536" s="997">
        <f t="shared" si="8"/>
        <v>535</v>
      </c>
      <c r="B536" s="983" t="s">
        <v>2709</v>
      </c>
      <c r="C536" s="999"/>
      <c r="I536" s="983" t="s">
        <v>1208</v>
      </c>
    </row>
    <row r="537" spans="1:9" x14ac:dyDescent="0.2">
      <c r="A537" s="997">
        <f t="shared" si="8"/>
        <v>536</v>
      </c>
      <c r="B537" s="983" t="s">
        <v>2709</v>
      </c>
      <c r="C537" s="1000"/>
      <c r="H537" s="983" t="s">
        <v>1108</v>
      </c>
    </row>
    <row r="538" spans="1:9" x14ac:dyDescent="0.2">
      <c r="A538" s="997">
        <f t="shared" si="8"/>
        <v>537</v>
      </c>
      <c r="B538" s="983" t="s">
        <v>2709</v>
      </c>
      <c r="C538" s="1001"/>
      <c r="H538" s="983" t="str">
        <f>CONCATENATE("&lt;valeur&gt;",Cellule_269,"&lt;/valeur&gt;")</f>
        <v>&lt;valeur&gt;0&lt;/valeur&gt;</v>
      </c>
    </row>
    <row r="539" spans="1:9" x14ac:dyDescent="0.2">
      <c r="A539" s="997">
        <f t="shared" si="8"/>
        <v>538</v>
      </c>
      <c r="B539" s="983" t="s">
        <v>2709</v>
      </c>
      <c r="C539" s="1000"/>
      <c r="G539" s="983" t="s">
        <v>1109</v>
      </c>
    </row>
    <row r="540" spans="1:9" x14ac:dyDescent="0.2">
      <c r="A540" s="997">
        <f t="shared" si="8"/>
        <v>539</v>
      </c>
      <c r="B540" s="983" t="s">
        <v>2709</v>
      </c>
      <c r="C540" s="1000"/>
      <c r="G540" s="983" t="s">
        <v>1106</v>
      </c>
    </row>
    <row r="541" spans="1:9" x14ac:dyDescent="0.2">
      <c r="A541" s="997">
        <f t="shared" si="8"/>
        <v>540</v>
      </c>
      <c r="B541" s="983" t="s">
        <v>2709</v>
      </c>
      <c r="C541" s="999"/>
      <c r="H541" s="983" t="s">
        <v>1107</v>
      </c>
    </row>
    <row r="542" spans="1:9" x14ac:dyDescent="0.2">
      <c r="A542" s="997">
        <f t="shared" si="8"/>
        <v>541</v>
      </c>
      <c r="B542" s="983" t="s">
        <v>2709</v>
      </c>
      <c r="C542" s="999"/>
      <c r="I542" s="983" t="s">
        <v>1209</v>
      </c>
    </row>
    <row r="543" spans="1:9" x14ac:dyDescent="0.2">
      <c r="A543" s="997">
        <f t="shared" si="8"/>
        <v>542</v>
      </c>
      <c r="B543" s="983" t="s">
        <v>2709</v>
      </c>
      <c r="C543" s="1000"/>
      <c r="H543" s="983" t="s">
        <v>1108</v>
      </c>
    </row>
    <row r="544" spans="1:9" x14ac:dyDescent="0.2">
      <c r="A544" s="997">
        <f t="shared" si="8"/>
        <v>543</v>
      </c>
      <c r="B544" s="983" t="s">
        <v>2709</v>
      </c>
      <c r="C544" s="1001"/>
      <c r="H544" s="983" t="str">
        <f>CONCATENATE("&lt;valeur&gt;",Cellule_515,"&lt;/valeur&gt;")</f>
        <v>&lt;valeur&gt;0&lt;/valeur&gt;</v>
      </c>
    </row>
    <row r="545" spans="1:9" x14ac:dyDescent="0.2">
      <c r="A545" s="997">
        <f t="shared" si="8"/>
        <v>544</v>
      </c>
      <c r="B545" s="983" t="s">
        <v>2709</v>
      </c>
      <c r="C545" s="1000"/>
      <c r="G545" s="983" t="s">
        <v>1109</v>
      </c>
    </row>
    <row r="546" spans="1:9" x14ac:dyDescent="0.2">
      <c r="A546" s="997">
        <f t="shared" si="8"/>
        <v>545</v>
      </c>
      <c r="B546" s="983" t="s">
        <v>2709</v>
      </c>
      <c r="C546" s="1000"/>
      <c r="G546" s="983" t="s">
        <v>1106</v>
      </c>
    </row>
    <row r="547" spans="1:9" x14ac:dyDescent="0.2">
      <c r="A547" s="997">
        <f t="shared" si="8"/>
        <v>546</v>
      </c>
      <c r="B547" s="983" t="s">
        <v>2709</v>
      </c>
      <c r="C547" s="999"/>
      <c r="H547" s="983" t="s">
        <v>1107</v>
      </c>
    </row>
    <row r="548" spans="1:9" x14ac:dyDescent="0.2">
      <c r="A548" s="997">
        <f t="shared" si="8"/>
        <v>547</v>
      </c>
      <c r="B548" s="983" t="s">
        <v>2709</v>
      </c>
      <c r="C548" s="999"/>
      <c r="I548" s="983" t="s">
        <v>1210</v>
      </c>
    </row>
    <row r="549" spans="1:9" x14ac:dyDescent="0.2">
      <c r="A549" s="997">
        <f t="shared" si="8"/>
        <v>548</v>
      </c>
      <c r="B549" s="983" t="s">
        <v>2709</v>
      </c>
      <c r="C549" s="1000"/>
      <c r="H549" s="983" t="s">
        <v>1108</v>
      </c>
    </row>
    <row r="550" spans="1:9" x14ac:dyDescent="0.2">
      <c r="A550" s="997">
        <f t="shared" si="8"/>
        <v>549</v>
      </c>
      <c r="B550" s="983" t="s">
        <v>2709</v>
      </c>
      <c r="C550" s="1001"/>
      <c r="H550" s="983" t="str">
        <f>CONCATENATE("&lt;valeur&gt;",Cellule_192,"&lt;/valeur&gt;")</f>
        <v>&lt;valeur&gt;0&lt;/valeur&gt;</v>
      </c>
    </row>
    <row r="551" spans="1:9" x14ac:dyDescent="0.2">
      <c r="A551" s="997">
        <f t="shared" si="8"/>
        <v>550</v>
      </c>
      <c r="B551" s="983" t="s">
        <v>2709</v>
      </c>
      <c r="C551" s="1000"/>
      <c r="G551" s="983" t="s">
        <v>1109</v>
      </c>
    </row>
    <row r="552" spans="1:9" x14ac:dyDescent="0.2">
      <c r="A552" s="997">
        <f t="shared" si="8"/>
        <v>551</v>
      </c>
      <c r="B552" s="983" t="s">
        <v>2709</v>
      </c>
      <c r="C552" s="1000"/>
      <c r="G552" s="983" t="s">
        <v>1106</v>
      </c>
    </row>
    <row r="553" spans="1:9" x14ac:dyDescent="0.2">
      <c r="A553" s="997">
        <f t="shared" si="8"/>
        <v>552</v>
      </c>
      <c r="B553" s="983" t="s">
        <v>2709</v>
      </c>
      <c r="C553" s="999"/>
      <c r="H553" s="983" t="s">
        <v>1107</v>
      </c>
    </row>
    <row r="554" spans="1:9" x14ac:dyDescent="0.2">
      <c r="A554" s="997">
        <f t="shared" si="8"/>
        <v>553</v>
      </c>
      <c r="B554" s="983" t="s">
        <v>2709</v>
      </c>
      <c r="C554" s="999"/>
      <c r="I554" s="983" t="s">
        <v>1211</v>
      </c>
    </row>
    <row r="555" spans="1:9" x14ac:dyDescent="0.2">
      <c r="A555" s="997">
        <f t="shared" si="8"/>
        <v>554</v>
      </c>
      <c r="B555" s="983" t="s">
        <v>2709</v>
      </c>
      <c r="C555" s="1000"/>
      <c r="H555" s="983" t="s">
        <v>1108</v>
      </c>
    </row>
    <row r="556" spans="1:9" x14ac:dyDescent="0.2">
      <c r="A556" s="997">
        <f t="shared" si="8"/>
        <v>555</v>
      </c>
      <c r="B556" s="983" t="s">
        <v>2709</v>
      </c>
      <c r="C556" s="1001"/>
      <c r="H556" s="983" t="str">
        <f>CONCATENATE("&lt;valeur&gt;",Cellule_193,"&lt;/valeur&gt;")</f>
        <v>&lt;valeur&gt;0&lt;/valeur&gt;</v>
      </c>
    </row>
    <row r="557" spans="1:9" x14ac:dyDescent="0.2">
      <c r="A557" s="997">
        <f t="shared" si="8"/>
        <v>556</v>
      </c>
      <c r="B557" s="983" t="s">
        <v>2709</v>
      </c>
      <c r="C557" s="1000"/>
      <c r="G557" s="983" t="s">
        <v>1109</v>
      </c>
    </row>
    <row r="558" spans="1:9" x14ac:dyDescent="0.2">
      <c r="A558" s="997">
        <f t="shared" si="8"/>
        <v>557</v>
      </c>
      <c r="B558" s="983" t="s">
        <v>2709</v>
      </c>
      <c r="C558" s="1000"/>
      <c r="G558" s="983" t="s">
        <v>1106</v>
      </c>
    </row>
    <row r="559" spans="1:9" x14ac:dyDescent="0.2">
      <c r="A559" s="997">
        <f t="shared" si="8"/>
        <v>558</v>
      </c>
      <c r="B559" s="983" t="s">
        <v>2709</v>
      </c>
      <c r="C559" s="999"/>
      <c r="H559" s="983" t="s">
        <v>1107</v>
      </c>
    </row>
    <row r="560" spans="1:9" x14ac:dyDescent="0.2">
      <c r="A560" s="997">
        <f t="shared" si="8"/>
        <v>559</v>
      </c>
      <c r="B560" s="983" t="s">
        <v>2709</v>
      </c>
      <c r="C560" s="999"/>
      <c r="I560" s="983" t="s">
        <v>1212</v>
      </c>
    </row>
    <row r="561" spans="1:9" x14ac:dyDescent="0.2">
      <c r="A561" s="997">
        <f t="shared" si="8"/>
        <v>560</v>
      </c>
      <c r="B561" s="983" t="s">
        <v>2709</v>
      </c>
      <c r="C561" s="1000"/>
      <c r="H561" s="983" t="s">
        <v>1108</v>
      </c>
    </row>
    <row r="562" spans="1:9" x14ac:dyDescent="0.2">
      <c r="A562" s="997">
        <f t="shared" si="8"/>
        <v>561</v>
      </c>
      <c r="B562" s="983" t="s">
        <v>2709</v>
      </c>
      <c r="C562" s="1001"/>
      <c r="H562" s="983" t="str">
        <f>CONCATENATE("&lt;valeur&gt;",Cellule_517,"&lt;/valeur&gt;")</f>
        <v>&lt;valeur&gt;0&lt;/valeur&gt;</v>
      </c>
    </row>
    <row r="563" spans="1:9" x14ac:dyDescent="0.2">
      <c r="A563" s="997">
        <f t="shared" si="8"/>
        <v>562</v>
      </c>
      <c r="B563" s="983" t="s">
        <v>2709</v>
      </c>
      <c r="C563" s="1000"/>
      <c r="G563" s="983" t="s">
        <v>1109</v>
      </c>
    </row>
    <row r="564" spans="1:9" x14ac:dyDescent="0.2">
      <c r="A564" s="997">
        <f t="shared" si="8"/>
        <v>563</v>
      </c>
      <c r="B564" s="983" t="s">
        <v>2709</v>
      </c>
      <c r="C564" s="1000"/>
      <c r="G564" s="983" t="s">
        <v>1106</v>
      </c>
    </row>
    <row r="565" spans="1:9" x14ac:dyDescent="0.2">
      <c r="A565" s="997">
        <f t="shared" si="8"/>
        <v>564</v>
      </c>
      <c r="B565" s="983" t="s">
        <v>2709</v>
      </c>
      <c r="C565" s="999"/>
      <c r="H565" s="983" t="s">
        <v>1107</v>
      </c>
    </row>
    <row r="566" spans="1:9" x14ac:dyDescent="0.2">
      <c r="A566" s="997">
        <f t="shared" si="8"/>
        <v>565</v>
      </c>
      <c r="B566" s="983" t="s">
        <v>2709</v>
      </c>
      <c r="C566" s="999"/>
      <c r="I566" s="983" t="s">
        <v>1213</v>
      </c>
    </row>
    <row r="567" spans="1:9" x14ac:dyDescent="0.2">
      <c r="A567" s="997">
        <f t="shared" si="8"/>
        <v>566</v>
      </c>
      <c r="B567" s="983" t="s">
        <v>2709</v>
      </c>
      <c r="C567" s="1000"/>
      <c r="H567" s="983" t="s">
        <v>1108</v>
      </c>
    </row>
    <row r="568" spans="1:9" x14ac:dyDescent="0.2">
      <c r="A568" s="997">
        <f t="shared" si="8"/>
        <v>567</v>
      </c>
      <c r="B568" s="983" t="s">
        <v>2709</v>
      </c>
      <c r="C568" s="1001"/>
      <c r="H568" s="983" t="str">
        <f>CONCATENATE("&lt;valeur&gt;",Cellule_194,"&lt;/valeur&gt;")</f>
        <v>&lt;valeur&gt;&lt;/valeur&gt;</v>
      </c>
    </row>
    <row r="569" spans="1:9" x14ac:dyDescent="0.2">
      <c r="A569" s="997">
        <f t="shared" si="8"/>
        <v>568</v>
      </c>
      <c r="B569" s="983" t="s">
        <v>2709</v>
      </c>
      <c r="C569" s="1000"/>
      <c r="G569" s="983" t="s">
        <v>1109</v>
      </c>
    </row>
    <row r="570" spans="1:9" x14ac:dyDescent="0.2">
      <c r="A570" s="997">
        <f t="shared" si="8"/>
        <v>569</v>
      </c>
      <c r="B570" s="983" t="s">
        <v>2709</v>
      </c>
      <c r="C570" s="1000"/>
      <c r="G570" s="983" t="s">
        <v>1106</v>
      </c>
    </row>
    <row r="571" spans="1:9" x14ac:dyDescent="0.2">
      <c r="A571" s="997">
        <f t="shared" si="8"/>
        <v>570</v>
      </c>
      <c r="B571" s="983" t="s">
        <v>2709</v>
      </c>
      <c r="C571" s="999"/>
      <c r="H571" s="983" t="s">
        <v>1107</v>
      </c>
    </row>
    <row r="572" spans="1:9" x14ac:dyDescent="0.2">
      <c r="A572" s="997">
        <f t="shared" si="8"/>
        <v>571</v>
      </c>
      <c r="B572" s="983" t="s">
        <v>2709</v>
      </c>
      <c r="C572" s="999"/>
      <c r="I572" s="983" t="s">
        <v>1214</v>
      </c>
    </row>
    <row r="573" spans="1:9" x14ac:dyDescent="0.2">
      <c r="A573" s="997">
        <f t="shared" si="8"/>
        <v>572</v>
      </c>
      <c r="B573" s="983" t="s">
        <v>2709</v>
      </c>
      <c r="C573" s="1000"/>
      <c r="H573" s="983" t="s">
        <v>1108</v>
      </c>
    </row>
    <row r="574" spans="1:9" x14ac:dyDescent="0.2">
      <c r="A574" s="997">
        <f t="shared" si="8"/>
        <v>573</v>
      </c>
      <c r="B574" s="983" t="s">
        <v>2709</v>
      </c>
      <c r="C574" s="1001"/>
      <c r="H574" s="983" t="str">
        <f>CONCATENATE("&lt;valeur&gt;",Cellule_195,"&lt;/valeur&gt;")</f>
        <v>&lt;valeur&gt;&lt;/valeur&gt;</v>
      </c>
    </row>
    <row r="575" spans="1:9" x14ac:dyDescent="0.2">
      <c r="A575" s="997">
        <f t="shared" si="8"/>
        <v>574</v>
      </c>
      <c r="B575" s="983" t="s">
        <v>2709</v>
      </c>
      <c r="C575" s="1000"/>
      <c r="G575" s="983" t="s">
        <v>1109</v>
      </c>
    </row>
    <row r="576" spans="1:9" x14ac:dyDescent="0.2">
      <c r="A576" s="997">
        <f t="shared" si="8"/>
        <v>575</v>
      </c>
      <c r="B576" s="983" t="s">
        <v>2709</v>
      </c>
      <c r="C576" s="1000"/>
      <c r="G576" s="983" t="s">
        <v>1106</v>
      </c>
    </row>
    <row r="577" spans="1:9" x14ac:dyDescent="0.2">
      <c r="A577" s="997">
        <f t="shared" si="8"/>
        <v>576</v>
      </c>
      <c r="B577" s="983" t="s">
        <v>2709</v>
      </c>
      <c r="C577" s="999"/>
      <c r="H577" s="983" t="s">
        <v>1107</v>
      </c>
    </row>
    <row r="578" spans="1:9" x14ac:dyDescent="0.2">
      <c r="A578" s="997">
        <f t="shared" si="8"/>
        <v>577</v>
      </c>
      <c r="B578" s="983" t="s">
        <v>2709</v>
      </c>
      <c r="C578" s="999"/>
      <c r="I578" s="983" t="s">
        <v>1215</v>
      </c>
    </row>
    <row r="579" spans="1:9" x14ac:dyDescent="0.2">
      <c r="A579" s="997">
        <f t="shared" si="8"/>
        <v>578</v>
      </c>
      <c r="B579" s="983" t="s">
        <v>2709</v>
      </c>
      <c r="C579" s="1000"/>
      <c r="H579" s="983" t="s">
        <v>1108</v>
      </c>
    </row>
    <row r="580" spans="1:9" x14ac:dyDescent="0.2">
      <c r="A580" s="997">
        <f t="shared" ref="A580:A643" si="9">+A579+1</f>
        <v>579</v>
      </c>
      <c r="B580" s="983" t="s">
        <v>2709</v>
      </c>
      <c r="C580" s="1001"/>
      <c r="H580" s="983" t="str">
        <f>CONCATENATE("&lt;valeur&gt;",Cellule_518,"&lt;/valeur&gt;")</f>
        <v>&lt;valeur&gt;&lt;/valeur&gt;</v>
      </c>
    </row>
    <row r="581" spans="1:9" x14ac:dyDescent="0.2">
      <c r="A581" s="997">
        <f t="shared" si="9"/>
        <v>580</v>
      </c>
      <c r="B581" s="983" t="s">
        <v>2709</v>
      </c>
      <c r="C581" s="1000"/>
      <c r="G581" s="983" t="s">
        <v>1109</v>
      </c>
    </row>
    <row r="582" spans="1:9" x14ac:dyDescent="0.2">
      <c r="A582" s="997">
        <f t="shared" si="9"/>
        <v>581</v>
      </c>
      <c r="B582" s="983" t="s">
        <v>2709</v>
      </c>
      <c r="C582" s="1000"/>
      <c r="G582" s="983" t="s">
        <v>1106</v>
      </c>
    </row>
    <row r="583" spans="1:9" x14ac:dyDescent="0.2">
      <c r="A583" s="997">
        <f t="shared" si="9"/>
        <v>582</v>
      </c>
      <c r="B583" s="983" t="s">
        <v>2709</v>
      </c>
      <c r="C583" s="999"/>
      <c r="H583" s="983" t="s">
        <v>1107</v>
      </c>
    </row>
    <row r="584" spans="1:9" x14ac:dyDescent="0.2">
      <c r="A584" s="997">
        <f t="shared" si="9"/>
        <v>583</v>
      </c>
      <c r="B584" s="983" t="s">
        <v>2709</v>
      </c>
      <c r="C584" s="999"/>
      <c r="I584" s="983" t="s">
        <v>1216</v>
      </c>
    </row>
    <row r="585" spans="1:9" x14ac:dyDescent="0.2">
      <c r="A585" s="997">
        <f t="shared" si="9"/>
        <v>584</v>
      </c>
      <c r="B585" s="983" t="s">
        <v>2709</v>
      </c>
      <c r="C585" s="1000"/>
      <c r="H585" s="983" t="s">
        <v>1108</v>
      </c>
    </row>
    <row r="586" spans="1:9" x14ac:dyDescent="0.2">
      <c r="A586" s="997">
        <f t="shared" si="9"/>
        <v>585</v>
      </c>
      <c r="B586" s="983" t="s">
        <v>2709</v>
      </c>
      <c r="C586" s="1001"/>
      <c r="H586" s="983" t="str">
        <f>CONCATENATE("&lt;valeur&gt;",Cellule_196,"&lt;/valeur&gt;")</f>
        <v>&lt;valeur&gt;0&lt;/valeur&gt;</v>
      </c>
    </row>
    <row r="587" spans="1:9" x14ac:dyDescent="0.2">
      <c r="A587" s="997">
        <f t="shared" si="9"/>
        <v>586</v>
      </c>
      <c r="B587" s="983" t="s">
        <v>2709</v>
      </c>
      <c r="C587" s="1000"/>
      <c r="G587" s="983" t="s">
        <v>1109</v>
      </c>
    </row>
    <row r="588" spans="1:9" x14ac:dyDescent="0.2">
      <c r="A588" s="997">
        <f t="shared" si="9"/>
        <v>587</v>
      </c>
      <c r="B588" s="983" t="s">
        <v>2709</v>
      </c>
      <c r="C588" s="1000"/>
      <c r="G588" s="983" t="s">
        <v>1106</v>
      </c>
    </row>
    <row r="589" spans="1:9" x14ac:dyDescent="0.2">
      <c r="A589" s="997">
        <f t="shared" si="9"/>
        <v>588</v>
      </c>
      <c r="B589" s="983" t="s">
        <v>2709</v>
      </c>
      <c r="C589" s="999"/>
      <c r="H589" s="983" t="s">
        <v>1107</v>
      </c>
    </row>
    <row r="590" spans="1:9" x14ac:dyDescent="0.2">
      <c r="A590" s="997">
        <f t="shared" si="9"/>
        <v>589</v>
      </c>
      <c r="B590" s="983" t="s">
        <v>2709</v>
      </c>
      <c r="C590" s="999"/>
      <c r="I590" s="983" t="s">
        <v>1217</v>
      </c>
    </row>
    <row r="591" spans="1:9" x14ac:dyDescent="0.2">
      <c r="A591" s="997">
        <f t="shared" si="9"/>
        <v>590</v>
      </c>
      <c r="B591" s="983" t="s">
        <v>2709</v>
      </c>
      <c r="C591" s="1000"/>
      <c r="H591" s="983" t="s">
        <v>1108</v>
      </c>
    </row>
    <row r="592" spans="1:9" x14ac:dyDescent="0.2">
      <c r="A592" s="997">
        <f t="shared" si="9"/>
        <v>591</v>
      </c>
      <c r="B592" s="983" t="s">
        <v>2709</v>
      </c>
      <c r="C592" s="1001"/>
      <c r="H592" s="983" t="str">
        <f>CONCATENATE("&lt;valeur&gt;",Cellule_197,"&lt;/valeur&gt;")</f>
        <v>&lt;valeur&gt;0&lt;/valeur&gt;</v>
      </c>
    </row>
    <row r="593" spans="1:9" x14ac:dyDescent="0.2">
      <c r="A593" s="997">
        <f t="shared" si="9"/>
        <v>592</v>
      </c>
      <c r="B593" s="983" t="s">
        <v>2709</v>
      </c>
      <c r="C593" s="1000"/>
      <c r="G593" s="983" t="s">
        <v>1109</v>
      </c>
    </row>
    <row r="594" spans="1:9" x14ac:dyDescent="0.2">
      <c r="A594" s="997">
        <f t="shared" si="9"/>
        <v>593</v>
      </c>
      <c r="B594" s="983" t="s">
        <v>2709</v>
      </c>
      <c r="C594" s="1000"/>
      <c r="G594" s="983" t="s">
        <v>1106</v>
      </c>
    </row>
    <row r="595" spans="1:9" x14ac:dyDescent="0.2">
      <c r="A595" s="997">
        <f t="shared" si="9"/>
        <v>594</v>
      </c>
      <c r="B595" s="983" t="s">
        <v>2709</v>
      </c>
      <c r="C595" s="999"/>
      <c r="H595" s="983" t="s">
        <v>1107</v>
      </c>
    </row>
    <row r="596" spans="1:9" x14ac:dyDescent="0.2">
      <c r="A596" s="997">
        <f t="shared" si="9"/>
        <v>595</v>
      </c>
      <c r="B596" s="983" t="s">
        <v>2709</v>
      </c>
      <c r="C596" s="999"/>
      <c r="I596" s="983" t="s">
        <v>1218</v>
      </c>
    </row>
    <row r="597" spans="1:9" x14ac:dyDescent="0.2">
      <c r="A597" s="997">
        <f t="shared" si="9"/>
        <v>596</v>
      </c>
      <c r="B597" s="983" t="s">
        <v>2709</v>
      </c>
      <c r="C597" s="1000"/>
      <c r="H597" s="983" t="s">
        <v>1108</v>
      </c>
    </row>
    <row r="598" spans="1:9" x14ac:dyDescent="0.2">
      <c r="A598" s="997">
        <f t="shared" si="9"/>
        <v>597</v>
      </c>
      <c r="B598" s="983" t="s">
        <v>2709</v>
      </c>
      <c r="C598" s="1001"/>
      <c r="H598" s="983" t="str">
        <f>CONCATENATE("&lt;valeur&gt;",Cellule_519,"&lt;/valeur&gt;")</f>
        <v>&lt;valeur&gt;0&lt;/valeur&gt;</v>
      </c>
    </row>
    <row r="599" spans="1:9" x14ac:dyDescent="0.2">
      <c r="A599" s="997">
        <f t="shared" si="9"/>
        <v>598</v>
      </c>
      <c r="B599" s="983" t="s">
        <v>2709</v>
      </c>
      <c r="C599" s="1000"/>
      <c r="G599" s="983" t="s">
        <v>1109</v>
      </c>
    </row>
    <row r="600" spans="1:9" x14ac:dyDescent="0.2">
      <c r="A600" s="997">
        <f t="shared" si="9"/>
        <v>599</v>
      </c>
      <c r="B600" s="983" t="s">
        <v>2709</v>
      </c>
      <c r="C600" s="1000"/>
      <c r="G600" s="983" t="s">
        <v>1106</v>
      </c>
    </row>
    <row r="601" spans="1:9" x14ac:dyDescent="0.2">
      <c r="A601" s="997">
        <f t="shared" si="9"/>
        <v>600</v>
      </c>
      <c r="B601" s="983" t="s">
        <v>2709</v>
      </c>
      <c r="C601" s="999"/>
      <c r="H601" s="983" t="s">
        <v>1107</v>
      </c>
    </row>
    <row r="602" spans="1:9" x14ac:dyDescent="0.2">
      <c r="A602" s="997">
        <f t="shared" si="9"/>
        <v>601</v>
      </c>
      <c r="B602" s="983" t="s">
        <v>2709</v>
      </c>
      <c r="C602" s="999"/>
      <c r="I602" s="983" t="s">
        <v>1219</v>
      </c>
    </row>
    <row r="603" spans="1:9" x14ac:dyDescent="0.2">
      <c r="A603" s="997">
        <f t="shared" si="9"/>
        <v>602</v>
      </c>
      <c r="B603" s="983" t="s">
        <v>2709</v>
      </c>
      <c r="C603" s="1000"/>
      <c r="H603" s="983" t="s">
        <v>1108</v>
      </c>
    </row>
    <row r="604" spans="1:9" x14ac:dyDescent="0.2">
      <c r="A604" s="997">
        <f t="shared" si="9"/>
        <v>603</v>
      </c>
      <c r="B604" s="983" t="s">
        <v>2709</v>
      </c>
      <c r="C604" s="1001"/>
      <c r="H604" s="983" t="str">
        <f>CONCATENATE("&lt;valeur&gt;",Cellule_198,"&lt;/valeur&gt;")</f>
        <v>&lt;valeur&gt;0&lt;/valeur&gt;</v>
      </c>
    </row>
    <row r="605" spans="1:9" x14ac:dyDescent="0.2">
      <c r="A605" s="997">
        <f t="shared" si="9"/>
        <v>604</v>
      </c>
      <c r="B605" s="983" t="s">
        <v>2709</v>
      </c>
      <c r="C605" s="1000"/>
      <c r="G605" s="983" t="s">
        <v>1109</v>
      </c>
    </row>
    <row r="606" spans="1:9" x14ac:dyDescent="0.2">
      <c r="A606" s="997">
        <f t="shared" si="9"/>
        <v>605</v>
      </c>
      <c r="B606" s="983" t="s">
        <v>2709</v>
      </c>
      <c r="C606" s="1000"/>
      <c r="G606" s="983" t="s">
        <v>1106</v>
      </c>
    </row>
    <row r="607" spans="1:9" x14ac:dyDescent="0.2">
      <c r="A607" s="997">
        <f t="shared" si="9"/>
        <v>606</v>
      </c>
      <c r="B607" s="983" t="s">
        <v>2709</v>
      </c>
      <c r="C607" s="999"/>
      <c r="H607" s="983" t="s">
        <v>1107</v>
      </c>
    </row>
    <row r="608" spans="1:9" x14ac:dyDescent="0.2">
      <c r="A608" s="997">
        <f t="shared" si="9"/>
        <v>607</v>
      </c>
      <c r="B608" s="983" t="s">
        <v>2709</v>
      </c>
      <c r="C608" s="999"/>
      <c r="I608" s="983" t="s">
        <v>1220</v>
      </c>
    </row>
    <row r="609" spans="1:9" x14ac:dyDescent="0.2">
      <c r="A609" s="997">
        <f t="shared" si="9"/>
        <v>608</v>
      </c>
      <c r="B609" s="983" t="s">
        <v>2709</v>
      </c>
      <c r="C609" s="1000"/>
      <c r="H609" s="983" t="s">
        <v>1108</v>
      </c>
    </row>
    <row r="610" spans="1:9" x14ac:dyDescent="0.2">
      <c r="A610" s="997">
        <f t="shared" si="9"/>
        <v>609</v>
      </c>
      <c r="B610" s="983" t="s">
        <v>2709</v>
      </c>
      <c r="C610" s="1001"/>
      <c r="H610" s="983" t="str">
        <f>CONCATENATE("&lt;valeur&gt;",Cellule_199,"&lt;/valeur&gt;")</f>
        <v>&lt;valeur&gt;0&lt;/valeur&gt;</v>
      </c>
    </row>
    <row r="611" spans="1:9" x14ac:dyDescent="0.2">
      <c r="A611" s="997">
        <f t="shared" si="9"/>
        <v>610</v>
      </c>
      <c r="B611" s="983" t="s">
        <v>2709</v>
      </c>
      <c r="C611" s="1000"/>
      <c r="G611" s="983" t="s">
        <v>1109</v>
      </c>
    </row>
    <row r="612" spans="1:9" x14ac:dyDescent="0.2">
      <c r="A612" s="997">
        <f t="shared" si="9"/>
        <v>611</v>
      </c>
      <c r="B612" s="983" t="s">
        <v>2709</v>
      </c>
      <c r="C612" s="1000"/>
      <c r="G612" s="983" t="s">
        <v>1106</v>
      </c>
    </row>
    <row r="613" spans="1:9" x14ac:dyDescent="0.2">
      <c r="A613" s="997">
        <f t="shared" si="9"/>
        <v>612</v>
      </c>
      <c r="B613" s="983" t="s">
        <v>2709</v>
      </c>
      <c r="C613" s="999"/>
      <c r="H613" s="983" t="s">
        <v>1107</v>
      </c>
    </row>
    <row r="614" spans="1:9" x14ac:dyDescent="0.2">
      <c r="A614" s="997">
        <f t="shared" si="9"/>
        <v>613</v>
      </c>
      <c r="B614" s="983" t="s">
        <v>2709</v>
      </c>
      <c r="C614" s="999"/>
      <c r="I614" s="983" t="s">
        <v>1221</v>
      </c>
    </row>
    <row r="615" spans="1:9" x14ac:dyDescent="0.2">
      <c r="A615" s="997">
        <f t="shared" si="9"/>
        <v>614</v>
      </c>
      <c r="B615" s="983" t="s">
        <v>2709</v>
      </c>
      <c r="C615" s="1000"/>
      <c r="H615" s="983" t="s">
        <v>1108</v>
      </c>
    </row>
    <row r="616" spans="1:9" x14ac:dyDescent="0.2">
      <c r="A616" s="997">
        <f t="shared" si="9"/>
        <v>615</v>
      </c>
      <c r="B616" s="983" t="s">
        <v>2709</v>
      </c>
      <c r="C616" s="1001"/>
      <c r="H616" s="983" t="str">
        <f>CONCATENATE("&lt;valeur&gt;",Cellule_520,"&lt;/valeur&gt;")</f>
        <v>&lt;valeur&gt;0&lt;/valeur&gt;</v>
      </c>
    </row>
    <row r="617" spans="1:9" x14ac:dyDescent="0.2">
      <c r="A617" s="997">
        <f t="shared" si="9"/>
        <v>616</v>
      </c>
      <c r="B617" s="983" t="s">
        <v>2709</v>
      </c>
      <c r="C617" s="1000"/>
      <c r="G617" s="983" t="s">
        <v>1109</v>
      </c>
    </row>
    <row r="618" spans="1:9" x14ac:dyDescent="0.2">
      <c r="A618" s="997">
        <f t="shared" si="9"/>
        <v>617</v>
      </c>
      <c r="B618" s="983" t="s">
        <v>2709</v>
      </c>
      <c r="C618" s="1000"/>
      <c r="G618" s="983" t="s">
        <v>1106</v>
      </c>
    </row>
    <row r="619" spans="1:9" x14ac:dyDescent="0.2">
      <c r="A619" s="997">
        <f t="shared" si="9"/>
        <v>618</v>
      </c>
      <c r="B619" s="983" t="s">
        <v>2709</v>
      </c>
      <c r="C619" s="999"/>
      <c r="H619" s="983" t="s">
        <v>1107</v>
      </c>
    </row>
    <row r="620" spans="1:9" x14ac:dyDescent="0.2">
      <c r="A620" s="997">
        <f t="shared" si="9"/>
        <v>619</v>
      </c>
      <c r="B620" s="983" t="s">
        <v>2709</v>
      </c>
      <c r="C620" s="999"/>
      <c r="I620" s="983" t="s">
        <v>1222</v>
      </c>
    </row>
    <row r="621" spans="1:9" x14ac:dyDescent="0.2">
      <c r="A621" s="997">
        <f t="shared" si="9"/>
        <v>620</v>
      </c>
      <c r="B621" s="983" t="s">
        <v>2709</v>
      </c>
      <c r="C621" s="1000"/>
      <c r="H621" s="983" t="s">
        <v>1108</v>
      </c>
    </row>
    <row r="622" spans="1:9" x14ac:dyDescent="0.2">
      <c r="A622" s="997">
        <f t="shared" si="9"/>
        <v>621</v>
      </c>
      <c r="B622" s="983" t="s">
        <v>2709</v>
      </c>
      <c r="C622" s="1001"/>
      <c r="H622" s="983" t="str">
        <f>CONCATENATE("&lt;valeur&gt;",Cellule_291,"&lt;/valeur&gt;")</f>
        <v>&lt;valeur&gt;1593527,58&lt;/valeur&gt;</v>
      </c>
    </row>
    <row r="623" spans="1:9" x14ac:dyDescent="0.2">
      <c r="A623" s="997">
        <f t="shared" si="9"/>
        <v>622</v>
      </c>
      <c r="B623" s="983" t="s">
        <v>2709</v>
      </c>
      <c r="C623" s="1000"/>
      <c r="G623" s="983" t="s">
        <v>1109</v>
      </c>
    </row>
    <row r="624" spans="1:9" x14ac:dyDescent="0.2">
      <c r="A624" s="997">
        <f t="shared" si="9"/>
        <v>623</v>
      </c>
      <c r="B624" s="983" t="s">
        <v>2709</v>
      </c>
      <c r="C624" s="1000"/>
      <c r="G624" s="983" t="s">
        <v>1106</v>
      </c>
    </row>
    <row r="625" spans="1:9" x14ac:dyDescent="0.2">
      <c r="A625" s="997">
        <f t="shared" si="9"/>
        <v>624</v>
      </c>
      <c r="B625" s="983" t="s">
        <v>2709</v>
      </c>
      <c r="C625" s="999"/>
      <c r="H625" s="983" t="s">
        <v>1107</v>
      </c>
    </row>
    <row r="626" spans="1:9" x14ac:dyDescent="0.2">
      <c r="A626" s="997">
        <f t="shared" si="9"/>
        <v>625</v>
      </c>
      <c r="B626" s="983" t="s">
        <v>2709</v>
      </c>
      <c r="C626" s="999"/>
      <c r="I626" s="983" t="s">
        <v>1223</v>
      </c>
    </row>
    <row r="627" spans="1:9" x14ac:dyDescent="0.2">
      <c r="A627" s="997">
        <f t="shared" si="9"/>
        <v>626</v>
      </c>
      <c r="B627" s="983" t="s">
        <v>2709</v>
      </c>
      <c r="C627" s="1000"/>
      <c r="H627" s="983" t="s">
        <v>1108</v>
      </c>
    </row>
    <row r="628" spans="1:9" x14ac:dyDescent="0.2">
      <c r="A628" s="997">
        <f t="shared" si="9"/>
        <v>627</v>
      </c>
      <c r="B628" s="983" t="s">
        <v>2709</v>
      </c>
      <c r="C628" s="1001"/>
      <c r="H628" s="983" t="str">
        <f>CONCATENATE("&lt;valeur&gt;",Cellule_292,"&lt;/valeur&gt;")</f>
        <v>&lt;valeur&gt;173538,13&lt;/valeur&gt;</v>
      </c>
    </row>
    <row r="629" spans="1:9" x14ac:dyDescent="0.2">
      <c r="A629" s="997">
        <f t="shared" si="9"/>
        <v>628</v>
      </c>
      <c r="B629" s="983" t="s">
        <v>2709</v>
      </c>
      <c r="C629" s="1000"/>
      <c r="G629" s="983" t="s">
        <v>1109</v>
      </c>
    </row>
    <row r="630" spans="1:9" x14ac:dyDescent="0.2">
      <c r="A630" s="997">
        <f t="shared" si="9"/>
        <v>629</v>
      </c>
      <c r="B630" s="983" t="s">
        <v>2709</v>
      </c>
      <c r="C630" s="1000"/>
      <c r="G630" s="983" t="s">
        <v>1106</v>
      </c>
    </row>
    <row r="631" spans="1:9" x14ac:dyDescent="0.2">
      <c r="A631" s="997">
        <f t="shared" si="9"/>
        <v>630</v>
      </c>
      <c r="B631" s="983" t="s">
        <v>2709</v>
      </c>
      <c r="C631" s="999"/>
      <c r="H631" s="983" t="s">
        <v>1107</v>
      </c>
    </row>
    <row r="632" spans="1:9" x14ac:dyDescent="0.2">
      <c r="A632" s="997">
        <f t="shared" si="9"/>
        <v>631</v>
      </c>
      <c r="B632" s="983" t="s">
        <v>2709</v>
      </c>
      <c r="C632" s="999"/>
      <c r="I632" s="983" t="s">
        <v>1224</v>
      </c>
    </row>
    <row r="633" spans="1:9" x14ac:dyDescent="0.2">
      <c r="A633" s="997">
        <f t="shared" si="9"/>
        <v>632</v>
      </c>
      <c r="B633" s="983" t="s">
        <v>2709</v>
      </c>
      <c r="C633" s="1000"/>
      <c r="H633" s="983" t="s">
        <v>1108</v>
      </c>
    </row>
    <row r="634" spans="1:9" x14ac:dyDescent="0.2">
      <c r="A634" s="997">
        <f t="shared" si="9"/>
        <v>633</v>
      </c>
      <c r="B634" s="983" t="s">
        <v>2709</v>
      </c>
      <c r="C634" s="1001"/>
      <c r="H634" s="983" t="str">
        <f>CONCATENATE("&lt;valeur&gt;",Cellule_293,"&lt;/valeur&gt;")</f>
        <v>&lt;valeur&gt;1419989,45&lt;/valeur&gt;</v>
      </c>
    </row>
    <row r="635" spans="1:9" x14ac:dyDescent="0.2">
      <c r="A635" s="997">
        <f t="shared" si="9"/>
        <v>634</v>
      </c>
      <c r="B635" s="983" t="s">
        <v>2709</v>
      </c>
      <c r="C635" s="1000"/>
      <c r="G635" s="983" t="s">
        <v>1109</v>
      </c>
    </row>
    <row r="636" spans="1:9" x14ac:dyDescent="0.2">
      <c r="A636" s="997">
        <f t="shared" si="9"/>
        <v>635</v>
      </c>
      <c r="B636" s="983" t="s">
        <v>2709</v>
      </c>
      <c r="C636" s="1000"/>
      <c r="G636" s="983" t="s">
        <v>1106</v>
      </c>
    </row>
    <row r="637" spans="1:9" x14ac:dyDescent="0.2">
      <c r="A637" s="997">
        <f t="shared" si="9"/>
        <v>636</v>
      </c>
      <c r="B637" s="983" t="s">
        <v>2709</v>
      </c>
      <c r="C637" s="999"/>
      <c r="H637" s="983" t="s">
        <v>1107</v>
      </c>
    </row>
    <row r="638" spans="1:9" x14ac:dyDescent="0.2">
      <c r="A638" s="997">
        <f t="shared" si="9"/>
        <v>637</v>
      </c>
      <c r="B638" s="983" t="s">
        <v>2709</v>
      </c>
      <c r="C638" s="999"/>
      <c r="I638" s="983" t="s">
        <v>1225</v>
      </c>
    </row>
    <row r="639" spans="1:9" x14ac:dyDescent="0.2">
      <c r="A639" s="997">
        <f t="shared" si="9"/>
        <v>638</v>
      </c>
      <c r="B639" s="983" t="s">
        <v>2709</v>
      </c>
      <c r="C639" s="1000"/>
      <c r="H639" s="983" t="s">
        <v>1108</v>
      </c>
    </row>
    <row r="640" spans="1:9" x14ac:dyDescent="0.2">
      <c r="A640" s="997">
        <f t="shared" si="9"/>
        <v>639</v>
      </c>
      <c r="B640" s="983" t="s">
        <v>2709</v>
      </c>
      <c r="C640" s="1001"/>
      <c r="H640" s="983" t="str">
        <f>CONCATENATE("&lt;valeur&gt;",Cellule_294,"&lt;/valeur&gt;")</f>
        <v>&lt;valeur&gt;4305,63&lt;/valeur&gt;</v>
      </c>
    </row>
    <row r="641" spans="1:9" x14ac:dyDescent="0.2">
      <c r="A641" s="997">
        <f t="shared" si="9"/>
        <v>640</v>
      </c>
      <c r="B641" s="983" t="s">
        <v>2709</v>
      </c>
      <c r="C641" s="1000"/>
      <c r="G641" s="983" t="s">
        <v>1109</v>
      </c>
    </row>
    <row r="642" spans="1:9" x14ac:dyDescent="0.2">
      <c r="A642" s="997">
        <f t="shared" si="9"/>
        <v>641</v>
      </c>
      <c r="B642" s="983" t="s">
        <v>2709</v>
      </c>
      <c r="C642" s="1000"/>
      <c r="G642" s="983" t="s">
        <v>1106</v>
      </c>
    </row>
    <row r="643" spans="1:9" x14ac:dyDescent="0.2">
      <c r="A643" s="997">
        <f t="shared" si="9"/>
        <v>642</v>
      </c>
      <c r="B643" s="983" t="s">
        <v>2709</v>
      </c>
      <c r="C643" s="999"/>
      <c r="H643" s="983" t="s">
        <v>1107</v>
      </c>
    </row>
    <row r="644" spans="1:9" x14ac:dyDescent="0.2">
      <c r="A644" s="997">
        <f t="shared" ref="A644:A707" si="10">+A643+1</f>
        <v>643</v>
      </c>
      <c r="B644" s="983" t="s">
        <v>2709</v>
      </c>
      <c r="C644" s="999"/>
      <c r="I644" s="983" t="s">
        <v>1226</v>
      </c>
    </row>
    <row r="645" spans="1:9" x14ac:dyDescent="0.2">
      <c r="A645" s="997">
        <f t="shared" si="10"/>
        <v>644</v>
      </c>
      <c r="B645" s="983" t="s">
        <v>2709</v>
      </c>
      <c r="C645" s="1000"/>
      <c r="H645" s="983" t="s">
        <v>1108</v>
      </c>
    </row>
    <row r="646" spans="1:9" x14ac:dyDescent="0.2">
      <c r="A646" s="997">
        <f t="shared" si="10"/>
        <v>645</v>
      </c>
      <c r="B646" s="983" t="s">
        <v>2709</v>
      </c>
      <c r="C646" s="1001"/>
      <c r="H646" s="983" t="str">
        <f>CONCATENATE("&lt;valeur&gt;",Cellule_160,"&lt;/valeur&gt;")</f>
        <v>&lt;valeur&gt;0&lt;/valeur&gt;</v>
      </c>
    </row>
    <row r="647" spans="1:9" x14ac:dyDescent="0.2">
      <c r="A647" s="997">
        <f t="shared" si="10"/>
        <v>646</v>
      </c>
      <c r="B647" s="983" t="s">
        <v>2709</v>
      </c>
      <c r="C647" s="1000"/>
      <c r="G647" s="983" t="s">
        <v>1109</v>
      </c>
    </row>
    <row r="648" spans="1:9" x14ac:dyDescent="0.2">
      <c r="A648" s="997">
        <f t="shared" si="10"/>
        <v>647</v>
      </c>
      <c r="B648" s="983" t="s">
        <v>2709</v>
      </c>
      <c r="C648" s="1000"/>
      <c r="G648" s="983" t="s">
        <v>1106</v>
      </c>
    </row>
    <row r="649" spans="1:9" x14ac:dyDescent="0.2">
      <c r="A649" s="997">
        <f t="shared" si="10"/>
        <v>648</v>
      </c>
      <c r="B649" s="983" t="s">
        <v>2709</v>
      </c>
      <c r="C649" s="999"/>
      <c r="H649" s="983" t="s">
        <v>1107</v>
      </c>
    </row>
    <row r="650" spans="1:9" x14ac:dyDescent="0.2">
      <c r="A650" s="997">
        <f t="shared" si="10"/>
        <v>649</v>
      </c>
      <c r="B650" s="983" t="s">
        <v>2709</v>
      </c>
      <c r="C650" s="999"/>
      <c r="I650" s="983" t="s">
        <v>1227</v>
      </c>
    </row>
    <row r="651" spans="1:9" x14ac:dyDescent="0.2">
      <c r="A651" s="997">
        <f t="shared" si="10"/>
        <v>650</v>
      </c>
      <c r="B651" s="983" t="s">
        <v>2709</v>
      </c>
      <c r="C651" s="1000"/>
      <c r="H651" s="983" t="s">
        <v>1108</v>
      </c>
    </row>
    <row r="652" spans="1:9" x14ac:dyDescent="0.2">
      <c r="A652" s="997">
        <f t="shared" si="10"/>
        <v>651</v>
      </c>
      <c r="B652" s="983" t="s">
        <v>2709</v>
      </c>
      <c r="C652" s="1001"/>
      <c r="H652" s="983" t="str">
        <f>CONCATENATE("&lt;valeur&gt;",Cellule_161,"&lt;/valeur&gt;")</f>
        <v>&lt;valeur&gt;0&lt;/valeur&gt;</v>
      </c>
    </row>
    <row r="653" spans="1:9" x14ac:dyDescent="0.2">
      <c r="A653" s="997">
        <f t="shared" si="10"/>
        <v>652</v>
      </c>
      <c r="B653" s="983" t="s">
        <v>2709</v>
      </c>
      <c r="C653" s="1000"/>
      <c r="G653" s="983" t="s">
        <v>1109</v>
      </c>
    </row>
    <row r="654" spans="1:9" x14ac:dyDescent="0.2">
      <c r="A654" s="997">
        <f t="shared" si="10"/>
        <v>653</v>
      </c>
      <c r="B654" s="983" t="s">
        <v>2709</v>
      </c>
      <c r="C654" s="1000"/>
      <c r="G654" s="983" t="s">
        <v>1106</v>
      </c>
    </row>
    <row r="655" spans="1:9" x14ac:dyDescent="0.2">
      <c r="A655" s="997">
        <f t="shared" si="10"/>
        <v>654</v>
      </c>
      <c r="B655" s="983" t="s">
        <v>2709</v>
      </c>
      <c r="C655" s="999"/>
      <c r="H655" s="983" t="s">
        <v>1107</v>
      </c>
    </row>
    <row r="656" spans="1:9" x14ac:dyDescent="0.2">
      <c r="A656" s="997">
        <f t="shared" si="10"/>
        <v>655</v>
      </c>
      <c r="B656" s="983" t="s">
        <v>2709</v>
      </c>
      <c r="C656" s="999"/>
      <c r="I656" s="983" t="s">
        <v>1228</v>
      </c>
    </row>
    <row r="657" spans="1:9" x14ac:dyDescent="0.2">
      <c r="A657" s="997">
        <f t="shared" si="10"/>
        <v>656</v>
      </c>
      <c r="B657" s="983" t="s">
        <v>2709</v>
      </c>
      <c r="C657" s="1000"/>
      <c r="H657" s="983" t="s">
        <v>1108</v>
      </c>
    </row>
    <row r="658" spans="1:9" x14ac:dyDescent="0.2">
      <c r="A658" s="997">
        <f t="shared" si="10"/>
        <v>657</v>
      </c>
      <c r="B658" s="983" t="s">
        <v>2709</v>
      </c>
      <c r="C658" s="1001"/>
      <c r="H658" s="983" t="str">
        <f>CONCATENATE("&lt;valeur&gt;",Cellule_162,"&lt;/valeur&gt;")</f>
        <v>&lt;valeur&gt;0&lt;/valeur&gt;</v>
      </c>
    </row>
    <row r="659" spans="1:9" x14ac:dyDescent="0.2">
      <c r="A659" s="997">
        <f t="shared" si="10"/>
        <v>658</v>
      </c>
      <c r="B659" s="983" t="s">
        <v>2709</v>
      </c>
      <c r="C659" s="1000"/>
      <c r="G659" s="983" t="s">
        <v>1109</v>
      </c>
    </row>
    <row r="660" spans="1:9" x14ac:dyDescent="0.2">
      <c r="A660" s="997">
        <f t="shared" si="10"/>
        <v>659</v>
      </c>
      <c r="B660" s="983" t="s">
        <v>2709</v>
      </c>
      <c r="C660" s="1000"/>
      <c r="G660" s="983" t="s">
        <v>1106</v>
      </c>
    </row>
    <row r="661" spans="1:9" x14ac:dyDescent="0.2">
      <c r="A661" s="997">
        <f t="shared" si="10"/>
        <v>660</v>
      </c>
      <c r="B661" s="983" t="s">
        <v>2709</v>
      </c>
      <c r="C661" s="999"/>
      <c r="H661" s="983" t="s">
        <v>1107</v>
      </c>
    </row>
    <row r="662" spans="1:9" x14ac:dyDescent="0.2">
      <c r="A662" s="997">
        <f t="shared" si="10"/>
        <v>661</v>
      </c>
      <c r="B662" s="983" t="s">
        <v>2709</v>
      </c>
      <c r="C662" s="999"/>
      <c r="I662" s="983" t="s">
        <v>1229</v>
      </c>
    </row>
    <row r="663" spans="1:9" x14ac:dyDescent="0.2">
      <c r="A663" s="997">
        <f t="shared" si="10"/>
        <v>662</v>
      </c>
      <c r="B663" s="983" t="s">
        <v>2709</v>
      </c>
      <c r="C663" s="1000"/>
      <c r="H663" s="983" t="s">
        <v>1108</v>
      </c>
    </row>
    <row r="664" spans="1:9" x14ac:dyDescent="0.2">
      <c r="A664" s="997">
        <f t="shared" si="10"/>
        <v>663</v>
      </c>
      <c r="B664" s="983" t="s">
        <v>2709</v>
      </c>
      <c r="C664" s="1001"/>
      <c r="H664" s="983" t="str">
        <f>CONCATENATE("&lt;valeur&gt;",Cellule_163,"&lt;/valeur&gt;")</f>
        <v>&lt;valeur&gt;0&lt;/valeur&gt;</v>
      </c>
    </row>
    <row r="665" spans="1:9" x14ac:dyDescent="0.2">
      <c r="A665" s="997">
        <f t="shared" si="10"/>
        <v>664</v>
      </c>
      <c r="B665" s="983" t="s">
        <v>2709</v>
      </c>
      <c r="C665" s="1000"/>
      <c r="G665" s="983" t="s">
        <v>1109</v>
      </c>
    </row>
    <row r="666" spans="1:9" x14ac:dyDescent="0.2">
      <c r="A666" s="997">
        <f t="shared" si="10"/>
        <v>665</v>
      </c>
      <c r="B666" s="983" t="s">
        <v>2709</v>
      </c>
      <c r="C666" s="1000"/>
      <c r="G666" s="983" t="s">
        <v>1106</v>
      </c>
    </row>
    <row r="667" spans="1:9" x14ac:dyDescent="0.2">
      <c r="A667" s="997">
        <f t="shared" si="10"/>
        <v>666</v>
      </c>
      <c r="B667" s="983" t="s">
        <v>2709</v>
      </c>
      <c r="C667" s="999"/>
      <c r="H667" s="983" t="s">
        <v>1107</v>
      </c>
    </row>
    <row r="668" spans="1:9" x14ac:dyDescent="0.2">
      <c r="A668" s="997">
        <f t="shared" si="10"/>
        <v>667</v>
      </c>
      <c r="B668" s="983" t="s">
        <v>2709</v>
      </c>
      <c r="C668" s="999"/>
      <c r="I668" s="983" t="s">
        <v>1230</v>
      </c>
    </row>
    <row r="669" spans="1:9" x14ac:dyDescent="0.2">
      <c r="A669" s="997">
        <f t="shared" si="10"/>
        <v>668</v>
      </c>
      <c r="B669" s="983" t="s">
        <v>2709</v>
      </c>
      <c r="C669" s="1000"/>
      <c r="H669" s="983" t="s">
        <v>1108</v>
      </c>
    </row>
    <row r="670" spans="1:9" x14ac:dyDescent="0.2">
      <c r="A670" s="997">
        <f t="shared" si="10"/>
        <v>669</v>
      </c>
      <c r="B670" s="983" t="s">
        <v>2709</v>
      </c>
      <c r="C670" s="1001"/>
      <c r="H670" s="983" t="str">
        <f>CONCATENATE("&lt;valeur&gt;",Cellule_164,"&lt;/valeur&gt;")</f>
        <v>&lt;valeur&gt;0&lt;/valeur&gt;</v>
      </c>
    </row>
    <row r="671" spans="1:9" x14ac:dyDescent="0.2">
      <c r="A671" s="997">
        <f t="shared" si="10"/>
        <v>670</v>
      </c>
      <c r="B671" s="983" t="s">
        <v>2709</v>
      </c>
      <c r="C671" s="1000"/>
      <c r="G671" s="983" t="s">
        <v>1109</v>
      </c>
    </row>
    <row r="672" spans="1:9" x14ac:dyDescent="0.2">
      <c r="A672" s="997">
        <f t="shared" si="10"/>
        <v>671</v>
      </c>
      <c r="B672" s="983" t="s">
        <v>2709</v>
      </c>
      <c r="C672" s="1000"/>
      <c r="G672" s="983" t="s">
        <v>1106</v>
      </c>
    </row>
    <row r="673" spans="1:9" x14ac:dyDescent="0.2">
      <c r="A673" s="997">
        <f t="shared" si="10"/>
        <v>672</v>
      </c>
      <c r="B673" s="983" t="s">
        <v>2709</v>
      </c>
      <c r="C673" s="999"/>
      <c r="H673" s="983" t="s">
        <v>1107</v>
      </c>
    </row>
    <row r="674" spans="1:9" x14ac:dyDescent="0.2">
      <c r="A674" s="997">
        <f t="shared" si="10"/>
        <v>673</v>
      </c>
      <c r="B674" s="983" t="s">
        <v>2709</v>
      </c>
      <c r="C674" s="999"/>
      <c r="I674" s="983" t="s">
        <v>1231</v>
      </c>
    </row>
    <row r="675" spans="1:9" x14ac:dyDescent="0.2">
      <c r="A675" s="997">
        <f t="shared" si="10"/>
        <v>674</v>
      </c>
      <c r="B675" s="983" t="s">
        <v>2709</v>
      </c>
      <c r="C675" s="1000"/>
      <c r="H675" s="983" t="s">
        <v>1108</v>
      </c>
    </row>
    <row r="676" spans="1:9" x14ac:dyDescent="0.2">
      <c r="A676" s="997">
        <f t="shared" si="10"/>
        <v>675</v>
      </c>
      <c r="B676" s="983" t="s">
        <v>2709</v>
      </c>
      <c r="C676" s="1001"/>
      <c r="H676" s="983" t="str">
        <f>CONCATENATE("&lt;valeur&gt;",Cellule_522,"&lt;/valeur&gt;")</f>
        <v>&lt;valeur&gt;0&lt;/valeur&gt;</v>
      </c>
    </row>
    <row r="677" spans="1:9" x14ac:dyDescent="0.2">
      <c r="A677" s="997">
        <f t="shared" si="10"/>
        <v>676</v>
      </c>
      <c r="B677" s="983" t="s">
        <v>2709</v>
      </c>
      <c r="C677" s="1000"/>
      <c r="G677" s="983" t="s">
        <v>1109</v>
      </c>
    </row>
    <row r="678" spans="1:9" x14ac:dyDescent="0.2">
      <c r="A678" s="997">
        <f t="shared" si="10"/>
        <v>677</v>
      </c>
      <c r="B678" s="983" t="s">
        <v>2709</v>
      </c>
      <c r="C678" s="1000"/>
      <c r="G678" s="983" t="s">
        <v>1106</v>
      </c>
    </row>
    <row r="679" spans="1:9" x14ac:dyDescent="0.2">
      <c r="A679" s="997">
        <f t="shared" si="10"/>
        <v>678</v>
      </c>
      <c r="B679" s="983" t="s">
        <v>2709</v>
      </c>
      <c r="C679" s="999"/>
      <c r="H679" s="983" t="s">
        <v>1107</v>
      </c>
    </row>
    <row r="680" spans="1:9" x14ac:dyDescent="0.2">
      <c r="A680" s="997">
        <f t="shared" si="10"/>
        <v>679</v>
      </c>
      <c r="B680" s="983" t="s">
        <v>2709</v>
      </c>
      <c r="C680" s="999"/>
      <c r="I680" s="983" t="s">
        <v>1232</v>
      </c>
    </row>
    <row r="681" spans="1:9" x14ac:dyDescent="0.2">
      <c r="A681" s="997">
        <f t="shared" si="10"/>
        <v>680</v>
      </c>
      <c r="B681" s="983" t="s">
        <v>2709</v>
      </c>
      <c r="C681" s="1000"/>
      <c r="H681" s="983" t="s">
        <v>1108</v>
      </c>
    </row>
    <row r="682" spans="1:9" x14ac:dyDescent="0.2">
      <c r="A682" s="997">
        <f t="shared" si="10"/>
        <v>681</v>
      </c>
      <c r="B682" s="983" t="s">
        <v>2709</v>
      </c>
      <c r="C682" s="1001"/>
      <c r="H682" s="983" t="str">
        <f>CONCATENATE("&lt;valeur&gt;",Cellule_165,"&lt;/valeur&gt;")</f>
        <v>&lt;valeur&gt;0&lt;/valeur&gt;</v>
      </c>
    </row>
    <row r="683" spans="1:9" x14ac:dyDescent="0.2">
      <c r="A683" s="997">
        <f t="shared" si="10"/>
        <v>682</v>
      </c>
      <c r="B683" s="983" t="s">
        <v>2709</v>
      </c>
      <c r="C683" s="1000"/>
      <c r="G683" s="983" t="s">
        <v>1109</v>
      </c>
    </row>
    <row r="684" spans="1:9" x14ac:dyDescent="0.2">
      <c r="A684" s="997">
        <f t="shared" si="10"/>
        <v>683</v>
      </c>
      <c r="B684" s="983" t="s">
        <v>2709</v>
      </c>
      <c r="C684" s="1000"/>
      <c r="G684" s="983" t="s">
        <v>1106</v>
      </c>
    </row>
    <row r="685" spans="1:9" x14ac:dyDescent="0.2">
      <c r="A685" s="997">
        <f t="shared" si="10"/>
        <v>684</v>
      </c>
      <c r="B685" s="983" t="s">
        <v>2709</v>
      </c>
      <c r="C685" s="999"/>
      <c r="H685" s="983" t="s">
        <v>1107</v>
      </c>
    </row>
    <row r="686" spans="1:9" x14ac:dyDescent="0.2">
      <c r="A686" s="997">
        <f t="shared" si="10"/>
        <v>685</v>
      </c>
      <c r="B686" s="983" t="s">
        <v>2709</v>
      </c>
      <c r="C686" s="999"/>
      <c r="I686" s="983" t="s">
        <v>1233</v>
      </c>
    </row>
    <row r="687" spans="1:9" x14ac:dyDescent="0.2">
      <c r="A687" s="997">
        <f t="shared" si="10"/>
        <v>686</v>
      </c>
      <c r="B687" s="983" t="s">
        <v>2709</v>
      </c>
      <c r="C687" s="1000"/>
      <c r="H687" s="983" t="s">
        <v>1108</v>
      </c>
    </row>
    <row r="688" spans="1:9" x14ac:dyDescent="0.2">
      <c r="A688" s="997">
        <f t="shared" si="10"/>
        <v>687</v>
      </c>
      <c r="B688" s="983" t="s">
        <v>2709</v>
      </c>
      <c r="C688" s="1001"/>
      <c r="H688" s="983" t="str">
        <f>CONCATENATE("&lt;valeur&gt;",Cellule_166,"&lt;/valeur&gt;")</f>
        <v>&lt;valeur&gt;0&lt;/valeur&gt;</v>
      </c>
    </row>
    <row r="689" spans="1:9" x14ac:dyDescent="0.2">
      <c r="A689" s="997">
        <f t="shared" si="10"/>
        <v>688</v>
      </c>
      <c r="B689" s="983" t="s">
        <v>2709</v>
      </c>
      <c r="C689" s="1000"/>
      <c r="G689" s="983" t="s">
        <v>1109</v>
      </c>
    </row>
    <row r="690" spans="1:9" x14ac:dyDescent="0.2">
      <c r="A690" s="997">
        <f t="shared" si="10"/>
        <v>689</v>
      </c>
      <c r="B690" s="983" t="s">
        <v>2709</v>
      </c>
      <c r="C690" s="1000"/>
      <c r="G690" s="983" t="s">
        <v>1106</v>
      </c>
    </row>
    <row r="691" spans="1:9" x14ac:dyDescent="0.2">
      <c r="A691" s="997">
        <f t="shared" si="10"/>
        <v>690</v>
      </c>
      <c r="B691" s="983" t="s">
        <v>2709</v>
      </c>
      <c r="C691" s="999"/>
      <c r="H691" s="983" t="s">
        <v>1107</v>
      </c>
    </row>
    <row r="692" spans="1:9" x14ac:dyDescent="0.2">
      <c r="A692" s="997">
        <f t="shared" si="10"/>
        <v>691</v>
      </c>
      <c r="B692" s="983" t="s">
        <v>2709</v>
      </c>
      <c r="C692" s="999"/>
      <c r="I692" s="983" t="s">
        <v>1234</v>
      </c>
    </row>
    <row r="693" spans="1:9" x14ac:dyDescent="0.2">
      <c r="A693" s="997">
        <f t="shared" si="10"/>
        <v>692</v>
      </c>
      <c r="B693" s="983" t="s">
        <v>2709</v>
      </c>
      <c r="C693" s="1000"/>
      <c r="H693" s="983" t="s">
        <v>1108</v>
      </c>
    </row>
    <row r="694" spans="1:9" x14ac:dyDescent="0.2">
      <c r="A694" s="997">
        <f t="shared" si="10"/>
        <v>693</v>
      </c>
      <c r="B694" s="983" t="s">
        <v>2709</v>
      </c>
      <c r="C694" s="1001"/>
      <c r="H694" s="983" t="str">
        <f>CONCATENATE("&lt;valeur&gt;",Cellule_167,"&lt;/valeur&gt;")</f>
        <v>&lt;valeur&gt;0&lt;/valeur&gt;</v>
      </c>
    </row>
    <row r="695" spans="1:9" x14ac:dyDescent="0.2">
      <c r="A695" s="997">
        <f t="shared" si="10"/>
        <v>694</v>
      </c>
      <c r="B695" s="983" t="s">
        <v>2709</v>
      </c>
      <c r="C695" s="1000"/>
      <c r="G695" s="983" t="s">
        <v>1109</v>
      </c>
    </row>
    <row r="696" spans="1:9" x14ac:dyDescent="0.2">
      <c r="A696" s="997">
        <f t="shared" si="10"/>
        <v>695</v>
      </c>
      <c r="B696" s="983" t="s">
        <v>2709</v>
      </c>
      <c r="C696" s="1000"/>
      <c r="G696" s="983" t="s">
        <v>1106</v>
      </c>
    </row>
    <row r="697" spans="1:9" x14ac:dyDescent="0.2">
      <c r="A697" s="997">
        <f t="shared" si="10"/>
        <v>696</v>
      </c>
      <c r="B697" s="983" t="s">
        <v>2709</v>
      </c>
      <c r="C697" s="999"/>
      <c r="H697" s="983" t="s">
        <v>1107</v>
      </c>
    </row>
    <row r="698" spans="1:9" x14ac:dyDescent="0.2">
      <c r="A698" s="997">
        <f t="shared" si="10"/>
        <v>697</v>
      </c>
      <c r="B698" s="983" t="s">
        <v>2709</v>
      </c>
      <c r="C698" s="999"/>
      <c r="I698" s="983" t="s">
        <v>1235</v>
      </c>
    </row>
    <row r="699" spans="1:9" x14ac:dyDescent="0.2">
      <c r="A699" s="997">
        <f t="shared" si="10"/>
        <v>698</v>
      </c>
      <c r="B699" s="983" t="s">
        <v>2709</v>
      </c>
      <c r="C699" s="1000"/>
      <c r="H699" s="983" t="s">
        <v>1108</v>
      </c>
    </row>
    <row r="700" spans="1:9" x14ac:dyDescent="0.2">
      <c r="A700" s="997">
        <f t="shared" si="10"/>
        <v>699</v>
      </c>
      <c r="B700" s="983" t="s">
        <v>2709</v>
      </c>
      <c r="C700" s="1001"/>
      <c r="H700" s="983" t="str">
        <f>CONCATENATE("&lt;valeur&gt;",Cellule_168,"&lt;/valeur&gt;")</f>
        <v>&lt;valeur&gt;0&lt;/valeur&gt;</v>
      </c>
    </row>
    <row r="701" spans="1:9" x14ac:dyDescent="0.2">
      <c r="A701" s="997">
        <f t="shared" si="10"/>
        <v>700</v>
      </c>
      <c r="B701" s="983" t="s">
        <v>2709</v>
      </c>
      <c r="C701" s="1000"/>
      <c r="G701" s="983" t="s">
        <v>1109</v>
      </c>
    </row>
    <row r="702" spans="1:9" x14ac:dyDescent="0.2">
      <c r="A702" s="997">
        <f t="shared" si="10"/>
        <v>701</v>
      </c>
      <c r="B702" s="983" t="s">
        <v>2709</v>
      </c>
      <c r="C702" s="1000"/>
      <c r="G702" s="983" t="s">
        <v>1106</v>
      </c>
    </row>
    <row r="703" spans="1:9" x14ac:dyDescent="0.2">
      <c r="A703" s="997">
        <f t="shared" si="10"/>
        <v>702</v>
      </c>
      <c r="B703" s="983" t="s">
        <v>2709</v>
      </c>
      <c r="C703" s="999"/>
      <c r="H703" s="983" t="s">
        <v>1107</v>
      </c>
    </row>
    <row r="704" spans="1:9" x14ac:dyDescent="0.2">
      <c r="A704" s="997">
        <f t="shared" si="10"/>
        <v>703</v>
      </c>
      <c r="B704" s="983" t="s">
        <v>2709</v>
      </c>
      <c r="C704" s="999"/>
      <c r="I704" s="983" t="s">
        <v>1236</v>
      </c>
    </row>
    <row r="705" spans="1:9" x14ac:dyDescent="0.2">
      <c r="A705" s="997">
        <f t="shared" si="10"/>
        <v>704</v>
      </c>
      <c r="B705" s="983" t="s">
        <v>2709</v>
      </c>
      <c r="C705" s="1000"/>
      <c r="H705" s="983" t="s">
        <v>1108</v>
      </c>
    </row>
    <row r="706" spans="1:9" x14ac:dyDescent="0.2">
      <c r="A706" s="997">
        <f t="shared" si="10"/>
        <v>705</v>
      </c>
      <c r="B706" s="983" t="s">
        <v>2709</v>
      </c>
      <c r="C706" s="1001"/>
      <c r="H706" s="983" t="str">
        <f>CONCATENATE("&lt;valeur&gt;",Cellule_169,"&lt;/valeur&gt;")</f>
        <v>&lt;valeur&gt;0&lt;/valeur&gt;</v>
      </c>
    </row>
    <row r="707" spans="1:9" x14ac:dyDescent="0.2">
      <c r="A707" s="997">
        <f t="shared" si="10"/>
        <v>706</v>
      </c>
      <c r="B707" s="983" t="s">
        <v>2709</v>
      </c>
      <c r="C707" s="1000"/>
      <c r="G707" s="983" t="s">
        <v>1109</v>
      </c>
    </row>
    <row r="708" spans="1:9" x14ac:dyDescent="0.2">
      <c r="A708" s="997">
        <f t="shared" ref="A708:A771" si="11">+A707+1</f>
        <v>707</v>
      </c>
      <c r="B708" s="983" t="s">
        <v>2709</v>
      </c>
      <c r="C708" s="1000"/>
      <c r="G708" s="983" t="s">
        <v>1106</v>
      </c>
    </row>
    <row r="709" spans="1:9" x14ac:dyDescent="0.2">
      <c r="A709" s="997">
        <f t="shared" si="11"/>
        <v>708</v>
      </c>
      <c r="B709" s="983" t="s">
        <v>2709</v>
      </c>
      <c r="C709" s="999"/>
      <c r="H709" s="983" t="s">
        <v>1107</v>
      </c>
    </row>
    <row r="710" spans="1:9" x14ac:dyDescent="0.2">
      <c r="A710" s="997">
        <f t="shared" si="11"/>
        <v>709</v>
      </c>
      <c r="B710" s="983" t="s">
        <v>2709</v>
      </c>
      <c r="C710" s="999"/>
      <c r="I710" s="983" t="s">
        <v>1237</v>
      </c>
    </row>
    <row r="711" spans="1:9" x14ac:dyDescent="0.2">
      <c r="A711" s="997">
        <f t="shared" si="11"/>
        <v>710</v>
      </c>
      <c r="B711" s="983" t="s">
        <v>2709</v>
      </c>
      <c r="C711" s="1000"/>
      <c r="H711" s="983" t="s">
        <v>1108</v>
      </c>
    </row>
    <row r="712" spans="1:9" x14ac:dyDescent="0.2">
      <c r="A712" s="997">
        <f t="shared" si="11"/>
        <v>711</v>
      </c>
      <c r="B712" s="983" t="s">
        <v>2709</v>
      </c>
      <c r="C712" s="1001"/>
      <c r="H712" s="983" t="str">
        <f>CONCATENATE("&lt;valeur&gt;",Cellule_523,"&lt;/valeur&gt;")</f>
        <v>&lt;valeur&gt;0&lt;/valeur&gt;</v>
      </c>
    </row>
    <row r="713" spans="1:9" x14ac:dyDescent="0.2">
      <c r="A713" s="997">
        <f t="shared" si="11"/>
        <v>712</v>
      </c>
      <c r="B713" s="983" t="s">
        <v>2709</v>
      </c>
      <c r="C713" s="1000"/>
      <c r="G713" s="983" t="s">
        <v>1109</v>
      </c>
    </row>
    <row r="714" spans="1:9" x14ac:dyDescent="0.2">
      <c r="A714" s="997">
        <f t="shared" si="11"/>
        <v>713</v>
      </c>
      <c r="B714" s="983" t="s">
        <v>2709</v>
      </c>
      <c r="C714" s="1000"/>
      <c r="G714" s="983" t="s">
        <v>1106</v>
      </c>
    </row>
    <row r="715" spans="1:9" x14ac:dyDescent="0.2">
      <c r="A715" s="997">
        <f t="shared" si="11"/>
        <v>714</v>
      </c>
      <c r="B715" s="983" t="s">
        <v>2709</v>
      </c>
      <c r="C715" s="999"/>
      <c r="H715" s="983" t="s">
        <v>1107</v>
      </c>
    </row>
    <row r="716" spans="1:9" x14ac:dyDescent="0.2">
      <c r="A716" s="997">
        <f t="shared" si="11"/>
        <v>715</v>
      </c>
      <c r="B716" s="983" t="s">
        <v>2709</v>
      </c>
      <c r="C716" s="999"/>
      <c r="I716" s="983" t="s">
        <v>1238</v>
      </c>
    </row>
    <row r="717" spans="1:9" x14ac:dyDescent="0.2">
      <c r="A717" s="997">
        <f t="shared" si="11"/>
        <v>716</v>
      </c>
      <c r="B717" s="983" t="s">
        <v>2709</v>
      </c>
      <c r="C717" s="1000"/>
      <c r="H717" s="983" t="s">
        <v>1108</v>
      </c>
    </row>
    <row r="718" spans="1:9" x14ac:dyDescent="0.2">
      <c r="A718" s="997">
        <f t="shared" si="11"/>
        <v>717</v>
      </c>
      <c r="B718" s="983" t="s">
        <v>2709</v>
      </c>
      <c r="C718" s="1001"/>
      <c r="H718" s="983" t="str">
        <f>CONCATENATE("&lt;valeur&gt;",Cellule_170,"&lt;/valeur&gt;")</f>
        <v>&lt;valeur&gt;0&lt;/valeur&gt;</v>
      </c>
    </row>
    <row r="719" spans="1:9" x14ac:dyDescent="0.2">
      <c r="A719" s="997">
        <f t="shared" si="11"/>
        <v>718</v>
      </c>
      <c r="B719" s="983" t="s">
        <v>2709</v>
      </c>
      <c r="C719" s="1000"/>
      <c r="G719" s="983" t="s">
        <v>1109</v>
      </c>
    </row>
    <row r="720" spans="1:9" x14ac:dyDescent="0.2">
      <c r="A720" s="997">
        <f t="shared" si="11"/>
        <v>719</v>
      </c>
      <c r="B720" s="983" t="s">
        <v>2709</v>
      </c>
      <c r="C720" s="1000"/>
      <c r="G720" s="983" t="s">
        <v>1106</v>
      </c>
    </row>
    <row r="721" spans="1:9" x14ac:dyDescent="0.2">
      <c r="A721" s="997">
        <f t="shared" si="11"/>
        <v>720</v>
      </c>
      <c r="B721" s="983" t="s">
        <v>2709</v>
      </c>
      <c r="C721" s="999"/>
      <c r="H721" s="983" t="s">
        <v>1107</v>
      </c>
    </row>
    <row r="722" spans="1:9" x14ac:dyDescent="0.2">
      <c r="A722" s="997">
        <f t="shared" si="11"/>
        <v>721</v>
      </c>
      <c r="B722" s="983" t="s">
        <v>2709</v>
      </c>
      <c r="C722" s="999"/>
      <c r="I722" s="983" t="s">
        <v>1239</v>
      </c>
    </row>
    <row r="723" spans="1:9" x14ac:dyDescent="0.2">
      <c r="A723" s="997">
        <f t="shared" si="11"/>
        <v>722</v>
      </c>
      <c r="B723" s="983" t="s">
        <v>2709</v>
      </c>
      <c r="C723" s="1000"/>
      <c r="H723" s="983" t="s">
        <v>1108</v>
      </c>
    </row>
    <row r="724" spans="1:9" x14ac:dyDescent="0.2">
      <c r="A724" s="997">
        <f t="shared" si="11"/>
        <v>723</v>
      </c>
      <c r="B724" s="983" t="s">
        <v>2709</v>
      </c>
      <c r="C724" s="1001"/>
      <c r="H724" s="983" t="str">
        <f>CONCATENATE("&lt;valeur&gt;",Cellule_171,"&lt;/valeur&gt;")</f>
        <v>&lt;valeur&gt;0&lt;/valeur&gt;</v>
      </c>
    </row>
    <row r="725" spans="1:9" x14ac:dyDescent="0.2">
      <c r="A725" s="997">
        <f t="shared" si="11"/>
        <v>724</v>
      </c>
      <c r="B725" s="983" t="s">
        <v>2709</v>
      </c>
      <c r="C725" s="1000"/>
      <c r="G725" s="983" t="s">
        <v>1109</v>
      </c>
    </row>
    <row r="726" spans="1:9" x14ac:dyDescent="0.2">
      <c r="A726" s="997">
        <f t="shared" si="11"/>
        <v>725</v>
      </c>
      <c r="B726" s="983" t="s">
        <v>2709</v>
      </c>
      <c r="C726" s="1000"/>
      <c r="G726" s="983" t="s">
        <v>1106</v>
      </c>
    </row>
    <row r="727" spans="1:9" x14ac:dyDescent="0.2">
      <c r="A727" s="997">
        <f t="shared" si="11"/>
        <v>726</v>
      </c>
      <c r="B727" s="983" t="s">
        <v>2709</v>
      </c>
      <c r="C727" s="999"/>
      <c r="H727" s="983" t="s">
        <v>1107</v>
      </c>
    </row>
    <row r="728" spans="1:9" x14ac:dyDescent="0.2">
      <c r="A728" s="997">
        <f t="shared" si="11"/>
        <v>727</v>
      </c>
      <c r="B728" s="983" t="s">
        <v>2709</v>
      </c>
      <c r="C728" s="999"/>
      <c r="I728" s="983" t="s">
        <v>1240</v>
      </c>
    </row>
    <row r="729" spans="1:9" x14ac:dyDescent="0.2">
      <c r="A729" s="997">
        <f t="shared" si="11"/>
        <v>728</v>
      </c>
      <c r="B729" s="983" t="s">
        <v>2709</v>
      </c>
      <c r="C729" s="1000"/>
      <c r="H729" s="983" t="s">
        <v>1108</v>
      </c>
    </row>
    <row r="730" spans="1:9" x14ac:dyDescent="0.2">
      <c r="A730" s="997">
        <f t="shared" si="11"/>
        <v>729</v>
      </c>
      <c r="B730" s="983" t="s">
        <v>2709</v>
      </c>
      <c r="C730" s="1001"/>
      <c r="H730" s="983" t="str">
        <f>CONCATENATE("&lt;valeur&gt;",Cellule_172,"&lt;/valeur&gt;")</f>
        <v>&lt;valeur&gt;0&lt;/valeur&gt;</v>
      </c>
    </row>
    <row r="731" spans="1:9" x14ac:dyDescent="0.2">
      <c r="A731" s="997">
        <f t="shared" si="11"/>
        <v>730</v>
      </c>
      <c r="B731" s="983" t="s">
        <v>2709</v>
      </c>
      <c r="C731" s="1000"/>
      <c r="G731" s="983" t="s">
        <v>1109</v>
      </c>
    </row>
    <row r="732" spans="1:9" x14ac:dyDescent="0.2">
      <c r="A732" s="997">
        <f t="shared" si="11"/>
        <v>731</v>
      </c>
      <c r="B732" s="983" t="s">
        <v>2709</v>
      </c>
      <c r="C732" s="1000"/>
      <c r="G732" s="983" t="s">
        <v>1106</v>
      </c>
    </row>
    <row r="733" spans="1:9" x14ac:dyDescent="0.2">
      <c r="A733" s="997">
        <f t="shared" si="11"/>
        <v>732</v>
      </c>
      <c r="B733" s="983" t="s">
        <v>2709</v>
      </c>
      <c r="C733" s="999"/>
      <c r="H733" s="983" t="s">
        <v>1107</v>
      </c>
    </row>
    <row r="734" spans="1:9" x14ac:dyDescent="0.2">
      <c r="A734" s="997">
        <f t="shared" si="11"/>
        <v>733</v>
      </c>
      <c r="B734" s="983" t="s">
        <v>2709</v>
      </c>
      <c r="C734" s="999"/>
      <c r="I734" s="983" t="s">
        <v>1241</v>
      </c>
    </row>
    <row r="735" spans="1:9" x14ac:dyDescent="0.2">
      <c r="A735" s="997">
        <f t="shared" si="11"/>
        <v>734</v>
      </c>
      <c r="B735" s="983" t="s">
        <v>2709</v>
      </c>
      <c r="C735" s="1000"/>
      <c r="H735" s="983" t="s">
        <v>1108</v>
      </c>
    </row>
    <row r="736" spans="1:9" x14ac:dyDescent="0.2">
      <c r="A736" s="997">
        <f t="shared" si="11"/>
        <v>735</v>
      </c>
      <c r="B736" s="983" t="s">
        <v>2709</v>
      </c>
      <c r="C736" s="1001"/>
      <c r="H736" s="983" t="str">
        <f>CONCATENATE("&lt;valeur&gt;",Cellule_173,"&lt;/valeur&gt;")</f>
        <v>&lt;valeur&gt;0&lt;/valeur&gt;</v>
      </c>
    </row>
    <row r="737" spans="1:9" x14ac:dyDescent="0.2">
      <c r="A737" s="997">
        <f t="shared" si="11"/>
        <v>736</v>
      </c>
      <c r="B737" s="983" t="s">
        <v>2709</v>
      </c>
      <c r="C737" s="1000"/>
      <c r="G737" s="983" t="s">
        <v>1109</v>
      </c>
    </row>
    <row r="738" spans="1:9" x14ac:dyDescent="0.2">
      <c r="A738" s="997">
        <f t="shared" si="11"/>
        <v>737</v>
      </c>
      <c r="B738" s="983" t="s">
        <v>2709</v>
      </c>
      <c r="C738" s="1000"/>
      <c r="G738" s="983" t="s">
        <v>1106</v>
      </c>
    </row>
    <row r="739" spans="1:9" x14ac:dyDescent="0.2">
      <c r="A739" s="997">
        <f t="shared" si="11"/>
        <v>738</v>
      </c>
      <c r="B739" s="983" t="s">
        <v>2709</v>
      </c>
      <c r="C739" s="999"/>
      <c r="H739" s="983" t="s">
        <v>1107</v>
      </c>
    </row>
    <row r="740" spans="1:9" x14ac:dyDescent="0.2">
      <c r="A740" s="997">
        <f t="shared" si="11"/>
        <v>739</v>
      </c>
      <c r="B740" s="983" t="s">
        <v>2709</v>
      </c>
      <c r="C740" s="999"/>
      <c r="I740" s="983" t="s">
        <v>1242</v>
      </c>
    </row>
    <row r="741" spans="1:9" x14ac:dyDescent="0.2">
      <c r="A741" s="997">
        <f t="shared" si="11"/>
        <v>740</v>
      </c>
      <c r="B741" s="983" t="s">
        <v>2709</v>
      </c>
      <c r="C741" s="1000"/>
      <c r="H741" s="983" t="s">
        <v>1108</v>
      </c>
    </row>
    <row r="742" spans="1:9" x14ac:dyDescent="0.2">
      <c r="A742" s="997">
        <f t="shared" si="11"/>
        <v>741</v>
      </c>
      <c r="B742" s="983" t="s">
        <v>2709</v>
      </c>
      <c r="C742" s="1001"/>
      <c r="H742" s="983" t="str">
        <f>CONCATENATE("&lt;valeur&gt;",Cellule_174,"&lt;/valeur&gt;")</f>
        <v>&lt;valeur&gt;0&lt;/valeur&gt;</v>
      </c>
    </row>
    <row r="743" spans="1:9" x14ac:dyDescent="0.2">
      <c r="A743" s="997">
        <f t="shared" si="11"/>
        <v>742</v>
      </c>
      <c r="B743" s="983" t="s">
        <v>2709</v>
      </c>
      <c r="C743" s="1000"/>
      <c r="G743" s="983" t="s">
        <v>1109</v>
      </c>
    </row>
    <row r="744" spans="1:9" x14ac:dyDescent="0.2">
      <c r="A744" s="997">
        <f t="shared" si="11"/>
        <v>743</v>
      </c>
      <c r="B744" s="983" t="s">
        <v>2709</v>
      </c>
      <c r="C744" s="1000"/>
      <c r="G744" s="983" t="s">
        <v>1106</v>
      </c>
    </row>
    <row r="745" spans="1:9" x14ac:dyDescent="0.2">
      <c r="A745" s="997">
        <f t="shared" si="11"/>
        <v>744</v>
      </c>
      <c r="B745" s="983" t="s">
        <v>2709</v>
      </c>
      <c r="C745" s="999"/>
      <c r="H745" s="983" t="s">
        <v>1107</v>
      </c>
    </row>
    <row r="746" spans="1:9" x14ac:dyDescent="0.2">
      <c r="A746" s="997">
        <f t="shared" si="11"/>
        <v>745</v>
      </c>
      <c r="B746" s="983" t="s">
        <v>2709</v>
      </c>
      <c r="C746" s="999"/>
      <c r="I746" s="983" t="s">
        <v>1243</v>
      </c>
    </row>
    <row r="747" spans="1:9" x14ac:dyDescent="0.2">
      <c r="A747" s="997">
        <f t="shared" si="11"/>
        <v>746</v>
      </c>
      <c r="B747" s="983" t="s">
        <v>2709</v>
      </c>
      <c r="C747" s="1000"/>
      <c r="H747" s="983" t="s">
        <v>1108</v>
      </c>
    </row>
    <row r="748" spans="1:9" x14ac:dyDescent="0.2">
      <c r="A748" s="997">
        <f t="shared" si="11"/>
        <v>747</v>
      </c>
      <c r="B748" s="983" t="s">
        <v>2709</v>
      </c>
      <c r="C748" s="1001"/>
      <c r="H748" s="983" t="str">
        <f>CONCATENATE("&lt;valeur&gt;",Cellule_524,"&lt;/valeur&gt;")</f>
        <v>&lt;valeur&gt;0&lt;/valeur&gt;</v>
      </c>
    </row>
    <row r="749" spans="1:9" x14ac:dyDescent="0.2">
      <c r="A749" s="997">
        <f t="shared" si="11"/>
        <v>748</v>
      </c>
      <c r="B749" s="983" t="s">
        <v>2709</v>
      </c>
      <c r="C749" s="1000"/>
      <c r="G749" s="983" t="s">
        <v>1109</v>
      </c>
    </row>
    <row r="750" spans="1:9" x14ac:dyDescent="0.2">
      <c r="A750" s="997">
        <f t="shared" si="11"/>
        <v>749</v>
      </c>
      <c r="B750" s="983" t="s">
        <v>2709</v>
      </c>
      <c r="C750" s="1000"/>
      <c r="G750" s="983" t="s">
        <v>1106</v>
      </c>
    </row>
    <row r="751" spans="1:9" x14ac:dyDescent="0.2">
      <c r="A751" s="997">
        <f t="shared" si="11"/>
        <v>750</v>
      </c>
      <c r="B751" s="983" t="s">
        <v>2709</v>
      </c>
      <c r="C751" s="999"/>
      <c r="H751" s="983" t="s">
        <v>1107</v>
      </c>
    </row>
    <row r="752" spans="1:9" x14ac:dyDescent="0.2">
      <c r="A752" s="997">
        <f t="shared" si="11"/>
        <v>751</v>
      </c>
      <c r="B752" s="983" t="s">
        <v>2709</v>
      </c>
      <c r="C752" s="999"/>
      <c r="I752" s="983" t="s">
        <v>1244</v>
      </c>
    </row>
    <row r="753" spans="1:9" x14ac:dyDescent="0.2">
      <c r="A753" s="997">
        <f t="shared" si="11"/>
        <v>752</v>
      </c>
      <c r="B753" s="983" t="s">
        <v>2709</v>
      </c>
      <c r="C753" s="1000"/>
      <c r="H753" s="983" t="s">
        <v>1108</v>
      </c>
    </row>
    <row r="754" spans="1:9" x14ac:dyDescent="0.2">
      <c r="A754" s="997">
        <f t="shared" si="11"/>
        <v>753</v>
      </c>
      <c r="B754" s="983" t="s">
        <v>2709</v>
      </c>
      <c r="C754" s="1001"/>
      <c r="H754" s="983" t="str">
        <f>CONCATENATE("&lt;valeur&gt;",Cellule_175,"&lt;/valeur&gt;")</f>
        <v>&lt;valeur&gt;0&lt;/valeur&gt;</v>
      </c>
    </row>
    <row r="755" spans="1:9" x14ac:dyDescent="0.2">
      <c r="A755" s="997">
        <f t="shared" si="11"/>
        <v>754</v>
      </c>
      <c r="B755" s="983" t="s">
        <v>2709</v>
      </c>
      <c r="C755" s="1000"/>
      <c r="G755" s="983" t="s">
        <v>1109</v>
      </c>
    </row>
    <row r="756" spans="1:9" x14ac:dyDescent="0.2">
      <c r="A756" s="997">
        <f t="shared" si="11"/>
        <v>755</v>
      </c>
      <c r="B756" s="983" t="s">
        <v>2709</v>
      </c>
      <c r="C756" s="1000"/>
      <c r="G756" s="983" t="s">
        <v>1106</v>
      </c>
    </row>
    <row r="757" spans="1:9" x14ac:dyDescent="0.2">
      <c r="A757" s="997">
        <f t="shared" si="11"/>
        <v>756</v>
      </c>
      <c r="B757" s="983" t="s">
        <v>2709</v>
      </c>
      <c r="C757" s="999"/>
      <c r="H757" s="983" t="s">
        <v>1107</v>
      </c>
    </row>
    <row r="758" spans="1:9" x14ac:dyDescent="0.2">
      <c r="A758" s="997">
        <f t="shared" si="11"/>
        <v>757</v>
      </c>
      <c r="B758" s="983" t="s">
        <v>2709</v>
      </c>
      <c r="C758" s="999"/>
      <c r="I758" s="983" t="s">
        <v>1245</v>
      </c>
    </row>
    <row r="759" spans="1:9" x14ac:dyDescent="0.2">
      <c r="A759" s="997">
        <f t="shared" si="11"/>
        <v>758</v>
      </c>
      <c r="B759" s="983" t="s">
        <v>2709</v>
      </c>
      <c r="C759" s="1000"/>
      <c r="H759" s="983" t="s">
        <v>1108</v>
      </c>
    </row>
    <row r="760" spans="1:9" x14ac:dyDescent="0.2">
      <c r="A760" s="997">
        <f t="shared" si="11"/>
        <v>759</v>
      </c>
      <c r="B760" s="983" t="s">
        <v>2709</v>
      </c>
      <c r="C760" s="1001"/>
      <c r="H760" s="983" t="str">
        <f>CONCATENATE("&lt;valeur&gt;",Cellule_176,"&lt;/valeur&gt;")</f>
        <v>&lt;valeur&gt;0&lt;/valeur&gt;</v>
      </c>
    </row>
    <row r="761" spans="1:9" x14ac:dyDescent="0.2">
      <c r="A761" s="997">
        <f t="shared" si="11"/>
        <v>760</v>
      </c>
      <c r="B761" s="983" t="s">
        <v>2709</v>
      </c>
      <c r="C761" s="1000"/>
      <c r="G761" s="983" t="s">
        <v>1109</v>
      </c>
    </row>
    <row r="762" spans="1:9" x14ac:dyDescent="0.2">
      <c r="A762" s="997">
        <f t="shared" si="11"/>
        <v>761</v>
      </c>
      <c r="B762" s="983" t="s">
        <v>2709</v>
      </c>
      <c r="C762" s="1000"/>
      <c r="G762" s="983" t="s">
        <v>1106</v>
      </c>
    </row>
    <row r="763" spans="1:9" x14ac:dyDescent="0.2">
      <c r="A763" s="997">
        <f t="shared" si="11"/>
        <v>762</v>
      </c>
      <c r="B763" s="983" t="s">
        <v>2709</v>
      </c>
      <c r="C763" s="999"/>
      <c r="H763" s="983" t="s">
        <v>1107</v>
      </c>
    </row>
    <row r="764" spans="1:9" x14ac:dyDescent="0.2">
      <c r="A764" s="997">
        <f t="shared" si="11"/>
        <v>763</v>
      </c>
      <c r="B764" s="983" t="s">
        <v>2709</v>
      </c>
      <c r="C764" s="999"/>
      <c r="I764" s="983" t="s">
        <v>1246</v>
      </c>
    </row>
    <row r="765" spans="1:9" x14ac:dyDescent="0.2">
      <c r="A765" s="997">
        <f t="shared" si="11"/>
        <v>764</v>
      </c>
      <c r="B765" s="983" t="s">
        <v>2709</v>
      </c>
      <c r="C765" s="1000"/>
      <c r="H765" s="983" t="s">
        <v>1108</v>
      </c>
    </row>
    <row r="766" spans="1:9" x14ac:dyDescent="0.2">
      <c r="A766" s="997">
        <f t="shared" si="11"/>
        <v>765</v>
      </c>
      <c r="B766" s="983" t="s">
        <v>2709</v>
      </c>
      <c r="C766" s="1001"/>
      <c r="H766" s="983" t="str">
        <f>CONCATENATE("&lt;valeur&gt;",Cellule_177,"&lt;/valeur&gt;")</f>
        <v>&lt;valeur&gt;0&lt;/valeur&gt;</v>
      </c>
    </row>
    <row r="767" spans="1:9" x14ac:dyDescent="0.2">
      <c r="A767" s="997">
        <f t="shared" si="11"/>
        <v>766</v>
      </c>
      <c r="B767" s="983" t="s">
        <v>2709</v>
      </c>
      <c r="C767" s="1000"/>
      <c r="G767" s="983" t="s">
        <v>1109</v>
      </c>
    </row>
    <row r="768" spans="1:9" x14ac:dyDescent="0.2">
      <c r="A768" s="997">
        <f t="shared" si="11"/>
        <v>767</v>
      </c>
      <c r="B768" s="983" t="s">
        <v>2709</v>
      </c>
      <c r="C768" s="1000"/>
      <c r="G768" s="983" t="s">
        <v>1106</v>
      </c>
    </row>
    <row r="769" spans="1:9" x14ac:dyDescent="0.2">
      <c r="A769" s="997">
        <f t="shared" si="11"/>
        <v>768</v>
      </c>
      <c r="B769" s="983" t="s">
        <v>2709</v>
      </c>
      <c r="C769" s="999"/>
      <c r="H769" s="983" t="s">
        <v>1107</v>
      </c>
    </row>
    <row r="770" spans="1:9" x14ac:dyDescent="0.2">
      <c r="A770" s="997">
        <f t="shared" si="11"/>
        <v>769</v>
      </c>
      <c r="B770" s="983" t="s">
        <v>2709</v>
      </c>
      <c r="C770" s="999"/>
      <c r="I770" s="983" t="s">
        <v>1247</v>
      </c>
    </row>
    <row r="771" spans="1:9" x14ac:dyDescent="0.2">
      <c r="A771" s="997">
        <f t="shared" si="11"/>
        <v>770</v>
      </c>
      <c r="B771" s="983" t="s">
        <v>2709</v>
      </c>
      <c r="C771" s="1000"/>
      <c r="H771" s="983" t="s">
        <v>1108</v>
      </c>
    </row>
    <row r="772" spans="1:9" x14ac:dyDescent="0.2">
      <c r="A772" s="997">
        <f t="shared" ref="A772:A835" si="12">+A771+1</f>
        <v>771</v>
      </c>
      <c r="B772" s="983" t="s">
        <v>2709</v>
      </c>
      <c r="C772" s="1001"/>
      <c r="H772" s="983" t="str">
        <f>CONCATENATE("&lt;valeur&gt;",Cellule_178,"&lt;/valeur&gt;")</f>
        <v>&lt;valeur&gt;0&lt;/valeur&gt;</v>
      </c>
    </row>
    <row r="773" spans="1:9" x14ac:dyDescent="0.2">
      <c r="A773" s="997">
        <f t="shared" si="12"/>
        <v>772</v>
      </c>
      <c r="B773" s="983" t="s">
        <v>2709</v>
      </c>
      <c r="C773" s="1000"/>
      <c r="G773" s="983" t="s">
        <v>1109</v>
      </c>
    </row>
    <row r="774" spans="1:9" x14ac:dyDescent="0.2">
      <c r="A774" s="997">
        <f t="shared" si="12"/>
        <v>773</v>
      </c>
      <c r="B774" s="983" t="s">
        <v>2709</v>
      </c>
      <c r="C774" s="1000"/>
      <c r="G774" s="983" t="s">
        <v>1106</v>
      </c>
    </row>
    <row r="775" spans="1:9" x14ac:dyDescent="0.2">
      <c r="A775" s="997">
        <f t="shared" si="12"/>
        <v>774</v>
      </c>
      <c r="B775" s="983" t="s">
        <v>2709</v>
      </c>
      <c r="C775" s="999"/>
      <c r="H775" s="983" t="s">
        <v>1107</v>
      </c>
    </row>
    <row r="776" spans="1:9" x14ac:dyDescent="0.2">
      <c r="A776" s="997">
        <f t="shared" si="12"/>
        <v>775</v>
      </c>
      <c r="B776" s="983" t="s">
        <v>2709</v>
      </c>
      <c r="C776" s="999"/>
      <c r="I776" s="983" t="s">
        <v>1248</v>
      </c>
    </row>
    <row r="777" spans="1:9" x14ac:dyDescent="0.2">
      <c r="A777" s="997">
        <f t="shared" si="12"/>
        <v>776</v>
      </c>
      <c r="B777" s="983" t="s">
        <v>2709</v>
      </c>
      <c r="C777" s="1000"/>
      <c r="H777" s="983" t="s">
        <v>1108</v>
      </c>
    </row>
    <row r="778" spans="1:9" x14ac:dyDescent="0.2">
      <c r="A778" s="997">
        <f t="shared" si="12"/>
        <v>777</v>
      </c>
      <c r="B778" s="983" t="s">
        <v>2709</v>
      </c>
      <c r="C778" s="1001"/>
      <c r="H778" s="983" t="str">
        <f>CONCATENATE("&lt;valeur&gt;",Cellule_179,"&lt;/valeur&gt;")</f>
        <v>&lt;valeur&gt;0&lt;/valeur&gt;</v>
      </c>
    </row>
    <row r="779" spans="1:9" x14ac:dyDescent="0.2">
      <c r="A779" s="997">
        <f t="shared" si="12"/>
        <v>778</v>
      </c>
      <c r="B779" s="983" t="s">
        <v>2709</v>
      </c>
      <c r="C779" s="1000"/>
      <c r="G779" s="983" t="s">
        <v>1109</v>
      </c>
    </row>
    <row r="780" spans="1:9" x14ac:dyDescent="0.2">
      <c r="A780" s="997">
        <f t="shared" si="12"/>
        <v>779</v>
      </c>
      <c r="B780" s="983" t="s">
        <v>2709</v>
      </c>
      <c r="C780" s="1000"/>
      <c r="G780" s="983" t="s">
        <v>1106</v>
      </c>
    </row>
    <row r="781" spans="1:9" x14ac:dyDescent="0.2">
      <c r="A781" s="997">
        <f t="shared" si="12"/>
        <v>780</v>
      </c>
      <c r="B781" s="983" t="s">
        <v>2709</v>
      </c>
      <c r="C781" s="999"/>
      <c r="H781" s="983" t="s">
        <v>1107</v>
      </c>
    </row>
    <row r="782" spans="1:9" x14ac:dyDescent="0.2">
      <c r="A782" s="997">
        <f t="shared" si="12"/>
        <v>781</v>
      </c>
      <c r="B782" s="983" t="s">
        <v>2709</v>
      </c>
      <c r="C782" s="999"/>
      <c r="I782" s="983" t="s">
        <v>1249</v>
      </c>
    </row>
    <row r="783" spans="1:9" x14ac:dyDescent="0.2">
      <c r="A783" s="997">
        <f t="shared" si="12"/>
        <v>782</v>
      </c>
      <c r="B783" s="983" t="s">
        <v>2709</v>
      </c>
      <c r="C783" s="1000"/>
      <c r="H783" s="983" t="s">
        <v>1108</v>
      </c>
    </row>
    <row r="784" spans="1:9" x14ac:dyDescent="0.2">
      <c r="A784" s="997">
        <f t="shared" si="12"/>
        <v>783</v>
      </c>
      <c r="B784" s="983" t="s">
        <v>2709</v>
      </c>
      <c r="C784" s="1001"/>
      <c r="H784" s="983" t="str">
        <f>CONCATENATE("&lt;valeur&gt;",Cellule_525,"&lt;/valeur&gt;")</f>
        <v>&lt;valeur&gt;0&lt;/valeur&gt;</v>
      </c>
    </row>
    <row r="785" spans="1:9" x14ac:dyDescent="0.2">
      <c r="A785" s="997">
        <f t="shared" si="12"/>
        <v>784</v>
      </c>
      <c r="B785" s="983" t="s">
        <v>2709</v>
      </c>
      <c r="C785" s="1000"/>
      <c r="G785" s="983" t="s">
        <v>1109</v>
      </c>
    </row>
    <row r="786" spans="1:9" x14ac:dyDescent="0.2">
      <c r="A786" s="997">
        <f t="shared" si="12"/>
        <v>785</v>
      </c>
      <c r="B786" s="983" t="s">
        <v>2709</v>
      </c>
      <c r="C786" s="1000"/>
      <c r="G786" s="983" t="s">
        <v>1106</v>
      </c>
    </row>
    <row r="787" spans="1:9" x14ac:dyDescent="0.2">
      <c r="A787" s="997">
        <f t="shared" si="12"/>
        <v>786</v>
      </c>
      <c r="B787" s="983" t="s">
        <v>2709</v>
      </c>
      <c r="C787" s="999"/>
      <c r="H787" s="983" t="s">
        <v>1107</v>
      </c>
    </row>
    <row r="788" spans="1:9" x14ac:dyDescent="0.2">
      <c r="A788" s="997">
        <f t="shared" si="12"/>
        <v>787</v>
      </c>
      <c r="B788" s="983" t="s">
        <v>2709</v>
      </c>
      <c r="C788" s="999"/>
      <c r="I788" s="983" t="s">
        <v>1250</v>
      </c>
    </row>
    <row r="789" spans="1:9" x14ac:dyDescent="0.2">
      <c r="A789" s="997">
        <f t="shared" si="12"/>
        <v>788</v>
      </c>
      <c r="B789" s="983" t="s">
        <v>2709</v>
      </c>
      <c r="C789" s="1000"/>
      <c r="H789" s="983" t="s">
        <v>1108</v>
      </c>
    </row>
    <row r="790" spans="1:9" x14ac:dyDescent="0.2">
      <c r="A790" s="997">
        <f t="shared" si="12"/>
        <v>789</v>
      </c>
      <c r="B790" s="983" t="s">
        <v>2709</v>
      </c>
      <c r="C790" s="1001"/>
      <c r="H790" s="983" t="str">
        <f>CONCATENATE("&lt;valeur&gt;",Cellule_122,"&lt;/valeur&gt;")</f>
        <v>&lt;valeur&gt;0&lt;/valeur&gt;</v>
      </c>
    </row>
    <row r="791" spans="1:9" x14ac:dyDescent="0.2">
      <c r="A791" s="997">
        <f t="shared" si="12"/>
        <v>790</v>
      </c>
      <c r="B791" s="983" t="s">
        <v>2709</v>
      </c>
      <c r="C791" s="1000"/>
      <c r="G791" s="983" t="s">
        <v>1109</v>
      </c>
    </row>
    <row r="792" spans="1:9" x14ac:dyDescent="0.2">
      <c r="A792" s="997">
        <f t="shared" si="12"/>
        <v>791</v>
      </c>
      <c r="B792" s="983" t="s">
        <v>2709</v>
      </c>
      <c r="C792" s="1000"/>
      <c r="G792" s="983" t="s">
        <v>1106</v>
      </c>
    </row>
    <row r="793" spans="1:9" x14ac:dyDescent="0.2">
      <c r="A793" s="997">
        <f t="shared" si="12"/>
        <v>792</v>
      </c>
      <c r="B793" s="983" t="s">
        <v>2709</v>
      </c>
      <c r="C793" s="999"/>
      <c r="H793" s="983" t="s">
        <v>1107</v>
      </c>
    </row>
    <row r="794" spans="1:9" x14ac:dyDescent="0.2">
      <c r="A794" s="997">
        <f t="shared" si="12"/>
        <v>793</v>
      </c>
      <c r="B794" s="983" t="s">
        <v>2709</v>
      </c>
      <c r="C794" s="999"/>
      <c r="I794" s="983" t="s">
        <v>1251</v>
      </c>
    </row>
    <row r="795" spans="1:9" x14ac:dyDescent="0.2">
      <c r="A795" s="997">
        <f t="shared" si="12"/>
        <v>794</v>
      </c>
      <c r="B795" s="983" t="s">
        <v>2709</v>
      </c>
      <c r="C795" s="1000"/>
      <c r="H795" s="983" t="s">
        <v>1108</v>
      </c>
    </row>
    <row r="796" spans="1:9" x14ac:dyDescent="0.2">
      <c r="A796" s="997">
        <f t="shared" si="12"/>
        <v>795</v>
      </c>
      <c r="B796" s="983" t="s">
        <v>2709</v>
      </c>
      <c r="C796" s="1001"/>
      <c r="H796" s="983" t="str">
        <f>CONCATENATE("&lt;valeur&gt;",Cellule_123,"&lt;/valeur&gt;")</f>
        <v>&lt;valeur&gt;288000&lt;/valeur&gt;</v>
      </c>
    </row>
    <row r="797" spans="1:9" x14ac:dyDescent="0.2">
      <c r="A797" s="997">
        <f t="shared" si="12"/>
        <v>796</v>
      </c>
      <c r="B797" s="983" t="s">
        <v>2709</v>
      </c>
      <c r="C797" s="1000"/>
      <c r="G797" s="983" t="s">
        <v>1109</v>
      </c>
    </row>
    <row r="798" spans="1:9" x14ac:dyDescent="0.2">
      <c r="A798" s="997">
        <f t="shared" si="12"/>
        <v>797</v>
      </c>
      <c r="B798" s="983" t="s">
        <v>2709</v>
      </c>
      <c r="C798" s="1000"/>
      <c r="G798" s="983" t="s">
        <v>1106</v>
      </c>
    </row>
    <row r="799" spans="1:9" x14ac:dyDescent="0.2">
      <c r="A799" s="997">
        <f t="shared" si="12"/>
        <v>798</v>
      </c>
      <c r="B799" s="983" t="s">
        <v>2709</v>
      </c>
      <c r="C799" s="999"/>
      <c r="H799" s="983" t="s">
        <v>1107</v>
      </c>
    </row>
    <row r="800" spans="1:9" x14ac:dyDescent="0.2">
      <c r="A800" s="997">
        <f t="shared" si="12"/>
        <v>799</v>
      </c>
      <c r="B800" s="983" t="s">
        <v>2709</v>
      </c>
      <c r="C800" s="999"/>
      <c r="I800" s="983" t="s">
        <v>1252</v>
      </c>
    </row>
    <row r="801" spans="1:9" x14ac:dyDescent="0.2">
      <c r="A801" s="997">
        <f t="shared" si="12"/>
        <v>800</v>
      </c>
      <c r="B801" s="983" t="s">
        <v>2709</v>
      </c>
      <c r="C801" s="1000"/>
      <c r="H801" s="983" t="s">
        <v>1108</v>
      </c>
    </row>
    <row r="802" spans="1:9" x14ac:dyDescent="0.2">
      <c r="A802" s="997">
        <f t="shared" si="12"/>
        <v>801</v>
      </c>
      <c r="B802" s="983" t="s">
        <v>2709</v>
      </c>
      <c r="C802" s="1001"/>
      <c r="H802" s="983" t="str">
        <f>CONCATENATE("&lt;valeur&gt;",Cellule_124,"&lt;/valeur&gt;")</f>
        <v>&lt;valeur&gt;0&lt;/valeur&gt;</v>
      </c>
    </row>
    <row r="803" spans="1:9" x14ac:dyDescent="0.2">
      <c r="A803" s="997">
        <f t="shared" si="12"/>
        <v>802</v>
      </c>
      <c r="B803" s="983" t="s">
        <v>2709</v>
      </c>
      <c r="C803" s="1000"/>
      <c r="G803" s="983" t="s">
        <v>1109</v>
      </c>
    </row>
    <row r="804" spans="1:9" x14ac:dyDescent="0.2">
      <c r="A804" s="997">
        <f t="shared" si="12"/>
        <v>803</v>
      </c>
      <c r="B804" s="983" t="s">
        <v>2709</v>
      </c>
      <c r="C804" s="1000"/>
      <c r="G804" s="983" t="s">
        <v>1106</v>
      </c>
    </row>
    <row r="805" spans="1:9" x14ac:dyDescent="0.2">
      <c r="A805" s="997">
        <f t="shared" si="12"/>
        <v>804</v>
      </c>
      <c r="B805" s="983" t="s">
        <v>2709</v>
      </c>
      <c r="C805" s="999"/>
      <c r="H805" s="983" t="s">
        <v>1107</v>
      </c>
    </row>
    <row r="806" spans="1:9" x14ac:dyDescent="0.2">
      <c r="A806" s="997">
        <f t="shared" si="12"/>
        <v>805</v>
      </c>
      <c r="B806" s="983" t="s">
        <v>2709</v>
      </c>
      <c r="C806" s="999"/>
      <c r="I806" s="983" t="s">
        <v>1253</v>
      </c>
    </row>
    <row r="807" spans="1:9" x14ac:dyDescent="0.2">
      <c r="A807" s="997">
        <f t="shared" si="12"/>
        <v>806</v>
      </c>
      <c r="B807" s="983" t="s">
        <v>2709</v>
      </c>
      <c r="C807" s="1000"/>
      <c r="H807" s="983" t="s">
        <v>1108</v>
      </c>
    </row>
    <row r="808" spans="1:9" x14ac:dyDescent="0.2">
      <c r="A808" s="997">
        <f t="shared" si="12"/>
        <v>807</v>
      </c>
      <c r="B808" s="983" t="s">
        <v>2709</v>
      </c>
      <c r="C808" s="1001"/>
      <c r="H808" s="983" t="str">
        <f>CONCATENATE("&lt;valeur&gt;",Cellule_125,"&lt;/valeur&gt;")</f>
        <v>&lt;valeur&gt;20800,72&lt;/valeur&gt;</v>
      </c>
    </row>
    <row r="809" spans="1:9" x14ac:dyDescent="0.2">
      <c r="A809" s="997">
        <f t="shared" si="12"/>
        <v>808</v>
      </c>
      <c r="B809" s="983" t="s">
        <v>2709</v>
      </c>
      <c r="C809" s="1000"/>
      <c r="G809" s="983" t="s">
        <v>1109</v>
      </c>
    </row>
    <row r="810" spans="1:9" x14ac:dyDescent="0.2">
      <c r="A810" s="997">
        <f t="shared" si="12"/>
        <v>809</v>
      </c>
      <c r="B810" s="983" t="s">
        <v>2709</v>
      </c>
      <c r="C810" s="1000"/>
      <c r="G810" s="983" t="s">
        <v>1106</v>
      </c>
    </row>
    <row r="811" spans="1:9" x14ac:dyDescent="0.2">
      <c r="A811" s="997">
        <f t="shared" si="12"/>
        <v>810</v>
      </c>
      <c r="B811" s="983" t="s">
        <v>2709</v>
      </c>
      <c r="C811" s="999"/>
      <c r="H811" s="983" t="s">
        <v>1107</v>
      </c>
    </row>
    <row r="812" spans="1:9" x14ac:dyDescent="0.2">
      <c r="A812" s="997">
        <f t="shared" si="12"/>
        <v>811</v>
      </c>
      <c r="B812" s="983" t="s">
        <v>2709</v>
      </c>
      <c r="C812" s="999"/>
      <c r="I812" s="983" t="s">
        <v>1254</v>
      </c>
    </row>
    <row r="813" spans="1:9" x14ac:dyDescent="0.2">
      <c r="A813" s="997">
        <f t="shared" si="12"/>
        <v>812</v>
      </c>
      <c r="B813" s="983" t="s">
        <v>2709</v>
      </c>
      <c r="C813" s="1000"/>
      <c r="H813" s="983" t="s">
        <v>1108</v>
      </c>
    </row>
    <row r="814" spans="1:9" x14ac:dyDescent="0.2">
      <c r="A814" s="997">
        <f t="shared" si="12"/>
        <v>813</v>
      </c>
      <c r="B814" s="983" t="s">
        <v>2709</v>
      </c>
      <c r="C814" s="1001"/>
      <c r="H814" s="983" t="str">
        <f>CONCATENATE("&lt;valeur&gt;",Cellule_169,"&lt;/valeur&gt;")</f>
        <v>&lt;valeur&gt;0&lt;/valeur&gt;</v>
      </c>
    </row>
    <row r="815" spans="1:9" x14ac:dyDescent="0.2">
      <c r="A815" s="997">
        <f t="shared" si="12"/>
        <v>814</v>
      </c>
      <c r="B815" s="983" t="s">
        <v>2709</v>
      </c>
      <c r="C815" s="1000"/>
      <c r="G815" s="983" t="s">
        <v>1109</v>
      </c>
    </row>
    <row r="816" spans="1:9" x14ac:dyDescent="0.2">
      <c r="A816" s="997">
        <f t="shared" si="12"/>
        <v>815</v>
      </c>
      <c r="B816" s="983" t="s">
        <v>2709</v>
      </c>
      <c r="C816" s="1000"/>
      <c r="G816" s="983" t="s">
        <v>1106</v>
      </c>
    </row>
    <row r="817" spans="1:9" x14ac:dyDescent="0.2">
      <c r="A817" s="997">
        <f t="shared" si="12"/>
        <v>816</v>
      </c>
      <c r="B817" s="983" t="s">
        <v>2709</v>
      </c>
      <c r="C817" s="999"/>
      <c r="H817" s="983" t="s">
        <v>1107</v>
      </c>
    </row>
    <row r="818" spans="1:9" x14ac:dyDescent="0.2">
      <c r="A818" s="997">
        <f t="shared" si="12"/>
        <v>817</v>
      </c>
      <c r="B818" s="983" t="s">
        <v>2709</v>
      </c>
      <c r="C818" s="999"/>
      <c r="I818" s="983" t="s">
        <v>1255</v>
      </c>
    </row>
    <row r="819" spans="1:9" x14ac:dyDescent="0.2">
      <c r="A819" s="997">
        <f t="shared" si="12"/>
        <v>818</v>
      </c>
      <c r="B819" s="983" t="s">
        <v>2709</v>
      </c>
      <c r="C819" s="1000"/>
      <c r="H819" s="983" t="s">
        <v>1108</v>
      </c>
    </row>
    <row r="820" spans="1:9" x14ac:dyDescent="0.2">
      <c r="A820" s="997">
        <f t="shared" si="12"/>
        <v>819</v>
      </c>
      <c r="B820" s="983" t="s">
        <v>2709</v>
      </c>
      <c r="C820" s="1001"/>
      <c r="H820" s="983" t="str">
        <f>CONCATENATE("&lt;valeur&gt;",Cellule_127,"&lt;/valeur&gt;")</f>
        <v>&lt;valeur&gt;0&lt;/valeur&gt;</v>
      </c>
    </row>
    <row r="821" spans="1:9" x14ac:dyDescent="0.2">
      <c r="A821" s="997">
        <f t="shared" si="12"/>
        <v>820</v>
      </c>
      <c r="B821" s="983" t="s">
        <v>2709</v>
      </c>
      <c r="C821" s="1000"/>
      <c r="G821" s="983" t="s">
        <v>1109</v>
      </c>
    </row>
    <row r="822" spans="1:9" x14ac:dyDescent="0.2">
      <c r="A822" s="997">
        <f t="shared" si="12"/>
        <v>821</v>
      </c>
      <c r="B822" s="983" t="s">
        <v>2709</v>
      </c>
      <c r="C822" s="1000"/>
      <c r="G822" s="983" t="s">
        <v>1106</v>
      </c>
    </row>
    <row r="823" spans="1:9" x14ac:dyDescent="0.2">
      <c r="A823" s="997">
        <f t="shared" si="12"/>
        <v>822</v>
      </c>
      <c r="B823" s="983" t="s">
        <v>2709</v>
      </c>
      <c r="C823" s="999"/>
      <c r="H823" s="983" t="s">
        <v>1107</v>
      </c>
    </row>
    <row r="824" spans="1:9" x14ac:dyDescent="0.2">
      <c r="A824" s="997">
        <f t="shared" si="12"/>
        <v>823</v>
      </c>
      <c r="B824" s="983" t="s">
        <v>2709</v>
      </c>
      <c r="C824" s="999"/>
      <c r="I824" s="983" t="s">
        <v>1256</v>
      </c>
    </row>
    <row r="825" spans="1:9" x14ac:dyDescent="0.2">
      <c r="A825" s="997">
        <f t="shared" si="12"/>
        <v>824</v>
      </c>
      <c r="B825" s="983" t="s">
        <v>2709</v>
      </c>
      <c r="C825" s="1000"/>
      <c r="H825" s="983" t="s">
        <v>1108</v>
      </c>
    </row>
    <row r="826" spans="1:9" x14ac:dyDescent="0.2">
      <c r="A826" s="997">
        <f t="shared" si="12"/>
        <v>825</v>
      </c>
      <c r="B826" s="983" t="s">
        <v>2709</v>
      </c>
      <c r="C826" s="1001"/>
      <c r="H826" s="983" t="str">
        <f>CONCATENATE("&lt;valeur&gt;",Cellule_128,"&lt;/valeur&gt;")</f>
        <v>&lt;valeur&gt;0&lt;/valeur&gt;</v>
      </c>
    </row>
    <row r="827" spans="1:9" x14ac:dyDescent="0.2">
      <c r="A827" s="997">
        <f t="shared" si="12"/>
        <v>826</v>
      </c>
      <c r="B827" s="983" t="s">
        <v>2709</v>
      </c>
      <c r="C827" s="1000"/>
      <c r="G827" s="983" t="s">
        <v>1109</v>
      </c>
    </row>
    <row r="828" spans="1:9" x14ac:dyDescent="0.2">
      <c r="A828" s="997">
        <f t="shared" si="12"/>
        <v>827</v>
      </c>
      <c r="B828" s="983" t="s">
        <v>2709</v>
      </c>
      <c r="C828" s="1000"/>
      <c r="G828" s="983" t="s">
        <v>1106</v>
      </c>
    </row>
    <row r="829" spans="1:9" x14ac:dyDescent="0.2">
      <c r="A829" s="997">
        <f t="shared" si="12"/>
        <v>828</v>
      </c>
      <c r="B829" s="983" t="s">
        <v>2709</v>
      </c>
      <c r="C829" s="999"/>
      <c r="H829" s="983" t="s">
        <v>1107</v>
      </c>
    </row>
    <row r="830" spans="1:9" x14ac:dyDescent="0.2">
      <c r="A830" s="997">
        <f t="shared" si="12"/>
        <v>829</v>
      </c>
      <c r="B830" s="983" t="s">
        <v>2709</v>
      </c>
      <c r="C830" s="999"/>
      <c r="I830" s="983" t="s">
        <v>1257</v>
      </c>
    </row>
    <row r="831" spans="1:9" x14ac:dyDescent="0.2">
      <c r="A831" s="997">
        <f t="shared" si="12"/>
        <v>830</v>
      </c>
      <c r="B831" s="983" t="s">
        <v>2709</v>
      </c>
      <c r="C831" s="1000"/>
      <c r="H831" s="983" t="s">
        <v>1108</v>
      </c>
    </row>
    <row r="832" spans="1:9" x14ac:dyDescent="0.2">
      <c r="A832" s="997">
        <f t="shared" si="12"/>
        <v>831</v>
      </c>
      <c r="B832" s="983" t="s">
        <v>2709</v>
      </c>
      <c r="C832" s="1001"/>
      <c r="H832" s="983" t="str">
        <f>CONCATENATE("&lt;valeur&gt;",Cellule_527,"&lt;/valeur&gt;")</f>
        <v>&lt;valeur&gt;308800,72&lt;/valeur&gt;</v>
      </c>
    </row>
    <row r="833" spans="1:9" x14ac:dyDescent="0.2">
      <c r="A833" s="997">
        <f t="shared" si="12"/>
        <v>832</v>
      </c>
      <c r="B833" s="983" t="s">
        <v>2709</v>
      </c>
      <c r="C833" s="1000"/>
      <c r="G833" s="983" t="s">
        <v>1109</v>
      </c>
    </row>
    <row r="834" spans="1:9" x14ac:dyDescent="0.2">
      <c r="A834" s="997">
        <f t="shared" si="12"/>
        <v>833</v>
      </c>
      <c r="B834" s="983" t="s">
        <v>2709</v>
      </c>
      <c r="C834" s="1000"/>
      <c r="G834" s="983" t="s">
        <v>1106</v>
      </c>
    </row>
    <row r="835" spans="1:9" x14ac:dyDescent="0.2">
      <c r="A835" s="997">
        <f t="shared" si="12"/>
        <v>834</v>
      </c>
      <c r="B835" s="983" t="s">
        <v>2709</v>
      </c>
      <c r="C835" s="999"/>
      <c r="H835" s="983" t="s">
        <v>1107</v>
      </c>
    </row>
    <row r="836" spans="1:9" x14ac:dyDescent="0.2">
      <c r="A836" s="997">
        <f t="shared" ref="A836:A899" si="13">+A835+1</f>
        <v>835</v>
      </c>
      <c r="B836" s="983" t="s">
        <v>2709</v>
      </c>
      <c r="C836" s="999"/>
      <c r="I836" s="983" t="s">
        <v>1258</v>
      </c>
    </row>
    <row r="837" spans="1:9" x14ac:dyDescent="0.2">
      <c r="A837" s="997">
        <f t="shared" si="13"/>
        <v>836</v>
      </c>
      <c r="B837" s="983" t="s">
        <v>2709</v>
      </c>
      <c r="C837" s="1000"/>
      <c r="H837" s="983" t="s">
        <v>1108</v>
      </c>
    </row>
    <row r="838" spans="1:9" x14ac:dyDescent="0.2">
      <c r="A838" s="997">
        <f t="shared" si="13"/>
        <v>837</v>
      </c>
      <c r="B838" s="983" t="s">
        <v>2709</v>
      </c>
      <c r="C838" s="1001"/>
      <c r="H838" s="983" t="str">
        <f>CONCATENATE("&lt;valeur&gt;",Cellule_129,"&lt;/valeur&gt;")</f>
        <v>&lt;valeur&gt;0&lt;/valeur&gt;</v>
      </c>
    </row>
    <row r="839" spans="1:9" x14ac:dyDescent="0.2">
      <c r="A839" s="997">
        <f t="shared" si="13"/>
        <v>838</v>
      </c>
      <c r="B839" s="983" t="s">
        <v>2709</v>
      </c>
      <c r="C839" s="1000"/>
      <c r="G839" s="983" t="s">
        <v>1109</v>
      </c>
    </row>
    <row r="840" spans="1:9" x14ac:dyDescent="0.2">
      <c r="A840" s="997">
        <f t="shared" si="13"/>
        <v>839</v>
      </c>
      <c r="B840" s="983" t="s">
        <v>2709</v>
      </c>
      <c r="C840" s="1000"/>
      <c r="G840" s="983" t="s">
        <v>1106</v>
      </c>
    </row>
    <row r="841" spans="1:9" x14ac:dyDescent="0.2">
      <c r="A841" s="997">
        <f t="shared" si="13"/>
        <v>840</v>
      </c>
      <c r="B841" s="983" t="s">
        <v>2709</v>
      </c>
      <c r="C841" s="999"/>
      <c r="H841" s="983" t="s">
        <v>1107</v>
      </c>
    </row>
    <row r="842" spans="1:9" x14ac:dyDescent="0.2">
      <c r="A842" s="997">
        <f t="shared" si="13"/>
        <v>841</v>
      </c>
      <c r="B842" s="983" t="s">
        <v>2709</v>
      </c>
      <c r="C842" s="999"/>
      <c r="I842" s="983" t="s">
        <v>1259</v>
      </c>
    </row>
    <row r="843" spans="1:9" x14ac:dyDescent="0.2">
      <c r="A843" s="997">
        <f t="shared" si="13"/>
        <v>842</v>
      </c>
      <c r="B843" s="983" t="s">
        <v>2709</v>
      </c>
      <c r="C843" s="1000"/>
      <c r="H843" s="983" t="s">
        <v>1108</v>
      </c>
    </row>
    <row r="844" spans="1:9" x14ac:dyDescent="0.2">
      <c r="A844" s="997">
        <f t="shared" si="13"/>
        <v>843</v>
      </c>
      <c r="B844" s="983" t="s">
        <v>2709</v>
      </c>
      <c r="C844" s="1001"/>
      <c r="H844" s="983" t="str">
        <f>CONCATENATE("&lt;valeur&gt;",Cellule_130,"&lt;/valeur&gt;")</f>
        <v>&lt;valeur&gt;0&lt;/valeur&gt;</v>
      </c>
    </row>
    <row r="845" spans="1:9" x14ac:dyDescent="0.2">
      <c r="A845" s="997">
        <f t="shared" si="13"/>
        <v>844</v>
      </c>
      <c r="B845" s="983" t="s">
        <v>2709</v>
      </c>
      <c r="C845" s="1000"/>
      <c r="G845" s="983" t="s">
        <v>1109</v>
      </c>
    </row>
    <row r="846" spans="1:9" x14ac:dyDescent="0.2">
      <c r="A846" s="997">
        <f t="shared" si="13"/>
        <v>845</v>
      </c>
      <c r="B846" s="983" t="s">
        <v>2709</v>
      </c>
      <c r="C846" s="1000"/>
      <c r="G846" s="983" t="s">
        <v>1106</v>
      </c>
    </row>
    <row r="847" spans="1:9" x14ac:dyDescent="0.2">
      <c r="A847" s="997">
        <f t="shared" si="13"/>
        <v>846</v>
      </c>
      <c r="B847" s="983" t="s">
        <v>2709</v>
      </c>
      <c r="C847" s="999"/>
      <c r="H847" s="983" t="s">
        <v>1107</v>
      </c>
    </row>
    <row r="848" spans="1:9" x14ac:dyDescent="0.2">
      <c r="A848" s="997">
        <f t="shared" si="13"/>
        <v>847</v>
      </c>
      <c r="B848" s="983" t="s">
        <v>2709</v>
      </c>
      <c r="C848" s="999"/>
      <c r="I848" s="983" t="s">
        <v>1260</v>
      </c>
    </row>
    <row r="849" spans="1:9" x14ac:dyDescent="0.2">
      <c r="A849" s="997">
        <f t="shared" si="13"/>
        <v>848</v>
      </c>
      <c r="B849" s="983" t="s">
        <v>2709</v>
      </c>
      <c r="C849" s="1000"/>
      <c r="H849" s="983" t="s">
        <v>1108</v>
      </c>
    </row>
    <row r="850" spans="1:9" x14ac:dyDescent="0.2">
      <c r="A850" s="997">
        <f t="shared" si="13"/>
        <v>849</v>
      </c>
      <c r="B850" s="983" t="s">
        <v>2709</v>
      </c>
      <c r="C850" s="1001"/>
      <c r="H850" s="983" t="str">
        <f>CONCATENATE("&lt;valeur&gt;",Cellule_131,"&lt;/valeur&gt;")</f>
        <v>&lt;valeur&gt;0&lt;/valeur&gt;</v>
      </c>
    </row>
    <row r="851" spans="1:9" x14ac:dyDescent="0.2">
      <c r="A851" s="997">
        <f t="shared" si="13"/>
        <v>850</v>
      </c>
      <c r="B851" s="983" t="s">
        <v>2709</v>
      </c>
      <c r="C851" s="1000"/>
      <c r="G851" s="983" t="s">
        <v>1109</v>
      </c>
    </row>
    <row r="852" spans="1:9" x14ac:dyDescent="0.2">
      <c r="A852" s="997">
        <f t="shared" si="13"/>
        <v>851</v>
      </c>
      <c r="B852" s="983" t="s">
        <v>2709</v>
      </c>
      <c r="C852" s="1000"/>
      <c r="G852" s="983" t="s">
        <v>1106</v>
      </c>
    </row>
    <row r="853" spans="1:9" x14ac:dyDescent="0.2">
      <c r="A853" s="997">
        <f t="shared" si="13"/>
        <v>852</v>
      </c>
      <c r="B853" s="983" t="s">
        <v>2709</v>
      </c>
      <c r="C853" s="999"/>
      <c r="H853" s="983" t="s">
        <v>1107</v>
      </c>
    </row>
    <row r="854" spans="1:9" x14ac:dyDescent="0.2">
      <c r="A854" s="997">
        <f t="shared" si="13"/>
        <v>853</v>
      </c>
      <c r="B854" s="983" t="s">
        <v>2709</v>
      </c>
      <c r="C854" s="999"/>
      <c r="I854" s="983" t="s">
        <v>1261</v>
      </c>
    </row>
    <row r="855" spans="1:9" x14ac:dyDescent="0.2">
      <c r="A855" s="997">
        <f t="shared" si="13"/>
        <v>854</v>
      </c>
      <c r="B855" s="983" t="s">
        <v>2709</v>
      </c>
      <c r="C855" s="1000"/>
      <c r="H855" s="983" t="s">
        <v>1108</v>
      </c>
    </row>
    <row r="856" spans="1:9" x14ac:dyDescent="0.2">
      <c r="A856" s="997">
        <f t="shared" si="13"/>
        <v>855</v>
      </c>
      <c r="B856" s="983" t="s">
        <v>2709</v>
      </c>
      <c r="C856" s="1001"/>
      <c r="H856" s="983" t="str">
        <f>CONCATENATE("&lt;valeur&gt;",Cellule_132,"&lt;/valeur&gt;")</f>
        <v>&lt;valeur&gt;0&lt;/valeur&gt;</v>
      </c>
    </row>
    <row r="857" spans="1:9" x14ac:dyDescent="0.2">
      <c r="A857" s="997">
        <f t="shared" si="13"/>
        <v>856</v>
      </c>
      <c r="B857" s="983" t="s">
        <v>2709</v>
      </c>
      <c r="C857" s="1000"/>
      <c r="G857" s="983" t="s">
        <v>1109</v>
      </c>
    </row>
    <row r="858" spans="1:9" x14ac:dyDescent="0.2">
      <c r="A858" s="997">
        <f t="shared" si="13"/>
        <v>857</v>
      </c>
      <c r="B858" s="983" t="s">
        <v>2709</v>
      </c>
      <c r="C858" s="1000"/>
      <c r="G858" s="983" t="s">
        <v>1106</v>
      </c>
    </row>
    <row r="859" spans="1:9" x14ac:dyDescent="0.2">
      <c r="A859" s="997">
        <f t="shared" si="13"/>
        <v>858</v>
      </c>
      <c r="B859" s="983" t="s">
        <v>2709</v>
      </c>
      <c r="C859" s="999"/>
      <c r="H859" s="983" t="s">
        <v>1107</v>
      </c>
    </row>
    <row r="860" spans="1:9" x14ac:dyDescent="0.2">
      <c r="A860" s="997">
        <f t="shared" si="13"/>
        <v>859</v>
      </c>
      <c r="B860" s="983" t="s">
        <v>2709</v>
      </c>
      <c r="C860" s="999"/>
      <c r="I860" s="983" t="s">
        <v>1262</v>
      </c>
    </row>
    <row r="861" spans="1:9" x14ac:dyDescent="0.2">
      <c r="A861" s="997">
        <f t="shared" si="13"/>
        <v>860</v>
      </c>
      <c r="B861" s="983" t="s">
        <v>2709</v>
      </c>
      <c r="C861" s="1000"/>
      <c r="H861" s="983" t="s">
        <v>1108</v>
      </c>
    </row>
    <row r="862" spans="1:9" x14ac:dyDescent="0.2">
      <c r="A862" s="997">
        <f t="shared" si="13"/>
        <v>861</v>
      </c>
      <c r="B862" s="983" t="s">
        <v>2709</v>
      </c>
      <c r="C862" s="1001"/>
      <c r="H862" s="983" t="str">
        <f>CONCATENATE("&lt;valeur&gt;",Cellule_133,"&lt;/valeur&gt;")</f>
        <v>&lt;valeur&gt;0&lt;/valeur&gt;</v>
      </c>
    </row>
    <row r="863" spans="1:9" x14ac:dyDescent="0.2">
      <c r="A863" s="997">
        <f t="shared" si="13"/>
        <v>862</v>
      </c>
      <c r="B863" s="983" t="s">
        <v>2709</v>
      </c>
      <c r="C863" s="1000"/>
      <c r="G863" s="983" t="s">
        <v>1109</v>
      </c>
    </row>
    <row r="864" spans="1:9" x14ac:dyDescent="0.2">
      <c r="A864" s="997">
        <f t="shared" si="13"/>
        <v>863</v>
      </c>
      <c r="B864" s="983" t="s">
        <v>2709</v>
      </c>
      <c r="C864" s="1000"/>
      <c r="G864" s="983" t="s">
        <v>1106</v>
      </c>
    </row>
    <row r="865" spans="1:9" x14ac:dyDescent="0.2">
      <c r="A865" s="997">
        <f t="shared" si="13"/>
        <v>864</v>
      </c>
      <c r="B865" s="983" t="s">
        <v>2709</v>
      </c>
      <c r="C865" s="999"/>
      <c r="H865" s="983" t="s">
        <v>1107</v>
      </c>
    </row>
    <row r="866" spans="1:9" x14ac:dyDescent="0.2">
      <c r="A866" s="997">
        <f t="shared" si="13"/>
        <v>865</v>
      </c>
      <c r="B866" s="983" t="s">
        <v>2709</v>
      </c>
      <c r="C866" s="999"/>
      <c r="I866" s="983" t="s">
        <v>1263</v>
      </c>
    </row>
    <row r="867" spans="1:9" x14ac:dyDescent="0.2">
      <c r="A867" s="997">
        <f t="shared" si="13"/>
        <v>866</v>
      </c>
      <c r="B867" s="983" t="s">
        <v>2709</v>
      </c>
      <c r="C867" s="1000"/>
      <c r="H867" s="983" t="s">
        <v>1108</v>
      </c>
    </row>
    <row r="868" spans="1:9" x14ac:dyDescent="0.2">
      <c r="A868" s="997">
        <f t="shared" si="13"/>
        <v>867</v>
      </c>
      <c r="B868" s="983" t="s">
        <v>2709</v>
      </c>
      <c r="C868" s="1001"/>
      <c r="H868" s="983" t="str">
        <f>CONCATENATE("&lt;valeur&gt;",Cellule_134,"&lt;/valeur&gt;")</f>
        <v>&lt;valeur&gt;0&lt;/valeur&gt;</v>
      </c>
    </row>
    <row r="869" spans="1:9" x14ac:dyDescent="0.2">
      <c r="A869" s="997">
        <f t="shared" si="13"/>
        <v>868</v>
      </c>
      <c r="B869" s="983" t="s">
        <v>2709</v>
      </c>
      <c r="C869" s="1000"/>
      <c r="G869" s="983" t="s">
        <v>1109</v>
      </c>
    </row>
    <row r="870" spans="1:9" x14ac:dyDescent="0.2">
      <c r="A870" s="997">
        <f t="shared" si="13"/>
        <v>869</v>
      </c>
      <c r="B870" s="983" t="s">
        <v>2709</v>
      </c>
      <c r="C870" s="1000"/>
      <c r="G870" s="983" t="s">
        <v>1106</v>
      </c>
    </row>
    <row r="871" spans="1:9" x14ac:dyDescent="0.2">
      <c r="A871" s="997">
        <f t="shared" si="13"/>
        <v>870</v>
      </c>
      <c r="B871" s="983" t="s">
        <v>2709</v>
      </c>
      <c r="C871" s="999"/>
      <c r="H871" s="983" t="s">
        <v>1107</v>
      </c>
    </row>
    <row r="872" spans="1:9" x14ac:dyDescent="0.2">
      <c r="A872" s="997">
        <f t="shared" si="13"/>
        <v>871</v>
      </c>
      <c r="B872" s="983" t="s">
        <v>2709</v>
      </c>
      <c r="C872" s="999"/>
      <c r="I872" s="983" t="s">
        <v>1264</v>
      </c>
    </row>
    <row r="873" spans="1:9" x14ac:dyDescent="0.2">
      <c r="A873" s="997">
        <f t="shared" si="13"/>
        <v>872</v>
      </c>
      <c r="B873" s="983" t="s">
        <v>2709</v>
      </c>
      <c r="C873" s="1000"/>
      <c r="H873" s="983" t="s">
        <v>1108</v>
      </c>
    </row>
    <row r="874" spans="1:9" x14ac:dyDescent="0.2">
      <c r="A874" s="997">
        <f t="shared" si="13"/>
        <v>873</v>
      </c>
      <c r="B874" s="983" t="s">
        <v>2709</v>
      </c>
      <c r="C874" s="1001"/>
      <c r="H874" s="983" t="str">
        <f>CONCATENATE("&lt;valeur&gt;",Cellule_135,"&lt;/valeur&gt;")</f>
        <v>&lt;valeur&gt;0&lt;/valeur&gt;</v>
      </c>
    </row>
    <row r="875" spans="1:9" x14ac:dyDescent="0.2">
      <c r="A875" s="997">
        <f t="shared" si="13"/>
        <v>874</v>
      </c>
      <c r="B875" s="983" t="s">
        <v>2709</v>
      </c>
      <c r="C875" s="1000"/>
      <c r="G875" s="983" t="s">
        <v>1109</v>
      </c>
    </row>
    <row r="876" spans="1:9" x14ac:dyDescent="0.2">
      <c r="A876" s="997">
        <f t="shared" si="13"/>
        <v>875</v>
      </c>
      <c r="B876" s="983" t="s">
        <v>2709</v>
      </c>
      <c r="C876" s="1000"/>
      <c r="G876" s="983" t="s">
        <v>1106</v>
      </c>
    </row>
    <row r="877" spans="1:9" x14ac:dyDescent="0.2">
      <c r="A877" s="997">
        <f t="shared" si="13"/>
        <v>876</v>
      </c>
      <c r="B877" s="983" t="s">
        <v>2709</v>
      </c>
      <c r="C877" s="999"/>
      <c r="H877" s="983" t="s">
        <v>1107</v>
      </c>
    </row>
    <row r="878" spans="1:9" x14ac:dyDescent="0.2">
      <c r="A878" s="997">
        <f t="shared" si="13"/>
        <v>877</v>
      </c>
      <c r="B878" s="983" t="s">
        <v>2709</v>
      </c>
      <c r="C878" s="999"/>
      <c r="I878" s="983" t="s">
        <v>1265</v>
      </c>
    </row>
    <row r="879" spans="1:9" x14ac:dyDescent="0.2">
      <c r="A879" s="997">
        <f t="shared" si="13"/>
        <v>878</v>
      </c>
      <c r="B879" s="983" t="s">
        <v>2709</v>
      </c>
      <c r="C879" s="1000"/>
      <c r="H879" s="983" t="s">
        <v>1108</v>
      </c>
    </row>
    <row r="880" spans="1:9" x14ac:dyDescent="0.2">
      <c r="A880" s="997">
        <f t="shared" si="13"/>
        <v>879</v>
      </c>
      <c r="B880" s="983" t="s">
        <v>2709</v>
      </c>
      <c r="C880" s="1001"/>
      <c r="H880" s="983" t="str">
        <f>CONCATENATE("&lt;valeur&gt;",Cellule_528,"&lt;/valeur&gt;")</f>
        <v>&lt;valeur&gt;0&lt;/valeur&gt;</v>
      </c>
    </row>
    <row r="881" spans="1:9" x14ac:dyDescent="0.2">
      <c r="A881" s="997">
        <f t="shared" si="13"/>
        <v>880</v>
      </c>
      <c r="B881" s="983" t="s">
        <v>2709</v>
      </c>
      <c r="C881" s="1000"/>
      <c r="G881" s="983" t="s">
        <v>1109</v>
      </c>
    </row>
    <row r="882" spans="1:9" x14ac:dyDescent="0.2">
      <c r="A882" s="997">
        <f t="shared" si="13"/>
        <v>881</v>
      </c>
      <c r="B882" s="983" t="s">
        <v>2709</v>
      </c>
      <c r="C882" s="1000"/>
      <c r="G882" s="983" t="s">
        <v>1106</v>
      </c>
    </row>
    <row r="883" spans="1:9" x14ac:dyDescent="0.2">
      <c r="A883" s="997">
        <f t="shared" si="13"/>
        <v>882</v>
      </c>
      <c r="B883" s="983" t="s">
        <v>2709</v>
      </c>
      <c r="C883" s="999"/>
      <c r="H883" s="983" t="s">
        <v>1107</v>
      </c>
    </row>
    <row r="884" spans="1:9" x14ac:dyDescent="0.2">
      <c r="A884" s="997">
        <f t="shared" si="13"/>
        <v>883</v>
      </c>
      <c r="B884" s="983" t="s">
        <v>2709</v>
      </c>
      <c r="C884" s="999"/>
      <c r="I884" s="983" t="s">
        <v>1266</v>
      </c>
    </row>
    <row r="885" spans="1:9" x14ac:dyDescent="0.2">
      <c r="A885" s="997">
        <f t="shared" si="13"/>
        <v>884</v>
      </c>
      <c r="B885" s="983" t="s">
        <v>2709</v>
      </c>
      <c r="C885" s="1000"/>
      <c r="H885" s="983" t="s">
        <v>1108</v>
      </c>
    </row>
    <row r="886" spans="1:9" x14ac:dyDescent="0.2">
      <c r="A886" s="997">
        <f t="shared" si="13"/>
        <v>885</v>
      </c>
      <c r="B886" s="983" t="s">
        <v>2709</v>
      </c>
      <c r="C886" s="1001"/>
      <c r="H886" s="983" t="str">
        <f>CONCATENATE("&lt;valeur&gt;",Cellule_141,"&lt;/valeur&gt;")</f>
        <v>&lt;valeur&gt;0&lt;/valeur&gt;</v>
      </c>
    </row>
    <row r="887" spans="1:9" x14ac:dyDescent="0.2">
      <c r="A887" s="997">
        <f t="shared" si="13"/>
        <v>886</v>
      </c>
      <c r="B887" s="983" t="s">
        <v>2709</v>
      </c>
      <c r="C887" s="1000"/>
      <c r="G887" s="983" t="s">
        <v>1109</v>
      </c>
    </row>
    <row r="888" spans="1:9" x14ac:dyDescent="0.2">
      <c r="A888" s="997">
        <f t="shared" si="13"/>
        <v>887</v>
      </c>
      <c r="B888" s="983" t="s">
        <v>2709</v>
      </c>
      <c r="C888" s="1000"/>
      <c r="G888" s="983" t="s">
        <v>1106</v>
      </c>
    </row>
    <row r="889" spans="1:9" x14ac:dyDescent="0.2">
      <c r="A889" s="997">
        <f t="shared" si="13"/>
        <v>888</v>
      </c>
      <c r="B889" s="983" t="s">
        <v>2709</v>
      </c>
      <c r="C889" s="999"/>
      <c r="H889" s="983" t="s">
        <v>1107</v>
      </c>
    </row>
    <row r="890" spans="1:9" x14ac:dyDescent="0.2">
      <c r="A890" s="997">
        <f t="shared" si="13"/>
        <v>889</v>
      </c>
      <c r="B890" s="983" t="s">
        <v>2709</v>
      </c>
      <c r="C890" s="999"/>
      <c r="I890" s="983" t="s">
        <v>1267</v>
      </c>
    </row>
    <row r="891" spans="1:9" x14ac:dyDescent="0.2">
      <c r="A891" s="997">
        <f t="shared" si="13"/>
        <v>890</v>
      </c>
      <c r="B891" s="983" t="s">
        <v>2709</v>
      </c>
      <c r="C891" s="1000"/>
      <c r="H891" s="983" t="s">
        <v>1108</v>
      </c>
    </row>
    <row r="892" spans="1:9" x14ac:dyDescent="0.2">
      <c r="A892" s="997">
        <f t="shared" si="13"/>
        <v>891</v>
      </c>
      <c r="B892" s="983" t="s">
        <v>2709</v>
      </c>
      <c r="C892" s="1001"/>
      <c r="H892" s="983" t="str">
        <f>CONCATENATE("&lt;valeur&gt;",Cellule_142,"&lt;/valeur&gt;")</f>
        <v>&lt;valeur&gt;0&lt;/valeur&gt;</v>
      </c>
    </row>
    <row r="893" spans="1:9" x14ac:dyDescent="0.2">
      <c r="A893" s="997">
        <f t="shared" si="13"/>
        <v>892</v>
      </c>
      <c r="B893" s="983" t="s">
        <v>2709</v>
      </c>
      <c r="C893" s="1000"/>
      <c r="G893" s="983" t="s">
        <v>1109</v>
      </c>
    </row>
    <row r="894" spans="1:9" x14ac:dyDescent="0.2">
      <c r="A894" s="997">
        <f t="shared" si="13"/>
        <v>893</v>
      </c>
      <c r="B894" s="983" t="s">
        <v>2709</v>
      </c>
      <c r="C894" s="1000"/>
      <c r="G894" s="983" t="s">
        <v>1106</v>
      </c>
    </row>
    <row r="895" spans="1:9" x14ac:dyDescent="0.2">
      <c r="A895" s="997">
        <f t="shared" si="13"/>
        <v>894</v>
      </c>
      <c r="B895" s="983" t="s">
        <v>2709</v>
      </c>
      <c r="C895" s="999"/>
      <c r="H895" s="983" t="s">
        <v>1107</v>
      </c>
    </row>
    <row r="896" spans="1:9" x14ac:dyDescent="0.2">
      <c r="A896" s="997">
        <f t="shared" si="13"/>
        <v>895</v>
      </c>
      <c r="B896" s="983" t="s">
        <v>2709</v>
      </c>
      <c r="C896" s="999"/>
      <c r="I896" s="983" t="s">
        <v>1268</v>
      </c>
    </row>
    <row r="897" spans="1:9" x14ac:dyDescent="0.2">
      <c r="A897" s="997">
        <f t="shared" si="13"/>
        <v>896</v>
      </c>
      <c r="B897" s="983" t="s">
        <v>2709</v>
      </c>
      <c r="C897" s="1000"/>
      <c r="H897" s="983" t="s">
        <v>1108</v>
      </c>
    </row>
    <row r="898" spans="1:9" x14ac:dyDescent="0.2">
      <c r="A898" s="997">
        <f t="shared" si="13"/>
        <v>897</v>
      </c>
      <c r="B898" s="983" t="s">
        <v>2709</v>
      </c>
      <c r="C898" s="1001"/>
      <c r="H898" s="983" t="str">
        <f>CONCATENATE("&lt;valeur&gt;",Cellule_136,"&lt;/valeur&gt;")</f>
        <v>&lt;valeur&gt;0&lt;/valeur&gt;</v>
      </c>
    </row>
    <row r="899" spans="1:9" x14ac:dyDescent="0.2">
      <c r="A899" s="997">
        <f t="shared" si="13"/>
        <v>898</v>
      </c>
      <c r="B899" s="983" t="s">
        <v>2709</v>
      </c>
      <c r="C899" s="1000"/>
      <c r="G899" s="983" t="s">
        <v>1109</v>
      </c>
    </row>
    <row r="900" spans="1:9" x14ac:dyDescent="0.2">
      <c r="A900" s="997">
        <f t="shared" ref="A900:A963" si="14">+A899+1</f>
        <v>899</v>
      </c>
      <c r="B900" s="983" t="s">
        <v>2709</v>
      </c>
      <c r="C900" s="1000"/>
      <c r="G900" s="983" t="s">
        <v>1106</v>
      </c>
    </row>
    <row r="901" spans="1:9" x14ac:dyDescent="0.2">
      <c r="A901" s="997">
        <f t="shared" si="14"/>
        <v>900</v>
      </c>
      <c r="B901" s="983" t="s">
        <v>2709</v>
      </c>
      <c r="C901" s="999"/>
      <c r="H901" s="983" t="s">
        <v>1107</v>
      </c>
    </row>
    <row r="902" spans="1:9" x14ac:dyDescent="0.2">
      <c r="A902" s="997">
        <f t="shared" si="14"/>
        <v>901</v>
      </c>
      <c r="B902" s="983" t="s">
        <v>2709</v>
      </c>
      <c r="C902" s="999"/>
      <c r="I902" s="983" t="s">
        <v>1269</v>
      </c>
    </row>
    <row r="903" spans="1:9" x14ac:dyDescent="0.2">
      <c r="A903" s="997">
        <f t="shared" si="14"/>
        <v>902</v>
      </c>
      <c r="B903" s="983" t="s">
        <v>2709</v>
      </c>
      <c r="C903" s="1000"/>
      <c r="H903" s="983" t="s">
        <v>1108</v>
      </c>
    </row>
    <row r="904" spans="1:9" x14ac:dyDescent="0.2">
      <c r="A904" s="997">
        <f t="shared" si="14"/>
        <v>903</v>
      </c>
      <c r="B904" s="983" t="s">
        <v>2709</v>
      </c>
      <c r="C904" s="1001"/>
      <c r="H904" s="983" t="str">
        <f>CONCATENATE("&lt;valeur&gt;",Cellule_137,"&lt;/valeur&gt;")</f>
        <v>&lt;valeur&gt;288000&lt;/valeur&gt;</v>
      </c>
    </row>
    <row r="905" spans="1:9" x14ac:dyDescent="0.2">
      <c r="A905" s="997">
        <f t="shared" si="14"/>
        <v>904</v>
      </c>
      <c r="B905" s="983" t="s">
        <v>2709</v>
      </c>
      <c r="C905" s="1000"/>
      <c r="G905" s="983" t="s">
        <v>1109</v>
      </c>
    </row>
    <row r="906" spans="1:9" x14ac:dyDescent="0.2">
      <c r="A906" s="997">
        <f t="shared" si="14"/>
        <v>905</v>
      </c>
      <c r="B906" s="983" t="s">
        <v>2709</v>
      </c>
      <c r="C906" s="1000"/>
      <c r="G906" s="983" t="s">
        <v>1106</v>
      </c>
    </row>
    <row r="907" spans="1:9" x14ac:dyDescent="0.2">
      <c r="A907" s="997">
        <f t="shared" si="14"/>
        <v>906</v>
      </c>
      <c r="B907" s="983" t="s">
        <v>2709</v>
      </c>
      <c r="C907" s="999"/>
      <c r="H907" s="983" t="s">
        <v>1107</v>
      </c>
    </row>
    <row r="908" spans="1:9" x14ac:dyDescent="0.2">
      <c r="A908" s="997">
        <f t="shared" si="14"/>
        <v>907</v>
      </c>
      <c r="B908" s="983" t="s">
        <v>2709</v>
      </c>
      <c r="C908" s="999"/>
      <c r="I908" s="983" t="s">
        <v>1270</v>
      </c>
    </row>
    <row r="909" spans="1:9" x14ac:dyDescent="0.2">
      <c r="A909" s="997">
        <f t="shared" si="14"/>
        <v>908</v>
      </c>
      <c r="B909" s="983" t="s">
        <v>2709</v>
      </c>
      <c r="C909" s="1000"/>
      <c r="H909" s="983" t="s">
        <v>1108</v>
      </c>
    </row>
    <row r="910" spans="1:9" x14ac:dyDescent="0.2">
      <c r="A910" s="997">
        <f t="shared" si="14"/>
        <v>909</v>
      </c>
      <c r="B910" s="983" t="s">
        <v>2709</v>
      </c>
      <c r="C910" s="1001"/>
      <c r="H910" s="983" t="str">
        <f>CONCATENATE("&lt;valeur&gt;",Cellule_138,"&lt;/valeur&gt;")</f>
        <v>&lt;valeur&gt;0&lt;/valeur&gt;</v>
      </c>
    </row>
    <row r="911" spans="1:9" x14ac:dyDescent="0.2">
      <c r="A911" s="997">
        <f t="shared" si="14"/>
        <v>910</v>
      </c>
      <c r="B911" s="983" t="s">
        <v>2709</v>
      </c>
      <c r="C911" s="1000"/>
      <c r="G911" s="983" t="s">
        <v>1109</v>
      </c>
    </row>
    <row r="912" spans="1:9" x14ac:dyDescent="0.2">
      <c r="A912" s="997">
        <f t="shared" si="14"/>
        <v>911</v>
      </c>
      <c r="B912" s="983" t="s">
        <v>2709</v>
      </c>
      <c r="C912" s="1000"/>
      <c r="G912" s="983" t="s">
        <v>1106</v>
      </c>
    </row>
    <row r="913" spans="1:9" x14ac:dyDescent="0.2">
      <c r="A913" s="997">
        <f t="shared" si="14"/>
        <v>912</v>
      </c>
      <c r="B913" s="983" t="s">
        <v>2709</v>
      </c>
      <c r="C913" s="999"/>
      <c r="H913" s="983" t="s">
        <v>1107</v>
      </c>
    </row>
    <row r="914" spans="1:9" x14ac:dyDescent="0.2">
      <c r="A914" s="997">
        <f t="shared" si="14"/>
        <v>913</v>
      </c>
      <c r="B914" s="983" t="s">
        <v>2709</v>
      </c>
      <c r="C914" s="999"/>
      <c r="I914" s="983" t="s">
        <v>1271</v>
      </c>
    </row>
    <row r="915" spans="1:9" x14ac:dyDescent="0.2">
      <c r="A915" s="997">
        <f t="shared" si="14"/>
        <v>914</v>
      </c>
      <c r="B915" s="983" t="s">
        <v>2709</v>
      </c>
      <c r="C915" s="1000"/>
      <c r="H915" s="983" t="s">
        <v>1108</v>
      </c>
    </row>
    <row r="916" spans="1:9" x14ac:dyDescent="0.2">
      <c r="A916" s="997">
        <f t="shared" si="14"/>
        <v>915</v>
      </c>
      <c r="B916" s="983" t="s">
        <v>2709</v>
      </c>
      <c r="C916" s="1001"/>
      <c r="H916" s="983" t="str">
        <f>CONCATENATE("&lt;valeur&gt;",Cellule_139,"&lt;/valeur&gt;")</f>
        <v>&lt;valeur&gt;20800,72&lt;/valeur&gt;</v>
      </c>
    </row>
    <row r="917" spans="1:9" x14ac:dyDescent="0.2">
      <c r="A917" s="997">
        <f t="shared" si="14"/>
        <v>916</v>
      </c>
      <c r="B917" s="983" t="s">
        <v>2709</v>
      </c>
      <c r="C917" s="1000"/>
      <c r="G917" s="983" t="s">
        <v>1109</v>
      </c>
    </row>
    <row r="918" spans="1:9" x14ac:dyDescent="0.2">
      <c r="A918" s="997">
        <f t="shared" si="14"/>
        <v>917</v>
      </c>
      <c r="B918" s="983" t="s">
        <v>2709</v>
      </c>
      <c r="C918" s="1000"/>
      <c r="G918" s="983" t="s">
        <v>1106</v>
      </c>
    </row>
    <row r="919" spans="1:9" x14ac:dyDescent="0.2">
      <c r="A919" s="997">
        <f t="shared" si="14"/>
        <v>918</v>
      </c>
      <c r="B919" s="983" t="s">
        <v>2709</v>
      </c>
      <c r="C919" s="999"/>
      <c r="H919" s="983" t="s">
        <v>1107</v>
      </c>
    </row>
    <row r="920" spans="1:9" x14ac:dyDescent="0.2">
      <c r="A920" s="997">
        <f t="shared" si="14"/>
        <v>919</v>
      </c>
      <c r="B920" s="983" t="s">
        <v>2709</v>
      </c>
      <c r="C920" s="999"/>
      <c r="I920" s="983" t="s">
        <v>1272</v>
      </c>
    </row>
    <row r="921" spans="1:9" x14ac:dyDescent="0.2">
      <c r="A921" s="997">
        <f t="shared" si="14"/>
        <v>920</v>
      </c>
      <c r="B921" s="983" t="s">
        <v>2709</v>
      </c>
      <c r="C921" s="1000"/>
      <c r="H921" s="983" t="s">
        <v>1108</v>
      </c>
    </row>
    <row r="922" spans="1:9" x14ac:dyDescent="0.2">
      <c r="A922" s="997">
        <f t="shared" si="14"/>
        <v>921</v>
      </c>
      <c r="B922" s="983" t="s">
        <v>2709</v>
      </c>
      <c r="C922" s="1001"/>
      <c r="H922" s="983" t="str">
        <f>CONCATENATE("&lt;valeur&gt;",Cellule_140,"&lt;/valeur&gt;")</f>
        <v>&lt;valeur&gt;0&lt;/valeur&gt;</v>
      </c>
    </row>
    <row r="923" spans="1:9" x14ac:dyDescent="0.2">
      <c r="A923" s="997">
        <f t="shared" si="14"/>
        <v>922</v>
      </c>
      <c r="B923" s="983" t="s">
        <v>2709</v>
      </c>
      <c r="C923" s="1000"/>
      <c r="G923" s="983" t="s">
        <v>1109</v>
      </c>
    </row>
    <row r="924" spans="1:9" x14ac:dyDescent="0.2">
      <c r="A924" s="997">
        <f t="shared" si="14"/>
        <v>923</v>
      </c>
      <c r="B924" s="983" t="s">
        <v>2709</v>
      </c>
      <c r="C924" s="1000"/>
      <c r="G924" s="983" t="s">
        <v>1106</v>
      </c>
    </row>
    <row r="925" spans="1:9" x14ac:dyDescent="0.2">
      <c r="A925" s="997">
        <f t="shared" si="14"/>
        <v>924</v>
      </c>
      <c r="B925" s="983" t="s">
        <v>2709</v>
      </c>
      <c r="C925" s="999"/>
      <c r="H925" s="983" t="s">
        <v>1107</v>
      </c>
    </row>
    <row r="926" spans="1:9" x14ac:dyDescent="0.2">
      <c r="A926" s="997">
        <f t="shared" si="14"/>
        <v>925</v>
      </c>
      <c r="B926" s="983" t="s">
        <v>2709</v>
      </c>
      <c r="C926" s="999"/>
      <c r="I926" s="983" t="s">
        <v>1273</v>
      </c>
    </row>
    <row r="927" spans="1:9" x14ac:dyDescent="0.2">
      <c r="A927" s="997">
        <f t="shared" si="14"/>
        <v>926</v>
      </c>
      <c r="B927" s="983" t="s">
        <v>2709</v>
      </c>
      <c r="C927" s="1000"/>
      <c r="H927" s="983" t="s">
        <v>1108</v>
      </c>
    </row>
    <row r="928" spans="1:9" x14ac:dyDescent="0.2">
      <c r="A928" s="997">
        <f t="shared" si="14"/>
        <v>927</v>
      </c>
      <c r="B928" s="983" t="s">
        <v>2709</v>
      </c>
      <c r="C928" s="1001"/>
      <c r="H928" s="983" t="str">
        <f>CONCATENATE("&lt;valeur&gt;",Cellule_529,"&lt;/valeur&gt;")</f>
        <v>&lt;valeur&gt;308800,72&lt;/valeur&gt;</v>
      </c>
    </row>
    <row r="929" spans="1:9" x14ac:dyDescent="0.2">
      <c r="A929" s="997">
        <f t="shared" si="14"/>
        <v>928</v>
      </c>
      <c r="B929" s="983" t="s">
        <v>2709</v>
      </c>
      <c r="C929" s="1000"/>
      <c r="G929" s="983" t="s">
        <v>1109</v>
      </c>
    </row>
    <row r="930" spans="1:9" x14ac:dyDescent="0.2">
      <c r="A930" s="997">
        <f t="shared" si="14"/>
        <v>929</v>
      </c>
      <c r="B930" s="983" t="s">
        <v>2709</v>
      </c>
      <c r="C930" s="1000"/>
      <c r="G930" s="983" t="s">
        <v>1106</v>
      </c>
    </row>
    <row r="931" spans="1:9" x14ac:dyDescent="0.2">
      <c r="A931" s="997">
        <f t="shared" si="14"/>
        <v>930</v>
      </c>
      <c r="B931" s="983" t="s">
        <v>2709</v>
      </c>
      <c r="C931" s="999"/>
      <c r="H931" s="983" t="s">
        <v>1107</v>
      </c>
    </row>
    <row r="932" spans="1:9" x14ac:dyDescent="0.2">
      <c r="A932" s="997">
        <f t="shared" si="14"/>
        <v>931</v>
      </c>
      <c r="B932" s="983" t="s">
        <v>2709</v>
      </c>
      <c r="C932" s="999"/>
      <c r="I932" s="983" t="s">
        <v>1274</v>
      </c>
    </row>
    <row r="933" spans="1:9" x14ac:dyDescent="0.2">
      <c r="A933" s="997">
        <f t="shared" si="14"/>
        <v>932</v>
      </c>
      <c r="B933" s="983" t="s">
        <v>2709</v>
      </c>
      <c r="C933" s="1000"/>
      <c r="H933" s="983" t="s">
        <v>1108</v>
      </c>
    </row>
    <row r="934" spans="1:9" x14ac:dyDescent="0.2">
      <c r="A934" s="997">
        <f t="shared" si="14"/>
        <v>933</v>
      </c>
      <c r="B934" s="983" t="s">
        <v>2709</v>
      </c>
      <c r="C934" s="1001"/>
      <c r="H934" s="983" t="str">
        <f>CONCATENATE("&lt;valeur&gt;",Cellule_143,"&lt;/valeur&gt;")</f>
        <v>&lt;valeur&gt;0&lt;/valeur&gt;</v>
      </c>
    </row>
    <row r="935" spans="1:9" x14ac:dyDescent="0.2">
      <c r="A935" s="997">
        <f t="shared" si="14"/>
        <v>934</v>
      </c>
      <c r="B935" s="983" t="s">
        <v>2709</v>
      </c>
      <c r="C935" s="1000"/>
      <c r="G935" s="983" t="s">
        <v>1109</v>
      </c>
    </row>
    <row r="936" spans="1:9" x14ac:dyDescent="0.2">
      <c r="A936" s="997">
        <f t="shared" si="14"/>
        <v>935</v>
      </c>
      <c r="B936" s="983" t="s">
        <v>2709</v>
      </c>
      <c r="C936" s="1000"/>
      <c r="G936" s="983" t="s">
        <v>1106</v>
      </c>
    </row>
    <row r="937" spans="1:9" x14ac:dyDescent="0.2">
      <c r="A937" s="997">
        <f t="shared" si="14"/>
        <v>936</v>
      </c>
      <c r="B937" s="983" t="s">
        <v>2709</v>
      </c>
      <c r="C937" s="999"/>
      <c r="H937" s="983" t="s">
        <v>1107</v>
      </c>
    </row>
    <row r="938" spans="1:9" x14ac:dyDescent="0.2">
      <c r="A938" s="997">
        <f t="shared" si="14"/>
        <v>937</v>
      </c>
      <c r="B938" s="983" t="s">
        <v>2709</v>
      </c>
      <c r="C938" s="999"/>
      <c r="I938" s="983" t="s">
        <v>1275</v>
      </c>
    </row>
    <row r="939" spans="1:9" x14ac:dyDescent="0.2">
      <c r="A939" s="997">
        <f t="shared" si="14"/>
        <v>938</v>
      </c>
      <c r="B939" s="983" t="s">
        <v>2709</v>
      </c>
      <c r="C939" s="1000"/>
      <c r="H939" s="983" t="s">
        <v>1108</v>
      </c>
    </row>
    <row r="940" spans="1:9" x14ac:dyDescent="0.2">
      <c r="A940" s="997">
        <f t="shared" si="14"/>
        <v>939</v>
      </c>
      <c r="B940" s="983" t="s">
        <v>2709</v>
      </c>
      <c r="C940" s="1001"/>
      <c r="H940" s="983" t="str">
        <f>CONCATENATE("&lt;valeur&gt;",Cellule_144,"&lt;/valeur&gt;")</f>
        <v>&lt;valeur&gt;0&lt;/valeur&gt;</v>
      </c>
    </row>
    <row r="941" spans="1:9" x14ac:dyDescent="0.2">
      <c r="A941" s="997">
        <f t="shared" si="14"/>
        <v>940</v>
      </c>
      <c r="B941" s="983" t="s">
        <v>2709</v>
      </c>
      <c r="C941" s="1000"/>
      <c r="G941" s="983" t="s">
        <v>1109</v>
      </c>
    </row>
    <row r="942" spans="1:9" x14ac:dyDescent="0.2">
      <c r="A942" s="997">
        <f t="shared" si="14"/>
        <v>941</v>
      </c>
      <c r="B942" s="983" t="s">
        <v>2709</v>
      </c>
      <c r="C942" s="1000"/>
      <c r="G942" s="983" t="s">
        <v>1106</v>
      </c>
    </row>
    <row r="943" spans="1:9" x14ac:dyDescent="0.2">
      <c r="A943" s="997">
        <f t="shared" si="14"/>
        <v>942</v>
      </c>
      <c r="B943" s="983" t="s">
        <v>2709</v>
      </c>
      <c r="C943" s="999"/>
      <c r="H943" s="983" t="s">
        <v>1107</v>
      </c>
    </row>
    <row r="944" spans="1:9" x14ac:dyDescent="0.2">
      <c r="A944" s="997">
        <f t="shared" si="14"/>
        <v>943</v>
      </c>
      <c r="B944" s="983" t="s">
        <v>2709</v>
      </c>
      <c r="C944" s="999"/>
      <c r="I944" s="983" t="s">
        <v>1276</v>
      </c>
    </row>
    <row r="945" spans="1:9" x14ac:dyDescent="0.2">
      <c r="A945" s="997">
        <f t="shared" si="14"/>
        <v>944</v>
      </c>
      <c r="B945" s="983" t="s">
        <v>2709</v>
      </c>
      <c r="C945" s="1000"/>
      <c r="H945" s="983" t="s">
        <v>1108</v>
      </c>
    </row>
    <row r="946" spans="1:9" x14ac:dyDescent="0.2">
      <c r="A946" s="997">
        <f t="shared" si="14"/>
        <v>945</v>
      </c>
      <c r="B946" s="983" t="s">
        <v>2709</v>
      </c>
      <c r="C946" s="1001"/>
      <c r="H946" s="983" t="str">
        <f>CONCATENATE("&lt;valeur&gt;",Cellule_145,"&lt;/valeur&gt;")</f>
        <v>&lt;valeur&gt;0&lt;/valeur&gt;</v>
      </c>
    </row>
    <row r="947" spans="1:9" x14ac:dyDescent="0.2">
      <c r="A947" s="997">
        <f t="shared" si="14"/>
        <v>946</v>
      </c>
      <c r="B947" s="983" t="s">
        <v>2709</v>
      </c>
      <c r="C947" s="1000"/>
      <c r="G947" s="983" t="s">
        <v>1109</v>
      </c>
    </row>
    <row r="948" spans="1:9" x14ac:dyDescent="0.2">
      <c r="A948" s="997">
        <f t="shared" si="14"/>
        <v>947</v>
      </c>
      <c r="B948" s="983" t="s">
        <v>2709</v>
      </c>
      <c r="C948" s="1000"/>
      <c r="G948" s="983" t="s">
        <v>1106</v>
      </c>
    </row>
    <row r="949" spans="1:9" x14ac:dyDescent="0.2">
      <c r="A949" s="997">
        <f t="shared" si="14"/>
        <v>948</v>
      </c>
      <c r="B949" s="983" t="s">
        <v>2709</v>
      </c>
      <c r="C949" s="999"/>
      <c r="H949" s="983" t="s">
        <v>1107</v>
      </c>
    </row>
    <row r="950" spans="1:9" x14ac:dyDescent="0.2">
      <c r="A950" s="997">
        <f t="shared" si="14"/>
        <v>949</v>
      </c>
      <c r="B950" s="983" t="s">
        <v>2709</v>
      </c>
      <c r="C950" s="999"/>
      <c r="I950" s="983" t="s">
        <v>1277</v>
      </c>
    </row>
    <row r="951" spans="1:9" x14ac:dyDescent="0.2">
      <c r="A951" s="997">
        <f t="shared" si="14"/>
        <v>950</v>
      </c>
      <c r="B951" s="983" t="s">
        <v>2709</v>
      </c>
      <c r="C951" s="1000"/>
      <c r="H951" s="983" t="s">
        <v>1108</v>
      </c>
    </row>
    <row r="952" spans="1:9" x14ac:dyDescent="0.2">
      <c r="A952" s="997">
        <f t="shared" si="14"/>
        <v>951</v>
      </c>
      <c r="B952" s="983" t="s">
        <v>2709</v>
      </c>
      <c r="C952" s="1001"/>
      <c r="H952" s="983" t="str">
        <f>CONCATENATE("&lt;valeur&gt;",Cellule_146,"&lt;/valeur&gt;")</f>
        <v>&lt;valeur&gt;34,53&lt;/valeur&gt;</v>
      </c>
    </row>
    <row r="953" spans="1:9" x14ac:dyDescent="0.2">
      <c r="A953" s="997">
        <f t="shared" si="14"/>
        <v>952</v>
      </c>
      <c r="B953" s="983" t="s">
        <v>2709</v>
      </c>
      <c r="C953" s="1000"/>
      <c r="G953" s="983" t="s">
        <v>1109</v>
      </c>
    </row>
    <row r="954" spans="1:9" x14ac:dyDescent="0.2">
      <c r="A954" s="997">
        <f t="shared" si="14"/>
        <v>953</v>
      </c>
      <c r="B954" s="983" t="s">
        <v>2709</v>
      </c>
      <c r="C954" s="1000"/>
      <c r="G954" s="983" t="s">
        <v>1106</v>
      </c>
    </row>
    <row r="955" spans="1:9" x14ac:dyDescent="0.2">
      <c r="A955" s="997">
        <f t="shared" si="14"/>
        <v>954</v>
      </c>
      <c r="B955" s="983" t="s">
        <v>2709</v>
      </c>
      <c r="C955" s="999"/>
      <c r="H955" s="983" t="s">
        <v>1107</v>
      </c>
    </row>
    <row r="956" spans="1:9" x14ac:dyDescent="0.2">
      <c r="A956" s="997">
        <f t="shared" si="14"/>
        <v>955</v>
      </c>
      <c r="B956" s="983" t="s">
        <v>2709</v>
      </c>
      <c r="C956" s="999"/>
      <c r="I956" s="983" t="s">
        <v>1278</v>
      </c>
    </row>
    <row r="957" spans="1:9" x14ac:dyDescent="0.2">
      <c r="A957" s="997">
        <f t="shared" si="14"/>
        <v>956</v>
      </c>
      <c r="B957" s="983" t="s">
        <v>2709</v>
      </c>
      <c r="C957" s="1000"/>
      <c r="H957" s="983" t="s">
        <v>1108</v>
      </c>
    </row>
    <row r="958" spans="1:9" x14ac:dyDescent="0.2">
      <c r="A958" s="997">
        <f t="shared" si="14"/>
        <v>957</v>
      </c>
      <c r="B958" s="983" t="s">
        <v>2709</v>
      </c>
      <c r="C958" s="1001"/>
      <c r="H958" s="983" t="str">
        <f>CONCATENATE("&lt;valeur&gt;",Cellule_147,"&lt;/valeur&gt;")</f>
        <v>&lt;valeur&gt;0&lt;/valeur&gt;</v>
      </c>
    </row>
    <row r="959" spans="1:9" x14ac:dyDescent="0.2">
      <c r="A959" s="997">
        <f t="shared" si="14"/>
        <v>958</v>
      </c>
      <c r="B959" s="983" t="s">
        <v>2709</v>
      </c>
      <c r="C959" s="1000"/>
      <c r="G959" s="983" t="s">
        <v>1109</v>
      </c>
    </row>
    <row r="960" spans="1:9" x14ac:dyDescent="0.2">
      <c r="A960" s="997">
        <f t="shared" si="14"/>
        <v>959</v>
      </c>
      <c r="B960" s="983" t="s">
        <v>2709</v>
      </c>
      <c r="C960" s="1000"/>
      <c r="G960" s="983" t="s">
        <v>1106</v>
      </c>
    </row>
    <row r="961" spans="1:9" x14ac:dyDescent="0.2">
      <c r="A961" s="997">
        <f t="shared" si="14"/>
        <v>960</v>
      </c>
      <c r="B961" s="983" t="s">
        <v>2709</v>
      </c>
      <c r="C961" s="999"/>
      <c r="H961" s="983" t="s">
        <v>1107</v>
      </c>
    </row>
    <row r="962" spans="1:9" x14ac:dyDescent="0.2">
      <c r="A962" s="997">
        <f t="shared" si="14"/>
        <v>961</v>
      </c>
      <c r="B962" s="983" t="s">
        <v>2709</v>
      </c>
      <c r="C962" s="999"/>
      <c r="I962" s="983" t="s">
        <v>1279</v>
      </c>
    </row>
    <row r="963" spans="1:9" x14ac:dyDescent="0.2">
      <c r="A963" s="997">
        <f t="shared" si="14"/>
        <v>962</v>
      </c>
      <c r="B963" s="983" t="s">
        <v>2709</v>
      </c>
      <c r="C963" s="1000"/>
      <c r="H963" s="983" t="s">
        <v>1108</v>
      </c>
    </row>
    <row r="964" spans="1:9" x14ac:dyDescent="0.2">
      <c r="A964" s="997">
        <f t="shared" ref="A964:A1027" si="15">+A963+1</f>
        <v>963</v>
      </c>
      <c r="B964" s="983" t="s">
        <v>2709</v>
      </c>
      <c r="C964" s="1001"/>
      <c r="H964" s="983" t="str">
        <f>CONCATENATE("&lt;valeur&gt;",Cellule_148,"&lt;/valeur&gt;")</f>
        <v>&lt;valeur&gt;0&lt;/valeur&gt;</v>
      </c>
    </row>
    <row r="965" spans="1:9" x14ac:dyDescent="0.2">
      <c r="A965" s="997">
        <f t="shared" si="15"/>
        <v>964</v>
      </c>
      <c r="B965" s="983" t="s">
        <v>2709</v>
      </c>
      <c r="C965" s="1000"/>
      <c r="G965" s="983" t="s">
        <v>1109</v>
      </c>
    </row>
    <row r="966" spans="1:9" x14ac:dyDescent="0.2">
      <c r="A966" s="997">
        <f t="shared" si="15"/>
        <v>965</v>
      </c>
      <c r="B966" s="983" t="s">
        <v>2709</v>
      </c>
      <c r="C966" s="1000"/>
      <c r="G966" s="983" t="s">
        <v>1106</v>
      </c>
    </row>
    <row r="967" spans="1:9" x14ac:dyDescent="0.2">
      <c r="A967" s="997">
        <f t="shared" si="15"/>
        <v>966</v>
      </c>
      <c r="B967" s="983" t="s">
        <v>2709</v>
      </c>
      <c r="C967" s="999"/>
      <c r="H967" s="983" t="s">
        <v>1107</v>
      </c>
    </row>
    <row r="968" spans="1:9" x14ac:dyDescent="0.2">
      <c r="A968" s="997">
        <f t="shared" si="15"/>
        <v>967</v>
      </c>
      <c r="B968" s="983" t="s">
        <v>2709</v>
      </c>
      <c r="C968" s="999"/>
      <c r="I968" s="983" t="s">
        <v>1280</v>
      </c>
    </row>
    <row r="969" spans="1:9" x14ac:dyDescent="0.2">
      <c r="A969" s="997">
        <f t="shared" si="15"/>
        <v>968</v>
      </c>
      <c r="B969" s="983" t="s">
        <v>2709</v>
      </c>
      <c r="C969" s="1000"/>
      <c r="H969" s="983" t="s">
        <v>1108</v>
      </c>
    </row>
    <row r="970" spans="1:9" x14ac:dyDescent="0.2">
      <c r="A970" s="997">
        <f t="shared" si="15"/>
        <v>969</v>
      </c>
      <c r="B970" s="983" t="s">
        <v>2709</v>
      </c>
      <c r="C970" s="1001"/>
      <c r="H970" s="983" t="str">
        <f>CONCATENATE("&lt;valeur&gt;",Cellule_149,"&lt;/valeur&gt;")</f>
        <v>&lt;valeur&gt;0&lt;/valeur&gt;</v>
      </c>
    </row>
    <row r="971" spans="1:9" x14ac:dyDescent="0.2">
      <c r="A971" s="997">
        <f t="shared" si="15"/>
        <v>970</v>
      </c>
      <c r="B971" s="983" t="s">
        <v>2709</v>
      </c>
      <c r="C971" s="1000"/>
      <c r="G971" s="983" t="s">
        <v>1109</v>
      </c>
    </row>
    <row r="972" spans="1:9" x14ac:dyDescent="0.2">
      <c r="A972" s="997">
        <f t="shared" si="15"/>
        <v>971</v>
      </c>
      <c r="B972" s="983" t="s">
        <v>2709</v>
      </c>
      <c r="C972" s="1000"/>
      <c r="G972" s="983" t="s">
        <v>1106</v>
      </c>
    </row>
    <row r="973" spans="1:9" x14ac:dyDescent="0.2">
      <c r="A973" s="997">
        <f t="shared" si="15"/>
        <v>972</v>
      </c>
      <c r="B973" s="983" t="s">
        <v>2709</v>
      </c>
      <c r="C973" s="999"/>
      <c r="H973" s="983" t="s">
        <v>1107</v>
      </c>
    </row>
    <row r="974" spans="1:9" x14ac:dyDescent="0.2">
      <c r="A974" s="997">
        <f t="shared" si="15"/>
        <v>973</v>
      </c>
      <c r="B974" s="983" t="s">
        <v>2709</v>
      </c>
      <c r="C974" s="999"/>
      <c r="I974" s="983" t="s">
        <v>1281</v>
      </c>
    </row>
    <row r="975" spans="1:9" x14ac:dyDescent="0.2">
      <c r="A975" s="997">
        <f t="shared" si="15"/>
        <v>974</v>
      </c>
      <c r="B975" s="983" t="s">
        <v>2709</v>
      </c>
      <c r="C975" s="1000"/>
      <c r="H975" s="983" t="s">
        <v>1108</v>
      </c>
    </row>
    <row r="976" spans="1:9" x14ac:dyDescent="0.2">
      <c r="A976" s="997">
        <f t="shared" si="15"/>
        <v>975</v>
      </c>
      <c r="B976" s="983" t="s">
        <v>2709</v>
      </c>
      <c r="C976" s="1001"/>
      <c r="H976" s="983" t="str">
        <f>CONCATENATE("&lt;valeur&gt;",Cellule_530,"&lt;/valeur&gt;")</f>
        <v>&lt;valeur&gt;34,53&lt;/valeur&gt;</v>
      </c>
    </row>
    <row r="977" spans="1:9" x14ac:dyDescent="0.2">
      <c r="A977" s="997">
        <f t="shared" si="15"/>
        <v>976</v>
      </c>
      <c r="B977" s="983" t="s">
        <v>2709</v>
      </c>
      <c r="C977" s="1000"/>
      <c r="G977" s="983" t="s">
        <v>1109</v>
      </c>
    </row>
    <row r="978" spans="1:9" x14ac:dyDescent="0.2">
      <c r="A978" s="997">
        <f t="shared" si="15"/>
        <v>977</v>
      </c>
      <c r="B978" s="983" t="s">
        <v>2709</v>
      </c>
      <c r="C978" s="1000"/>
      <c r="G978" s="983" t="s">
        <v>1106</v>
      </c>
    </row>
    <row r="979" spans="1:9" x14ac:dyDescent="0.2">
      <c r="A979" s="997">
        <f t="shared" si="15"/>
        <v>978</v>
      </c>
      <c r="B979" s="983" t="s">
        <v>2709</v>
      </c>
      <c r="C979" s="999"/>
      <c r="H979" s="983" t="s">
        <v>1107</v>
      </c>
    </row>
    <row r="980" spans="1:9" x14ac:dyDescent="0.2">
      <c r="A980" s="997">
        <f t="shared" si="15"/>
        <v>979</v>
      </c>
      <c r="B980" s="983" t="s">
        <v>2709</v>
      </c>
      <c r="C980" s="999"/>
      <c r="I980" s="983" t="s">
        <v>1282</v>
      </c>
    </row>
    <row r="981" spans="1:9" x14ac:dyDescent="0.2">
      <c r="A981" s="997">
        <f t="shared" si="15"/>
        <v>980</v>
      </c>
      <c r="B981" s="983" t="s">
        <v>2709</v>
      </c>
      <c r="C981" s="1000"/>
      <c r="H981" s="983" t="s">
        <v>1108</v>
      </c>
    </row>
    <row r="982" spans="1:9" x14ac:dyDescent="0.2">
      <c r="A982" s="997">
        <f t="shared" si="15"/>
        <v>981</v>
      </c>
      <c r="B982" s="983" t="s">
        <v>2709</v>
      </c>
      <c r="C982" s="1001"/>
      <c r="H982" s="983" t="str">
        <f>CONCATENATE("&lt;valeur&gt;",Cellule_181,"&lt;/valeur&gt;")</f>
        <v>&lt;valeur&gt;0&lt;/valeur&gt;</v>
      </c>
    </row>
    <row r="983" spans="1:9" x14ac:dyDescent="0.2">
      <c r="A983" s="997">
        <f t="shared" si="15"/>
        <v>982</v>
      </c>
      <c r="B983" s="983" t="s">
        <v>2709</v>
      </c>
      <c r="C983" s="1000"/>
      <c r="G983" s="983" t="s">
        <v>1109</v>
      </c>
    </row>
    <row r="984" spans="1:9" x14ac:dyDescent="0.2">
      <c r="A984" s="997">
        <f t="shared" si="15"/>
        <v>983</v>
      </c>
      <c r="B984" s="983" t="s">
        <v>2709</v>
      </c>
      <c r="C984" s="1000"/>
      <c r="G984" s="983" t="s">
        <v>1106</v>
      </c>
    </row>
    <row r="985" spans="1:9" x14ac:dyDescent="0.2">
      <c r="A985" s="997">
        <f t="shared" si="15"/>
        <v>984</v>
      </c>
      <c r="B985" s="983" t="s">
        <v>2709</v>
      </c>
      <c r="C985" s="999"/>
      <c r="H985" s="983" t="s">
        <v>1107</v>
      </c>
    </row>
    <row r="986" spans="1:9" x14ac:dyDescent="0.2">
      <c r="A986" s="997">
        <f t="shared" si="15"/>
        <v>985</v>
      </c>
      <c r="B986" s="983" t="s">
        <v>2709</v>
      </c>
      <c r="C986" s="999"/>
      <c r="I986" s="983" t="s">
        <v>1283</v>
      </c>
    </row>
    <row r="987" spans="1:9" x14ac:dyDescent="0.2">
      <c r="A987" s="997">
        <f t="shared" si="15"/>
        <v>986</v>
      </c>
      <c r="B987" s="983" t="s">
        <v>2709</v>
      </c>
      <c r="C987" s="1000"/>
      <c r="H987" s="983" t="s">
        <v>1108</v>
      </c>
    </row>
    <row r="988" spans="1:9" x14ac:dyDescent="0.2">
      <c r="A988" s="997">
        <f t="shared" si="15"/>
        <v>987</v>
      </c>
      <c r="B988" s="983" t="s">
        <v>2709</v>
      </c>
      <c r="C988" s="1001"/>
      <c r="H988" s="983" t="str">
        <f>CONCATENATE("&lt;valeur&gt;",Cellule_182,"&lt;/valeur&gt;")</f>
        <v>&lt;valeur&gt;0&lt;/valeur&gt;</v>
      </c>
    </row>
    <row r="989" spans="1:9" x14ac:dyDescent="0.2">
      <c r="A989" s="997">
        <f t="shared" si="15"/>
        <v>988</v>
      </c>
      <c r="B989" s="983" t="s">
        <v>2709</v>
      </c>
      <c r="C989" s="1000"/>
      <c r="G989" s="983" t="s">
        <v>1109</v>
      </c>
    </row>
    <row r="990" spans="1:9" x14ac:dyDescent="0.2">
      <c r="A990" s="997">
        <f t="shared" si="15"/>
        <v>989</v>
      </c>
      <c r="B990" s="983" t="s">
        <v>2709</v>
      </c>
      <c r="C990" s="1000"/>
      <c r="G990" s="983" t="s">
        <v>1106</v>
      </c>
    </row>
    <row r="991" spans="1:9" x14ac:dyDescent="0.2">
      <c r="A991" s="997">
        <f t="shared" si="15"/>
        <v>990</v>
      </c>
      <c r="B991" s="983" t="s">
        <v>2709</v>
      </c>
      <c r="C991" s="999"/>
      <c r="H991" s="983" t="s">
        <v>1107</v>
      </c>
    </row>
    <row r="992" spans="1:9" x14ac:dyDescent="0.2">
      <c r="A992" s="997">
        <f t="shared" si="15"/>
        <v>991</v>
      </c>
      <c r="B992" s="983" t="s">
        <v>2709</v>
      </c>
      <c r="C992" s="999"/>
      <c r="I992" s="983" t="s">
        <v>1284</v>
      </c>
    </row>
    <row r="993" spans="1:9" x14ac:dyDescent="0.2">
      <c r="A993" s="997">
        <f t="shared" si="15"/>
        <v>992</v>
      </c>
      <c r="B993" s="983" t="s">
        <v>2709</v>
      </c>
      <c r="C993" s="1000"/>
      <c r="H993" s="983" t="s">
        <v>1108</v>
      </c>
    </row>
    <row r="994" spans="1:9" x14ac:dyDescent="0.2">
      <c r="A994" s="997">
        <f t="shared" si="15"/>
        <v>993</v>
      </c>
      <c r="B994" s="983" t="s">
        <v>2709</v>
      </c>
      <c r="C994" s="1001"/>
      <c r="H994" s="983" t="str">
        <f>CONCATENATE("&lt;valeur&gt;",Cellule_183,"&lt;/valeur&gt;")</f>
        <v>&lt;valeur&gt;0&lt;/valeur&gt;</v>
      </c>
    </row>
    <row r="995" spans="1:9" x14ac:dyDescent="0.2">
      <c r="A995" s="997">
        <f t="shared" si="15"/>
        <v>994</v>
      </c>
      <c r="B995" s="983" t="s">
        <v>2709</v>
      </c>
      <c r="C995" s="1000"/>
      <c r="G995" s="983" t="s">
        <v>1109</v>
      </c>
    </row>
    <row r="996" spans="1:9" x14ac:dyDescent="0.2">
      <c r="A996" s="997">
        <f t="shared" si="15"/>
        <v>995</v>
      </c>
      <c r="B996" s="983" t="s">
        <v>2709</v>
      </c>
      <c r="C996" s="1000"/>
      <c r="G996" s="983" t="s">
        <v>1106</v>
      </c>
    </row>
    <row r="997" spans="1:9" x14ac:dyDescent="0.2">
      <c r="A997" s="997">
        <f t="shared" si="15"/>
        <v>996</v>
      </c>
      <c r="B997" s="983" t="s">
        <v>2709</v>
      </c>
      <c r="C997" s="999"/>
      <c r="H997" s="983" t="s">
        <v>1107</v>
      </c>
    </row>
    <row r="998" spans="1:9" x14ac:dyDescent="0.2">
      <c r="A998" s="997">
        <f t="shared" si="15"/>
        <v>997</v>
      </c>
      <c r="B998" s="983" t="s">
        <v>2709</v>
      </c>
      <c r="C998" s="999"/>
      <c r="I998" s="983" t="s">
        <v>1285</v>
      </c>
    </row>
    <row r="999" spans="1:9" x14ac:dyDescent="0.2">
      <c r="A999" s="997">
        <f t="shared" si="15"/>
        <v>998</v>
      </c>
      <c r="B999" s="983" t="s">
        <v>2709</v>
      </c>
      <c r="C999" s="1000"/>
      <c r="H999" s="983" t="s">
        <v>1108</v>
      </c>
    </row>
    <row r="1000" spans="1:9" x14ac:dyDescent="0.2">
      <c r="A1000" s="997">
        <f t="shared" si="15"/>
        <v>999</v>
      </c>
      <c r="B1000" s="983" t="s">
        <v>2709</v>
      </c>
      <c r="C1000" s="1001"/>
      <c r="H1000" s="983" t="str">
        <f>CONCATENATE("&lt;valeur&gt;",Cellule_184,"&lt;/valeur&gt;")</f>
        <v>&lt;valeur&gt;0&lt;/valeur&gt;</v>
      </c>
    </row>
    <row r="1001" spans="1:9" x14ac:dyDescent="0.2">
      <c r="A1001" s="997">
        <f t="shared" si="15"/>
        <v>1000</v>
      </c>
      <c r="B1001" s="983" t="s">
        <v>2709</v>
      </c>
      <c r="C1001" s="1000"/>
      <c r="G1001" s="983" t="s">
        <v>1109</v>
      </c>
    </row>
    <row r="1002" spans="1:9" x14ac:dyDescent="0.2">
      <c r="A1002" s="997">
        <f t="shared" si="15"/>
        <v>1001</v>
      </c>
      <c r="B1002" s="983" t="s">
        <v>2709</v>
      </c>
      <c r="C1002" s="1000"/>
      <c r="G1002" s="983" t="s">
        <v>1106</v>
      </c>
    </row>
    <row r="1003" spans="1:9" x14ac:dyDescent="0.2">
      <c r="A1003" s="997">
        <f t="shared" si="15"/>
        <v>1002</v>
      </c>
      <c r="B1003" s="983" t="s">
        <v>2709</v>
      </c>
      <c r="C1003" s="999"/>
      <c r="H1003" s="983" t="s">
        <v>1107</v>
      </c>
    </row>
    <row r="1004" spans="1:9" x14ac:dyDescent="0.2">
      <c r="A1004" s="997">
        <f t="shared" si="15"/>
        <v>1003</v>
      </c>
      <c r="B1004" s="983" t="s">
        <v>2709</v>
      </c>
      <c r="C1004" s="999"/>
      <c r="I1004" s="983" t="s">
        <v>1286</v>
      </c>
    </row>
    <row r="1005" spans="1:9" x14ac:dyDescent="0.2">
      <c r="A1005" s="997">
        <f t="shared" si="15"/>
        <v>1004</v>
      </c>
      <c r="B1005" s="983" t="s">
        <v>2709</v>
      </c>
      <c r="C1005" s="1000"/>
      <c r="H1005" s="983" t="s">
        <v>1108</v>
      </c>
    </row>
    <row r="1006" spans="1:9" x14ac:dyDescent="0.2">
      <c r="A1006" s="997">
        <f t="shared" si="15"/>
        <v>1005</v>
      </c>
      <c r="B1006" s="983" t="s">
        <v>2709</v>
      </c>
      <c r="C1006" s="1001"/>
      <c r="H1006" s="983" t="str">
        <f>CONCATENATE("&lt;valeur&gt;",Cellule_151,"&lt;/valeur&gt;")</f>
        <v>&lt;valeur&gt;0&lt;/valeur&gt;</v>
      </c>
    </row>
    <row r="1007" spans="1:9" x14ac:dyDescent="0.2">
      <c r="A1007" s="997">
        <f t="shared" si="15"/>
        <v>1006</v>
      </c>
      <c r="B1007" s="983" t="s">
        <v>2709</v>
      </c>
      <c r="C1007" s="1000"/>
      <c r="G1007" s="983" t="s">
        <v>1109</v>
      </c>
    </row>
    <row r="1008" spans="1:9" x14ac:dyDescent="0.2">
      <c r="A1008" s="997">
        <f t="shared" si="15"/>
        <v>1007</v>
      </c>
      <c r="B1008" s="983" t="s">
        <v>2709</v>
      </c>
      <c r="C1008" s="1000"/>
      <c r="G1008" s="983" t="s">
        <v>1106</v>
      </c>
    </row>
    <row r="1009" spans="1:9" x14ac:dyDescent="0.2">
      <c r="A1009" s="997">
        <f t="shared" si="15"/>
        <v>1008</v>
      </c>
      <c r="B1009" s="983" t="s">
        <v>2709</v>
      </c>
      <c r="C1009" s="999"/>
      <c r="H1009" s="983" t="s">
        <v>1107</v>
      </c>
    </row>
    <row r="1010" spans="1:9" x14ac:dyDescent="0.2">
      <c r="A1010" s="997">
        <f t="shared" si="15"/>
        <v>1009</v>
      </c>
      <c r="B1010" s="983" t="s">
        <v>2709</v>
      </c>
      <c r="C1010" s="999"/>
      <c r="I1010" s="983" t="s">
        <v>1287</v>
      </c>
    </row>
    <row r="1011" spans="1:9" x14ac:dyDescent="0.2">
      <c r="A1011" s="997">
        <f t="shared" si="15"/>
        <v>1010</v>
      </c>
      <c r="B1011" s="983" t="s">
        <v>2709</v>
      </c>
      <c r="C1011" s="1000"/>
      <c r="H1011" s="983" t="s">
        <v>1108</v>
      </c>
    </row>
    <row r="1012" spans="1:9" x14ac:dyDescent="0.2">
      <c r="A1012" s="997">
        <f t="shared" si="15"/>
        <v>1011</v>
      </c>
      <c r="B1012" s="983" t="s">
        <v>2709</v>
      </c>
      <c r="C1012" s="1001"/>
      <c r="H1012" s="983" t="str">
        <f>CONCATENATE("&lt;valeur&gt;",Cellule_152,"&lt;/valeur&gt;")</f>
        <v>&lt;valeur&gt;&lt;/valeur&gt;</v>
      </c>
    </row>
    <row r="1013" spans="1:9" x14ac:dyDescent="0.2">
      <c r="A1013" s="997">
        <f t="shared" si="15"/>
        <v>1012</v>
      </c>
      <c r="B1013" s="983" t="s">
        <v>2709</v>
      </c>
      <c r="C1013" s="1000"/>
      <c r="G1013" s="983" t="s">
        <v>1109</v>
      </c>
    </row>
    <row r="1014" spans="1:9" x14ac:dyDescent="0.2">
      <c r="A1014" s="997">
        <f t="shared" si="15"/>
        <v>1013</v>
      </c>
      <c r="B1014" s="983" t="s">
        <v>2709</v>
      </c>
      <c r="C1014" s="1000"/>
      <c r="G1014" s="983" t="s">
        <v>1106</v>
      </c>
    </row>
    <row r="1015" spans="1:9" x14ac:dyDescent="0.2">
      <c r="A1015" s="997">
        <f t="shared" si="15"/>
        <v>1014</v>
      </c>
      <c r="B1015" s="983" t="s">
        <v>2709</v>
      </c>
      <c r="C1015" s="999"/>
      <c r="H1015" s="983" t="s">
        <v>1107</v>
      </c>
    </row>
    <row r="1016" spans="1:9" x14ac:dyDescent="0.2">
      <c r="A1016" s="997">
        <f t="shared" si="15"/>
        <v>1015</v>
      </c>
      <c r="B1016" s="983" t="s">
        <v>2709</v>
      </c>
      <c r="C1016" s="999"/>
      <c r="I1016" s="983" t="s">
        <v>1288</v>
      </c>
    </row>
    <row r="1017" spans="1:9" x14ac:dyDescent="0.2">
      <c r="A1017" s="997">
        <f t="shared" si="15"/>
        <v>1016</v>
      </c>
      <c r="B1017" s="983" t="s">
        <v>2709</v>
      </c>
      <c r="C1017" s="1000"/>
      <c r="H1017" s="983" t="s">
        <v>1108</v>
      </c>
    </row>
    <row r="1018" spans="1:9" x14ac:dyDescent="0.2">
      <c r="A1018" s="997">
        <f t="shared" si="15"/>
        <v>1017</v>
      </c>
      <c r="B1018" s="983" t="s">
        <v>2709</v>
      </c>
      <c r="C1018" s="1001"/>
      <c r="H1018" s="983" t="str">
        <f>CONCATENATE("&lt;valeur&gt;",Cellule_153,"&lt;/valeur&gt;")</f>
        <v>&lt;valeur&gt;0&lt;/valeur&gt;</v>
      </c>
    </row>
    <row r="1019" spans="1:9" x14ac:dyDescent="0.2">
      <c r="A1019" s="997">
        <f t="shared" si="15"/>
        <v>1018</v>
      </c>
      <c r="B1019" s="983" t="s">
        <v>2709</v>
      </c>
      <c r="C1019" s="1000"/>
      <c r="G1019" s="983" t="s">
        <v>1109</v>
      </c>
    </row>
    <row r="1020" spans="1:9" x14ac:dyDescent="0.2">
      <c r="A1020" s="997">
        <f t="shared" si="15"/>
        <v>1019</v>
      </c>
      <c r="B1020" s="983" t="s">
        <v>2709</v>
      </c>
      <c r="C1020" s="1000"/>
      <c r="G1020" s="983" t="s">
        <v>1106</v>
      </c>
    </row>
    <row r="1021" spans="1:9" x14ac:dyDescent="0.2">
      <c r="A1021" s="997">
        <f t="shared" si="15"/>
        <v>1020</v>
      </c>
      <c r="B1021" s="983" t="s">
        <v>2709</v>
      </c>
      <c r="C1021" s="999"/>
      <c r="H1021" s="983" t="s">
        <v>1107</v>
      </c>
    </row>
    <row r="1022" spans="1:9" x14ac:dyDescent="0.2">
      <c r="A1022" s="997">
        <f t="shared" si="15"/>
        <v>1021</v>
      </c>
      <c r="B1022" s="983" t="s">
        <v>2709</v>
      </c>
      <c r="C1022" s="999"/>
      <c r="I1022" s="983" t="s">
        <v>1289</v>
      </c>
    </row>
    <row r="1023" spans="1:9" x14ac:dyDescent="0.2">
      <c r="A1023" s="997">
        <f t="shared" si="15"/>
        <v>1022</v>
      </c>
      <c r="B1023" s="983" t="s">
        <v>2709</v>
      </c>
      <c r="C1023" s="1000"/>
      <c r="H1023" s="983" t="s">
        <v>1108</v>
      </c>
    </row>
    <row r="1024" spans="1:9" x14ac:dyDescent="0.2">
      <c r="A1024" s="997">
        <f t="shared" si="15"/>
        <v>1023</v>
      </c>
      <c r="B1024" s="983" t="s">
        <v>2709</v>
      </c>
      <c r="C1024" s="1001"/>
      <c r="H1024" s="983" t="str">
        <f>CONCATENATE("&lt;valeur&gt;",Cellule_154,"&lt;/valeur&gt;")</f>
        <v>&lt;valeur&gt;0&lt;/valeur&gt;</v>
      </c>
    </row>
    <row r="1025" spans="1:9" x14ac:dyDescent="0.2">
      <c r="A1025" s="997">
        <f t="shared" si="15"/>
        <v>1024</v>
      </c>
      <c r="B1025" s="983" t="s">
        <v>2709</v>
      </c>
      <c r="C1025" s="1000"/>
      <c r="G1025" s="983" t="s">
        <v>1109</v>
      </c>
    </row>
    <row r="1026" spans="1:9" x14ac:dyDescent="0.2">
      <c r="A1026" s="997">
        <f t="shared" si="15"/>
        <v>1025</v>
      </c>
      <c r="B1026" s="983" t="s">
        <v>2709</v>
      </c>
      <c r="C1026" s="1000"/>
      <c r="G1026" s="983" t="s">
        <v>1106</v>
      </c>
    </row>
    <row r="1027" spans="1:9" x14ac:dyDescent="0.2">
      <c r="A1027" s="997">
        <f t="shared" si="15"/>
        <v>1026</v>
      </c>
      <c r="B1027" s="983" t="s">
        <v>2709</v>
      </c>
      <c r="C1027" s="999"/>
      <c r="H1027" s="983" t="s">
        <v>1107</v>
      </c>
    </row>
    <row r="1028" spans="1:9" x14ac:dyDescent="0.2">
      <c r="A1028" s="997">
        <f t="shared" ref="A1028:A1091" si="16">+A1027+1</f>
        <v>1027</v>
      </c>
      <c r="B1028" s="983" t="s">
        <v>2709</v>
      </c>
      <c r="C1028" s="999"/>
      <c r="I1028" s="983" t="s">
        <v>1290</v>
      </c>
    </row>
    <row r="1029" spans="1:9" x14ac:dyDescent="0.2">
      <c r="A1029" s="997">
        <f t="shared" si="16"/>
        <v>1028</v>
      </c>
      <c r="B1029" s="983" t="s">
        <v>2709</v>
      </c>
      <c r="C1029" s="1000"/>
      <c r="H1029" s="983" t="s">
        <v>1108</v>
      </c>
    </row>
    <row r="1030" spans="1:9" x14ac:dyDescent="0.2">
      <c r="A1030" s="997">
        <f t="shared" si="16"/>
        <v>1029</v>
      </c>
      <c r="B1030" s="983" t="s">
        <v>2709</v>
      </c>
      <c r="C1030" s="1001"/>
      <c r="H1030" s="983" t="str">
        <f>CONCATENATE("&lt;valeur&gt;",Cellule_296,"&lt;/valeur&gt;")</f>
        <v>&lt;valeur&gt;308800,72&lt;/valeur&gt;</v>
      </c>
    </row>
    <row r="1031" spans="1:9" x14ac:dyDescent="0.2">
      <c r="A1031" s="997">
        <f t="shared" si="16"/>
        <v>1030</v>
      </c>
      <c r="B1031" s="983" t="s">
        <v>2709</v>
      </c>
      <c r="C1031" s="1000"/>
      <c r="G1031" s="983" t="s">
        <v>1109</v>
      </c>
    </row>
    <row r="1032" spans="1:9" x14ac:dyDescent="0.2">
      <c r="A1032" s="997">
        <f t="shared" si="16"/>
        <v>1031</v>
      </c>
      <c r="B1032" s="983" t="s">
        <v>2709</v>
      </c>
      <c r="C1032" s="1000"/>
      <c r="G1032" s="983" t="s">
        <v>1106</v>
      </c>
    </row>
    <row r="1033" spans="1:9" x14ac:dyDescent="0.2">
      <c r="A1033" s="997">
        <f t="shared" si="16"/>
        <v>1032</v>
      </c>
      <c r="B1033" s="983" t="s">
        <v>2709</v>
      </c>
      <c r="C1033" s="999"/>
      <c r="H1033" s="983" t="s">
        <v>1107</v>
      </c>
    </row>
    <row r="1034" spans="1:9" x14ac:dyDescent="0.2">
      <c r="A1034" s="997">
        <f t="shared" si="16"/>
        <v>1033</v>
      </c>
      <c r="B1034" s="983" t="s">
        <v>2709</v>
      </c>
      <c r="C1034" s="999"/>
      <c r="I1034" s="983" t="s">
        <v>1291</v>
      </c>
    </row>
    <row r="1035" spans="1:9" x14ac:dyDescent="0.2">
      <c r="A1035" s="997">
        <f t="shared" si="16"/>
        <v>1034</v>
      </c>
      <c r="B1035" s="983" t="s">
        <v>2709</v>
      </c>
      <c r="C1035" s="1000"/>
      <c r="H1035" s="983" t="s">
        <v>1108</v>
      </c>
    </row>
    <row r="1036" spans="1:9" x14ac:dyDescent="0.2">
      <c r="A1036" s="997">
        <f t="shared" si="16"/>
        <v>1035</v>
      </c>
      <c r="B1036" s="983" t="s">
        <v>2709</v>
      </c>
      <c r="C1036" s="1001"/>
      <c r="H1036" s="983" t="str">
        <f>CONCATENATE("&lt;valeur&gt;",Cellule_297,"&lt;/valeur&gt;")</f>
        <v>&lt;valeur&gt;0&lt;/valeur&gt;</v>
      </c>
    </row>
    <row r="1037" spans="1:9" x14ac:dyDescent="0.2">
      <c r="A1037" s="997">
        <f t="shared" si="16"/>
        <v>1036</v>
      </c>
      <c r="B1037" s="983" t="s">
        <v>2709</v>
      </c>
      <c r="C1037" s="1000"/>
      <c r="G1037" s="983" t="s">
        <v>1109</v>
      </c>
    </row>
    <row r="1038" spans="1:9" x14ac:dyDescent="0.2">
      <c r="A1038" s="997">
        <f t="shared" si="16"/>
        <v>1037</v>
      </c>
      <c r="B1038" s="983" t="s">
        <v>2709</v>
      </c>
      <c r="C1038" s="1000"/>
      <c r="G1038" s="983" t="s">
        <v>1106</v>
      </c>
    </row>
    <row r="1039" spans="1:9" x14ac:dyDescent="0.2">
      <c r="A1039" s="997">
        <f t="shared" si="16"/>
        <v>1038</v>
      </c>
      <c r="B1039" s="983" t="s">
        <v>2709</v>
      </c>
      <c r="C1039" s="999"/>
      <c r="H1039" s="983" t="s">
        <v>1107</v>
      </c>
    </row>
    <row r="1040" spans="1:9" x14ac:dyDescent="0.2">
      <c r="A1040" s="997">
        <f t="shared" si="16"/>
        <v>1039</v>
      </c>
      <c r="B1040" s="983" t="s">
        <v>2709</v>
      </c>
      <c r="C1040" s="999"/>
      <c r="I1040" s="983" t="s">
        <v>1292</v>
      </c>
    </row>
    <row r="1041" spans="1:9" x14ac:dyDescent="0.2">
      <c r="A1041" s="997">
        <f t="shared" si="16"/>
        <v>1040</v>
      </c>
      <c r="B1041" s="983" t="s">
        <v>2709</v>
      </c>
      <c r="C1041" s="1000"/>
      <c r="H1041" s="983" t="s">
        <v>1108</v>
      </c>
    </row>
    <row r="1042" spans="1:9" x14ac:dyDescent="0.2">
      <c r="A1042" s="997">
        <f t="shared" si="16"/>
        <v>1041</v>
      </c>
      <c r="B1042" s="983" t="s">
        <v>2709</v>
      </c>
      <c r="C1042" s="1001"/>
      <c r="H1042" s="983" t="str">
        <f>CONCATENATE("&lt;valeur&gt;",Cellule_298,"&lt;/valeur&gt;")</f>
        <v>&lt;valeur&gt;308800,72&lt;/valeur&gt;</v>
      </c>
    </row>
    <row r="1043" spans="1:9" x14ac:dyDescent="0.2">
      <c r="A1043" s="997">
        <f t="shared" si="16"/>
        <v>1042</v>
      </c>
      <c r="B1043" s="983" t="s">
        <v>2709</v>
      </c>
      <c r="C1043" s="1000"/>
      <c r="G1043" s="983" t="s">
        <v>1109</v>
      </c>
    </row>
    <row r="1044" spans="1:9" x14ac:dyDescent="0.2">
      <c r="A1044" s="997">
        <f t="shared" si="16"/>
        <v>1043</v>
      </c>
      <c r="B1044" s="983" t="s">
        <v>2709</v>
      </c>
      <c r="C1044" s="1000"/>
      <c r="G1044" s="983" t="s">
        <v>1106</v>
      </c>
    </row>
    <row r="1045" spans="1:9" x14ac:dyDescent="0.2">
      <c r="A1045" s="997">
        <f t="shared" si="16"/>
        <v>1044</v>
      </c>
      <c r="B1045" s="983" t="s">
        <v>2709</v>
      </c>
      <c r="C1045" s="999"/>
      <c r="H1045" s="983" t="s">
        <v>1107</v>
      </c>
    </row>
    <row r="1046" spans="1:9" x14ac:dyDescent="0.2">
      <c r="A1046" s="997">
        <f t="shared" si="16"/>
        <v>1045</v>
      </c>
      <c r="B1046" s="983" t="s">
        <v>2709</v>
      </c>
      <c r="C1046" s="999"/>
      <c r="I1046" s="983" t="s">
        <v>1293</v>
      </c>
    </row>
    <row r="1047" spans="1:9" x14ac:dyDescent="0.2">
      <c r="A1047" s="997">
        <f t="shared" si="16"/>
        <v>1046</v>
      </c>
      <c r="B1047" s="983" t="s">
        <v>2709</v>
      </c>
      <c r="C1047" s="1000"/>
      <c r="H1047" s="983" t="s">
        <v>1108</v>
      </c>
    </row>
    <row r="1048" spans="1:9" x14ac:dyDescent="0.2">
      <c r="A1048" s="997">
        <f t="shared" si="16"/>
        <v>1047</v>
      </c>
      <c r="B1048" s="983" t="s">
        <v>2709</v>
      </c>
      <c r="C1048" s="1001"/>
      <c r="H1048" s="983" t="str">
        <f>CONCATENATE("&lt;valeur&gt;",Cellule_299,"&lt;/valeur&gt;")</f>
        <v>&lt;valeur&gt;34,53&lt;/valeur&gt;</v>
      </c>
    </row>
    <row r="1049" spans="1:9" x14ac:dyDescent="0.2">
      <c r="A1049" s="997">
        <f t="shared" si="16"/>
        <v>1048</v>
      </c>
      <c r="B1049" s="983" t="s">
        <v>2709</v>
      </c>
      <c r="C1049" s="1000"/>
      <c r="G1049" s="983" t="s">
        <v>1109</v>
      </c>
    </row>
    <row r="1050" spans="1:9" x14ac:dyDescent="0.2">
      <c r="A1050" s="997">
        <f t="shared" si="16"/>
        <v>1049</v>
      </c>
      <c r="B1050" s="983" t="s">
        <v>2709</v>
      </c>
      <c r="C1050" s="1000"/>
      <c r="G1050" s="983" t="s">
        <v>1106</v>
      </c>
    </row>
    <row r="1051" spans="1:9" x14ac:dyDescent="0.2">
      <c r="A1051" s="997">
        <f t="shared" si="16"/>
        <v>1050</v>
      </c>
      <c r="B1051" s="983" t="s">
        <v>2709</v>
      </c>
      <c r="C1051" s="999"/>
      <c r="H1051" s="983" t="s">
        <v>1107</v>
      </c>
    </row>
    <row r="1052" spans="1:9" x14ac:dyDescent="0.2">
      <c r="A1052" s="997">
        <f t="shared" si="16"/>
        <v>1051</v>
      </c>
      <c r="B1052" s="983" t="s">
        <v>2709</v>
      </c>
      <c r="C1052" s="999"/>
      <c r="I1052" s="983" t="s">
        <v>1294</v>
      </c>
    </row>
    <row r="1053" spans="1:9" x14ac:dyDescent="0.2">
      <c r="A1053" s="997">
        <f t="shared" si="16"/>
        <v>1052</v>
      </c>
      <c r="B1053" s="983" t="s">
        <v>2709</v>
      </c>
      <c r="C1053" s="1000"/>
      <c r="H1053" s="983" t="s">
        <v>1108</v>
      </c>
    </row>
    <row r="1054" spans="1:9" x14ac:dyDescent="0.2">
      <c r="A1054" s="997">
        <f t="shared" si="16"/>
        <v>1053</v>
      </c>
      <c r="B1054" s="983" t="s">
        <v>2709</v>
      </c>
      <c r="C1054" s="1001"/>
      <c r="H1054" s="983" t="str">
        <f>CONCATENATE("&lt;valeur&gt;",Cellule_303,"&lt;/valeur&gt;")</f>
        <v>&lt;valeur&gt;0&lt;/valeur&gt;</v>
      </c>
    </row>
    <row r="1055" spans="1:9" x14ac:dyDescent="0.2">
      <c r="A1055" s="997">
        <f t="shared" si="16"/>
        <v>1054</v>
      </c>
      <c r="B1055" s="983" t="s">
        <v>2709</v>
      </c>
      <c r="C1055" s="1000"/>
      <c r="G1055" s="983" t="s">
        <v>1109</v>
      </c>
    </row>
    <row r="1056" spans="1:9" x14ac:dyDescent="0.2">
      <c r="A1056" s="997">
        <f t="shared" si="16"/>
        <v>1055</v>
      </c>
      <c r="B1056" s="983" t="s">
        <v>2709</v>
      </c>
      <c r="C1056" s="1000"/>
      <c r="G1056" s="983" t="s">
        <v>1106</v>
      </c>
    </row>
    <row r="1057" spans="1:9" x14ac:dyDescent="0.2">
      <c r="A1057" s="997">
        <f t="shared" si="16"/>
        <v>1056</v>
      </c>
      <c r="B1057" s="983" t="s">
        <v>2709</v>
      </c>
      <c r="C1057" s="999"/>
      <c r="H1057" s="983" t="s">
        <v>1107</v>
      </c>
    </row>
    <row r="1058" spans="1:9" x14ac:dyDescent="0.2">
      <c r="A1058" s="997">
        <f t="shared" si="16"/>
        <v>1057</v>
      </c>
      <c r="B1058" s="983" t="s">
        <v>2709</v>
      </c>
      <c r="C1058" s="999"/>
      <c r="I1058" s="983" t="s">
        <v>1295</v>
      </c>
    </row>
    <row r="1059" spans="1:9" x14ac:dyDescent="0.2">
      <c r="A1059" s="997">
        <f t="shared" si="16"/>
        <v>1058</v>
      </c>
      <c r="B1059" s="983" t="s">
        <v>2709</v>
      </c>
      <c r="C1059" s="1000"/>
      <c r="H1059" s="983" t="s">
        <v>1108</v>
      </c>
    </row>
    <row r="1060" spans="1:9" x14ac:dyDescent="0.2">
      <c r="A1060" s="997">
        <f t="shared" si="16"/>
        <v>1059</v>
      </c>
      <c r="B1060" s="983" t="s">
        <v>2709</v>
      </c>
      <c r="C1060" s="1001"/>
      <c r="H1060" s="983" t="str">
        <f>CONCATENATE("&lt;valeur&gt;",Cellule_304,"&lt;/valeur&gt;")</f>
        <v>&lt;valeur&gt;323,11&lt;/valeur&gt;</v>
      </c>
    </row>
    <row r="1061" spans="1:9" x14ac:dyDescent="0.2">
      <c r="A1061" s="997">
        <f t="shared" si="16"/>
        <v>1060</v>
      </c>
      <c r="B1061" s="983" t="s">
        <v>2709</v>
      </c>
      <c r="C1061" s="1000"/>
      <c r="G1061" s="983" t="s">
        <v>1109</v>
      </c>
    </row>
    <row r="1062" spans="1:9" x14ac:dyDescent="0.2">
      <c r="A1062" s="997">
        <f t="shared" si="16"/>
        <v>1061</v>
      </c>
      <c r="B1062" s="983" t="s">
        <v>2709</v>
      </c>
      <c r="C1062" s="1000"/>
      <c r="G1062" s="983" t="s">
        <v>1106</v>
      </c>
    </row>
    <row r="1063" spans="1:9" x14ac:dyDescent="0.2">
      <c r="A1063" s="997">
        <f t="shared" si="16"/>
        <v>1062</v>
      </c>
      <c r="B1063" s="983" t="s">
        <v>2709</v>
      </c>
      <c r="C1063" s="999"/>
      <c r="H1063" s="983" t="s">
        <v>1107</v>
      </c>
    </row>
    <row r="1064" spans="1:9" x14ac:dyDescent="0.2">
      <c r="A1064" s="997">
        <f t="shared" si="16"/>
        <v>1063</v>
      </c>
      <c r="B1064" s="983" t="s">
        <v>2709</v>
      </c>
      <c r="C1064" s="999"/>
      <c r="I1064" s="983" t="s">
        <v>1296</v>
      </c>
    </row>
    <row r="1065" spans="1:9" x14ac:dyDescent="0.2">
      <c r="A1065" s="997">
        <f t="shared" si="16"/>
        <v>1064</v>
      </c>
      <c r="B1065" s="983" t="s">
        <v>2709</v>
      </c>
      <c r="C1065" s="1000"/>
      <c r="H1065" s="983" t="s">
        <v>1108</v>
      </c>
    </row>
    <row r="1066" spans="1:9" x14ac:dyDescent="0.2">
      <c r="A1066" s="997">
        <f t="shared" si="16"/>
        <v>1065</v>
      </c>
      <c r="B1066" s="983" t="s">
        <v>2709</v>
      </c>
      <c r="C1066" s="1001"/>
      <c r="H1066" s="983" t="str">
        <f>CONCATENATE("&lt;valeur&gt;",Cellule_305,"&lt;/valeur&gt;")</f>
        <v>&lt;valeur&gt;169,43&lt;/valeur&gt;</v>
      </c>
    </row>
    <row r="1067" spans="1:9" x14ac:dyDescent="0.2">
      <c r="A1067" s="997">
        <f t="shared" si="16"/>
        <v>1066</v>
      </c>
      <c r="B1067" s="983" t="s">
        <v>2709</v>
      </c>
      <c r="C1067" s="1000"/>
      <c r="G1067" s="983" t="s">
        <v>1109</v>
      </c>
    </row>
    <row r="1068" spans="1:9" x14ac:dyDescent="0.2">
      <c r="A1068" s="997">
        <f t="shared" si="16"/>
        <v>1067</v>
      </c>
      <c r="B1068" s="983" t="s">
        <v>2709</v>
      </c>
      <c r="C1068" s="1000"/>
      <c r="G1068" s="983" t="s">
        <v>1106</v>
      </c>
    </row>
    <row r="1069" spans="1:9" x14ac:dyDescent="0.2">
      <c r="A1069" s="997">
        <f t="shared" si="16"/>
        <v>1068</v>
      </c>
      <c r="B1069" s="983" t="s">
        <v>2709</v>
      </c>
      <c r="C1069" s="999"/>
      <c r="H1069" s="983" t="s">
        <v>1107</v>
      </c>
    </row>
    <row r="1070" spans="1:9" x14ac:dyDescent="0.2">
      <c r="A1070" s="997">
        <f t="shared" si="16"/>
        <v>1069</v>
      </c>
      <c r="B1070" s="983" t="s">
        <v>2709</v>
      </c>
      <c r="C1070" s="999"/>
      <c r="I1070" s="983" t="s">
        <v>1297</v>
      </c>
    </row>
    <row r="1071" spans="1:9" x14ac:dyDescent="0.2">
      <c r="A1071" s="997">
        <f t="shared" si="16"/>
        <v>1070</v>
      </c>
      <c r="B1071" s="983" t="s">
        <v>2709</v>
      </c>
      <c r="C1071" s="1000"/>
      <c r="H1071" s="983" t="s">
        <v>1108</v>
      </c>
    </row>
    <row r="1072" spans="1:9" x14ac:dyDescent="0.2">
      <c r="A1072" s="997">
        <f t="shared" si="16"/>
        <v>1071</v>
      </c>
      <c r="B1072" s="983" t="s">
        <v>2709</v>
      </c>
      <c r="C1072" s="1001"/>
      <c r="H1072" s="983" t="str">
        <f>CONCATENATE("&lt;valeur&gt;",Cellule_532,"&lt;/valeur&gt;")</f>
        <v>&lt;valeur&gt;492,54&lt;/valeur&gt;</v>
      </c>
    </row>
    <row r="1073" spans="1:9" x14ac:dyDescent="0.2">
      <c r="A1073" s="997">
        <f t="shared" si="16"/>
        <v>1072</v>
      </c>
      <c r="B1073" s="983" t="s">
        <v>2709</v>
      </c>
      <c r="C1073" s="1000"/>
      <c r="G1073" s="983" t="s">
        <v>1109</v>
      </c>
    </row>
    <row r="1074" spans="1:9" x14ac:dyDescent="0.2">
      <c r="A1074" s="997">
        <f t="shared" si="16"/>
        <v>1073</v>
      </c>
      <c r="B1074" s="983" t="s">
        <v>2709</v>
      </c>
      <c r="C1074" s="1000"/>
      <c r="G1074" s="983" t="s">
        <v>1106</v>
      </c>
    </row>
    <row r="1075" spans="1:9" x14ac:dyDescent="0.2">
      <c r="A1075" s="997">
        <f t="shared" si="16"/>
        <v>1074</v>
      </c>
      <c r="B1075" s="983" t="s">
        <v>2709</v>
      </c>
      <c r="C1075" s="999"/>
      <c r="H1075" s="983" t="s">
        <v>1107</v>
      </c>
    </row>
    <row r="1076" spans="1:9" x14ac:dyDescent="0.2">
      <c r="A1076" s="997">
        <f t="shared" si="16"/>
        <v>1075</v>
      </c>
      <c r="B1076" s="983" t="s">
        <v>2709</v>
      </c>
      <c r="C1076" s="999"/>
      <c r="I1076" s="983" t="s">
        <v>1298</v>
      </c>
    </row>
    <row r="1077" spans="1:9" x14ac:dyDescent="0.2">
      <c r="A1077" s="997">
        <f t="shared" si="16"/>
        <v>1076</v>
      </c>
      <c r="B1077" s="983" t="s">
        <v>2709</v>
      </c>
      <c r="C1077" s="1000"/>
      <c r="H1077" s="983" t="s">
        <v>1108</v>
      </c>
    </row>
    <row r="1078" spans="1:9" x14ac:dyDescent="0.2">
      <c r="A1078" s="997">
        <f t="shared" si="16"/>
        <v>1077</v>
      </c>
      <c r="B1078" s="983" t="s">
        <v>2709</v>
      </c>
      <c r="C1078" s="1001"/>
      <c r="H1078" s="983" t="str">
        <f>CONCATENATE("&lt;valeur&gt;",Cellule_306,"&lt;/valeur&gt;")</f>
        <v>&lt;valeur&gt;0&lt;/valeur&gt;</v>
      </c>
    </row>
    <row r="1079" spans="1:9" x14ac:dyDescent="0.2">
      <c r="A1079" s="997">
        <f t="shared" si="16"/>
        <v>1078</v>
      </c>
      <c r="B1079" s="983" t="s">
        <v>2709</v>
      </c>
      <c r="C1079" s="1000"/>
      <c r="G1079" s="983" t="s">
        <v>1109</v>
      </c>
    </row>
    <row r="1080" spans="1:9" x14ac:dyDescent="0.2">
      <c r="A1080" s="997">
        <f t="shared" si="16"/>
        <v>1079</v>
      </c>
      <c r="B1080" s="983" t="s">
        <v>2709</v>
      </c>
      <c r="C1080" s="1000"/>
      <c r="G1080" s="983" t="s">
        <v>1106</v>
      </c>
    </row>
    <row r="1081" spans="1:9" x14ac:dyDescent="0.2">
      <c r="A1081" s="997">
        <f t="shared" si="16"/>
        <v>1080</v>
      </c>
      <c r="B1081" s="983" t="s">
        <v>2709</v>
      </c>
      <c r="C1081" s="999"/>
      <c r="H1081" s="983" t="s">
        <v>1107</v>
      </c>
    </row>
    <row r="1082" spans="1:9" x14ac:dyDescent="0.2">
      <c r="A1082" s="997">
        <f t="shared" si="16"/>
        <v>1081</v>
      </c>
      <c r="B1082" s="983" t="s">
        <v>2709</v>
      </c>
      <c r="C1082" s="999"/>
      <c r="I1082" s="983" t="s">
        <v>1299</v>
      </c>
    </row>
    <row r="1083" spans="1:9" x14ac:dyDescent="0.2">
      <c r="A1083" s="997">
        <f t="shared" si="16"/>
        <v>1082</v>
      </c>
      <c r="B1083" s="983" t="s">
        <v>2709</v>
      </c>
      <c r="C1083" s="1000"/>
      <c r="H1083" s="983" t="s">
        <v>1108</v>
      </c>
    </row>
    <row r="1084" spans="1:9" x14ac:dyDescent="0.2">
      <c r="A1084" s="997">
        <f t="shared" si="16"/>
        <v>1083</v>
      </c>
      <c r="B1084" s="983" t="s">
        <v>2709</v>
      </c>
      <c r="C1084" s="1001"/>
      <c r="H1084" s="983" t="str">
        <f>CONCATENATE("&lt;valeur&gt;",Cellule_307,"&lt;/valeur&gt;")</f>
        <v>&lt;valeur&gt;0&lt;/valeur&gt;</v>
      </c>
    </row>
    <row r="1085" spans="1:9" x14ac:dyDescent="0.2">
      <c r="A1085" s="997">
        <f t="shared" si="16"/>
        <v>1084</v>
      </c>
      <c r="B1085" s="983" t="s">
        <v>2709</v>
      </c>
      <c r="C1085" s="1000"/>
      <c r="G1085" s="983" t="s">
        <v>1109</v>
      </c>
    </row>
    <row r="1086" spans="1:9" x14ac:dyDescent="0.2">
      <c r="A1086" s="997">
        <f t="shared" si="16"/>
        <v>1085</v>
      </c>
      <c r="B1086" s="983" t="s">
        <v>2709</v>
      </c>
      <c r="C1086" s="1000"/>
      <c r="G1086" s="983" t="s">
        <v>1106</v>
      </c>
    </row>
    <row r="1087" spans="1:9" x14ac:dyDescent="0.2">
      <c r="A1087" s="997">
        <f t="shared" si="16"/>
        <v>1086</v>
      </c>
      <c r="B1087" s="983" t="s">
        <v>2709</v>
      </c>
      <c r="C1087" s="999"/>
      <c r="H1087" s="983" t="s">
        <v>1107</v>
      </c>
    </row>
    <row r="1088" spans="1:9" x14ac:dyDescent="0.2">
      <c r="A1088" s="997">
        <f t="shared" si="16"/>
        <v>1087</v>
      </c>
      <c r="B1088" s="983" t="s">
        <v>2709</v>
      </c>
      <c r="C1088" s="999"/>
      <c r="I1088" s="983" t="s">
        <v>1300</v>
      </c>
    </row>
    <row r="1089" spans="1:9" x14ac:dyDescent="0.2">
      <c r="A1089" s="997">
        <f t="shared" si="16"/>
        <v>1088</v>
      </c>
      <c r="B1089" s="983" t="s">
        <v>2709</v>
      </c>
      <c r="C1089" s="1000"/>
      <c r="H1089" s="983" t="s">
        <v>1108</v>
      </c>
    </row>
    <row r="1090" spans="1:9" x14ac:dyDescent="0.2">
      <c r="A1090" s="997">
        <f t="shared" si="16"/>
        <v>1089</v>
      </c>
      <c r="B1090" s="983" t="s">
        <v>2709</v>
      </c>
      <c r="C1090" s="1001"/>
      <c r="H1090" s="983" t="str">
        <f>CONCATENATE("&lt;valeur&gt;",Cellule_308,"&lt;/valeur&gt;")</f>
        <v>&lt;valeur&gt;0&lt;/valeur&gt;</v>
      </c>
    </row>
    <row r="1091" spans="1:9" x14ac:dyDescent="0.2">
      <c r="A1091" s="997">
        <f t="shared" si="16"/>
        <v>1090</v>
      </c>
      <c r="B1091" s="983" t="s">
        <v>2709</v>
      </c>
      <c r="C1091" s="1000"/>
      <c r="G1091" s="983" t="s">
        <v>1109</v>
      </c>
    </row>
    <row r="1092" spans="1:9" x14ac:dyDescent="0.2">
      <c r="A1092" s="997">
        <f t="shared" ref="A1092:A1155" si="17">+A1091+1</f>
        <v>1091</v>
      </c>
      <c r="B1092" s="983" t="s">
        <v>2709</v>
      </c>
      <c r="C1092" s="1000"/>
      <c r="G1092" s="983" t="s">
        <v>1106</v>
      </c>
    </row>
    <row r="1093" spans="1:9" x14ac:dyDescent="0.2">
      <c r="A1093" s="997">
        <f t="shared" si="17"/>
        <v>1092</v>
      </c>
      <c r="B1093" s="983" t="s">
        <v>2709</v>
      </c>
      <c r="C1093" s="999"/>
      <c r="H1093" s="983" t="s">
        <v>1107</v>
      </c>
    </row>
    <row r="1094" spans="1:9" x14ac:dyDescent="0.2">
      <c r="A1094" s="997">
        <f t="shared" si="17"/>
        <v>1093</v>
      </c>
      <c r="B1094" s="983" t="s">
        <v>2709</v>
      </c>
      <c r="C1094" s="999"/>
      <c r="I1094" s="983" t="s">
        <v>1301</v>
      </c>
    </row>
    <row r="1095" spans="1:9" x14ac:dyDescent="0.2">
      <c r="A1095" s="997">
        <f t="shared" si="17"/>
        <v>1094</v>
      </c>
      <c r="B1095" s="983" t="s">
        <v>2709</v>
      </c>
      <c r="C1095" s="1000"/>
      <c r="H1095" s="983" t="s">
        <v>1108</v>
      </c>
    </row>
    <row r="1096" spans="1:9" x14ac:dyDescent="0.2">
      <c r="A1096" s="997">
        <f t="shared" si="17"/>
        <v>1095</v>
      </c>
      <c r="B1096" s="983" t="s">
        <v>2709</v>
      </c>
      <c r="C1096" s="1001"/>
      <c r="H1096" s="983" t="str">
        <f>CONCATENATE("&lt;valeur&gt;",Cellule_533,"&lt;/valeur&gt;")</f>
        <v>&lt;valeur&gt;0&lt;/valeur&gt;</v>
      </c>
    </row>
    <row r="1097" spans="1:9" x14ac:dyDescent="0.2">
      <c r="A1097" s="997">
        <f t="shared" si="17"/>
        <v>1096</v>
      </c>
      <c r="B1097" s="983" t="s">
        <v>2709</v>
      </c>
      <c r="C1097" s="1000"/>
      <c r="G1097" s="983" t="s">
        <v>1109</v>
      </c>
    </row>
    <row r="1098" spans="1:9" x14ac:dyDescent="0.2">
      <c r="A1098" s="997">
        <f t="shared" si="17"/>
        <v>1097</v>
      </c>
      <c r="B1098" s="983" t="s">
        <v>2709</v>
      </c>
      <c r="C1098" s="1000"/>
      <c r="G1098" s="983" t="s">
        <v>1106</v>
      </c>
    </row>
    <row r="1099" spans="1:9" x14ac:dyDescent="0.2">
      <c r="A1099" s="997">
        <f t="shared" si="17"/>
        <v>1098</v>
      </c>
      <c r="B1099" s="983" t="s">
        <v>2709</v>
      </c>
      <c r="C1099" s="999"/>
      <c r="H1099" s="983" t="s">
        <v>1107</v>
      </c>
    </row>
    <row r="1100" spans="1:9" x14ac:dyDescent="0.2">
      <c r="A1100" s="997">
        <f t="shared" si="17"/>
        <v>1099</v>
      </c>
      <c r="B1100" s="983" t="s">
        <v>2709</v>
      </c>
      <c r="C1100" s="999"/>
      <c r="I1100" s="983" t="s">
        <v>1302</v>
      </c>
    </row>
    <row r="1101" spans="1:9" x14ac:dyDescent="0.2">
      <c r="A1101" s="997">
        <f t="shared" si="17"/>
        <v>1100</v>
      </c>
      <c r="B1101" s="983" t="s">
        <v>2709</v>
      </c>
      <c r="C1101" s="1000"/>
      <c r="H1101" s="983" t="s">
        <v>1108</v>
      </c>
    </row>
    <row r="1102" spans="1:9" x14ac:dyDescent="0.2">
      <c r="A1102" s="997">
        <f t="shared" si="17"/>
        <v>1101</v>
      </c>
      <c r="B1102" s="983" t="s">
        <v>2709</v>
      </c>
      <c r="C1102" s="1001"/>
      <c r="H1102" s="983" t="str">
        <f>CONCATENATE("&lt;valeur&gt;",Cellule_309,"&lt;/valeur&gt;")</f>
        <v>&lt;valeur&gt;0&lt;/valeur&gt;</v>
      </c>
    </row>
    <row r="1103" spans="1:9" x14ac:dyDescent="0.2">
      <c r="A1103" s="997">
        <f t="shared" si="17"/>
        <v>1102</v>
      </c>
      <c r="B1103" s="983" t="s">
        <v>2709</v>
      </c>
      <c r="C1103" s="1000"/>
      <c r="G1103" s="983" t="s">
        <v>1109</v>
      </c>
    </row>
    <row r="1104" spans="1:9" x14ac:dyDescent="0.2">
      <c r="A1104" s="997">
        <f t="shared" si="17"/>
        <v>1103</v>
      </c>
      <c r="B1104" s="983" t="s">
        <v>2709</v>
      </c>
      <c r="C1104" s="1000"/>
      <c r="G1104" s="983" t="s">
        <v>1106</v>
      </c>
    </row>
    <row r="1105" spans="1:9" x14ac:dyDescent="0.2">
      <c r="A1105" s="997">
        <f t="shared" si="17"/>
        <v>1104</v>
      </c>
      <c r="B1105" s="983" t="s">
        <v>2709</v>
      </c>
      <c r="C1105" s="999"/>
      <c r="H1105" s="983" t="s">
        <v>1107</v>
      </c>
    </row>
    <row r="1106" spans="1:9" x14ac:dyDescent="0.2">
      <c r="A1106" s="997">
        <f t="shared" si="17"/>
        <v>1105</v>
      </c>
      <c r="B1106" s="983" t="s">
        <v>2709</v>
      </c>
      <c r="C1106" s="999"/>
      <c r="I1106" s="983" t="s">
        <v>1303</v>
      </c>
    </row>
    <row r="1107" spans="1:9" x14ac:dyDescent="0.2">
      <c r="A1107" s="997">
        <f t="shared" si="17"/>
        <v>1106</v>
      </c>
      <c r="B1107" s="983" t="s">
        <v>2709</v>
      </c>
      <c r="C1107" s="1000"/>
      <c r="H1107" s="983" t="s">
        <v>1108</v>
      </c>
    </row>
    <row r="1108" spans="1:9" x14ac:dyDescent="0.2">
      <c r="A1108" s="997">
        <f t="shared" si="17"/>
        <v>1107</v>
      </c>
      <c r="B1108" s="983" t="s">
        <v>2709</v>
      </c>
      <c r="C1108" s="1001"/>
      <c r="H1108" s="983" t="str">
        <f>CONCATENATE("&lt;valeur&gt;",Cellule_310,"&lt;/valeur&gt;")</f>
        <v>&lt;valeur&gt;323,11&lt;/valeur&gt;</v>
      </c>
    </row>
    <row r="1109" spans="1:9" x14ac:dyDescent="0.2">
      <c r="A1109" s="997">
        <f t="shared" si="17"/>
        <v>1108</v>
      </c>
      <c r="B1109" s="983" t="s">
        <v>2709</v>
      </c>
      <c r="C1109" s="1000"/>
      <c r="G1109" s="983" t="s">
        <v>1109</v>
      </c>
    </row>
    <row r="1110" spans="1:9" x14ac:dyDescent="0.2">
      <c r="A1110" s="997">
        <f t="shared" si="17"/>
        <v>1109</v>
      </c>
      <c r="B1110" s="983" t="s">
        <v>2709</v>
      </c>
      <c r="C1110" s="1000"/>
      <c r="G1110" s="983" t="s">
        <v>1106</v>
      </c>
    </row>
    <row r="1111" spans="1:9" x14ac:dyDescent="0.2">
      <c r="A1111" s="997">
        <f t="shared" si="17"/>
        <v>1110</v>
      </c>
      <c r="B1111" s="983" t="s">
        <v>2709</v>
      </c>
      <c r="C1111" s="999"/>
      <c r="H1111" s="983" t="s">
        <v>1107</v>
      </c>
    </row>
    <row r="1112" spans="1:9" x14ac:dyDescent="0.2">
      <c r="A1112" s="997">
        <f t="shared" si="17"/>
        <v>1111</v>
      </c>
      <c r="B1112" s="983" t="s">
        <v>2709</v>
      </c>
      <c r="C1112" s="999"/>
      <c r="I1112" s="983" t="s">
        <v>1304</v>
      </c>
    </row>
    <row r="1113" spans="1:9" x14ac:dyDescent="0.2">
      <c r="A1113" s="997">
        <f t="shared" si="17"/>
        <v>1112</v>
      </c>
      <c r="B1113" s="983" t="s">
        <v>2709</v>
      </c>
      <c r="C1113" s="1000"/>
      <c r="H1113" s="983" t="s">
        <v>1108</v>
      </c>
    </row>
    <row r="1114" spans="1:9" x14ac:dyDescent="0.2">
      <c r="A1114" s="997">
        <f t="shared" si="17"/>
        <v>1113</v>
      </c>
      <c r="B1114" s="983" t="s">
        <v>2709</v>
      </c>
      <c r="C1114" s="1001"/>
      <c r="H1114" s="983" t="str">
        <f>CONCATENATE("&lt;valeur&gt;",Cellule_311,"&lt;/valeur&gt;")</f>
        <v>&lt;valeur&gt;169,43&lt;/valeur&gt;</v>
      </c>
    </row>
    <row r="1115" spans="1:9" x14ac:dyDescent="0.2">
      <c r="A1115" s="997">
        <f t="shared" si="17"/>
        <v>1114</v>
      </c>
      <c r="B1115" s="983" t="s">
        <v>2709</v>
      </c>
      <c r="C1115" s="1000"/>
      <c r="G1115" s="983" t="s">
        <v>1109</v>
      </c>
    </row>
    <row r="1116" spans="1:9" x14ac:dyDescent="0.2">
      <c r="A1116" s="997">
        <f t="shared" si="17"/>
        <v>1115</v>
      </c>
      <c r="B1116" s="983" t="s">
        <v>2709</v>
      </c>
      <c r="C1116" s="1000"/>
      <c r="G1116" s="983" t="s">
        <v>1106</v>
      </c>
    </row>
    <row r="1117" spans="1:9" x14ac:dyDescent="0.2">
      <c r="A1117" s="997">
        <f t="shared" si="17"/>
        <v>1116</v>
      </c>
      <c r="B1117" s="983" t="s">
        <v>2709</v>
      </c>
      <c r="C1117" s="999"/>
      <c r="H1117" s="983" t="s">
        <v>1107</v>
      </c>
    </row>
    <row r="1118" spans="1:9" x14ac:dyDescent="0.2">
      <c r="A1118" s="997">
        <f t="shared" si="17"/>
        <v>1117</v>
      </c>
      <c r="B1118" s="983" t="s">
        <v>2709</v>
      </c>
      <c r="C1118" s="999"/>
      <c r="I1118" s="983" t="s">
        <v>1305</v>
      </c>
    </row>
    <row r="1119" spans="1:9" x14ac:dyDescent="0.2">
      <c r="A1119" s="997">
        <f t="shared" si="17"/>
        <v>1118</v>
      </c>
      <c r="B1119" s="983" t="s">
        <v>2709</v>
      </c>
      <c r="C1119" s="1000"/>
      <c r="H1119" s="983" t="s">
        <v>1108</v>
      </c>
    </row>
    <row r="1120" spans="1:9" x14ac:dyDescent="0.2">
      <c r="A1120" s="997">
        <f t="shared" si="17"/>
        <v>1119</v>
      </c>
      <c r="B1120" s="983" t="s">
        <v>2709</v>
      </c>
      <c r="C1120" s="1001"/>
      <c r="H1120" s="983" t="str">
        <f>CONCATENATE("&lt;valeur&gt;",Cellule_534,"&lt;/valeur&gt;")</f>
        <v>&lt;valeur&gt;492,54&lt;/valeur&gt;</v>
      </c>
    </row>
    <row r="1121" spans="1:9" x14ac:dyDescent="0.2">
      <c r="A1121" s="997">
        <f t="shared" si="17"/>
        <v>1120</v>
      </c>
      <c r="B1121" s="983" t="s">
        <v>2709</v>
      </c>
      <c r="C1121" s="1000"/>
      <c r="G1121" s="983" t="s">
        <v>1109</v>
      </c>
    </row>
    <row r="1122" spans="1:9" x14ac:dyDescent="0.2">
      <c r="A1122" s="997">
        <f t="shared" si="17"/>
        <v>1121</v>
      </c>
      <c r="B1122" s="983" t="s">
        <v>2709</v>
      </c>
      <c r="C1122" s="1000"/>
      <c r="G1122" s="983" t="s">
        <v>1106</v>
      </c>
    </row>
    <row r="1123" spans="1:9" x14ac:dyDescent="0.2">
      <c r="A1123" s="997">
        <f t="shared" si="17"/>
        <v>1122</v>
      </c>
      <c r="B1123" s="983" t="s">
        <v>2709</v>
      </c>
      <c r="C1123" s="999"/>
      <c r="H1123" s="983" t="s">
        <v>1107</v>
      </c>
    </row>
    <row r="1124" spans="1:9" x14ac:dyDescent="0.2">
      <c r="A1124" s="997">
        <f t="shared" si="17"/>
        <v>1123</v>
      </c>
      <c r="B1124" s="983" t="s">
        <v>2709</v>
      </c>
      <c r="C1124" s="999"/>
      <c r="I1124" s="983" t="s">
        <v>1306</v>
      </c>
    </row>
    <row r="1125" spans="1:9" x14ac:dyDescent="0.2">
      <c r="A1125" s="997">
        <f t="shared" si="17"/>
        <v>1124</v>
      </c>
      <c r="B1125" s="983" t="s">
        <v>2709</v>
      </c>
      <c r="C1125" s="1000"/>
      <c r="H1125" s="983" t="s">
        <v>1108</v>
      </c>
    </row>
    <row r="1126" spans="1:9" x14ac:dyDescent="0.2">
      <c r="A1126" s="997">
        <f t="shared" si="17"/>
        <v>1125</v>
      </c>
      <c r="B1126" s="983" t="s">
        <v>2709</v>
      </c>
      <c r="C1126" s="1001"/>
      <c r="H1126" s="983" t="str">
        <f>CONCATENATE("&lt;valeur&gt;",Cellule_312,"&lt;/valeur&gt;")</f>
        <v>&lt;valeur&gt;0&lt;/valeur&gt;</v>
      </c>
    </row>
    <row r="1127" spans="1:9" x14ac:dyDescent="0.2">
      <c r="A1127" s="997">
        <f t="shared" si="17"/>
        <v>1126</v>
      </c>
      <c r="B1127" s="983" t="s">
        <v>2709</v>
      </c>
      <c r="C1127" s="1000"/>
      <c r="G1127" s="983" t="s">
        <v>1109</v>
      </c>
    </row>
    <row r="1128" spans="1:9" x14ac:dyDescent="0.2">
      <c r="A1128" s="997">
        <f t="shared" si="17"/>
        <v>1127</v>
      </c>
      <c r="B1128" s="983" t="s">
        <v>2709</v>
      </c>
      <c r="C1128" s="1000"/>
      <c r="G1128" s="983" t="s">
        <v>1106</v>
      </c>
    </row>
    <row r="1129" spans="1:9" x14ac:dyDescent="0.2">
      <c r="A1129" s="997">
        <f t="shared" si="17"/>
        <v>1128</v>
      </c>
      <c r="B1129" s="983" t="s">
        <v>2709</v>
      </c>
      <c r="C1129" s="999"/>
      <c r="H1129" s="983" t="s">
        <v>1107</v>
      </c>
    </row>
    <row r="1130" spans="1:9" x14ac:dyDescent="0.2">
      <c r="A1130" s="997">
        <f t="shared" si="17"/>
        <v>1129</v>
      </c>
      <c r="B1130" s="983" t="s">
        <v>2709</v>
      </c>
      <c r="C1130" s="999"/>
      <c r="I1130" s="983" t="s">
        <v>1307</v>
      </c>
    </row>
    <row r="1131" spans="1:9" x14ac:dyDescent="0.2">
      <c r="A1131" s="997">
        <f t="shared" si="17"/>
        <v>1130</v>
      </c>
      <c r="B1131" s="983" t="s">
        <v>2709</v>
      </c>
      <c r="C1131" s="1000"/>
      <c r="H1131" s="983" t="s">
        <v>1108</v>
      </c>
    </row>
    <row r="1132" spans="1:9" x14ac:dyDescent="0.2">
      <c r="A1132" s="997">
        <f t="shared" si="17"/>
        <v>1131</v>
      </c>
      <c r="B1132" s="983" t="s">
        <v>2709</v>
      </c>
      <c r="C1132" s="1001"/>
      <c r="H1132" s="983" t="str">
        <f>CONCATENATE("&lt;valeur&gt;",Cellule_313,"&lt;/valeur&gt;")</f>
        <v>&lt;valeur&gt;222845,67&lt;/valeur&gt;</v>
      </c>
    </row>
    <row r="1133" spans="1:9" x14ac:dyDescent="0.2">
      <c r="A1133" s="997">
        <f t="shared" si="17"/>
        <v>1132</v>
      </c>
      <c r="B1133" s="983" t="s">
        <v>2709</v>
      </c>
      <c r="C1133" s="1000"/>
      <c r="G1133" s="983" t="s">
        <v>1109</v>
      </c>
    </row>
    <row r="1134" spans="1:9" x14ac:dyDescent="0.2">
      <c r="A1134" s="997">
        <f t="shared" si="17"/>
        <v>1133</v>
      </c>
      <c r="B1134" s="983" t="s">
        <v>2709</v>
      </c>
      <c r="C1134" s="1000"/>
      <c r="G1134" s="983" t="s">
        <v>1106</v>
      </c>
    </row>
    <row r="1135" spans="1:9" x14ac:dyDescent="0.2">
      <c r="A1135" s="997">
        <f t="shared" si="17"/>
        <v>1134</v>
      </c>
      <c r="B1135" s="983" t="s">
        <v>2709</v>
      </c>
      <c r="C1135" s="999"/>
      <c r="H1135" s="983" t="s">
        <v>1107</v>
      </c>
    </row>
    <row r="1136" spans="1:9" x14ac:dyDescent="0.2">
      <c r="A1136" s="997">
        <f t="shared" si="17"/>
        <v>1135</v>
      </c>
      <c r="B1136" s="983" t="s">
        <v>2709</v>
      </c>
      <c r="C1136" s="999"/>
      <c r="I1136" s="983" t="s">
        <v>1308</v>
      </c>
    </row>
    <row r="1137" spans="1:9" x14ac:dyDescent="0.2">
      <c r="A1137" s="997">
        <f t="shared" si="17"/>
        <v>1136</v>
      </c>
      <c r="B1137" s="983" t="s">
        <v>2709</v>
      </c>
      <c r="C1137" s="1000"/>
      <c r="H1137" s="983" t="s">
        <v>1108</v>
      </c>
    </row>
    <row r="1138" spans="1:9" x14ac:dyDescent="0.2">
      <c r="A1138" s="997">
        <f t="shared" si="17"/>
        <v>1137</v>
      </c>
      <c r="B1138" s="983" t="s">
        <v>2709</v>
      </c>
      <c r="C1138" s="1001"/>
      <c r="H1138" s="983" t="str">
        <f>CONCATENATE("&lt;valeur&gt;",Cellule_314,"&lt;/valeur&gt;")</f>
        <v>&lt;valeur&gt;88900&lt;/valeur&gt;</v>
      </c>
    </row>
    <row r="1139" spans="1:9" x14ac:dyDescent="0.2">
      <c r="A1139" s="997">
        <f t="shared" si="17"/>
        <v>1138</v>
      </c>
      <c r="B1139" s="983" t="s">
        <v>2709</v>
      </c>
      <c r="C1139" s="1000"/>
      <c r="G1139" s="983" t="s">
        <v>1109</v>
      </c>
    </row>
    <row r="1140" spans="1:9" x14ac:dyDescent="0.2">
      <c r="A1140" s="997">
        <f t="shared" si="17"/>
        <v>1139</v>
      </c>
      <c r="B1140" s="983" t="s">
        <v>2709</v>
      </c>
      <c r="C1140" s="1000"/>
      <c r="G1140" s="983" t="s">
        <v>1106</v>
      </c>
    </row>
    <row r="1141" spans="1:9" x14ac:dyDescent="0.2">
      <c r="A1141" s="997">
        <f t="shared" si="17"/>
        <v>1140</v>
      </c>
      <c r="B1141" s="983" t="s">
        <v>2709</v>
      </c>
      <c r="C1141" s="999"/>
      <c r="H1141" s="983" t="s">
        <v>1107</v>
      </c>
    </row>
    <row r="1142" spans="1:9" x14ac:dyDescent="0.2">
      <c r="A1142" s="997">
        <f t="shared" si="17"/>
        <v>1141</v>
      </c>
      <c r="B1142" s="983" t="s">
        <v>2709</v>
      </c>
      <c r="C1142" s="999"/>
      <c r="I1142" s="983" t="s">
        <v>1309</v>
      </c>
    </row>
    <row r="1143" spans="1:9" x14ac:dyDescent="0.2">
      <c r="A1143" s="997">
        <f t="shared" si="17"/>
        <v>1142</v>
      </c>
      <c r="B1143" s="983" t="s">
        <v>2709</v>
      </c>
      <c r="C1143" s="1000"/>
      <c r="H1143" s="983" t="s">
        <v>1108</v>
      </c>
    </row>
    <row r="1144" spans="1:9" x14ac:dyDescent="0.2">
      <c r="A1144" s="997">
        <f t="shared" si="17"/>
        <v>1143</v>
      </c>
      <c r="B1144" s="983" t="s">
        <v>2709</v>
      </c>
      <c r="C1144" s="1001"/>
      <c r="H1144" s="983" t="str">
        <f>CONCATENATE("&lt;valeur&gt;",Cellule_535,"&lt;/valeur&gt;")</f>
        <v>&lt;valeur&gt;311745,67&lt;/valeur&gt;</v>
      </c>
    </row>
    <row r="1145" spans="1:9" x14ac:dyDescent="0.2">
      <c r="A1145" s="997">
        <f t="shared" si="17"/>
        <v>1144</v>
      </c>
      <c r="B1145" s="983" t="s">
        <v>2709</v>
      </c>
      <c r="C1145" s="1000"/>
      <c r="G1145" s="983" t="s">
        <v>1109</v>
      </c>
    </row>
    <row r="1146" spans="1:9" x14ac:dyDescent="0.2">
      <c r="A1146" s="997">
        <f t="shared" si="17"/>
        <v>1145</v>
      </c>
      <c r="B1146" s="983" t="s">
        <v>2709</v>
      </c>
      <c r="C1146" s="1000"/>
      <c r="G1146" s="983" t="s">
        <v>1106</v>
      </c>
    </row>
    <row r="1147" spans="1:9" x14ac:dyDescent="0.2">
      <c r="A1147" s="997">
        <f t="shared" si="17"/>
        <v>1146</v>
      </c>
      <c r="B1147" s="983" t="s">
        <v>2709</v>
      </c>
      <c r="C1147" s="999"/>
      <c r="H1147" s="983" t="s">
        <v>1107</v>
      </c>
    </row>
    <row r="1148" spans="1:9" x14ac:dyDescent="0.2">
      <c r="A1148" s="997">
        <f t="shared" si="17"/>
        <v>1147</v>
      </c>
      <c r="B1148" s="983" t="s">
        <v>2709</v>
      </c>
      <c r="C1148" s="999"/>
      <c r="I1148" s="983" t="s">
        <v>1310</v>
      </c>
    </row>
    <row r="1149" spans="1:9" x14ac:dyDescent="0.2">
      <c r="A1149" s="997">
        <f t="shared" si="17"/>
        <v>1148</v>
      </c>
      <c r="B1149" s="983" t="s">
        <v>2709</v>
      </c>
      <c r="C1149" s="1000"/>
      <c r="H1149" s="983" t="s">
        <v>1108</v>
      </c>
    </row>
    <row r="1150" spans="1:9" x14ac:dyDescent="0.2">
      <c r="A1150" s="997">
        <f t="shared" si="17"/>
        <v>1149</v>
      </c>
      <c r="B1150" s="983" t="s">
        <v>2709</v>
      </c>
      <c r="C1150" s="1001"/>
      <c r="H1150" s="983" t="str">
        <f>CONCATENATE("&lt;valeur&gt;",Cellule_316,"&lt;/valeur&gt;")</f>
        <v>&lt;valeur&gt;492,54&lt;/valeur&gt;</v>
      </c>
    </row>
    <row r="1151" spans="1:9" x14ac:dyDescent="0.2">
      <c r="A1151" s="997">
        <f t="shared" si="17"/>
        <v>1150</v>
      </c>
      <c r="B1151" s="983" t="s">
        <v>2709</v>
      </c>
      <c r="C1151" s="1000"/>
      <c r="G1151" s="983" t="s">
        <v>1109</v>
      </c>
    </row>
    <row r="1152" spans="1:9" x14ac:dyDescent="0.2">
      <c r="A1152" s="997">
        <f t="shared" si="17"/>
        <v>1151</v>
      </c>
      <c r="B1152" s="983" t="s">
        <v>2709</v>
      </c>
      <c r="C1152" s="1000"/>
      <c r="G1152" s="983" t="s">
        <v>1106</v>
      </c>
    </row>
    <row r="1153" spans="1:9" x14ac:dyDescent="0.2">
      <c r="A1153" s="997">
        <f t="shared" si="17"/>
        <v>1152</v>
      </c>
      <c r="B1153" s="983" t="s">
        <v>2709</v>
      </c>
      <c r="C1153" s="999"/>
      <c r="H1153" s="983" t="s">
        <v>1107</v>
      </c>
    </row>
    <row r="1154" spans="1:9" x14ac:dyDescent="0.2">
      <c r="A1154" s="997">
        <f t="shared" si="17"/>
        <v>1153</v>
      </c>
      <c r="B1154" s="983" t="s">
        <v>2709</v>
      </c>
      <c r="C1154" s="999"/>
      <c r="I1154" s="983" t="s">
        <v>1311</v>
      </c>
    </row>
    <row r="1155" spans="1:9" x14ac:dyDescent="0.2">
      <c r="A1155" s="997">
        <f t="shared" si="17"/>
        <v>1154</v>
      </c>
      <c r="B1155" s="983" t="s">
        <v>2709</v>
      </c>
      <c r="C1155" s="1000"/>
      <c r="H1155" s="983" t="s">
        <v>1108</v>
      </c>
    </row>
    <row r="1156" spans="1:9" x14ac:dyDescent="0.2">
      <c r="A1156" s="997">
        <f t="shared" ref="A1156:A1219" si="18">+A1155+1</f>
        <v>1155</v>
      </c>
      <c r="B1156" s="983" t="s">
        <v>2709</v>
      </c>
      <c r="C1156" s="1001"/>
      <c r="H1156" s="983" t="str">
        <f>CONCATENATE("&lt;valeur&gt;",Cellule_317,"&lt;/valeur&gt;")</f>
        <v>&lt;valeur&gt;0&lt;/valeur&gt;</v>
      </c>
    </row>
    <row r="1157" spans="1:9" x14ac:dyDescent="0.2">
      <c r="A1157" s="997">
        <f t="shared" si="18"/>
        <v>1156</v>
      </c>
      <c r="B1157" s="983" t="s">
        <v>2709</v>
      </c>
      <c r="C1157" s="1000"/>
      <c r="G1157" s="983" t="s">
        <v>1109</v>
      </c>
    </row>
    <row r="1158" spans="1:9" x14ac:dyDescent="0.2">
      <c r="A1158" s="997">
        <f t="shared" si="18"/>
        <v>1157</v>
      </c>
      <c r="B1158" s="983" t="s">
        <v>2709</v>
      </c>
      <c r="C1158" s="1000"/>
      <c r="G1158" s="983" t="s">
        <v>1106</v>
      </c>
    </row>
    <row r="1159" spans="1:9" x14ac:dyDescent="0.2">
      <c r="A1159" s="997">
        <f t="shared" si="18"/>
        <v>1158</v>
      </c>
      <c r="B1159" s="983" t="s">
        <v>2709</v>
      </c>
      <c r="C1159" s="999"/>
      <c r="H1159" s="983" t="s">
        <v>1107</v>
      </c>
    </row>
    <row r="1160" spans="1:9" x14ac:dyDescent="0.2">
      <c r="A1160" s="997">
        <f t="shared" si="18"/>
        <v>1159</v>
      </c>
      <c r="B1160" s="983" t="s">
        <v>2709</v>
      </c>
      <c r="C1160" s="999"/>
      <c r="I1160" s="983" t="s">
        <v>1312</v>
      </c>
    </row>
    <row r="1161" spans="1:9" x14ac:dyDescent="0.2">
      <c r="A1161" s="997">
        <f t="shared" si="18"/>
        <v>1160</v>
      </c>
      <c r="B1161" s="983" t="s">
        <v>2709</v>
      </c>
      <c r="C1161" s="1000"/>
      <c r="H1161" s="983" t="s">
        <v>1108</v>
      </c>
    </row>
    <row r="1162" spans="1:9" x14ac:dyDescent="0.2">
      <c r="A1162" s="997">
        <f t="shared" si="18"/>
        <v>1161</v>
      </c>
      <c r="B1162" s="983" t="s">
        <v>2709</v>
      </c>
      <c r="C1162" s="1001"/>
      <c r="H1162" s="983" t="str">
        <f>CONCATENATE("&lt;valeur&gt;",Cellule_318,"&lt;/valeur&gt;")</f>
        <v>&lt;valeur&gt;492,54&lt;/valeur&gt;</v>
      </c>
    </row>
    <row r="1163" spans="1:9" x14ac:dyDescent="0.2">
      <c r="A1163" s="997">
        <f t="shared" si="18"/>
        <v>1162</v>
      </c>
      <c r="B1163" s="983" t="s">
        <v>2709</v>
      </c>
      <c r="C1163" s="1000"/>
      <c r="G1163" s="983" t="s">
        <v>1109</v>
      </c>
    </row>
    <row r="1164" spans="1:9" x14ac:dyDescent="0.2">
      <c r="A1164" s="997">
        <f t="shared" si="18"/>
        <v>1163</v>
      </c>
      <c r="B1164" s="983" t="s">
        <v>2709</v>
      </c>
      <c r="C1164" s="1000"/>
      <c r="G1164" s="983" t="s">
        <v>1106</v>
      </c>
    </row>
    <row r="1165" spans="1:9" x14ac:dyDescent="0.2">
      <c r="A1165" s="997">
        <f t="shared" si="18"/>
        <v>1164</v>
      </c>
      <c r="B1165" s="983" t="s">
        <v>2709</v>
      </c>
      <c r="C1165" s="999"/>
      <c r="H1165" s="983" t="s">
        <v>1107</v>
      </c>
    </row>
    <row r="1166" spans="1:9" x14ac:dyDescent="0.2">
      <c r="A1166" s="997">
        <f t="shared" si="18"/>
        <v>1165</v>
      </c>
      <c r="B1166" s="983" t="s">
        <v>2709</v>
      </c>
      <c r="C1166" s="999"/>
      <c r="I1166" s="983" t="s">
        <v>1313</v>
      </c>
    </row>
    <row r="1167" spans="1:9" x14ac:dyDescent="0.2">
      <c r="A1167" s="997">
        <f t="shared" si="18"/>
        <v>1166</v>
      </c>
      <c r="B1167" s="983" t="s">
        <v>2709</v>
      </c>
      <c r="C1167" s="1000"/>
      <c r="H1167" s="983" t="s">
        <v>1108</v>
      </c>
    </row>
    <row r="1168" spans="1:9" x14ac:dyDescent="0.2">
      <c r="A1168" s="997">
        <f t="shared" si="18"/>
        <v>1167</v>
      </c>
      <c r="B1168" s="983" t="s">
        <v>2709</v>
      </c>
      <c r="C1168" s="1001"/>
      <c r="H1168" s="983" t="str">
        <f>CONCATENATE("&lt;valeur&gt;",Cellule_319,"&lt;/valeur&gt;")</f>
        <v>&lt;valeur&gt;311745,67&lt;/valeur&gt;</v>
      </c>
    </row>
    <row r="1169" spans="1:9" x14ac:dyDescent="0.2">
      <c r="A1169" s="997">
        <f t="shared" si="18"/>
        <v>1168</v>
      </c>
      <c r="B1169" s="983" t="s">
        <v>2709</v>
      </c>
      <c r="C1169" s="1000"/>
      <c r="G1169" s="983" t="s">
        <v>1109</v>
      </c>
    </row>
    <row r="1170" spans="1:9" x14ac:dyDescent="0.2">
      <c r="A1170" s="997">
        <f t="shared" si="18"/>
        <v>1169</v>
      </c>
      <c r="B1170" s="983" t="s">
        <v>2709</v>
      </c>
      <c r="C1170" s="1000"/>
      <c r="G1170" s="983" t="s">
        <v>1106</v>
      </c>
    </row>
    <row r="1171" spans="1:9" x14ac:dyDescent="0.2">
      <c r="A1171" s="997">
        <f t="shared" si="18"/>
        <v>1170</v>
      </c>
      <c r="B1171" s="983" t="s">
        <v>2709</v>
      </c>
      <c r="C1171" s="999"/>
      <c r="H1171" s="983" t="s">
        <v>1107</v>
      </c>
    </row>
    <row r="1172" spans="1:9" x14ac:dyDescent="0.2">
      <c r="A1172" s="997">
        <f t="shared" si="18"/>
        <v>1171</v>
      </c>
      <c r="B1172" s="983" t="s">
        <v>2709</v>
      </c>
      <c r="C1172" s="999"/>
      <c r="I1172" s="983" t="s">
        <v>1314</v>
      </c>
    </row>
    <row r="1173" spans="1:9" x14ac:dyDescent="0.2">
      <c r="A1173" s="997">
        <f t="shared" si="18"/>
        <v>1172</v>
      </c>
      <c r="B1173" s="983" t="s">
        <v>2709</v>
      </c>
      <c r="C1173" s="1000"/>
      <c r="H1173" s="983" t="s">
        <v>1108</v>
      </c>
    </row>
    <row r="1174" spans="1:9" x14ac:dyDescent="0.2">
      <c r="A1174" s="997">
        <f t="shared" si="18"/>
        <v>1173</v>
      </c>
      <c r="B1174" s="983" t="s">
        <v>2709</v>
      </c>
      <c r="C1174" s="1001"/>
      <c r="H1174" s="983" t="str">
        <f>CONCATENATE("&lt;valeur&gt;",Cellule_186,"&lt;/valeur&gt;")</f>
        <v>&lt;valeur&gt;1902820,84&lt;/valeur&gt;</v>
      </c>
    </row>
    <row r="1175" spans="1:9" x14ac:dyDescent="0.2">
      <c r="A1175" s="997">
        <f t="shared" si="18"/>
        <v>1174</v>
      </c>
      <c r="B1175" s="983" t="s">
        <v>2709</v>
      </c>
      <c r="C1175" s="1000"/>
      <c r="G1175" s="983" t="s">
        <v>1109</v>
      </c>
    </row>
    <row r="1176" spans="1:9" x14ac:dyDescent="0.2">
      <c r="A1176" s="997">
        <f t="shared" si="18"/>
        <v>1175</v>
      </c>
      <c r="B1176" s="983" t="s">
        <v>2709</v>
      </c>
      <c r="C1176" s="1000"/>
      <c r="G1176" s="983" t="s">
        <v>1106</v>
      </c>
    </row>
    <row r="1177" spans="1:9" x14ac:dyDescent="0.2">
      <c r="A1177" s="997">
        <f t="shared" si="18"/>
        <v>1176</v>
      </c>
      <c r="B1177" s="983" t="s">
        <v>2709</v>
      </c>
      <c r="C1177" s="999"/>
      <c r="H1177" s="983" t="s">
        <v>1107</v>
      </c>
    </row>
    <row r="1178" spans="1:9" x14ac:dyDescent="0.2">
      <c r="A1178" s="997">
        <f t="shared" si="18"/>
        <v>1177</v>
      </c>
      <c r="B1178" s="983" t="s">
        <v>2709</v>
      </c>
      <c r="C1178" s="999"/>
      <c r="I1178" s="983" t="s">
        <v>1315</v>
      </c>
    </row>
    <row r="1179" spans="1:9" x14ac:dyDescent="0.2">
      <c r="A1179" s="997">
        <f t="shared" si="18"/>
        <v>1178</v>
      </c>
      <c r="B1179" s="983" t="s">
        <v>2709</v>
      </c>
      <c r="C1179" s="1000"/>
      <c r="H1179" s="983" t="s">
        <v>1108</v>
      </c>
    </row>
    <row r="1180" spans="1:9" x14ac:dyDescent="0.2">
      <c r="A1180" s="997">
        <f t="shared" si="18"/>
        <v>1179</v>
      </c>
      <c r="B1180" s="983" t="s">
        <v>2709</v>
      </c>
      <c r="C1180" s="1001"/>
      <c r="H1180" s="983" t="str">
        <f>CONCATENATE("&lt;valeur&gt;",Cellule_187,"&lt;/valeur&gt;")</f>
        <v>&lt;valeur&gt;173538,13&lt;/valeur&gt;</v>
      </c>
    </row>
    <row r="1181" spans="1:9" x14ac:dyDescent="0.2">
      <c r="A1181" s="997">
        <f t="shared" si="18"/>
        <v>1180</v>
      </c>
      <c r="B1181" s="983" t="s">
        <v>2709</v>
      </c>
      <c r="C1181" s="1000"/>
      <c r="G1181" s="983" t="s">
        <v>1109</v>
      </c>
    </row>
    <row r="1182" spans="1:9" x14ac:dyDescent="0.2">
      <c r="A1182" s="997">
        <f t="shared" si="18"/>
        <v>1181</v>
      </c>
      <c r="B1182" s="983" t="s">
        <v>2709</v>
      </c>
      <c r="C1182" s="1000"/>
      <c r="G1182" s="983" t="s">
        <v>1106</v>
      </c>
    </row>
    <row r="1183" spans="1:9" x14ac:dyDescent="0.2">
      <c r="A1183" s="997">
        <f t="shared" si="18"/>
        <v>1182</v>
      </c>
      <c r="B1183" s="983" t="s">
        <v>2709</v>
      </c>
      <c r="C1183" s="999"/>
      <c r="H1183" s="983" t="s">
        <v>1107</v>
      </c>
    </row>
    <row r="1184" spans="1:9" x14ac:dyDescent="0.2">
      <c r="A1184" s="997">
        <f t="shared" si="18"/>
        <v>1183</v>
      </c>
      <c r="B1184" s="983" t="s">
        <v>2709</v>
      </c>
      <c r="C1184" s="999"/>
      <c r="I1184" s="983" t="s">
        <v>1316</v>
      </c>
    </row>
    <row r="1185" spans="1:9" x14ac:dyDescent="0.2">
      <c r="A1185" s="997">
        <f t="shared" si="18"/>
        <v>1184</v>
      </c>
      <c r="B1185" s="983" t="s">
        <v>2709</v>
      </c>
      <c r="C1185" s="1000"/>
      <c r="H1185" s="983" t="s">
        <v>1108</v>
      </c>
    </row>
    <row r="1186" spans="1:9" x14ac:dyDescent="0.2">
      <c r="A1186" s="997">
        <f t="shared" si="18"/>
        <v>1185</v>
      </c>
      <c r="B1186" s="983" t="s">
        <v>2709</v>
      </c>
      <c r="C1186" s="1001"/>
      <c r="H1186" s="983" t="str">
        <f>CONCATENATE("&lt;valeur&gt;",Cellule_188,"&lt;/valeur&gt;")</f>
        <v>&lt;valeur&gt;1729282,71&lt;/valeur&gt;</v>
      </c>
    </row>
    <row r="1187" spans="1:9" x14ac:dyDescent="0.2">
      <c r="A1187" s="997">
        <f t="shared" si="18"/>
        <v>1186</v>
      </c>
      <c r="B1187" s="983" t="s">
        <v>2709</v>
      </c>
      <c r="C1187" s="1000"/>
      <c r="G1187" s="983" t="s">
        <v>1109</v>
      </c>
    </row>
    <row r="1188" spans="1:9" x14ac:dyDescent="0.2">
      <c r="A1188" s="997">
        <f t="shared" si="18"/>
        <v>1187</v>
      </c>
      <c r="B1188" s="983" t="s">
        <v>2709</v>
      </c>
      <c r="C1188" s="1000"/>
      <c r="G1188" s="983" t="s">
        <v>1106</v>
      </c>
    </row>
    <row r="1189" spans="1:9" x14ac:dyDescent="0.2">
      <c r="A1189" s="997">
        <f t="shared" si="18"/>
        <v>1188</v>
      </c>
      <c r="B1189" s="983" t="s">
        <v>2709</v>
      </c>
      <c r="C1189" s="999"/>
      <c r="H1189" s="983" t="s">
        <v>1107</v>
      </c>
    </row>
    <row r="1190" spans="1:9" x14ac:dyDescent="0.2">
      <c r="A1190" s="997">
        <f t="shared" si="18"/>
        <v>1189</v>
      </c>
      <c r="B1190" s="983" t="s">
        <v>2709</v>
      </c>
      <c r="C1190" s="998"/>
      <c r="I1190" s="983" t="s">
        <v>1317</v>
      </c>
    </row>
    <row r="1191" spans="1:9" x14ac:dyDescent="0.2">
      <c r="A1191" s="997">
        <f t="shared" si="18"/>
        <v>1190</v>
      </c>
      <c r="B1191" s="983" t="s">
        <v>2709</v>
      </c>
      <c r="C1191" s="998"/>
      <c r="H1191" s="983" t="s">
        <v>1108</v>
      </c>
    </row>
    <row r="1192" spans="1:9" x14ac:dyDescent="0.2">
      <c r="A1192" s="997">
        <f t="shared" si="18"/>
        <v>1191</v>
      </c>
      <c r="B1192" s="983" t="s">
        <v>2709</v>
      </c>
      <c r="C1192" s="995"/>
      <c r="H1192" s="983" t="str">
        <f>CONCATENATE("&lt;valeur&gt;",Cellule_189,"&lt;/valeur&gt;")</f>
        <v>&lt;valeur&gt;316085,83&lt;/valeur&gt;</v>
      </c>
    </row>
    <row r="1193" spans="1:9" x14ac:dyDescent="0.2">
      <c r="A1193" s="997">
        <f t="shared" si="18"/>
        <v>1192</v>
      </c>
      <c r="B1193" s="983" t="s">
        <v>2709</v>
      </c>
      <c r="C1193" s="995"/>
      <c r="G1193" s="983" t="s">
        <v>1109</v>
      </c>
    </row>
    <row r="1194" spans="1:9" x14ac:dyDescent="0.2">
      <c r="A1194" s="997">
        <f t="shared" si="18"/>
        <v>1193</v>
      </c>
      <c r="B1194" s="983" t="s">
        <v>2709</v>
      </c>
      <c r="C1194" s="998"/>
      <c r="F1194" s="983" t="s">
        <v>1110</v>
      </c>
    </row>
    <row r="1195" spans="1:9" x14ac:dyDescent="0.2">
      <c r="A1195" s="997">
        <f t="shared" si="18"/>
        <v>1194</v>
      </c>
      <c r="B1195" s="983" t="s">
        <v>2709</v>
      </c>
      <c r="C1195" s="998"/>
      <c r="F1195" s="983" t="s">
        <v>1111</v>
      </c>
    </row>
    <row r="1196" spans="1:9" x14ac:dyDescent="0.2">
      <c r="A1196" s="997">
        <f t="shared" si="18"/>
        <v>1195</v>
      </c>
      <c r="B1196" s="983" t="s">
        <v>2709</v>
      </c>
      <c r="C1196" s="998"/>
      <c r="F1196" s="983" t="s">
        <v>1112</v>
      </c>
    </row>
    <row r="1197" spans="1:9" x14ac:dyDescent="0.2">
      <c r="A1197" s="997">
        <f t="shared" si="18"/>
        <v>1196</v>
      </c>
      <c r="B1197" s="983" t="s">
        <v>2709</v>
      </c>
      <c r="C1197" s="999"/>
      <c r="E1197" s="983" t="s">
        <v>1113</v>
      </c>
    </row>
    <row r="1198" spans="1:9" x14ac:dyDescent="0.2">
      <c r="A1198" s="997">
        <f t="shared" si="18"/>
        <v>1197</v>
      </c>
      <c r="B1198" s="983" t="s">
        <v>2710</v>
      </c>
      <c r="C1198" s="1000"/>
      <c r="E1198" s="983" t="s">
        <v>1104</v>
      </c>
    </row>
    <row r="1199" spans="1:9" x14ac:dyDescent="0.2">
      <c r="A1199" s="997">
        <f t="shared" si="18"/>
        <v>1198</v>
      </c>
      <c r="B1199" s="983" t="s">
        <v>2710</v>
      </c>
      <c r="C1199" s="1001"/>
      <c r="F1199" s="983" t="s">
        <v>1318</v>
      </c>
    </row>
    <row r="1200" spans="1:9" x14ac:dyDescent="0.2">
      <c r="A1200" s="997">
        <f t="shared" si="18"/>
        <v>1199</v>
      </c>
      <c r="B1200" s="983" t="s">
        <v>2710</v>
      </c>
      <c r="C1200" s="1000"/>
      <c r="F1200" s="983" t="s">
        <v>1105</v>
      </c>
    </row>
    <row r="1201" spans="1:9" x14ac:dyDescent="0.2">
      <c r="A1201" s="997">
        <f t="shared" si="18"/>
        <v>1200</v>
      </c>
      <c r="B1201" s="983" t="s">
        <v>2710</v>
      </c>
      <c r="C1201" s="1000"/>
      <c r="G1201" s="983" t="s">
        <v>1106</v>
      </c>
    </row>
    <row r="1202" spans="1:9" x14ac:dyDescent="0.2">
      <c r="A1202" s="997">
        <f t="shared" si="18"/>
        <v>1201</v>
      </c>
      <c r="B1202" s="983" t="s">
        <v>2710</v>
      </c>
      <c r="C1202" s="999"/>
      <c r="H1202" s="983" t="s">
        <v>1107</v>
      </c>
    </row>
    <row r="1203" spans="1:9" x14ac:dyDescent="0.2">
      <c r="A1203" s="997">
        <f t="shared" si="18"/>
        <v>1202</v>
      </c>
      <c r="B1203" s="983" t="s">
        <v>2710</v>
      </c>
      <c r="C1203" s="999"/>
      <c r="I1203" s="983" t="s">
        <v>1319</v>
      </c>
    </row>
    <row r="1204" spans="1:9" x14ac:dyDescent="0.2">
      <c r="A1204" s="997">
        <f t="shared" si="18"/>
        <v>1203</v>
      </c>
      <c r="B1204" s="983" t="s">
        <v>2710</v>
      </c>
      <c r="C1204" s="1000"/>
      <c r="H1204" s="983" t="s">
        <v>1108</v>
      </c>
    </row>
    <row r="1205" spans="1:9" x14ac:dyDescent="0.2">
      <c r="A1205" s="997">
        <f t="shared" si="18"/>
        <v>1204</v>
      </c>
      <c r="B1205" s="983" t="s">
        <v>2710</v>
      </c>
      <c r="C1205" s="1001"/>
      <c r="H1205" s="983" t="str">
        <f>CONCATENATE("&lt;valeur&gt;",Cellule_13406,"&lt;/valeur&gt;")</f>
        <v>&lt;valeur&gt;0&lt;/valeur&gt;</v>
      </c>
    </row>
    <row r="1206" spans="1:9" x14ac:dyDescent="0.2">
      <c r="A1206" s="997">
        <f t="shared" si="18"/>
        <v>1205</v>
      </c>
      <c r="B1206" s="983" t="s">
        <v>2710</v>
      </c>
      <c r="C1206" s="1000"/>
      <c r="G1206" s="983" t="s">
        <v>1109</v>
      </c>
    </row>
    <row r="1207" spans="1:9" x14ac:dyDescent="0.2">
      <c r="A1207" s="997">
        <f t="shared" si="18"/>
        <v>1206</v>
      </c>
      <c r="B1207" s="983" t="s">
        <v>2710</v>
      </c>
      <c r="C1207" s="1000"/>
      <c r="G1207" s="983" t="s">
        <v>1106</v>
      </c>
    </row>
    <row r="1208" spans="1:9" x14ac:dyDescent="0.2">
      <c r="A1208" s="997">
        <f t="shared" si="18"/>
        <v>1207</v>
      </c>
      <c r="B1208" s="983" t="s">
        <v>2710</v>
      </c>
      <c r="C1208" s="999"/>
      <c r="H1208" s="983" t="s">
        <v>1107</v>
      </c>
    </row>
    <row r="1209" spans="1:9" x14ac:dyDescent="0.2">
      <c r="A1209" s="997">
        <f t="shared" si="18"/>
        <v>1208</v>
      </c>
      <c r="B1209" s="983" t="s">
        <v>2710</v>
      </c>
      <c r="C1209" s="999"/>
      <c r="I1209" s="983" t="s">
        <v>1320</v>
      </c>
    </row>
    <row r="1210" spans="1:9" x14ac:dyDescent="0.2">
      <c r="A1210" s="997">
        <f t="shared" si="18"/>
        <v>1209</v>
      </c>
      <c r="B1210" s="983" t="s">
        <v>2710</v>
      </c>
      <c r="C1210" s="1000"/>
      <c r="H1210" s="983" t="s">
        <v>1108</v>
      </c>
    </row>
    <row r="1211" spans="1:9" x14ac:dyDescent="0.2">
      <c r="A1211" s="997">
        <f t="shared" si="18"/>
        <v>1210</v>
      </c>
      <c r="B1211" s="983" t="s">
        <v>2710</v>
      </c>
      <c r="C1211" s="1001"/>
      <c r="H1211" s="983" t="str">
        <f>CONCATENATE("&lt;valeur&gt;",Cellule_13407,"&lt;/valeur&gt;")</f>
        <v>&lt;valeur&gt;-18918,67&lt;/valeur&gt;</v>
      </c>
    </row>
    <row r="1212" spans="1:9" x14ac:dyDescent="0.2">
      <c r="A1212" s="997">
        <f t="shared" si="18"/>
        <v>1211</v>
      </c>
      <c r="B1212" s="983" t="s">
        <v>2710</v>
      </c>
      <c r="C1212" s="1000"/>
      <c r="G1212" s="983" t="s">
        <v>1109</v>
      </c>
    </row>
    <row r="1213" spans="1:9" x14ac:dyDescent="0.2">
      <c r="A1213" s="997">
        <f t="shared" si="18"/>
        <v>1212</v>
      </c>
      <c r="B1213" s="983" t="s">
        <v>2710</v>
      </c>
      <c r="C1213" s="1000"/>
      <c r="G1213" s="983" t="s">
        <v>1106</v>
      </c>
    </row>
    <row r="1214" spans="1:9" x14ac:dyDescent="0.2">
      <c r="A1214" s="997">
        <f t="shared" si="18"/>
        <v>1213</v>
      </c>
      <c r="B1214" s="983" t="s">
        <v>2710</v>
      </c>
      <c r="C1214" s="999"/>
      <c r="H1214" s="983" t="s">
        <v>1107</v>
      </c>
    </row>
    <row r="1215" spans="1:9" x14ac:dyDescent="0.2">
      <c r="A1215" s="997">
        <f t="shared" si="18"/>
        <v>1214</v>
      </c>
      <c r="B1215" s="983" t="s">
        <v>2710</v>
      </c>
      <c r="C1215" s="999"/>
      <c r="I1215" s="983" t="s">
        <v>1321</v>
      </c>
    </row>
    <row r="1216" spans="1:9" x14ac:dyDescent="0.2">
      <c r="A1216" s="997">
        <f t="shared" si="18"/>
        <v>1215</v>
      </c>
      <c r="B1216" s="983" t="s">
        <v>2710</v>
      </c>
      <c r="C1216" s="1000"/>
      <c r="H1216" s="983" t="s">
        <v>1108</v>
      </c>
    </row>
    <row r="1217" spans="1:9" x14ac:dyDescent="0.2">
      <c r="A1217" s="997">
        <f t="shared" si="18"/>
        <v>1216</v>
      </c>
      <c r="B1217" s="983" t="s">
        <v>2710</v>
      </c>
      <c r="C1217" s="1001"/>
      <c r="H1217" s="983" t="str">
        <f>CONCATENATE("&lt;valeur&gt;",Cellule_13408,"&lt;/valeur&gt;")</f>
        <v>&lt;valeur&gt;0&lt;/valeur&gt;</v>
      </c>
    </row>
    <row r="1218" spans="1:9" x14ac:dyDescent="0.2">
      <c r="A1218" s="997">
        <f t="shared" si="18"/>
        <v>1217</v>
      </c>
      <c r="B1218" s="983" t="s">
        <v>2710</v>
      </c>
      <c r="C1218" s="1000"/>
      <c r="G1218" s="983" t="s">
        <v>1109</v>
      </c>
    </row>
    <row r="1219" spans="1:9" x14ac:dyDescent="0.2">
      <c r="A1219" s="997">
        <f t="shared" si="18"/>
        <v>1218</v>
      </c>
      <c r="B1219" s="983" t="s">
        <v>2710</v>
      </c>
      <c r="C1219" s="1000"/>
      <c r="G1219" s="983" t="s">
        <v>1106</v>
      </c>
    </row>
    <row r="1220" spans="1:9" x14ac:dyDescent="0.2">
      <c r="A1220" s="997">
        <f t="shared" ref="A1220:A1283" si="19">+A1219+1</f>
        <v>1219</v>
      </c>
      <c r="B1220" s="983" t="s">
        <v>2710</v>
      </c>
      <c r="C1220" s="999"/>
      <c r="H1220" s="983" t="s">
        <v>1107</v>
      </c>
    </row>
    <row r="1221" spans="1:9" x14ac:dyDescent="0.2">
      <c r="A1221" s="997">
        <f t="shared" si="19"/>
        <v>1220</v>
      </c>
      <c r="B1221" s="983" t="s">
        <v>2710</v>
      </c>
      <c r="C1221" s="999"/>
      <c r="I1221" s="983" t="s">
        <v>1322</v>
      </c>
    </row>
    <row r="1222" spans="1:9" x14ac:dyDescent="0.2">
      <c r="A1222" s="997">
        <f t="shared" si="19"/>
        <v>1221</v>
      </c>
      <c r="B1222" s="983" t="s">
        <v>2710</v>
      </c>
      <c r="C1222" s="1000"/>
      <c r="H1222" s="983" t="s">
        <v>1108</v>
      </c>
    </row>
    <row r="1223" spans="1:9" x14ac:dyDescent="0.2">
      <c r="A1223" s="997">
        <f t="shared" si="19"/>
        <v>1222</v>
      </c>
      <c r="B1223" s="983" t="s">
        <v>2710</v>
      </c>
      <c r="C1223" s="1001"/>
      <c r="H1223" s="983" t="str">
        <f>CONCATENATE("&lt;valeur&gt;",Cellule_13409,"&lt;/valeur&gt;")</f>
        <v>&lt;valeur&gt;21452,44&lt;/valeur&gt;</v>
      </c>
    </row>
    <row r="1224" spans="1:9" x14ac:dyDescent="0.2">
      <c r="A1224" s="997">
        <f t="shared" si="19"/>
        <v>1223</v>
      </c>
      <c r="B1224" s="983" t="s">
        <v>2710</v>
      </c>
      <c r="C1224" s="1000"/>
      <c r="G1224" s="983" t="s">
        <v>1109</v>
      </c>
    </row>
    <row r="1225" spans="1:9" x14ac:dyDescent="0.2">
      <c r="A1225" s="997">
        <f t="shared" si="19"/>
        <v>1224</v>
      </c>
      <c r="B1225" s="983" t="s">
        <v>2710</v>
      </c>
      <c r="C1225" s="1000"/>
      <c r="G1225" s="983" t="s">
        <v>1106</v>
      </c>
    </row>
    <row r="1226" spans="1:9" x14ac:dyDescent="0.2">
      <c r="A1226" s="997">
        <f t="shared" si="19"/>
        <v>1225</v>
      </c>
      <c r="B1226" s="983" t="s">
        <v>2710</v>
      </c>
      <c r="C1226" s="999"/>
      <c r="H1226" s="983" t="s">
        <v>1107</v>
      </c>
    </row>
    <row r="1227" spans="1:9" x14ac:dyDescent="0.2">
      <c r="A1227" s="997">
        <f t="shared" si="19"/>
        <v>1226</v>
      </c>
      <c r="B1227" s="983" t="s">
        <v>2710</v>
      </c>
      <c r="C1227" s="999"/>
      <c r="I1227" s="983" t="s">
        <v>1323</v>
      </c>
    </row>
    <row r="1228" spans="1:9" x14ac:dyDescent="0.2">
      <c r="A1228" s="997">
        <f t="shared" si="19"/>
        <v>1227</v>
      </c>
      <c r="B1228" s="983" t="s">
        <v>2710</v>
      </c>
      <c r="C1228" s="1000"/>
      <c r="H1228" s="983" t="s">
        <v>1108</v>
      </c>
    </row>
    <row r="1229" spans="1:9" x14ac:dyDescent="0.2">
      <c r="A1229" s="997">
        <f t="shared" si="19"/>
        <v>1228</v>
      </c>
      <c r="B1229" s="983" t="s">
        <v>2710</v>
      </c>
      <c r="C1229" s="1001"/>
      <c r="H1229" s="983" t="str">
        <f>CONCATENATE("&lt;valeur&gt;",Cellule_13410,"&lt;/valeur&gt;")</f>
        <v>&lt;valeur&gt;102533,77&lt;/valeur&gt;</v>
      </c>
    </row>
    <row r="1230" spans="1:9" x14ac:dyDescent="0.2">
      <c r="A1230" s="997">
        <f t="shared" si="19"/>
        <v>1229</v>
      </c>
      <c r="B1230" s="983" t="s">
        <v>2710</v>
      </c>
      <c r="C1230" s="1000"/>
      <c r="G1230" s="983" t="s">
        <v>1109</v>
      </c>
    </row>
    <row r="1231" spans="1:9" x14ac:dyDescent="0.2">
      <c r="A1231" s="997">
        <f t="shared" si="19"/>
        <v>1230</v>
      </c>
      <c r="B1231" s="983" t="s">
        <v>2710</v>
      </c>
      <c r="C1231" s="1000"/>
      <c r="G1231" s="983" t="s">
        <v>1106</v>
      </c>
    </row>
    <row r="1232" spans="1:9" x14ac:dyDescent="0.2">
      <c r="A1232" s="997">
        <f t="shared" si="19"/>
        <v>1231</v>
      </c>
      <c r="B1232" s="983" t="s">
        <v>2710</v>
      </c>
      <c r="C1232" s="999"/>
      <c r="H1232" s="983" t="s">
        <v>1107</v>
      </c>
    </row>
    <row r="1233" spans="1:9" x14ac:dyDescent="0.2">
      <c r="A1233" s="997">
        <f t="shared" si="19"/>
        <v>1232</v>
      </c>
      <c r="B1233" s="983" t="s">
        <v>2710</v>
      </c>
      <c r="C1233" s="999"/>
      <c r="I1233" s="983" t="s">
        <v>1324</v>
      </c>
    </row>
    <row r="1234" spans="1:9" x14ac:dyDescent="0.2">
      <c r="A1234" s="997">
        <f t="shared" si="19"/>
        <v>1233</v>
      </c>
      <c r="B1234" s="983" t="s">
        <v>2710</v>
      </c>
      <c r="C1234" s="1000"/>
      <c r="H1234" s="983" t="s">
        <v>1108</v>
      </c>
    </row>
    <row r="1235" spans="1:9" x14ac:dyDescent="0.2">
      <c r="A1235" s="997">
        <f t="shared" si="19"/>
        <v>1234</v>
      </c>
      <c r="B1235" s="983" t="s">
        <v>2710</v>
      </c>
      <c r="C1235" s="1001"/>
      <c r="H1235" s="983" t="str">
        <f>CONCATENATE("&lt;valeur&gt;",Cellule_13400,"&lt;/valeur&gt;")</f>
        <v>&lt;valeur&gt;100000&lt;/valeur&gt;</v>
      </c>
    </row>
    <row r="1236" spans="1:9" x14ac:dyDescent="0.2">
      <c r="A1236" s="997">
        <f t="shared" si="19"/>
        <v>1235</v>
      </c>
      <c r="B1236" s="983" t="s">
        <v>2710</v>
      </c>
      <c r="C1236" s="1000"/>
      <c r="G1236" s="983" t="s">
        <v>1109</v>
      </c>
    </row>
    <row r="1237" spans="1:9" x14ac:dyDescent="0.2">
      <c r="A1237" s="997">
        <f t="shared" si="19"/>
        <v>1236</v>
      </c>
      <c r="B1237" s="983" t="s">
        <v>2710</v>
      </c>
      <c r="C1237" s="1000"/>
      <c r="G1237" s="983" t="s">
        <v>1106</v>
      </c>
    </row>
    <row r="1238" spans="1:9" x14ac:dyDescent="0.2">
      <c r="A1238" s="997">
        <f t="shared" si="19"/>
        <v>1237</v>
      </c>
      <c r="B1238" s="983" t="s">
        <v>2710</v>
      </c>
      <c r="C1238" s="999"/>
      <c r="H1238" s="983" t="s">
        <v>1107</v>
      </c>
    </row>
    <row r="1239" spans="1:9" x14ac:dyDescent="0.2">
      <c r="A1239" s="997">
        <f t="shared" si="19"/>
        <v>1238</v>
      </c>
      <c r="B1239" s="983" t="s">
        <v>2710</v>
      </c>
      <c r="C1239" s="999"/>
      <c r="I1239" s="983" t="s">
        <v>1325</v>
      </c>
    </row>
    <row r="1240" spans="1:9" x14ac:dyDescent="0.2">
      <c r="A1240" s="997">
        <f t="shared" si="19"/>
        <v>1239</v>
      </c>
      <c r="B1240" s="983" t="s">
        <v>2710</v>
      </c>
      <c r="C1240" s="1000"/>
      <c r="H1240" s="983" t="s">
        <v>1108</v>
      </c>
    </row>
    <row r="1241" spans="1:9" x14ac:dyDescent="0.2">
      <c r="A1241" s="997">
        <f t="shared" si="19"/>
        <v>1240</v>
      </c>
      <c r="B1241" s="983" t="s">
        <v>2710</v>
      </c>
      <c r="C1241" s="1001"/>
      <c r="H1241" s="983" t="str">
        <f>CONCATENATE("&lt;valeur&gt;",Cellule_13401,"&lt;/valeur&gt;")</f>
        <v>&lt;valeur&gt;0&lt;/valeur&gt;</v>
      </c>
    </row>
    <row r="1242" spans="1:9" x14ac:dyDescent="0.2">
      <c r="A1242" s="997">
        <f t="shared" si="19"/>
        <v>1241</v>
      </c>
      <c r="B1242" s="983" t="s">
        <v>2710</v>
      </c>
      <c r="C1242" s="1000"/>
      <c r="G1242" s="983" t="s">
        <v>1109</v>
      </c>
    </row>
    <row r="1243" spans="1:9" x14ac:dyDescent="0.2">
      <c r="A1243" s="997">
        <f t="shared" si="19"/>
        <v>1242</v>
      </c>
      <c r="B1243" s="983" t="s">
        <v>2710</v>
      </c>
      <c r="C1243" s="1000"/>
      <c r="G1243" s="983" t="s">
        <v>1106</v>
      </c>
    </row>
    <row r="1244" spans="1:9" x14ac:dyDescent="0.2">
      <c r="A1244" s="997">
        <f t="shared" si="19"/>
        <v>1243</v>
      </c>
      <c r="B1244" s="983" t="s">
        <v>2710</v>
      </c>
      <c r="C1244" s="999"/>
      <c r="H1244" s="983" t="s">
        <v>1107</v>
      </c>
    </row>
    <row r="1245" spans="1:9" x14ac:dyDescent="0.2">
      <c r="A1245" s="997">
        <f t="shared" si="19"/>
        <v>1244</v>
      </c>
      <c r="B1245" s="983" t="s">
        <v>2710</v>
      </c>
      <c r="C1245" s="999"/>
      <c r="I1245" s="983" t="s">
        <v>1326</v>
      </c>
    </row>
    <row r="1246" spans="1:9" x14ac:dyDescent="0.2">
      <c r="A1246" s="997">
        <f t="shared" si="19"/>
        <v>1245</v>
      </c>
      <c r="B1246" s="983" t="s">
        <v>2710</v>
      </c>
      <c r="C1246" s="1000"/>
      <c r="H1246" s="983" t="s">
        <v>1108</v>
      </c>
    </row>
    <row r="1247" spans="1:9" x14ac:dyDescent="0.2">
      <c r="A1247" s="997">
        <f t="shared" si="19"/>
        <v>1246</v>
      </c>
      <c r="B1247" s="983" t="s">
        <v>2710</v>
      </c>
      <c r="C1247" s="1001"/>
      <c r="H1247" s="983" t="str">
        <f>CONCATENATE("&lt;valeur&gt;",Cellule_13402,"&lt;/valeur&gt;")</f>
        <v>&lt;valeur&gt;&lt;/valeur&gt;</v>
      </c>
    </row>
    <row r="1248" spans="1:9" x14ac:dyDescent="0.2">
      <c r="A1248" s="997">
        <f t="shared" si="19"/>
        <v>1247</v>
      </c>
      <c r="B1248" s="983" t="s">
        <v>2710</v>
      </c>
      <c r="C1248" s="1000"/>
      <c r="G1248" s="983" t="s">
        <v>1109</v>
      </c>
    </row>
    <row r="1249" spans="1:9" x14ac:dyDescent="0.2">
      <c r="A1249" s="997">
        <f t="shared" si="19"/>
        <v>1248</v>
      </c>
      <c r="B1249" s="983" t="s">
        <v>2710</v>
      </c>
      <c r="C1249" s="1000"/>
      <c r="G1249" s="983" t="s">
        <v>1106</v>
      </c>
    </row>
    <row r="1250" spans="1:9" x14ac:dyDescent="0.2">
      <c r="A1250" s="997">
        <f t="shared" si="19"/>
        <v>1249</v>
      </c>
      <c r="B1250" s="983" t="s">
        <v>2710</v>
      </c>
      <c r="C1250" s="999"/>
      <c r="H1250" s="983" t="s">
        <v>1107</v>
      </c>
    </row>
    <row r="1251" spans="1:9" x14ac:dyDescent="0.2">
      <c r="A1251" s="997">
        <f t="shared" si="19"/>
        <v>1250</v>
      </c>
      <c r="B1251" s="983" t="s">
        <v>2710</v>
      </c>
      <c r="C1251" s="999"/>
      <c r="I1251" s="983" t="s">
        <v>1327</v>
      </c>
    </row>
    <row r="1252" spans="1:9" x14ac:dyDescent="0.2">
      <c r="A1252" s="997">
        <f t="shared" si="19"/>
        <v>1251</v>
      </c>
      <c r="B1252" s="983" t="s">
        <v>2710</v>
      </c>
      <c r="C1252" s="1000"/>
      <c r="H1252" s="983" t="s">
        <v>1108</v>
      </c>
    </row>
    <row r="1253" spans="1:9" x14ac:dyDescent="0.2">
      <c r="A1253" s="997">
        <f t="shared" si="19"/>
        <v>1252</v>
      </c>
      <c r="B1253" s="983" t="s">
        <v>2710</v>
      </c>
      <c r="C1253" s="1001"/>
      <c r="H1253" s="983" t="str">
        <f>CONCATENATE("&lt;valeur&gt;",Cellule_13403,"&lt;/valeur&gt;")</f>
        <v>&lt;valeur&gt;0&lt;/valeur&gt;</v>
      </c>
    </row>
    <row r="1254" spans="1:9" x14ac:dyDescent="0.2">
      <c r="A1254" s="997">
        <f t="shared" si="19"/>
        <v>1253</v>
      </c>
      <c r="B1254" s="983" t="s">
        <v>2710</v>
      </c>
      <c r="C1254" s="1000"/>
      <c r="G1254" s="983" t="s">
        <v>1109</v>
      </c>
    </row>
    <row r="1255" spans="1:9" x14ac:dyDescent="0.2">
      <c r="A1255" s="997">
        <f t="shared" si="19"/>
        <v>1254</v>
      </c>
      <c r="B1255" s="983" t="s">
        <v>2710</v>
      </c>
      <c r="C1255" s="1000"/>
      <c r="G1255" s="983" t="s">
        <v>1106</v>
      </c>
    </row>
    <row r="1256" spans="1:9" x14ac:dyDescent="0.2">
      <c r="A1256" s="997">
        <f t="shared" si="19"/>
        <v>1255</v>
      </c>
      <c r="B1256" s="983" t="s">
        <v>2710</v>
      </c>
      <c r="C1256" s="999"/>
      <c r="H1256" s="983" t="s">
        <v>1107</v>
      </c>
    </row>
    <row r="1257" spans="1:9" x14ac:dyDescent="0.2">
      <c r="A1257" s="997">
        <f t="shared" si="19"/>
        <v>1256</v>
      </c>
      <c r="B1257" s="983" t="s">
        <v>2710</v>
      </c>
      <c r="C1257" s="999"/>
      <c r="I1257" s="983" t="s">
        <v>1328</v>
      </c>
    </row>
    <row r="1258" spans="1:9" x14ac:dyDescent="0.2">
      <c r="A1258" s="997">
        <f t="shared" si="19"/>
        <v>1257</v>
      </c>
      <c r="B1258" s="983" t="s">
        <v>2710</v>
      </c>
      <c r="C1258" s="1000"/>
      <c r="H1258" s="983" t="s">
        <v>1108</v>
      </c>
    </row>
    <row r="1259" spans="1:9" x14ac:dyDescent="0.2">
      <c r="A1259" s="997">
        <f t="shared" si="19"/>
        <v>1258</v>
      </c>
      <c r="B1259" s="983" t="s">
        <v>2710</v>
      </c>
      <c r="C1259" s="1001"/>
      <c r="H1259" s="983" t="str">
        <f>CONCATENATE("&lt;valeur&gt;",Cellule_13404,"&lt;/valeur&gt;")</f>
        <v>&lt;valeur&gt;0&lt;/valeur&gt;</v>
      </c>
    </row>
    <row r="1260" spans="1:9" x14ac:dyDescent="0.2">
      <c r="A1260" s="997">
        <f t="shared" si="19"/>
        <v>1259</v>
      </c>
      <c r="B1260" s="983" t="s">
        <v>2710</v>
      </c>
      <c r="C1260" s="1000"/>
      <c r="G1260" s="983" t="s">
        <v>1109</v>
      </c>
    </row>
    <row r="1261" spans="1:9" x14ac:dyDescent="0.2">
      <c r="A1261" s="997">
        <f t="shared" si="19"/>
        <v>1260</v>
      </c>
      <c r="B1261" s="983" t="s">
        <v>2710</v>
      </c>
      <c r="C1261" s="1000"/>
      <c r="G1261" s="983" t="s">
        <v>1106</v>
      </c>
    </row>
    <row r="1262" spans="1:9" x14ac:dyDescent="0.2">
      <c r="A1262" s="997">
        <f t="shared" si="19"/>
        <v>1261</v>
      </c>
      <c r="B1262" s="983" t="s">
        <v>2710</v>
      </c>
      <c r="C1262" s="999"/>
      <c r="H1262" s="983" t="s">
        <v>1107</v>
      </c>
    </row>
    <row r="1263" spans="1:9" x14ac:dyDescent="0.2">
      <c r="A1263" s="997">
        <f t="shared" si="19"/>
        <v>1262</v>
      </c>
      <c r="B1263" s="983" t="s">
        <v>2710</v>
      </c>
      <c r="C1263" s="999"/>
      <c r="I1263" s="983" t="s">
        <v>1329</v>
      </c>
    </row>
    <row r="1264" spans="1:9" x14ac:dyDescent="0.2">
      <c r="A1264" s="997">
        <f t="shared" si="19"/>
        <v>1263</v>
      </c>
      <c r="B1264" s="983" t="s">
        <v>2710</v>
      </c>
      <c r="C1264" s="1000"/>
      <c r="H1264" s="983" t="s">
        <v>1108</v>
      </c>
    </row>
    <row r="1265" spans="1:9" x14ac:dyDescent="0.2">
      <c r="A1265" s="997">
        <f t="shared" si="19"/>
        <v>1264</v>
      </c>
      <c r="B1265" s="983" t="s">
        <v>2710</v>
      </c>
      <c r="C1265" s="1001"/>
      <c r="H1265" s="983" t="str">
        <f>CONCATENATE("&lt;valeur&gt;",Cellule_13405,"&lt;/valeur&gt;")</f>
        <v>&lt;valeur&gt;0&lt;/valeur&gt;</v>
      </c>
    </row>
    <row r="1266" spans="1:9" x14ac:dyDescent="0.2">
      <c r="A1266" s="997">
        <f t="shared" si="19"/>
        <v>1265</v>
      </c>
      <c r="B1266" s="983" t="s">
        <v>2710</v>
      </c>
      <c r="C1266" s="1000"/>
      <c r="G1266" s="983" t="s">
        <v>1109</v>
      </c>
    </row>
    <row r="1267" spans="1:9" x14ac:dyDescent="0.2">
      <c r="A1267" s="997">
        <f t="shared" si="19"/>
        <v>1266</v>
      </c>
      <c r="B1267" s="983" t="s">
        <v>2710</v>
      </c>
      <c r="C1267" s="1000"/>
      <c r="G1267" s="983" t="s">
        <v>1106</v>
      </c>
    </row>
    <row r="1268" spans="1:9" x14ac:dyDescent="0.2">
      <c r="A1268" s="997">
        <f t="shared" si="19"/>
        <v>1267</v>
      </c>
      <c r="B1268" s="983" t="s">
        <v>2710</v>
      </c>
      <c r="C1268" s="999"/>
      <c r="H1268" s="983" t="s">
        <v>1107</v>
      </c>
    </row>
    <row r="1269" spans="1:9" x14ac:dyDescent="0.2">
      <c r="A1269" s="997">
        <f t="shared" si="19"/>
        <v>1268</v>
      </c>
      <c r="B1269" s="983" t="s">
        <v>2710</v>
      </c>
      <c r="C1269" s="999"/>
      <c r="I1269" s="983" t="s">
        <v>1330</v>
      </c>
    </row>
    <row r="1270" spans="1:9" x14ac:dyDescent="0.2">
      <c r="A1270" s="997">
        <f t="shared" si="19"/>
        <v>1269</v>
      </c>
      <c r="B1270" s="983" t="s">
        <v>2710</v>
      </c>
      <c r="C1270" s="1000"/>
      <c r="H1270" s="983" t="s">
        <v>1108</v>
      </c>
    </row>
    <row r="1271" spans="1:9" x14ac:dyDescent="0.2">
      <c r="A1271" s="997">
        <f t="shared" si="19"/>
        <v>1270</v>
      </c>
      <c r="B1271" s="983" t="s">
        <v>2710</v>
      </c>
      <c r="C1271" s="1001"/>
      <c r="H1271" s="983" t="str">
        <f>CONCATENATE("&lt;valeur&gt;",Cellule_13411,"&lt;/valeur&gt;")</f>
        <v>&lt;valeur&gt;100000&lt;/valeur&gt;</v>
      </c>
    </row>
    <row r="1272" spans="1:9" x14ac:dyDescent="0.2">
      <c r="A1272" s="997">
        <f t="shared" si="19"/>
        <v>1271</v>
      </c>
      <c r="B1272" s="983" t="s">
        <v>2710</v>
      </c>
      <c r="C1272" s="1000"/>
      <c r="G1272" s="983" t="s">
        <v>1109</v>
      </c>
    </row>
    <row r="1273" spans="1:9" x14ac:dyDescent="0.2">
      <c r="A1273" s="997">
        <f t="shared" si="19"/>
        <v>1272</v>
      </c>
      <c r="B1273" s="983" t="s">
        <v>2710</v>
      </c>
      <c r="C1273" s="1000"/>
      <c r="G1273" s="983" t="s">
        <v>1106</v>
      </c>
    </row>
    <row r="1274" spans="1:9" x14ac:dyDescent="0.2">
      <c r="A1274" s="997">
        <f t="shared" si="19"/>
        <v>1273</v>
      </c>
      <c r="B1274" s="983" t="s">
        <v>2710</v>
      </c>
      <c r="C1274" s="999"/>
      <c r="H1274" s="983" t="s">
        <v>1107</v>
      </c>
    </row>
    <row r="1275" spans="1:9" x14ac:dyDescent="0.2">
      <c r="A1275" s="997">
        <f t="shared" si="19"/>
        <v>1274</v>
      </c>
      <c r="B1275" s="983" t="s">
        <v>2710</v>
      </c>
      <c r="C1275" s="999"/>
      <c r="I1275" s="983" t="s">
        <v>1331</v>
      </c>
    </row>
    <row r="1276" spans="1:9" x14ac:dyDescent="0.2">
      <c r="A1276" s="997">
        <f t="shared" si="19"/>
        <v>1275</v>
      </c>
      <c r="B1276" s="983" t="s">
        <v>2710</v>
      </c>
      <c r="C1276" s="1000"/>
      <c r="H1276" s="983" t="s">
        <v>1108</v>
      </c>
    </row>
    <row r="1277" spans="1:9" x14ac:dyDescent="0.2">
      <c r="A1277" s="997">
        <f t="shared" si="19"/>
        <v>1276</v>
      </c>
      <c r="B1277" s="983" t="s">
        <v>2710</v>
      </c>
      <c r="C1277" s="1001"/>
      <c r="H1277" s="983" t="str">
        <f>CONCATENATE("&lt;valeur&gt;",Cellule_13412,"&lt;/valeur&gt;")</f>
        <v>&lt;valeur&gt;0&lt;/valeur&gt;</v>
      </c>
    </row>
    <row r="1278" spans="1:9" x14ac:dyDescent="0.2">
      <c r="A1278" s="997">
        <f t="shared" si="19"/>
        <v>1277</v>
      </c>
      <c r="B1278" s="983" t="s">
        <v>2710</v>
      </c>
      <c r="C1278" s="1000"/>
      <c r="G1278" s="983" t="s">
        <v>1109</v>
      </c>
    </row>
    <row r="1279" spans="1:9" x14ac:dyDescent="0.2">
      <c r="A1279" s="997">
        <f t="shared" si="19"/>
        <v>1278</v>
      </c>
      <c r="B1279" s="983" t="s">
        <v>2710</v>
      </c>
      <c r="C1279" s="1000"/>
      <c r="G1279" s="983" t="s">
        <v>1106</v>
      </c>
    </row>
    <row r="1280" spans="1:9" x14ac:dyDescent="0.2">
      <c r="A1280" s="997">
        <f t="shared" si="19"/>
        <v>1279</v>
      </c>
      <c r="B1280" s="983" t="s">
        <v>2710</v>
      </c>
      <c r="C1280" s="999"/>
      <c r="H1280" s="983" t="s">
        <v>1107</v>
      </c>
    </row>
    <row r="1281" spans="1:9" x14ac:dyDescent="0.2">
      <c r="A1281" s="997">
        <f t="shared" si="19"/>
        <v>1280</v>
      </c>
      <c r="B1281" s="983" t="s">
        <v>2710</v>
      </c>
      <c r="C1281" s="999"/>
      <c r="I1281" s="983" t="s">
        <v>1332</v>
      </c>
    </row>
    <row r="1282" spans="1:9" x14ac:dyDescent="0.2">
      <c r="A1282" s="997">
        <f t="shared" si="19"/>
        <v>1281</v>
      </c>
      <c r="B1282" s="983" t="s">
        <v>2710</v>
      </c>
      <c r="C1282" s="1000"/>
      <c r="H1282" s="983" t="s">
        <v>1108</v>
      </c>
    </row>
    <row r="1283" spans="1:9" x14ac:dyDescent="0.2">
      <c r="A1283" s="997">
        <f t="shared" si="19"/>
        <v>1282</v>
      </c>
      <c r="B1283" s="983" t="s">
        <v>2710</v>
      </c>
      <c r="C1283" s="1001"/>
      <c r="H1283" s="983" t="str">
        <f>CONCATENATE("&lt;valeur&gt;",Cellule_13413,"&lt;/valeur&gt;")</f>
        <v>&lt;valeur&gt;&lt;/valeur&gt;</v>
      </c>
    </row>
    <row r="1284" spans="1:9" x14ac:dyDescent="0.2">
      <c r="A1284" s="997">
        <f t="shared" ref="A1284:A1347" si="20">+A1283+1</f>
        <v>1283</v>
      </c>
      <c r="B1284" s="983" t="s">
        <v>2710</v>
      </c>
      <c r="C1284" s="1000"/>
      <c r="G1284" s="983" t="s">
        <v>1109</v>
      </c>
    </row>
    <row r="1285" spans="1:9" x14ac:dyDescent="0.2">
      <c r="A1285" s="997">
        <f t="shared" si="20"/>
        <v>1284</v>
      </c>
      <c r="B1285" s="983" t="s">
        <v>2710</v>
      </c>
      <c r="C1285" s="1000"/>
      <c r="G1285" s="983" t="s">
        <v>1106</v>
      </c>
    </row>
    <row r="1286" spans="1:9" x14ac:dyDescent="0.2">
      <c r="A1286" s="997">
        <f t="shared" si="20"/>
        <v>1285</v>
      </c>
      <c r="B1286" s="983" t="s">
        <v>2710</v>
      </c>
      <c r="C1286" s="999"/>
      <c r="H1286" s="983" t="s">
        <v>1107</v>
      </c>
    </row>
    <row r="1287" spans="1:9" x14ac:dyDescent="0.2">
      <c r="A1287" s="997">
        <f t="shared" si="20"/>
        <v>1286</v>
      </c>
      <c r="B1287" s="983" t="s">
        <v>2710</v>
      </c>
      <c r="C1287" s="999"/>
      <c r="I1287" s="983" t="s">
        <v>1333</v>
      </c>
    </row>
    <row r="1288" spans="1:9" x14ac:dyDescent="0.2">
      <c r="A1288" s="997">
        <f t="shared" si="20"/>
        <v>1287</v>
      </c>
      <c r="B1288" s="983" t="s">
        <v>2710</v>
      </c>
      <c r="C1288" s="1000"/>
      <c r="H1288" s="983" t="s">
        <v>1108</v>
      </c>
    </row>
    <row r="1289" spans="1:9" x14ac:dyDescent="0.2">
      <c r="A1289" s="997">
        <f t="shared" si="20"/>
        <v>1288</v>
      </c>
      <c r="B1289" s="983" t="s">
        <v>2710</v>
      </c>
      <c r="C1289" s="1001"/>
      <c r="H1289" s="983" t="str">
        <f>CONCATENATE("&lt;valeur&gt;",Cellule_13414,"&lt;/valeur&gt;")</f>
        <v>&lt;valeur&gt;0&lt;/valeur&gt;</v>
      </c>
    </row>
    <row r="1290" spans="1:9" x14ac:dyDescent="0.2">
      <c r="A1290" s="997">
        <f t="shared" si="20"/>
        <v>1289</v>
      </c>
      <c r="B1290" s="983" t="s">
        <v>2710</v>
      </c>
      <c r="C1290" s="1000"/>
      <c r="G1290" s="983" t="s">
        <v>1109</v>
      </c>
    </row>
    <row r="1291" spans="1:9" x14ac:dyDescent="0.2">
      <c r="A1291" s="997">
        <f t="shared" si="20"/>
        <v>1290</v>
      </c>
      <c r="B1291" s="983" t="s">
        <v>2710</v>
      </c>
      <c r="C1291" s="1000"/>
      <c r="G1291" s="983" t="s">
        <v>1106</v>
      </c>
    </row>
    <row r="1292" spans="1:9" x14ac:dyDescent="0.2">
      <c r="A1292" s="997">
        <f t="shared" si="20"/>
        <v>1291</v>
      </c>
      <c r="B1292" s="983" t="s">
        <v>2710</v>
      </c>
      <c r="C1292" s="999"/>
      <c r="H1292" s="983" t="s">
        <v>1107</v>
      </c>
    </row>
    <row r="1293" spans="1:9" x14ac:dyDescent="0.2">
      <c r="A1293" s="997">
        <f t="shared" si="20"/>
        <v>1292</v>
      </c>
      <c r="B1293" s="983" t="s">
        <v>2710</v>
      </c>
      <c r="C1293" s="999"/>
      <c r="I1293" s="983" t="s">
        <v>1334</v>
      </c>
    </row>
    <row r="1294" spans="1:9" x14ac:dyDescent="0.2">
      <c r="A1294" s="997">
        <f t="shared" si="20"/>
        <v>1293</v>
      </c>
      <c r="B1294" s="983" t="s">
        <v>2710</v>
      </c>
      <c r="C1294" s="1000"/>
      <c r="H1294" s="983" t="s">
        <v>1108</v>
      </c>
    </row>
    <row r="1295" spans="1:9" x14ac:dyDescent="0.2">
      <c r="A1295" s="997">
        <f t="shared" si="20"/>
        <v>1294</v>
      </c>
      <c r="B1295" s="983" t="s">
        <v>2710</v>
      </c>
      <c r="C1295" s="1001"/>
      <c r="H1295" s="983" t="str">
        <f>CONCATENATE("&lt;valeur&gt;",Cellule_13415,"&lt;/valeur&gt;")</f>
        <v>&lt;valeur&gt;0&lt;/valeur&gt;</v>
      </c>
    </row>
    <row r="1296" spans="1:9" x14ac:dyDescent="0.2">
      <c r="A1296" s="997">
        <f t="shared" si="20"/>
        <v>1295</v>
      </c>
      <c r="B1296" s="983" t="s">
        <v>2710</v>
      </c>
      <c r="C1296" s="1000"/>
      <c r="G1296" s="983" t="s">
        <v>1109</v>
      </c>
    </row>
    <row r="1297" spans="1:9" x14ac:dyDescent="0.2">
      <c r="A1297" s="997">
        <f t="shared" si="20"/>
        <v>1296</v>
      </c>
      <c r="B1297" s="983" t="s">
        <v>2710</v>
      </c>
      <c r="C1297" s="1000"/>
      <c r="G1297" s="983" t="s">
        <v>1106</v>
      </c>
    </row>
    <row r="1298" spans="1:9" x14ac:dyDescent="0.2">
      <c r="A1298" s="997">
        <f t="shared" si="20"/>
        <v>1297</v>
      </c>
      <c r="B1298" s="983" t="s">
        <v>2710</v>
      </c>
      <c r="C1298" s="999"/>
      <c r="H1298" s="983" t="s">
        <v>1107</v>
      </c>
    </row>
    <row r="1299" spans="1:9" x14ac:dyDescent="0.2">
      <c r="A1299" s="997">
        <f t="shared" si="20"/>
        <v>1298</v>
      </c>
      <c r="B1299" s="983" t="s">
        <v>2710</v>
      </c>
      <c r="C1299" s="999"/>
      <c r="I1299" s="983" t="s">
        <v>1335</v>
      </c>
    </row>
    <row r="1300" spans="1:9" x14ac:dyDescent="0.2">
      <c r="A1300" s="997">
        <f t="shared" si="20"/>
        <v>1299</v>
      </c>
      <c r="B1300" s="983" t="s">
        <v>2710</v>
      </c>
      <c r="C1300" s="1000"/>
      <c r="H1300" s="983" t="s">
        <v>1108</v>
      </c>
    </row>
    <row r="1301" spans="1:9" x14ac:dyDescent="0.2">
      <c r="A1301" s="997">
        <f t="shared" si="20"/>
        <v>1300</v>
      </c>
      <c r="B1301" s="983" t="s">
        <v>2710</v>
      </c>
      <c r="C1301" s="1001"/>
      <c r="H1301" s="983" t="str">
        <f>CONCATENATE("&lt;valeur&gt;",Cellule_13416,"&lt;/valeur&gt;")</f>
        <v>&lt;valeur&gt;0&lt;/valeur&gt;</v>
      </c>
    </row>
    <row r="1302" spans="1:9" x14ac:dyDescent="0.2">
      <c r="A1302" s="997">
        <f t="shared" si="20"/>
        <v>1301</v>
      </c>
      <c r="B1302" s="983" t="s">
        <v>2710</v>
      </c>
      <c r="C1302" s="1000"/>
      <c r="G1302" s="983" t="s">
        <v>1109</v>
      </c>
    </row>
    <row r="1303" spans="1:9" x14ac:dyDescent="0.2">
      <c r="A1303" s="997">
        <f t="shared" si="20"/>
        <v>1302</v>
      </c>
      <c r="B1303" s="983" t="s">
        <v>2710</v>
      </c>
      <c r="C1303" s="1000"/>
      <c r="G1303" s="983" t="s">
        <v>1106</v>
      </c>
    </row>
    <row r="1304" spans="1:9" x14ac:dyDescent="0.2">
      <c r="A1304" s="997">
        <f t="shared" si="20"/>
        <v>1303</v>
      </c>
      <c r="B1304" s="983" t="s">
        <v>2710</v>
      </c>
      <c r="C1304" s="999"/>
      <c r="H1304" s="983" t="s">
        <v>1107</v>
      </c>
    </row>
    <row r="1305" spans="1:9" x14ac:dyDescent="0.2">
      <c r="A1305" s="997">
        <f t="shared" si="20"/>
        <v>1304</v>
      </c>
      <c r="B1305" s="983" t="s">
        <v>2710</v>
      </c>
      <c r="C1305" s="999"/>
      <c r="I1305" s="983" t="s">
        <v>1336</v>
      </c>
    </row>
    <row r="1306" spans="1:9" x14ac:dyDescent="0.2">
      <c r="A1306" s="997">
        <f t="shared" si="20"/>
        <v>1305</v>
      </c>
      <c r="B1306" s="983" t="s">
        <v>2710</v>
      </c>
      <c r="C1306" s="1000"/>
      <c r="H1306" s="983" t="s">
        <v>1108</v>
      </c>
    </row>
    <row r="1307" spans="1:9" x14ac:dyDescent="0.2">
      <c r="A1307" s="997">
        <f t="shared" si="20"/>
        <v>1306</v>
      </c>
      <c r="B1307" s="983" t="s">
        <v>2710</v>
      </c>
      <c r="C1307" s="1001"/>
      <c r="H1307" s="983" t="str">
        <f>CONCATENATE("&lt;valeur&gt;",Cellule_13417,"&lt;/valeur&gt;")</f>
        <v>&lt;valeur&gt;0&lt;/valeur&gt;</v>
      </c>
    </row>
    <row r="1308" spans="1:9" x14ac:dyDescent="0.2">
      <c r="A1308" s="997">
        <f t="shared" si="20"/>
        <v>1307</v>
      </c>
      <c r="B1308" s="983" t="s">
        <v>2710</v>
      </c>
      <c r="C1308" s="1000"/>
      <c r="G1308" s="983" t="s">
        <v>1109</v>
      </c>
    </row>
    <row r="1309" spans="1:9" x14ac:dyDescent="0.2">
      <c r="A1309" s="997">
        <f t="shared" si="20"/>
        <v>1308</v>
      </c>
      <c r="B1309" s="983" t="s">
        <v>2710</v>
      </c>
      <c r="C1309" s="1000"/>
      <c r="G1309" s="983" t="s">
        <v>1106</v>
      </c>
    </row>
    <row r="1310" spans="1:9" x14ac:dyDescent="0.2">
      <c r="A1310" s="997">
        <f t="shared" si="20"/>
        <v>1309</v>
      </c>
      <c r="B1310" s="983" t="s">
        <v>2710</v>
      </c>
      <c r="C1310" s="999"/>
      <c r="H1310" s="983" t="s">
        <v>1107</v>
      </c>
    </row>
    <row r="1311" spans="1:9" x14ac:dyDescent="0.2">
      <c r="A1311" s="997">
        <f t="shared" si="20"/>
        <v>1310</v>
      </c>
      <c r="B1311" s="983" t="s">
        <v>2710</v>
      </c>
      <c r="C1311" s="999"/>
      <c r="I1311" s="983" t="s">
        <v>1337</v>
      </c>
    </row>
    <row r="1312" spans="1:9" x14ac:dyDescent="0.2">
      <c r="A1312" s="997">
        <f t="shared" si="20"/>
        <v>1311</v>
      </c>
      <c r="B1312" s="983" t="s">
        <v>2710</v>
      </c>
      <c r="C1312" s="1000"/>
      <c r="H1312" s="983" t="s">
        <v>1108</v>
      </c>
    </row>
    <row r="1313" spans="1:9" x14ac:dyDescent="0.2">
      <c r="A1313" s="997">
        <f t="shared" si="20"/>
        <v>1312</v>
      </c>
      <c r="B1313" s="983" t="s">
        <v>2710</v>
      </c>
      <c r="C1313" s="1001"/>
      <c r="H1313" s="983" t="str">
        <f>CONCATENATE("&lt;valeur&gt;",Cellule_13418,"&lt;/valeur&gt;")</f>
        <v>&lt;valeur&gt;0&lt;/valeur&gt;</v>
      </c>
    </row>
    <row r="1314" spans="1:9" x14ac:dyDescent="0.2">
      <c r="A1314" s="997">
        <f t="shared" si="20"/>
        <v>1313</v>
      </c>
      <c r="B1314" s="983" t="s">
        <v>2710</v>
      </c>
      <c r="C1314" s="1000"/>
      <c r="G1314" s="983" t="s">
        <v>1109</v>
      </c>
    </row>
    <row r="1315" spans="1:9" x14ac:dyDescent="0.2">
      <c r="A1315" s="997">
        <f t="shared" si="20"/>
        <v>1314</v>
      </c>
      <c r="B1315" s="983" t="s">
        <v>2710</v>
      </c>
      <c r="C1315" s="1000"/>
      <c r="G1315" s="983" t="s">
        <v>1106</v>
      </c>
    </row>
    <row r="1316" spans="1:9" x14ac:dyDescent="0.2">
      <c r="A1316" s="997">
        <f t="shared" si="20"/>
        <v>1315</v>
      </c>
      <c r="B1316" s="983" t="s">
        <v>2710</v>
      </c>
      <c r="C1316" s="999"/>
      <c r="H1316" s="983" t="s">
        <v>1107</v>
      </c>
    </row>
    <row r="1317" spans="1:9" x14ac:dyDescent="0.2">
      <c r="A1317" s="997">
        <f t="shared" si="20"/>
        <v>1316</v>
      </c>
      <c r="B1317" s="983" t="s">
        <v>2710</v>
      </c>
      <c r="C1317" s="999"/>
      <c r="I1317" s="983" t="s">
        <v>1338</v>
      </c>
    </row>
    <row r="1318" spans="1:9" x14ac:dyDescent="0.2">
      <c r="A1318" s="997">
        <f t="shared" si="20"/>
        <v>1317</v>
      </c>
      <c r="B1318" s="983" t="s">
        <v>2710</v>
      </c>
      <c r="C1318" s="1000"/>
      <c r="H1318" s="983" t="s">
        <v>1108</v>
      </c>
    </row>
    <row r="1319" spans="1:9" x14ac:dyDescent="0.2">
      <c r="A1319" s="997">
        <f t="shared" si="20"/>
        <v>1318</v>
      </c>
      <c r="B1319" s="983" t="s">
        <v>2710</v>
      </c>
      <c r="C1319" s="1001"/>
      <c r="H1319" s="983" t="str">
        <f>CONCATENATE("&lt;valeur&gt;",Cellule_13419,"&lt;/valeur&gt;")</f>
        <v>&lt;valeur&gt;0&lt;/valeur&gt;</v>
      </c>
    </row>
    <row r="1320" spans="1:9" x14ac:dyDescent="0.2">
      <c r="A1320" s="997">
        <f t="shared" si="20"/>
        <v>1319</v>
      </c>
      <c r="B1320" s="983" t="s">
        <v>2710</v>
      </c>
      <c r="C1320" s="1000"/>
      <c r="G1320" s="983" t="s">
        <v>1109</v>
      </c>
    </row>
    <row r="1321" spans="1:9" x14ac:dyDescent="0.2">
      <c r="A1321" s="997">
        <f t="shared" si="20"/>
        <v>1320</v>
      </c>
      <c r="B1321" s="983" t="s">
        <v>2710</v>
      </c>
      <c r="C1321" s="1000"/>
      <c r="G1321" s="983" t="s">
        <v>1106</v>
      </c>
    </row>
    <row r="1322" spans="1:9" x14ac:dyDescent="0.2">
      <c r="A1322" s="997">
        <f t="shared" si="20"/>
        <v>1321</v>
      </c>
      <c r="B1322" s="983" t="s">
        <v>2710</v>
      </c>
      <c r="C1322" s="999"/>
      <c r="H1322" s="983" t="s">
        <v>1107</v>
      </c>
    </row>
    <row r="1323" spans="1:9" x14ac:dyDescent="0.2">
      <c r="A1323" s="997">
        <f t="shared" si="20"/>
        <v>1322</v>
      </c>
      <c r="B1323" s="983" t="s">
        <v>2710</v>
      </c>
      <c r="C1323" s="999"/>
      <c r="I1323" s="983" t="s">
        <v>1339</v>
      </c>
    </row>
    <row r="1324" spans="1:9" x14ac:dyDescent="0.2">
      <c r="A1324" s="997">
        <f t="shared" si="20"/>
        <v>1323</v>
      </c>
      <c r="B1324" s="983" t="s">
        <v>2710</v>
      </c>
      <c r="C1324" s="1000"/>
      <c r="H1324" s="983" t="s">
        <v>1108</v>
      </c>
    </row>
    <row r="1325" spans="1:9" x14ac:dyDescent="0.2">
      <c r="A1325" s="997">
        <f t="shared" si="20"/>
        <v>1324</v>
      </c>
      <c r="B1325" s="983" t="s">
        <v>2710</v>
      </c>
      <c r="C1325" s="1001"/>
      <c r="H1325" s="983" t="str">
        <f>CONCATENATE("&lt;valeur&gt;",Cellule_13420,"&lt;/valeur&gt;")</f>
        <v>&lt;valeur&gt;-18918,67&lt;/valeur&gt;</v>
      </c>
    </row>
    <row r="1326" spans="1:9" x14ac:dyDescent="0.2">
      <c r="A1326" s="997">
        <f t="shared" si="20"/>
        <v>1325</v>
      </c>
      <c r="B1326" s="983" t="s">
        <v>2710</v>
      </c>
      <c r="C1326" s="1000"/>
      <c r="G1326" s="983" t="s">
        <v>1109</v>
      </c>
    </row>
    <row r="1327" spans="1:9" x14ac:dyDescent="0.2">
      <c r="A1327" s="997">
        <f t="shared" si="20"/>
        <v>1326</v>
      </c>
      <c r="B1327" s="983" t="s">
        <v>2710</v>
      </c>
      <c r="C1327" s="1000"/>
      <c r="G1327" s="983" t="s">
        <v>1106</v>
      </c>
    </row>
    <row r="1328" spans="1:9" x14ac:dyDescent="0.2">
      <c r="A1328" s="997">
        <f t="shared" si="20"/>
        <v>1327</v>
      </c>
      <c r="B1328" s="983" t="s">
        <v>2710</v>
      </c>
      <c r="C1328" s="999"/>
      <c r="H1328" s="983" t="s">
        <v>1107</v>
      </c>
    </row>
    <row r="1329" spans="1:9" x14ac:dyDescent="0.2">
      <c r="A1329" s="997">
        <f t="shared" si="20"/>
        <v>1328</v>
      </c>
      <c r="B1329" s="983" t="s">
        <v>2710</v>
      </c>
      <c r="C1329" s="999"/>
      <c r="I1329" s="983" t="s">
        <v>1340</v>
      </c>
    </row>
    <row r="1330" spans="1:9" x14ac:dyDescent="0.2">
      <c r="A1330" s="997">
        <f t="shared" si="20"/>
        <v>1329</v>
      </c>
      <c r="B1330" s="983" t="s">
        <v>2710</v>
      </c>
      <c r="C1330" s="1000"/>
      <c r="H1330" s="983" t="s">
        <v>1108</v>
      </c>
    </row>
    <row r="1331" spans="1:9" x14ac:dyDescent="0.2">
      <c r="A1331" s="997">
        <f t="shared" si="20"/>
        <v>1330</v>
      </c>
      <c r="B1331" s="983" t="s">
        <v>2710</v>
      </c>
      <c r="C1331" s="1001"/>
      <c r="H1331" s="983" t="str">
        <f>CONCATENATE("&lt;valeur&gt;",Cellule_13421,"&lt;/valeur&gt;")</f>
        <v>&lt;valeur&gt;81081,33&lt;/valeur&gt;</v>
      </c>
    </row>
    <row r="1332" spans="1:9" x14ac:dyDescent="0.2">
      <c r="A1332" s="997">
        <f t="shared" si="20"/>
        <v>1331</v>
      </c>
      <c r="B1332" s="983" t="s">
        <v>2710</v>
      </c>
      <c r="C1332" s="1000"/>
      <c r="G1332" s="983" t="s">
        <v>1109</v>
      </c>
    </row>
    <row r="1333" spans="1:9" x14ac:dyDescent="0.2">
      <c r="A1333" s="997">
        <f t="shared" si="20"/>
        <v>1332</v>
      </c>
      <c r="B1333" s="983" t="s">
        <v>2710</v>
      </c>
      <c r="C1333" s="1000"/>
      <c r="G1333" s="983" t="s">
        <v>1106</v>
      </c>
    </row>
    <row r="1334" spans="1:9" x14ac:dyDescent="0.2">
      <c r="A1334" s="997">
        <f t="shared" si="20"/>
        <v>1333</v>
      </c>
      <c r="B1334" s="983" t="s">
        <v>2710</v>
      </c>
      <c r="C1334" s="999"/>
      <c r="H1334" s="983" t="s">
        <v>1107</v>
      </c>
    </row>
    <row r="1335" spans="1:9" x14ac:dyDescent="0.2">
      <c r="A1335" s="997">
        <f t="shared" si="20"/>
        <v>1334</v>
      </c>
      <c r="B1335" s="983" t="s">
        <v>2710</v>
      </c>
      <c r="C1335" s="999"/>
      <c r="I1335" s="983" t="s">
        <v>1341</v>
      </c>
    </row>
    <row r="1336" spans="1:9" x14ac:dyDescent="0.2">
      <c r="A1336" s="997">
        <f t="shared" si="20"/>
        <v>1335</v>
      </c>
      <c r="B1336" s="983" t="s">
        <v>2710</v>
      </c>
      <c r="C1336" s="1000"/>
      <c r="H1336" s="983" t="s">
        <v>1108</v>
      </c>
    </row>
    <row r="1337" spans="1:9" x14ac:dyDescent="0.2">
      <c r="A1337" s="997">
        <f t="shared" si="20"/>
        <v>1336</v>
      </c>
      <c r="B1337" s="983" t="s">
        <v>2710</v>
      </c>
      <c r="C1337" s="1001"/>
      <c r="H1337" s="983" t="str">
        <f>CONCATENATE("&lt;valeur&gt;",Cellule_13397,"&lt;/valeur&gt;")</f>
        <v>&lt;valeur&gt;0&lt;/valeur&gt;</v>
      </c>
    </row>
    <row r="1338" spans="1:9" x14ac:dyDescent="0.2">
      <c r="A1338" s="997">
        <f t="shared" si="20"/>
        <v>1337</v>
      </c>
      <c r="B1338" s="983" t="s">
        <v>2710</v>
      </c>
      <c r="C1338" s="1000"/>
      <c r="G1338" s="983" t="s">
        <v>1109</v>
      </c>
    </row>
    <row r="1339" spans="1:9" x14ac:dyDescent="0.2">
      <c r="A1339" s="997">
        <f t="shared" si="20"/>
        <v>1338</v>
      </c>
      <c r="B1339" s="983" t="s">
        <v>2710</v>
      </c>
      <c r="C1339" s="1000"/>
      <c r="G1339" s="983" t="s">
        <v>1106</v>
      </c>
    </row>
    <row r="1340" spans="1:9" x14ac:dyDescent="0.2">
      <c r="A1340" s="997">
        <f t="shared" si="20"/>
        <v>1339</v>
      </c>
      <c r="B1340" s="983" t="s">
        <v>2710</v>
      </c>
      <c r="C1340" s="999"/>
      <c r="H1340" s="983" t="s">
        <v>1107</v>
      </c>
    </row>
    <row r="1341" spans="1:9" x14ac:dyDescent="0.2">
      <c r="A1341" s="997">
        <f t="shared" si="20"/>
        <v>1340</v>
      </c>
      <c r="B1341" s="983" t="s">
        <v>2710</v>
      </c>
      <c r="C1341" s="999"/>
      <c r="I1341" s="983" t="s">
        <v>1342</v>
      </c>
    </row>
    <row r="1342" spans="1:9" x14ac:dyDescent="0.2">
      <c r="A1342" s="997">
        <f t="shared" si="20"/>
        <v>1341</v>
      </c>
      <c r="B1342" s="983" t="s">
        <v>2710</v>
      </c>
      <c r="C1342" s="1000"/>
      <c r="H1342" s="983" t="s">
        <v>1108</v>
      </c>
    </row>
    <row r="1343" spans="1:9" x14ac:dyDescent="0.2">
      <c r="A1343" s="997">
        <f t="shared" si="20"/>
        <v>1342</v>
      </c>
      <c r="B1343" s="983" t="s">
        <v>2710</v>
      </c>
      <c r="C1343" s="1001"/>
      <c r="H1343" s="983" t="str">
        <f>CONCATENATE("&lt;valeur&gt;",Cellule_13398,"&lt;/valeur&gt;")</f>
        <v>&lt;valeur&gt;0&lt;/valeur&gt;</v>
      </c>
    </row>
    <row r="1344" spans="1:9" x14ac:dyDescent="0.2">
      <c r="A1344" s="997">
        <f t="shared" si="20"/>
        <v>1343</v>
      </c>
      <c r="B1344" s="983" t="s">
        <v>2710</v>
      </c>
      <c r="C1344" s="1000"/>
      <c r="G1344" s="983" t="s">
        <v>1109</v>
      </c>
    </row>
    <row r="1345" spans="1:9" x14ac:dyDescent="0.2">
      <c r="A1345" s="997">
        <f t="shared" si="20"/>
        <v>1344</v>
      </c>
      <c r="B1345" s="983" t="s">
        <v>2710</v>
      </c>
      <c r="C1345" s="1000"/>
      <c r="G1345" s="983" t="s">
        <v>1106</v>
      </c>
    </row>
    <row r="1346" spans="1:9" x14ac:dyDescent="0.2">
      <c r="A1346" s="997">
        <f t="shared" si="20"/>
        <v>1345</v>
      </c>
      <c r="B1346" s="983" t="s">
        <v>2710</v>
      </c>
      <c r="C1346" s="999"/>
      <c r="H1346" s="983" t="s">
        <v>1107</v>
      </c>
    </row>
    <row r="1347" spans="1:9" x14ac:dyDescent="0.2">
      <c r="A1347" s="997">
        <f t="shared" si="20"/>
        <v>1346</v>
      </c>
      <c r="B1347" s="983" t="s">
        <v>2710</v>
      </c>
      <c r="C1347" s="999"/>
      <c r="I1347" s="983" t="s">
        <v>1343</v>
      </c>
    </row>
    <row r="1348" spans="1:9" x14ac:dyDescent="0.2">
      <c r="A1348" s="997">
        <f t="shared" ref="A1348:A1411" si="21">+A1347+1</f>
        <v>1347</v>
      </c>
      <c r="B1348" s="983" t="s">
        <v>2710</v>
      </c>
      <c r="C1348" s="1000"/>
      <c r="H1348" s="983" t="s">
        <v>1108</v>
      </c>
    </row>
    <row r="1349" spans="1:9" x14ac:dyDescent="0.2">
      <c r="A1349" s="997">
        <f t="shared" si="21"/>
        <v>1348</v>
      </c>
      <c r="B1349" s="983" t="s">
        <v>2710</v>
      </c>
      <c r="C1349" s="1001"/>
      <c r="H1349" s="983" t="str">
        <f>CONCATENATE("&lt;valeur&gt;",Cellule_13399,"&lt;/valeur&gt;")</f>
        <v>&lt;valeur&gt;0&lt;/valeur&gt;</v>
      </c>
    </row>
    <row r="1350" spans="1:9" x14ac:dyDescent="0.2">
      <c r="A1350" s="997">
        <f t="shared" si="21"/>
        <v>1349</v>
      </c>
      <c r="B1350" s="983" t="s">
        <v>2710</v>
      </c>
      <c r="C1350" s="1000"/>
      <c r="G1350" s="983" t="s">
        <v>1109</v>
      </c>
    </row>
    <row r="1351" spans="1:9" x14ac:dyDescent="0.2">
      <c r="A1351" s="997">
        <f t="shared" si="21"/>
        <v>1350</v>
      </c>
      <c r="B1351" s="983" t="s">
        <v>2710</v>
      </c>
      <c r="C1351" s="1000"/>
      <c r="G1351" s="983" t="s">
        <v>1106</v>
      </c>
    </row>
    <row r="1352" spans="1:9" x14ac:dyDescent="0.2">
      <c r="A1352" s="997">
        <f t="shared" si="21"/>
        <v>1351</v>
      </c>
      <c r="B1352" s="983" t="s">
        <v>2710</v>
      </c>
      <c r="C1352" s="999"/>
      <c r="H1352" s="983" t="s">
        <v>1107</v>
      </c>
    </row>
    <row r="1353" spans="1:9" x14ac:dyDescent="0.2">
      <c r="A1353" s="997">
        <f t="shared" si="21"/>
        <v>1352</v>
      </c>
      <c r="B1353" s="983" t="s">
        <v>2710</v>
      </c>
      <c r="C1353" s="999"/>
      <c r="I1353" s="983" t="s">
        <v>1344</v>
      </c>
    </row>
    <row r="1354" spans="1:9" x14ac:dyDescent="0.2">
      <c r="A1354" s="997">
        <f t="shared" si="21"/>
        <v>1353</v>
      </c>
      <c r="B1354" s="983" t="s">
        <v>2710</v>
      </c>
      <c r="C1354" s="1000"/>
      <c r="H1354" s="983" t="s">
        <v>1108</v>
      </c>
    </row>
    <row r="1355" spans="1:9" x14ac:dyDescent="0.2">
      <c r="A1355" s="997">
        <f t="shared" si="21"/>
        <v>1354</v>
      </c>
      <c r="B1355" s="983" t="s">
        <v>2710</v>
      </c>
      <c r="C1355" s="1001"/>
      <c r="H1355" s="983" t="str">
        <f>CONCATENATE("&lt;valeur&gt;",Cellule_13422,"&lt;/valeur&gt;")</f>
        <v>&lt;valeur&gt;0&lt;/valeur&gt;</v>
      </c>
    </row>
    <row r="1356" spans="1:9" x14ac:dyDescent="0.2">
      <c r="A1356" s="997">
        <f t="shared" si="21"/>
        <v>1355</v>
      </c>
      <c r="B1356" s="983" t="s">
        <v>2710</v>
      </c>
      <c r="C1356" s="1000"/>
      <c r="G1356" s="983" t="s">
        <v>1109</v>
      </c>
    </row>
    <row r="1357" spans="1:9" x14ac:dyDescent="0.2">
      <c r="A1357" s="997">
        <f t="shared" si="21"/>
        <v>1356</v>
      </c>
      <c r="B1357" s="983" t="s">
        <v>2710</v>
      </c>
      <c r="C1357" s="1000"/>
      <c r="G1357" s="983" t="s">
        <v>1106</v>
      </c>
    </row>
    <row r="1358" spans="1:9" x14ac:dyDescent="0.2">
      <c r="A1358" s="997">
        <f t="shared" si="21"/>
        <v>1357</v>
      </c>
      <c r="B1358" s="983" t="s">
        <v>2710</v>
      </c>
      <c r="C1358" s="999"/>
      <c r="H1358" s="983" t="s">
        <v>1107</v>
      </c>
    </row>
    <row r="1359" spans="1:9" x14ac:dyDescent="0.2">
      <c r="A1359" s="997">
        <f t="shared" si="21"/>
        <v>1358</v>
      </c>
      <c r="B1359" s="983" t="s">
        <v>2710</v>
      </c>
      <c r="C1359" s="999"/>
      <c r="I1359" s="983" t="s">
        <v>1345</v>
      </c>
    </row>
    <row r="1360" spans="1:9" x14ac:dyDescent="0.2">
      <c r="A1360" s="997">
        <f t="shared" si="21"/>
        <v>1359</v>
      </c>
      <c r="B1360" s="983" t="s">
        <v>2710</v>
      </c>
      <c r="C1360" s="1000"/>
      <c r="H1360" s="983" t="s">
        <v>1108</v>
      </c>
    </row>
    <row r="1361" spans="1:9" x14ac:dyDescent="0.2">
      <c r="A1361" s="997">
        <f t="shared" si="21"/>
        <v>1360</v>
      </c>
      <c r="B1361" s="983" t="s">
        <v>2710</v>
      </c>
      <c r="C1361" s="1001"/>
      <c r="H1361" s="983" t="str">
        <f>CONCATENATE("&lt;valeur&gt;",Cellule_13423,"&lt;/valeur&gt;")</f>
        <v>&lt;valeur&gt;0&lt;/valeur&gt;</v>
      </c>
    </row>
    <row r="1362" spans="1:9" x14ac:dyDescent="0.2">
      <c r="A1362" s="997">
        <f t="shared" si="21"/>
        <v>1361</v>
      </c>
      <c r="B1362" s="983" t="s">
        <v>2710</v>
      </c>
      <c r="C1362" s="1000"/>
      <c r="G1362" s="983" t="s">
        <v>1109</v>
      </c>
    </row>
    <row r="1363" spans="1:9" x14ac:dyDescent="0.2">
      <c r="A1363" s="997">
        <f t="shared" si="21"/>
        <v>1362</v>
      </c>
      <c r="B1363" s="983" t="s">
        <v>2710</v>
      </c>
      <c r="C1363" s="1000"/>
      <c r="G1363" s="983" t="s">
        <v>1106</v>
      </c>
    </row>
    <row r="1364" spans="1:9" x14ac:dyDescent="0.2">
      <c r="A1364" s="997">
        <f t="shared" si="21"/>
        <v>1363</v>
      </c>
      <c r="B1364" s="983" t="s">
        <v>2710</v>
      </c>
      <c r="C1364" s="999"/>
      <c r="H1364" s="983" t="s">
        <v>1107</v>
      </c>
    </row>
    <row r="1365" spans="1:9" x14ac:dyDescent="0.2">
      <c r="A1365" s="997">
        <f t="shared" si="21"/>
        <v>1364</v>
      </c>
      <c r="B1365" s="983" t="s">
        <v>2710</v>
      </c>
      <c r="C1365" s="999"/>
      <c r="I1365" s="983" t="s">
        <v>1346</v>
      </c>
    </row>
    <row r="1366" spans="1:9" x14ac:dyDescent="0.2">
      <c r="A1366" s="997">
        <f t="shared" si="21"/>
        <v>1365</v>
      </c>
      <c r="B1366" s="983" t="s">
        <v>2710</v>
      </c>
      <c r="C1366" s="1000"/>
      <c r="H1366" s="983" t="s">
        <v>1108</v>
      </c>
    </row>
    <row r="1367" spans="1:9" x14ac:dyDescent="0.2">
      <c r="A1367" s="997">
        <f t="shared" si="21"/>
        <v>1366</v>
      </c>
      <c r="B1367" s="983" t="s">
        <v>2710</v>
      </c>
      <c r="C1367" s="1001"/>
      <c r="H1367" s="983" t="str">
        <f>CONCATENATE("&lt;valeur&gt;",Cellule_13424,"&lt;/valeur&gt;")</f>
        <v>&lt;valeur&gt;0&lt;/valeur&gt;</v>
      </c>
    </row>
    <row r="1368" spans="1:9" x14ac:dyDescent="0.2">
      <c r="A1368" s="997">
        <f t="shared" si="21"/>
        <v>1367</v>
      </c>
      <c r="B1368" s="983" t="s">
        <v>2710</v>
      </c>
      <c r="C1368" s="1000"/>
      <c r="G1368" s="983" t="s">
        <v>1109</v>
      </c>
    </row>
    <row r="1369" spans="1:9" x14ac:dyDescent="0.2">
      <c r="A1369" s="997">
        <f t="shared" si="21"/>
        <v>1368</v>
      </c>
      <c r="B1369" s="983" t="s">
        <v>2710</v>
      </c>
      <c r="C1369" s="1000"/>
      <c r="G1369" s="983" t="s">
        <v>1106</v>
      </c>
    </row>
    <row r="1370" spans="1:9" x14ac:dyDescent="0.2">
      <c r="A1370" s="997">
        <f t="shared" si="21"/>
        <v>1369</v>
      </c>
      <c r="B1370" s="983" t="s">
        <v>2710</v>
      </c>
      <c r="C1370" s="1000"/>
      <c r="H1370" s="983" t="s">
        <v>1347</v>
      </c>
    </row>
    <row r="1371" spans="1:9" x14ac:dyDescent="0.2">
      <c r="A1371" s="997">
        <f t="shared" si="21"/>
        <v>1370</v>
      </c>
      <c r="B1371" s="983" t="s">
        <v>2710</v>
      </c>
      <c r="C1371" s="999"/>
      <c r="H1371" s="983" t="str">
        <f>CONCATENATE("&lt;valeur&gt;",Cellule_13339,"&lt;/valeur&gt;")</f>
        <v>&lt;valeur&gt;&lt;/valeur&gt;</v>
      </c>
    </row>
    <row r="1372" spans="1:9" x14ac:dyDescent="0.2">
      <c r="A1372" s="997">
        <f t="shared" si="21"/>
        <v>1371</v>
      </c>
      <c r="B1372" s="983" t="s">
        <v>2710</v>
      </c>
      <c r="C1372" s="999"/>
      <c r="H1372" s="983" t="s">
        <v>1348</v>
      </c>
    </row>
    <row r="1373" spans="1:9" x14ac:dyDescent="0.2">
      <c r="A1373" s="997">
        <f t="shared" si="21"/>
        <v>1372</v>
      </c>
      <c r="B1373" s="983" t="s">
        <v>2710</v>
      </c>
      <c r="C1373" s="1000"/>
      <c r="G1373" s="983" t="s">
        <v>1109</v>
      </c>
    </row>
    <row r="1374" spans="1:9" x14ac:dyDescent="0.2">
      <c r="A1374" s="997">
        <f t="shared" si="21"/>
        <v>1373</v>
      </c>
      <c r="B1374" s="983" t="s">
        <v>2710</v>
      </c>
      <c r="C1374" s="1001"/>
      <c r="G1374" s="983" t="s">
        <v>1106</v>
      </c>
    </row>
    <row r="1375" spans="1:9" x14ac:dyDescent="0.2">
      <c r="A1375" s="997">
        <f t="shared" si="21"/>
        <v>1374</v>
      </c>
      <c r="B1375" s="983" t="s">
        <v>2710</v>
      </c>
      <c r="C1375" s="1000"/>
      <c r="H1375" s="983" t="s">
        <v>1349</v>
      </c>
    </row>
    <row r="1376" spans="1:9" x14ac:dyDescent="0.2">
      <c r="A1376" s="997">
        <f t="shared" si="21"/>
        <v>1375</v>
      </c>
      <c r="B1376" s="983" t="s">
        <v>2710</v>
      </c>
      <c r="C1376" s="1000"/>
      <c r="H1376" s="983" t="str">
        <f>CONCATENATE("&lt;valeur&gt;",Cellule_13396,"&lt;/valeur&gt;")</f>
        <v>&lt;valeur&gt;&lt;/valeur&gt;</v>
      </c>
    </row>
    <row r="1377" spans="1:9" x14ac:dyDescent="0.2">
      <c r="A1377" s="997">
        <f t="shared" si="21"/>
        <v>1376</v>
      </c>
      <c r="B1377" s="983" t="s">
        <v>2710</v>
      </c>
      <c r="C1377" s="1000"/>
      <c r="H1377" s="983" t="s">
        <v>1348</v>
      </c>
    </row>
    <row r="1378" spans="1:9" x14ac:dyDescent="0.2">
      <c r="A1378" s="997">
        <f t="shared" si="21"/>
        <v>1377</v>
      </c>
      <c r="B1378" s="983" t="s">
        <v>2710</v>
      </c>
      <c r="C1378" s="999"/>
      <c r="G1378" s="983" t="s">
        <v>1109</v>
      </c>
    </row>
    <row r="1379" spans="1:9" x14ac:dyDescent="0.2">
      <c r="A1379" s="997">
        <f t="shared" si="21"/>
        <v>1378</v>
      </c>
      <c r="B1379" s="983" t="s">
        <v>2710</v>
      </c>
      <c r="C1379" s="999"/>
      <c r="G1379" s="983" t="s">
        <v>1106</v>
      </c>
    </row>
    <row r="1380" spans="1:9" x14ac:dyDescent="0.2">
      <c r="A1380" s="997">
        <f t="shared" si="21"/>
        <v>1379</v>
      </c>
      <c r="B1380" s="983" t="s">
        <v>2710</v>
      </c>
      <c r="C1380" s="1000"/>
      <c r="H1380" s="983" t="s">
        <v>1350</v>
      </c>
    </row>
    <row r="1381" spans="1:9" x14ac:dyDescent="0.2">
      <c r="A1381" s="997">
        <f t="shared" si="21"/>
        <v>1380</v>
      </c>
      <c r="B1381" s="983" t="s">
        <v>2710</v>
      </c>
      <c r="C1381" s="1001"/>
      <c r="H1381" s="983" t="str">
        <f>CONCATENATE("&lt;valeur&gt;",Cellule_13425,"&lt;/valeur&gt;")</f>
        <v>&lt;valeur&gt;&lt;/valeur&gt;</v>
      </c>
    </row>
    <row r="1382" spans="1:9" x14ac:dyDescent="0.2">
      <c r="A1382" s="997">
        <f t="shared" si="21"/>
        <v>1381</v>
      </c>
      <c r="B1382" s="983" t="s">
        <v>2710</v>
      </c>
      <c r="C1382" s="1000"/>
      <c r="H1382" s="983" t="s">
        <v>1348</v>
      </c>
    </row>
    <row r="1383" spans="1:9" x14ac:dyDescent="0.2">
      <c r="A1383" s="997">
        <f t="shared" si="21"/>
        <v>1382</v>
      </c>
      <c r="B1383" s="983" t="s">
        <v>2710</v>
      </c>
      <c r="C1383" s="1000"/>
      <c r="G1383" s="983" t="s">
        <v>1109</v>
      </c>
    </row>
    <row r="1384" spans="1:9" x14ac:dyDescent="0.2">
      <c r="A1384" s="997">
        <f t="shared" si="21"/>
        <v>1383</v>
      </c>
      <c r="B1384" s="983" t="s">
        <v>2710</v>
      </c>
      <c r="C1384" s="1000"/>
      <c r="G1384" s="983" t="s">
        <v>1106</v>
      </c>
    </row>
    <row r="1385" spans="1:9" x14ac:dyDescent="0.2">
      <c r="A1385" s="997">
        <f t="shared" si="21"/>
        <v>1384</v>
      </c>
      <c r="B1385" s="983" t="s">
        <v>2710</v>
      </c>
      <c r="C1385" s="999"/>
      <c r="H1385" s="983" t="s">
        <v>1107</v>
      </c>
    </row>
    <row r="1386" spans="1:9" x14ac:dyDescent="0.2">
      <c r="A1386" s="997">
        <f t="shared" si="21"/>
        <v>1385</v>
      </c>
      <c r="B1386" s="983" t="s">
        <v>2710</v>
      </c>
      <c r="C1386" s="999"/>
      <c r="I1386" s="983" t="s">
        <v>1351</v>
      </c>
    </row>
    <row r="1387" spans="1:9" x14ac:dyDescent="0.2">
      <c r="A1387" s="997">
        <f t="shared" si="21"/>
        <v>1386</v>
      </c>
      <c r="B1387" s="983" t="s">
        <v>2710</v>
      </c>
      <c r="C1387" s="1000"/>
      <c r="H1387" s="983" t="s">
        <v>1108</v>
      </c>
    </row>
    <row r="1388" spans="1:9" x14ac:dyDescent="0.2">
      <c r="A1388" s="997">
        <f t="shared" si="21"/>
        <v>1387</v>
      </c>
      <c r="B1388" s="983" t="s">
        <v>2710</v>
      </c>
      <c r="C1388" s="1001"/>
      <c r="H1388" s="983" t="str">
        <f>CONCATENATE("&lt;valeur&gt;",Cellule_13393,"&lt;/valeur&gt;")</f>
        <v>&lt;valeur&gt;1005415,61&lt;/valeur&gt;</v>
      </c>
    </row>
    <row r="1389" spans="1:9" x14ac:dyDescent="0.2">
      <c r="A1389" s="997">
        <f t="shared" si="21"/>
        <v>1388</v>
      </c>
      <c r="B1389" s="983" t="s">
        <v>2710</v>
      </c>
      <c r="C1389" s="1000"/>
      <c r="G1389" s="983" t="s">
        <v>1109</v>
      </c>
    </row>
    <row r="1390" spans="1:9" x14ac:dyDescent="0.2">
      <c r="A1390" s="997">
        <f t="shared" si="21"/>
        <v>1389</v>
      </c>
      <c r="B1390" s="983" t="s">
        <v>2710</v>
      </c>
      <c r="C1390" s="1000"/>
      <c r="G1390" s="983" t="s">
        <v>1106</v>
      </c>
    </row>
    <row r="1391" spans="1:9" x14ac:dyDescent="0.2">
      <c r="A1391" s="997">
        <f t="shared" si="21"/>
        <v>1390</v>
      </c>
      <c r="B1391" s="983" t="s">
        <v>2710</v>
      </c>
      <c r="C1391" s="999"/>
      <c r="H1391" s="983" t="s">
        <v>1107</v>
      </c>
    </row>
    <row r="1392" spans="1:9" x14ac:dyDescent="0.2">
      <c r="A1392" s="997">
        <f t="shared" si="21"/>
        <v>1391</v>
      </c>
      <c r="B1392" s="983" t="s">
        <v>2710</v>
      </c>
      <c r="C1392" s="999"/>
      <c r="I1392" s="983" t="s">
        <v>1352</v>
      </c>
    </row>
    <row r="1393" spans="1:9" x14ac:dyDescent="0.2">
      <c r="A1393" s="997">
        <f t="shared" si="21"/>
        <v>1392</v>
      </c>
      <c r="B1393" s="983" t="s">
        <v>2710</v>
      </c>
      <c r="C1393" s="1000"/>
      <c r="H1393" s="983" t="s">
        <v>1108</v>
      </c>
    </row>
    <row r="1394" spans="1:9" x14ac:dyDescent="0.2">
      <c r="A1394" s="997">
        <f t="shared" si="21"/>
        <v>1393</v>
      </c>
      <c r="B1394" s="983" t="s">
        <v>2710</v>
      </c>
      <c r="C1394" s="1001"/>
      <c r="H1394" s="983" t="str">
        <f>CONCATENATE("&lt;valeur&gt;",Cellule_13394,"&lt;/valeur&gt;")</f>
        <v>&lt;valeur&gt;0&lt;/valeur&gt;</v>
      </c>
    </row>
    <row r="1395" spans="1:9" x14ac:dyDescent="0.2">
      <c r="A1395" s="997">
        <f t="shared" si="21"/>
        <v>1394</v>
      </c>
      <c r="B1395" s="983" t="s">
        <v>2710</v>
      </c>
      <c r="C1395" s="1000"/>
      <c r="G1395" s="983" t="s">
        <v>1109</v>
      </c>
    </row>
    <row r="1396" spans="1:9" x14ac:dyDescent="0.2">
      <c r="A1396" s="997">
        <f t="shared" si="21"/>
        <v>1395</v>
      </c>
      <c r="B1396" s="983" t="s">
        <v>2710</v>
      </c>
      <c r="C1396" s="1000"/>
      <c r="G1396" s="983" t="s">
        <v>1106</v>
      </c>
    </row>
    <row r="1397" spans="1:9" x14ac:dyDescent="0.2">
      <c r="A1397" s="997">
        <f t="shared" si="21"/>
        <v>1396</v>
      </c>
      <c r="B1397" s="983" t="s">
        <v>2710</v>
      </c>
      <c r="C1397" s="999"/>
      <c r="H1397" s="983" t="s">
        <v>1107</v>
      </c>
    </row>
    <row r="1398" spans="1:9" x14ac:dyDescent="0.2">
      <c r="A1398" s="997">
        <f t="shared" si="21"/>
        <v>1397</v>
      </c>
      <c r="B1398" s="983" t="s">
        <v>2710</v>
      </c>
      <c r="C1398" s="999"/>
      <c r="I1398" s="983" t="s">
        <v>1353</v>
      </c>
    </row>
    <row r="1399" spans="1:9" x14ac:dyDescent="0.2">
      <c r="A1399" s="997">
        <f t="shared" si="21"/>
        <v>1398</v>
      </c>
      <c r="B1399" s="983" t="s">
        <v>2710</v>
      </c>
      <c r="C1399" s="1000"/>
      <c r="H1399" s="983" t="s">
        <v>1108</v>
      </c>
    </row>
    <row r="1400" spans="1:9" x14ac:dyDescent="0.2">
      <c r="A1400" s="997">
        <f t="shared" si="21"/>
        <v>1399</v>
      </c>
      <c r="B1400" s="983" t="s">
        <v>2710</v>
      </c>
      <c r="C1400" s="1001"/>
      <c r="H1400" s="983" t="str">
        <f>CONCATENATE("&lt;valeur&gt;",Cellule_13395,"&lt;/valeur&gt;")</f>
        <v>&lt;valeur&gt;1005415,61&lt;/valeur&gt;</v>
      </c>
    </row>
    <row r="1401" spans="1:9" x14ac:dyDescent="0.2">
      <c r="A1401" s="997">
        <f t="shared" si="21"/>
        <v>1400</v>
      </c>
      <c r="B1401" s="983" t="s">
        <v>2710</v>
      </c>
      <c r="C1401" s="1000"/>
      <c r="G1401" s="983" t="s">
        <v>1109</v>
      </c>
    </row>
    <row r="1402" spans="1:9" x14ac:dyDescent="0.2">
      <c r="A1402" s="997">
        <f t="shared" si="21"/>
        <v>1401</v>
      </c>
      <c r="B1402" s="983" t="s">
        <v>2710</v>
      </c>
      <c r="C1402" s="1000"/>
      <c r="G1402" s="983" t="s">
        <v>1106</v>
      </c>
    </row>
    <row r="1403" spans="1:9" x14ac:dyDescent="0.2">
      <c r="A1403" s="997">
        <f t="shared" si="21"/>
        <v>1402</v>
      </c>
      <c r="B1403" s="983" t="s">
        <v>2710</v>
      </c>
      <c r="C1403" s="999"/>
      <c r="H1403" s="983" t="s">
        <v>1107</v>
      </c>
    </row>
    <row r="1404" spans="1:9" x14ac:dyDescent="0.2">
      <c r="A1404" s="997">
        <f t="shared" si="21"/>
        <v>1403</v>
      </c>
      <c r="B1404" s="983" t="s">
        <v>2710</v>
      </c>
      <c r="C1404" s="999"/>
      <c r="I1404" s="983" t="s">
        <v>1354</v>
      </c>
    </row>
    <row r="1405" spans="1:9" x14ac:dyDescent="0.2">
      <c r="A1405" s="997">
        <f t="shared" si="21"/>
        <v>1404</v>
      </c>
      <c r="B1405" s="983" t="s">
        <v>2710</v>
      </c>
      <c r="C1405" s="1000"/>
      <c r="H1405" s="983" t="s">
        <v>1108</v>
      </c>
    </row>
    <row r="1406" spans="1:9" x14ac:dyDescent="0.2">
      <c r="A1406" s="997">
        <f t="shared" si="21"/>
        <v>1405</v>
      </c>
      <c r="B1406" s="983" t="s">
        <v>2710</v>
      </c>
      <c r="C1406" s="1001"/>
      <c r="H1406" s="983" t="str">
        <f>CONCATENATE("&lt;valeur&gt;",Cellule_13426,"&lt;/valeur&gt;")</f>
        <v>&lt;valeur&gt;0&lt;/valeur&gt;</v>
      </c>
    </row>
    <row r="1407" spans="1:9" x14ac:dyDescent="0.2">
      <c r="A1407" s="997">
        <f t="shared" si="21"/>
        <v>1406</v>
      </c>
      <c r="B1407" s="983" t="s">
        <v>2710</v>
      </c>
      <c r="C1407" s="1000"/>
      <c r="G1407" s="983" t="s">
        <v>1109</v>
      </c>
    </row>
    <row r="1408" spans="1:9" x14ac:dyDescent="0.2">
      <c r="A1408" s="997">
        <f t="shared" si="21"/>
        <v>1407</v>
      </c>
      <c r="B1408" s="983" t="s">
        <v>2710</v>
      </c>
      <c r="C1408" s="1000"/>
      <c r="G1408" s="983" t="s">
        <v>1106</v>
      </c>
    </row>
    <row r="1409" spans="1:9" x14ac:dyDescent="0.2">
      <c r="A1409" s="997">
        <f t="shared" si="21"/>
        <v>1408</v>
      </c>
      <c r="B1409" s="983" t="s">
        <v>2710</v>
      </c>
      <c r="C1409" s="999"/>
      <c r="H1409" s="983" t="s">
        <v>1107</v>
      </c>
    </row>
    <row r="1410" spans="1:9" x14ac:dyDescent="0.2">
      <c r="A1410" s="997">
        <f t="shared" si="21"/>
        <v>1409</v>
      </c>
      <c r="B1410" s="983" t="s">
        <v>2710</v>
      </c>
      <c r="C1410" s="999"/>
      <c r="I1410" s="983" t="s">
        <v>1355</v>
      </c>
    </row>
    <row r="1411" spans="1:9" x14ac:dyDescent="0.2">
      <c r="A1411" s="997">
        <f t="shared" si="21"/>
        <v>1410</v>
      </c>
      <c r="B1411" s="983" t="s">
        <v>2710</v>
      </c>
      <c r="C1411" s="1000"/>
      <c r="H1411" s="983" t="s">
        <v>1108</v>
      </c>
    </row>
    <row r="1412" spans="1:9" x14ac:dyDescent="0.2">
      <c r="A1412" s="997">
        <f t="shared" ref="A1412:A1475" si="22">+A1411+1</f>
        <v>1411</v>
      </c>
      <c r="B1412" s="983" t="s">
        <v>2710</v>
      </c>
      <c r="C1412" s="1001"/>
      <c r="H1412" s="983" t="str">
        <f>CONCATENATE("&lt;valeur&gt;",Cellule_13427,"&lt;/valeur&gt;")</f>
        <v>&lt;valeur&gt;0&lt;/valeur&gt;</v>
      </c>
    </row>
    <row r="1413" spans="1:9" x14ac:dyDescent="0.2">
      <c r="A1413" s="997">
        <f t="shared" si="22"/>
        <v>1412</v>
      </c>
      <c r="B1413" s="983" t="s">
        <v>2710</v>
      </c>
      <c r="C1413" s="1000"/>
      <c r="G1413" s="983" t="s">
        <v>1109</v>
      </c>
    </row>
    <row r="1414" spans="1:9" x14ac:dyDescent="0.2">
      <c r="A1414" s="997">
        <f t="shared" si="22"/>
        <v>1413</v>
      </c>
      <c r="B1414" s="983" t="s">
        <v>2710</v>
      </c>
      <c r="C1414" s="1000"/>
      <c r="G1414" s="983" t="s">
        <v>1106</v>
      </c>
    </row>
    <row r="1415" spans="1:9" x14ac:dyDescent="0.2">
      <c r="A1415" s="997">
        <f t="shared" si="22"/>
        <v>1414</v>
      </c>
      <c r="B1415" s="983" t="s">
        <v>2710</v>
      </c>
      <c r="C1415" s="999"/>
      <c r="H1415" s="983" t="s">
        <v>1107</v>
      </c>
    </row>
    <row r="1416" spans="1:9" x14ac:dyDescent="0.2">
      <c r="A1416" s="997">
        <f t="shared" si="22"/>
        <v>1415</v>
      </c>
      <c r="B1416" s="983" t="s">
        <v>2710</v>
      </c>
      <c r="C1416" s="999"/>
      <c r="I1416" s="983" t="s">
        <v>1356</v>
      </c>
    </row>
    <row r="1417" spans="1:9" x14ac:dyDescent="0.2">
      <c r="A1417" s="997">
        <f t="shared" si="22"/>
        <v>1416</v>
      </c>
      <c r="B1417" s="983" t="s">
        <v>2710</v>
      </c>
      <c r="C1417" s="1000"/>
      <c r="H1417" s="983" t="s">
        <v>1108</v>
      </c>
    </row>
    <row r="1418" spans="1:9" x14ac:dyDescent="0.2">
      <c r="A1418" s="997">
        <f t="shared" si="22"/>
        <v>1417</v>
      </c>
      <c r="B1418" s="983" t="s">
        <v>2710</v>
      </c>
      <c r="C1418" s="1001"/>
      <c r="H1418" s="983" t="str">
        <f>CONCATENATE("&lt;valeur&gt;",Cellule_13428,"&lt;/valeur&gt;")</f>
        <v>&lt;valeur&gt;0&lt;/valeur&gt;</v>
      </c>
    </row>
    <row r="1419" spans="1:9" x14ac:dyDescent="0.2">
      <c r="A1419" s="997">
        <f t="shared" si="22"/>
        <v>1418</v>
      </c>
      <c r="B1419" s="983" t="s">
        <v>2710</v>
      </c>
      <c r="C1419" s="1000"/>
      <c r="G1419" s="983" t="s">
        <v>1109</v>
      </c>
    </row>
    <row r="1420" spans="1:9" x14ac:dyDescent="0.2">
      <c r="A1420" s="997">
        <f t="shared" si="22"/>
        <v>1419</v>
      </c>
      <c r="B1420" s="983" t="s">
        <v>2710</v>
      </c>
      <c r="C1420" s="1000"/>
      <c r="G1420" s="983" t="s">
        <v>1106</v>
      </c>
    </row>
    <row r="1421" spans="1:9" x14ac:dyDescent="0.2">
      <c r="A1421" s="997">
        <f t="shared" si="22"/>
        <v>1420</v>
      </c>
      <c r="B1421" s="983" t="s">
        <v>2710</v>
      </c>
      <c r="C1421" s="999"/>
      <c r="H1421" s="983" t="s">
        <v>1357</v>
      </c>
    </row>
    <row r="1422" spans="1:9" x14ac:dyDescent="0.2">
      <c r="A1422" s="997">
        <f t="shared" si="22"/>
        <v>1421</v>
      </c>
      <c r="B1422" s="983" t="s">
        <v>2710</v>
      </c>
      <c r="C1422" s="999"/>
      <c r="H1422" s="983" t="str">
        <f>CONCATENATE("&lt;valeur&gt;",Cellule_13343,"&lt;/valeur&gt;")</f>
        <v>&lt;valeur&gt;&lt;/valeur&gt;</v>
      </c>
    </row>
    <row r="1423" spans="1:9" x14ac:dyDescent="0.2">
      <c r="A1423" s="997">
        <f t="shared" si="22"/>
        <v>1422</v>
      </c>
      <c r="B1423" s="983" t="s">
        <v>2710</v>
      </c>
      <c r="C1423" s="1000"/>
      <c r="H1423" s="983" t="s">
        <v>1348</v>
      </c>
    </row>
    <row r="1424" spans="1:9" x14ac:dyDescent="0.2">
      <c r="A1424" s="997">
        <f t="shared" si="22"/>
        <v>1423</v>
      </c>
      <c r="B1424" s="983" t="s">
        <v>2710</v>
      </c>
      <c r="C1424" s="1001"/>
      <c r="G1424" s="983" t="s">
        <v>1109</v>
      </c>
    </row>
    <row r="1425" spans="1:9" x14ac:dyDescent="0.2">
      <c r="A1425" s="997">
        <f t="shared" si="22"/>
        <v>1424</v>
      </c>
      <c r="B1425" s="983" t="s">
        <v>2710</v>
      </c>
      <c r="C1425" s="1000"/>
      <c r="G1425" s="983" t="s">
        <v>1106</v>
      </c>
    </row>
    <row r="1426" spans="1:9" x14ac:dyDescent="0.2">
      <c r="A1426" s="997">
        <f t="shared" si="22"/>
        <v>1425</v>
      </c>
      <c r="B1426" s="983" t="s">
        <v>2710</v>
      </c>
      <c r="C1426" s="1000"/>
      <c r="H1426" s="983" t="s">
        <v>1358</v>
      </c>
    </row>
    <row r="1427" spans="1:9" x14ac:dyDescent="0.2">
      <c r="A1427" s="997">
        <f t="shared" si="22"/>
        <v>1426</v>
      </c>
      <c r="B1427" s="983" t="s">
        <v>2710</v>
      </c>
      <c r="C1427" s="1000"/>
      <c r="H1427" s="983" t="str">
        <f>CONCATENATE("&lt;valeur&gt;",Cellule_13392,"&lt;/valeur&gt;")</f>
        <v>&lt;valeur&gt;&lt;/valeur&gt;</v>
      </c>
    </row>
    <row r="1428" spans="1:9" x14ac:dyDescent="0.2">
      <c r="A1428" s="997">
        <f t="shared" si="22"/>
        <v>1427</v>
      </c>
      <c r="B1428" s="983" t="s">
        <v>2710</v>
      </c>
      <c r="C1428" s="999"/>
      <c r="H1428" s="983" t="s">
        <v>1348</v>
      </c>
    </row>
    <row r="1429" spans="1:9" x14ac:dyDescent="0.2">
      <c r="A1429" s="997">
        <f t="shared" si="22"/>
        <v>1428</v>
      </c>
      <c r="B1429" s="983" t="s">
        <v>2710</v>
      </c>
      <c r="C1429" s="999"/>
      <c r="G1429" s="983" t="s">
        <v>1109</v>
      </c>
    </row>
    <row r="1430" spans="1:9" x14ac:dyDescent="0.2">
      <c r="A1430" s="997">
        <f t="shared" si="22"/>
        <v>1429</v>
      </c>
      <c r="B1430" s="983" t="s">
        <v>2710</v>
      </c>
      <c r="C1430" s="1000"/>
      <c r="G1430" s="983" t="s">
        <v>1106</v>
      </c>
    </row>
    <row r="1431" spans="1:9" x14ac:dyDescent="0.2">
      <c r="A1431" s="997">
        <f t="shared" si="22"/>
        <v>1430</v>
      </c>
      <c r="B1431" s="983" t="s">
        <v>2710</v>
      </c>
      <c r="C1431" s="1001"/>
      <c r="H1431" s="983" t="s">
        <v>1359</v>
      </c>
    </row>
    <row r="1432" spans="1:9" x14ac:dyDescent="0.2">
      <c r="A1432" s="997">
        <f t="shared" si="22"/>
        <v>1431</v>
      </c>
      <c r="B1432" s="983" t="s">
        <v>2710</v>
      </c>
      <c r="C1432" s="1000"/>
      <c r="H1432" s="983" t="str">
        <f>CONCATENATE("&lt;valeur&gt;",Cellule_13429,"&lt;/valeur&gt;")</f>
        <v>&lt;valeur&gt;&lt;/valeur&gt;</v>
      </c>
    </row>
    <row r="1433" spans="1:9" x14ac:dyDescent="0.2">
      <c r="A1433" s="997">
        <f t="shared" si="22"/>
        <v>1432</v>
      </c>
      <c r="B1433" s="983" t="s">
        <v>2710</v>
      </c>
      <c r="C1433" s="1000"/>
      <c r="H1433" s="983" t="s">
        <v>1348</v>
      </c>
    </row>
    <row r="1434" spans="1:9" x14ac:dyDescent="0.2">
      <c r="A1434" s="997">
        <f t="shared" si="22"/>
        <v>1433</v>
      </c>
      <c r="B1434" s="983" t="s">
        <v>2710</v>
      </c>
      <c r="C1434" s="1000"/>
      <c r="G1434" s="983" t="s">
        <v>1109</v>
      </c>
    </row>
    <row r="1435" spans="1:9" x14ac:dyDescent="0.2">
      <c r="A1435" s="997">
        <f t="shared" si="22"/>
        <v>1434</v>
      </c>
      <c r="B1435" s="983" t="s">
        <v>2710</v>
      </c>
      <c r="C1435" s="999"/>
      <c r="G1435" s="983" t="s">
        <v>1106</v>
      </c>
    </row>
    <row r="1436" spans="1:9" x14ac:dyDescent="0.2">
      <c r="A1436" s="997">
        <f t="shared" si="22"/>
        <v>1435</v>
      </c>
      <c r="B1436" s="983" t="s">
        <v>2710</v>
      </c>
      <c r="C1436" s="999"/>
      <c r="H1436" s="983" t="s">
        <v>1107</v>
      </c>
    </row>
    <row r="1437" spans="1:9" x14ac:dyDescent="0.2">
      <c r="A1437" s="997">
        <f t="shared" si="22"/>
        <v>1436</v>
      </c>
      <c r="B1437" s="983" t="s">
        <v>2710</v>
      </c>
      <c r="C1437" s="1000"/>
      <c r="I1437" s="983" t="s">
        <v>1360</v>
      </c>
    </row>
    <row r="1438" spans="1:9" x14ac:dyDescent="0.2">
      <c r="A1438" s="997">
        <f t="shared" si="22"/>
        <v>1437</v>
      </c>
      <c r="B1438" s="983" t="s">
        <v>2710</v>
      </c>
      <c r="C1438" s="1001"/>
      <c r="H1438" s="983" t="s">
        <v>1108</v>
      </c>
    </row>
    <row r="1439" spans="1:9" x14ac:dyDescent="0.2">
      <c r="A1439" s="997">
        <f t="shared" si="22"/>
        <v>1438</v>
      </c>
      <c r="B1439" s="983" t="s">
        <v>2710</v>
      </c>
      <c r="C1439" s="1000"/>
      <c r="H1439" s="983" t="str">
        <f>CONCATENATE("&lt;valeur&gt;",Cellule_13389,"&lt;/valeur&gt;")</f>
        <v>&lt;valeur&gt;0&lt;/valeur&gt;</v>
      </c>
    </row>
    <row r="1440" spans="1:9" x14ac:dyDescent="0.2">
      <c r="A1440" s="997">
        <f t="shared" si="22"/>
        <v>1439</v>
      </c>
      <c r="B1440" s="983" t="s">
        <v>2710</v>
      </c>
      <c r="C1440" s="1000"/>
      <c r="G1440" s="983" t="s">
        <v>1109</v>
      </c>
    </row>
    <row r="1441" spans="1:9" x14ac:dyDescent="0.2">
      <c r="A1441" s="997">
        <f t="shared" si="22"/>
        <v>1440</v>
      </c>
      <c r="B1441" s="983" t="s">
        <v>2710</v>
      </c>
      <c r="C1441" s="1000"/>
      <c r="G1441" s="983" t="s">
        <v>1106</v>
      </c>
    </row>
    <row r="1442" spans="1:9" x14ac:dyDescent="0.2">
      <c r="A1442" s="997">
        <f t="shared" si="22"/>
        <v>1441</v>
      </c>
      <c r="B1442" s="983" t="s">
        <v>2710</v>
      </c>
      <c r="C1442" s="999"/>
      <c r="H1442" s="983" t="s">
        <v>1107</v>
      </c>
    </row>
    <row r="1443" spans="1:9" x14ac:dyDescent="0.2">
      <c r="A1443" s="997">
        <f t="shared" si="22"/>
        <v>1442</v>
      </c>
      <c r="B1443" s="983" t="s">
        <v>2710</v>
      </c>
      <c r="C1443" s="999"/>
      <c r="I1443" s="983" t="s">
        <v>1361</v>
      </c>
    </row>
    <row r="1444" spans="1:9" x14ac:dyDescent="0.2">
      <c r="A1444" s="997">
        <f t="shared" si="22"/>
        <v>1443</v>
      </c>
      <c r="B1444" s="983" t="s">
        <v>2710</v>
      </c>
      <c r="C1444" s="1000"/>
      <c r="H1444" s="983" t="s">
        <v>1108</v>
      </c>
    </row>
    <row r="1445" spans="1:9" x14ac:dyDescent="0.2">
      <c r="A1445" s="997">
        <f t="shared" si="22"/>
        <v>1444</v>
      </c>
      <c r="B1445" s="983" t="s">
        <v>2710</v>
      </c>
      <c r="C1445" s="1001"/>
      <c r="H1445" s="983" t="str">
        <f>CONCATENATE("&lt;valeur&gt;",Cellule_13390,"&lt;/valeur&gt;")</f>
        <v>&lt;valeur&gt;0&lt;/valeur&gt;</v>
      </c>
    </row>
    <row r="1446" spans="1:9" x14ac:dyDescent="0.2">
      <c r="A1446" s="997">
        <f t="shared" si="22"/>
        <v>1445</v>
      </c>
      <c r="B1446" s="983" t="s">
        <v>2710</v>
      </c>
      <c r="C1446" s="1000"/>
      <c r="G1446" s="983" t="s">
        <v>1109</v>
      </c>
    </row>
    <row r="1447" spans="1:9" x14ac:dyDescent="0.2">
      <c r="A1447" s="997">
        <f t="shared" si="22"/>
        <v>1446</v>
      </c>
      <c r="B1447" s="983" t="s">
        <v>2710</v>
      </c>
      <c r="C1447" s="1000"/>
      <c r="G1447" s="983" t="s">
        <v>1106</v>
      </c>
    </row>
    <row r="1448" spans="1:9" x14ac:dyDescent="0.2">
      <c r="A1448" s="997">
        <f t="shared" si="22"/>
        <v>1447</v>
      </c>
      <c r="B1448" s="983" t="s">
        <v>2710</v>
      </c>
      <c r="C1448" s="999"/>
      <c r="H1448" s="983" t="s">
        <v>1107</v>
      </c>
    </row>
    <row r="1449" spans="1:9" x14ac:dyDescent="0.2">
      <c r="A1449" s="997">
        <f t="shared" si="22"/>
        <v>1448</v>
      </c>
      <c r="B1449" s="983" t="s">
        <v>2710</v>
      </c>
      <c r="C1449" s="999"/>
      <c r="I1449" s="983" t="s">
        <v>1362</v>
      </c>
    </row>
    <row r="1450" spans="1:9" x14ac:dyDescent="0.2">
      <c r="A1450" s="997">
        <f t="shared" si="22"/>
        <v>1449</v>
      </c>
      <c r="B1450" s="983" t="s">
        <v>2710</v>
      </c>
      <c r="C1450" s="1000"/>
      <c r="H1450" s="983" t="s">
        <v>1108</v>
      </c>
    </row>
    <row r="1451" spans="1:9" x14ac:dyDescent="0.2">
      <c r="A1451" s="997">
        <f t="shared" si="22"/>
        <v>1450</v>
      </c>
      <c r="B1451" s="983" t="s">
        <v>2710</v>
      </c>
      <c r="C1451" s="1001"/>
      <c r="H1451" s="983" t="str">
        <f>CONCATENATE("&lt;valeur&gt;",Cellule_13391,"&lt;/valeur&gt;")</f>
        <v>&lt;valeur&gt;0&lt;/valeur&gt;</v>
      </c>
    </row>
    <row r="1452" spans="1:9" x14ac:dyDescent="0.2">
      <c r="A1452" s="997">
        <f t="shared" si="22"/>
        <v>1451</v>
      </c>
      <c r="B1452" s="983" t="s">
        <v>2710</v>
      </c>
      <c r="C1452" s="1000"/>
      <c r="G1452" s="983" t="s">
        <v>1109</v>
      </c>
    </row>
    <row r="1453" spans="1:9" x14ac:dyDescent="0.2">
      <c r="A1453" s="997">
        <f t="shared" si="22"/>
        <v>1452</v>
      </c>
      <c r="B1453" s="983" t="s">
        <v>2710</v>
      </c>
      <c r="C1453" s="1000"/>
      <c r="G1453" s="983" t="s">
        <v>1106</v>
      </c>
    </row>
    <row r="1454" spans="1:9" x14ac:dyDescent="0.2">
      <c r="A1454" s="997">
        <f t="shared" si="22"/>
        <v>1453</v>
      </c>
      <c r="B1454" s="983" t="s">
        <v>2710</v>
      </c>
      <c r="C1454" s="999"/>
      <c r="H1454" s="983" t="s">
        <v>1107</v>
      </c>
    </row>
    <row r="1455" spans="1:9" x14ac:dyDescent="0.2">
      <c r="A1455" s="997">
        <f t="shared" si="22"/>
        <v>1454</v>
      </c>
      <c r="B1455" s="983" t="s">
        <v>2710</v>
      </c>
      <c r="C1455" s="999"/>
      <c r="I1455" s="983" t="s">
        <v>1363</v>
      </c>
    </row>
    <row r="1456" spans="1:9" x14ac:dyDescent="0.2">
      <c r="A1456" s="997">
        <f t="shared" si="22"/>
        <v>1455</v>
      </c>
      <c r="B1456" s="983" t="s">
        <v>2710</v>
      </c>
      <c r="C1456" s="1000"/>
      <c r="H1456" s="983" t="s">
        <v>1108</v>
      </c>
    </row>
    <row r="1457" spans="1:9" x14ac:dyDescent="0.2">
      <c r="A1457" s="997">
        <f t="shared" si="22"/>
        <v>1456</v>
      </c>
      <c r="B1457" s="983" t="s">
        <v>2710</v>
      </c>
      <c r="C1457" s="1001"/>
      <c r="H1457" s="983" t="str">
        <f>CONCATENATE("&lt;valeur&gt;",Cellule_13430,"&lt;/valeur&gt;")</f>
        <v>&lt;valeur&gt;0&lt;/valeur&gt;</v>
      </c>
    </row>
    <row r="1458" spans="1:9" x14ac:dyDescent="0.2">
      <c r="A1458" s="997">
        <f t="shared" si="22"/>
        <v>1457</v>
      </c>
      <c r="B1458" s="983" t="s">
        <v>2710</v>
      </c>
      <c r="C1458" s="1000"/>
      <c r="G1458" s="983" t="s">
        <v>1109</v>
      </c>
    </row>
    <row r="1459" spans="1:9" x14ac:dyDescent="0.2">
      <c r="A1459" s="997">
        <f t="shared" si="22"/>
        <v>1458</v>
      </c>
      <c r="B1459" s="983" t="s">
        <v>2710</v>
      </c>
      <c r="C1459" s="1000"/>
      <c r="G1459" s="983" t="s">
        <v>1106</v>
      </c>
    </row>
    <row r="1460" spans="1:9" x14ac:dyDescent="0.2">
      <c r="A1460" s="997">
        <f t="shared" si="22"/>
        <v>1459</v>
      </c>
      <c r="B1460" s="983" t="s">
        <v>2710</v>
      </c>
      <c r="C1460" s="999"/>
      <c r="H1460" s="983" t="s">
        <v>1107</v>
      </c>
    </row>
    <row r="1461" spans="1:9" x14ac:dyDescent="0.2">
      <c r="A1461" s="997">
        <f t="shared" si="22"/>
        <v>1460</v>
      </c>
      <c r="B1461" s="983" t="s">
        <v>2710</v>
      </c>
      <c r="C1461" s="999"/>
      <c r="I1461" s="983" t="s">
        <v>1364</v>
      </c>
    </row>
    <row r="1462" spans="1:9" x14ac:dyDescent="0.2">
      <c r="A1462" s="997">
        <f t="shared" si="22"/>
        <v>1461</v>
      </c>
      <c r="B1462" s="983" t="s">
        <v>2710</v>
      </c>
      <c r="C1462" s="1000"/>
      <c r="H1462" s="983" t="s">
        <v>1108</v>
      </c>
    </row>
    <row r="1463" spans="1:9" x14ac:dyDescent="0.2">
      <c r="A1463" s="997">
        <f t="shared" si="22"/>
        <v>1462</v>
      </c>
      <c r="B1463" s="983" t="s">
        <v>2710</v>
      </c>
      <c r="C1463" s="1001"/>
      <c r="H1463" s="983" t="str">
        <f>CONCATENATE("&lt;valeur&gt;",Cellule_13431,"&lt;/valeur&gt;")</f>
        <v>&lt;valeur&gt;0&lt;/valeur&gt;</v>
      </c>
    </row>
    <row r="1464" spans="1:9" x14ac:dyDescent="0.2">
      <c r="A1464" s="997">
        <f t="shared" si="22"/>
        <v>1463</v>
      </c>
      <c r="B1464" s="983" t="s">
        <v>2710</v>
      </c>
      <c r="C1464" s="1000"/>
      <c r="G1464" s="983" t="s">
        <v>1109</v>
      </c>
    </row>
    <row r="1465" spans="1:9" x14ac:dyDescent="0.2">
      <c r="A1465" s="997">
        <f t="shared" si="22"/>
        <v>1464</v>
      </c>
      <c r="B1465" s="983" t="s">
        <v>2710</v>
      </c>
      <c r="C1465" s="1000"/>
      <c r="G1465" s="983" t="s">
        <v>1106</v>
      </c>
    </row>
    <row r="1466" spans="1:9" x14ac:dyDescent="0.2">
      <c r="A1466" s="997">
        <f t="shared" si="22"/>
        <v>1465</v>
      </c>
      <c r="B1466" s="983" t="s">
        <v>2710</v>
      </c>
      <c r="C1466" s="999"/>
      <c r="H1466" s="983" t="s">
        <v>1107</v>
      </c>
    </row>
    <row r="1467" spans="1:9" x14ac:dyDescent="0.2">
      <c r="A1467" s="997">
        <f t="shared" si="22"/>
        <v>1466</v>
      </c>
      <c r="B1467" s="983" t="s">
        <v>2710</v>
      </c>
      <c r="C1467" s="999"/>
      <c r="I1467" s="983" t="s">
        <v>1365</v>
      </c>
    </row>
    <row r="1468" spans="1:9" x14ac:dyDescent="0.2">
      <c r="A1468" s="997">
        <f t="shared" si="22"/>
        <v>1467</v>
      </c>
      <c r="B1468" s="983" t="s">
        <v>2710</v>
      </c>
      <c r="C1468" s="1000"/>
      <c r="H1468" s="983" t="s">
        <v>1108</v>
      </c>
    </row>
    <row r="1469" spans="1:9" x14ac:dyDescent="0.2">
      <c r="A1469" s="997">
        <f t="shared" si="22"/>
        <v>1468</v>
      </c>
      <c r="B1469" s="983" t="s">
        <v>2710</v>
      </c>
      <c r="C1469" s="1001"/>
      <c r="H1469" s="983" t="str">
        <f>CONCATENATE("&lt;valeur&gt;",Cellule_13432,"&lt;/valeur&gt;")</f>
        <v>&lt;valeur&gt;0&lt;/valeur&gt;</v>
      </c>
    </row>
    <row r="1470" spans="1:9" x14ac:dyDescent="0.2">
      <c r="A1470" s="997">
        <f t="shared" si="22"/>
        <v>1469</v>
      </c>
      <c r="B1470" s="983" t="s">
        <v>2710</v>
      </c>
      <c r="C1470" s="1000"/>
      <c r="G1470" s="983" t="s">
        <v>1109</v>
      </c>
    </row>
    <row r="1471" spans="1:9" x14ac:dyDescent="0.2">
      <c r="A1471" s="997">
        <f t="shared" si="22"/>
        <v>1470</v>
      </c>
      <c r="B1471" s="983" t="s">
        <v>2710</v>
      </c>
      <c r="C1471" s="1000"/>
      <c r="G1471" s="983" t="s">
        <v>1106</v>
      </c>
    </row>
    <row r="1472" spans="1:9" x14ac:dyDescent="0.2">
      <c r="A1472" s="997">
        <f t="shared" si="22"/>
        <v>1471</v>
      </c>
      <c r="B1472" s="983" t="s">
        <v>2710</v>
      </c>
      <c r="C1472" s="999"/>
      <c r="H1472" s="983" t="s">
        <v>1107</v>
      </c>
    </row>
    <row r="1473" spans="1:9" x14ac:dyDescent="0.2">
      <c r="A1473" s="997">
        <f t="shared" si="22"/>
        <v>1472</v>
      </c>
      <c r="B1473" s="983" t="s">
        <v>2710</v>
      </c>
      <c r="C1473" s="999"/>
      <c r="I1473" s="983" t="s">
        <v>1366</v>
      </c>
    </row>
    <row r="1474" spans="1:9" x14ac:dyDescent="0.2">
      <c r="A1474" s="997">
        <f t="shared" si="22"/>
        <v>1473</v>
      </c>
      <c r="B1474" s="983" t="s">
        <v>2710</v>
      </c>
      <c r="C1474" s="1000"/>
      <c r="H1474" s="983" t="s">
        <v>1108</v>
      </c>
    </row>
    <row r="1475" spans="1:9" x14ac:dyDescent="0.2">
      <c r="A1475" s="997">
        <f t="shared" si="22"/>
        <v>1474</v>
      </c>
      <c r="B1475" s="983" t="s">
        <v>2710</v>
      </c>
      <c r="C1475" s="1001"/>
      <c r="H1475" s="983" t="str">
        <f>CONCATENATE("&lt;valeur&gt;",Cellule_13386,"&lt;/valeur&gt;")</f>
        <v>&lt;valeur&gt;0&lt;/valeur&gt;</v>
      </c>
    </row>
    <row r="1476" spans="1:9" x14ac:dyDescent="0.2">
      <c r="A1476" s="997">
        <f t="shared" ref="A1476:A1539" si="23">+A1475+1</f>
        <v>1475</v>
      </c>
      <c r="B1476" s="983" t="s">
        <v>2710</v>
      </c>
      <c r="C1476" s="1000"/>
      <c r="G1476" s="983" t="s">
        <v>1109</v>
      </c>
    </row>
    <row r="1477" spans="1:9" x14ac:dyDescent="0.2">
      <c r="A1477" s="997">
        <f t="shared" si="23"/>
        <v>1476</v>
      </c>
      <c r="B1477" s="983" t="s">
        <v>2710</v>
      </c>
      <c r="C1477" s="1000"/>
      <c r="G1477" s="983" t="s">
        <v>1106</v>
      </c>
    </row>
    <row r="1478" spans="1:9" x14ac:dyDescent="0.2">
      <c r="A1478" s="997">
        <f t="shared" si="23"/>
        <v>1477</v>
      </c>
      <c r="B1478" s="983" t="s">
        <v>2710</v>
      </c>
      <c r="C1478" s="999"/>
      <c r="H1478" s="983" t="s">
        <v>1107</v>
      </c>
    </row>
    <row r="1479" spans="1:9" x14ac:dyDescent="0.2">
      <c r="A1479" s="997">
        <f t="shared" si="23"/>
        <v>1478</v>
      </c>
      <c r="B1479" s="983" t="s">
        <v>2710</v>
      </c>
      <c r="C1479" s="999"/>
      <c r="I1479" s="983" t="s">
        <v>1367</v>
      </c>
    </row>
    <row r="1480" spans="1:9" x14ac:dyDescent="0.2">
      <c r="A1480" s="997">
        <f t="shared" si="23"/>
        <v>1479</v>
      </c>
      <c r="B1480" s="983" t="s">
        <v>2710</v>
      </c>
      <c r="C1480" s="1000"/>
      <c r="H1480" s="983" t="s">
        <v>1108</v>
      </c>
    </row>
    <row r="1481" spans="1:9" x14ac:dyDescent="0.2">
      <c r="A1481" s="997">
        <f t="shared" si="23"/>
        <v>1480</v>
      </c>
      <c r="B1481" s="983" t="s">
        <v>2710</v>
      </c>
      <c r="C1481" s="1001"/>
      <c r="H1481" s="983" t="str">
        <f>CONCATENATE("&lt;valeur&gt;",Cellule_13387,"&lt;/valeur&gt;")</f>
        <v>&lt;valeur&gt;0&lt;/valeur&gt;</v>
      </c>
    </row>
    <row r="1482" spans="1:9" x14ac:dyDescent="0.2">
      <c r="A1482" s="997">
        <f t="shared" si="23"/>
        <v>1481</v>
      </c>
      <c r="B1482" s="983" t="s">
        <v>2710</v>
      </c>
      <c r="C1482" s="1000"/>
      <c r="G1482" s="983" t="s">
        <v>1109</v>
      </c>
    </row>
    <row r="1483" spans="1:9" x14ac:dyDescent="0.2">
      <c r="A1483" s="997">
        <f t="shared" si="23"/>
        <v>1482</v>
      </c>
      <c r="B1483" s="983" t="s">
        <v>2710</v>
      </c>
      <c r="C1483" s="1000"/>
      <c r="G1483" s="983" t="s">
        <v>1106</v>
      </c>
    </row>
    <row r="1484" spans="1:9" x14ac:dyDescent="0.2">
      <c r="A1484" s="997">
        <f t="shared" si="23"/>
        <v>1483</v>
      </c>
      <c r="B1484" s="983" t="s">
        <v>2710</v>
      </c>
      <c r="C1484" s="999"/>
      <c r="H1484" s="983" t="s">
        <v>1107</v>
      </c>
    </row>
    <row r="1485" spans="1:9" x14ac:dyDescent="0.2">
      <c r="A1485" s="997">
        <f t="shared" si="23"/>
        <v>1484</v>
      </c>
      <c r="B1485" s="983" t="s">
        <v>2710</v>
      </c>
      <c r="C1485" s="999"/>
      <c r="I1485" s="983" t="s">
        <v>1368</v>
      </c>
    </row>
    <row r="1486" spans="1:9" x14ac:dyDescent="0.2">
      <c r="A1486" s="997">
        <f t="shared" si="23"/>
        <v>1485</v>
      </c>
      <c r="B1486" s="983" t="s">
        <v>2710</v>
      </c>
      <c r="C1486" s="1000"/>
      <c r="H1486" s="983" t="s">
        <v>1108</v>
      </c>
    </row>
    <row r="1487" spans="1:9" x14ac:dyDescent="0.2">
      <c r="A1487" s="997">
        <f t="shared" si="23"/>
        <v>1486</v>
      </c>
      <c r="B1487" s="983" t="s">
        <v>2710</v>
      </c>
      <c r="C1487" s="1001"/>
      <c r="H1487" s="983" t="str">
        <f>CONCATENATE("&lt;valeur&gt;",Cellule_13388,"&lt;/valeur&gt;")</f>
        <v>&lt;valeur&gt;0&lt;/valeur&gt;</v>
      </c>
    </row>
    <row r="1488" spans="1:9" x14ac:dyDescent="0.2">
      <c r="A1488" s="997">
        <f t="shared" si="23"/>
        <v>1487</v>
      </c>
      <c r="B1488" s="983" t="s">
        <v>2710</v>
      </c>
      <c r="C1488" s="1000"/>
      <c r="G1488" s="983" t="s">
        <v>1109</v>
      </c>
    </row>
    <row r="1489" spans="1:9" x14ac:dyDescent="0.2">
      <c r="A1489" s="997">
        <f t="shared" si="23"/>
        <v>1488</v>
      </c>
      <c r="B1489" s="983" t="s">
        <v>2710</v>
      </c>
      <c r="C1489" s="1000"/>
      <c r="G1489" s="983" t="s">
        <v>1106</v>
      </c>
    </row>
    <row r="1490" spans="1:9" x14ac:dyDescent="0.2">
      <c r="A1490" s="997">
        <f t="shared" si="23"/>
        <v>1489</v>
      </c>
      <c r="B1490" s="983" t="s">
        <v>2710</v>
      </c>
      <c r="C1490" s="999"/>
      <c r="H1490" s="983" t="s">
        <v>1107</v>
      </c>
    </row>
    <row r="1491" spans="1:9" x14ac:dyDescent="0.2">
      <c r="A1491" s="997">
        <f t="shared" si="23"/>
        <v>1490</v>
      </c>
      <c r="B1491" s="983" t="s">
        <v>2710</v>
      </c>
      <c r="C1491" s="999"/>
      <c r="I1491" s="983" t="s">
        <v>1369</v>
      </c>
    </row>
    <row r="1492" spans="1:9" x14ac:dyDescent="0.2">
      <c r="A1492" s="997">
        <f t="shared" si="23"/>
        <v>1491</v>
      </c>
      <c r="B1492" s="983" t="s">
        <v>2710</v>
      </c>
      <c r="C1492" s="1000"/>
      <c r="H1492" s="983" t="s">
        <v>1108</v>
      </c>
    </row>
    <row r="1493" spans="1:9" x14ac:dyDescent="0.2">
      <c r="A1493" s="997">
        <f t="shared" si="23"/>
        <v>1492</v>
      </c>
      <c r="B1493" s="983" t="s">
        <v>2710</v>
      </c>
      <c r="C1493" s="1001"/>
      <c r="H1493" s="983" t="str">
        <f>CONCATENATE("&lt;valeur&gt;",Cellule_13433,"&lt;/valeur&gt;")</f>
        <v>&lt;valeur&gt;0&lt;/valeur&gt;</v>
      </c>
    </row>
    <row r="1494" spans="1:9" x14ac:dyDescent="0.2">
      <c r="A1494" s="997">
        <f t="shared" si="23"/>
        <v>1493</v>
      </c>
      <c r="B1494" s="983" t="s">
        <v>2710</v>
      </c>
      <c r="C1494" s="1000"/>
      <c r="G1494" s="983" t="s">
        <v>1109</v>
      </c>
    </row>
    <row r="1495" spans="1:9" x14ac:dyDescent="0.2">
      <c r="A1495" s="997">
        <f t="shared" si="23"/>
        <v>1494</v>
      </c>
      <c r="B1495" s="983" t="s">
        <v>2710</v>
      </c>
      <c r="C1495" s="1000"/>
      <c r="G1495" s="983" t="s">
        <v>1106</v>
      </c>
    </row>
    <row r="1496" spans="1:9" x14ac:dyDescent="0.2">
      <c r="A1496" s="997">
        <f t="shared" si="23"/>
        <v>1495</v>
      </c>
      <c r="B1496" s="983" t="s">
        <v>2710</v>
      </c>
      <c r="C1496" s="999"/>
      <c r="H1496" s="983" t="s">
        <v>1107</v>
      </c>
    </row>
    <row r="1497" spans="1:9" x14ac:dyDescent="0.2">
      <c r="A1497" s="997">
        <f t="shared" si="23"/>
        <v>1496</v>
      </c>
      <c r="B1497" s="983" t="s">
        <v>2710</v>
      </c>
      <c r="C1497" s="999"/>
      <c r="I1497" s="983" t="s">
        <v>1370</v>
      </c>
    </row>
    <row r="1498" spans="1:9" x14ac:dyDescent="0.2">
      <c r="A1498" s="997">
        <f t="shared" si="23"/>
        <v>1497</v>
      </c>
      <c r="B1498" s="983" t="s">
        <v>2710</v>
      </c>
      <c r="C1498" s="1000"/>
      <c r="H1498" s="983" t="s">
        <v>1108</v>
      </c>
    </row>
    <row r="1499" spans="1:9" x14ac:dyDescent="0.2">
      <c r="A1499" s="997">
        <f t="shared" si="23"/>
        <v>1498</v>
      </c>
      <c r="B1499" s="983" t="s">
        <v>2710</v>
      </c>
      <c r="C1499" s="1001"/>
      <c r="H1499" s="983" t="str">
        <f>CONCATENATE("&lt;valeur&gt;",Cellule_13434,"&lt;/valeur&gt;")</f>
        <v>&lt;valeur&gt;0&lt;/valeur&gt;</v>
      </c>
    </row>
    <row r="1500" spans="1:9" x14ac:dyDescent="0.2">
      <c r="A1500" s="997">
        <f t="shared" si="23"/>
        <v>1499</v>
      </c>
      <c r="B1500" s="983" t="s">
        <v>2710</v>
      </c>
      <c r="C1500" s="1000"/>
      <c r="G1500" s="983" t="s">
        <v>1109</v>
      </c>
    </row>
    <row r="1501" spans="1:9" x14ac:dyDescent="0.2">
      <c r="A1501" s="997">
        <f t="shared" si="23"/>
        <v>1500</v>
      </c>
      <c r="B1501" s="983" t="s">
        <v>2710</v>
      </c>
      <c r="C1501" s="1000"/>
      <c r="G1501" s="983" t="s">
        <v>1106</v>
      </c>
    </row>
    <row r="1502" spans="1:9" x14ac:dyDescent="0.2">
      <c r="A1502" s="997">
        <f t="shared" si="23"/>
        <v>1501</v>
      </c>
      <c r="B1502" s="983" t="s">
        <v>2710</v>
      </c>
      <c r="C1502" s="999"/>
      <c r="H1502" s="983" t="s">
        <v>1107</v>
      </c>
    </row>
    <row r="1503" spans="1:9" x14ac:dyDescent="0.2">
      <c r="A1503" s="997">
        <f t="shared" si="23"/>
        <v>1502</v>
      </c>
      <c r="B1503" s="983" t="s">
        <v>2710</v>
      </c>
      <c r="C1503" s="999"/>
      <c r="I1503" s="983" t="s">
        <v>1371</v>
      </c>
    </row>
    <row r="1504" spans="1:9" x14ac:dyDescent="0.2">
      <c r="A1504" s="997">
        <f t="shared" si="23"/>
        <v>1503</v>
      </c>
      <c r="B1504" s="983" t="s">
        <v>2710</v>
      </c>
      <c r="C1504" s="1000"/>
      <c r="H1504" s="983" t="s">
        <v>1108</v>
      </c>
    </row>
    <row r="1505" spans="1:9" x14ac:dyDescent="0.2">
      <c r="A1505" s="997">
        <f t="shared" si="23"/>
        <v>1504</v>
      </c>
      <c r="B1505" s="983" t="s">
        <v>2710</v>
      </c>
      <c r="C1505" s="1001"/>
      <c r="H1505" s="983" t="str">
        <f>CONCATENATE("&lt;valeur&gt;",Cellule_13435,"&lt;/valeur&gt;")</f>
        <v>&lt;valeur&gt;0&lt;/valeur&gt;</v>
      </c>
    </row>
    <row r="1506" spans="1:9" x14ac:dyDescent="0.2">
      <c r="A1506" s="997">
        <f t="shared" si="23"/>
        <v>1505</v>
      </c>
      <c r="B1506" s="983" t="s">
        <v>2710</v>
      </c>
      <c r="C1506" s="1000"/>
      <c r="G1506" s="983" t="s">
        <v>1109</v>
      </c>
    </row>
    <row r="1507" spans="1:9" x14ac:dyDescent="0.2">
      <c r="A1507" s="997">
        <f t="shared" si="23"/>
        <v>1506</v>
      </c>
      <c r="B1507" s="983" t="s">
        <v>2710</v>
      </c>
      <c r="C1507" s="1000"/>
      <c r="G1507" s="983" t="s">
        <v>1106</v>
      </c>
    </row>
    <row r="1508" spans="1:9" x14ac:dyDescent="0.2">
      <c r="A1508" s="997">
        <f t="shared" si="23"/>
        <v>1507</v>
      </c>
      <c r="B1508" s="983" t="s">
        <v>2710</v>
      </c>
      <c r="C1508" s="999"/>
      <c r="H1508" s="983" t="s">
        <v>1107</v>
      </c>
    </row>
    <row r="1509" spans="1:9" x14ac:dyDescent="0.2">
      <c r="A1509" s="997">
        <f t="shared" si="23"/>
        <v>1508</v>
      </c>
      <c r="B1509" s="983" t="s">
        <v>2710</v>
      </c>
      <c r="C1509" s="999"/>
      <c r="I1509" s="983" t="s">
        <v>1372</v>
      </c>
    </row>
    <row r="1510" spans="1:9" x14ac:dyDescent="0.2">
      <c r="A1510" s="997">
        <f t="shared" si="23"/>
        <v>1509</v>
      </c>
      <c r="B1510" s="983" t="s">
        <v>2710</v>
      </c>
      <c r="C1510" s="1000"/>
      <c r="H1510" s="983" t="s">
        <v>1108</v>
      </c>
    </row>
    <row r="1511" spans="1:9" x14ac:dyDescent="0.2">
      <c r="A1511" s="997">
        <f t="shared" si="23"/>
        <v>1510</v>
      </c>
      <c r="B1511" s="983" t="s">
        <v>2710</v>
      </c>
      <c r="C1511" s="1001"/>
      <c r="H1511" s="983" t="str">
        <f>CONCATENATE("&lt;valeur&gt;",Cellule_13385,"&lt;/valeur&gt;")</f>
        <v>&lt;valeur&gt;1107949,38&lt;/valeur&gt;</v>
      </c>
    </row>
    <row r="1512" spans="1:9" x14ac:dyDescent="0.2">
      <c r="A1512" s="997">
        <f t="shared" si="23"/>
        <v>1511</v>
      </c>
      <c r="B1512" s="983" t="s">
        <v>2710</v>
      </c>
      <c r="C1512" s="1000"/>
      <c r="G1512" s="983" t="s">
        <v>1109</v>
      </c>
    </row>
    <row r="1513" spans="1:9" x14ac:dyDescent="0.2">
      <c r="A1513" s="997">
        <f t="shared" si="23"/>
        <v>1512</v>
      </c>
      <c r="B1513" s="983" t="s">
        <v>2710</v>
      </c>
      <c r="C1513" s="1000"/>
      <c r="G1513" s="983" t="s">
        <v>1106</v>
      </c>
    </row>
    <row r="1514" spans="1:9" x14ac:dyDescent="0.2">
      <c r="A1514" s="997">
        <f t="shared" si="23"/>
        <v>1513</v>
      </c>
      <c r="B1514" s="983" t="s">
        <v>2710</v>
      </c>
      <c r="C1514" s="999"/>
      <c r="H1514" s="983" t="s">
        <v>1107</v>
      </c>
    </row>
    <row r="1515" spans="1:9" x14ac:dyDescent="0.2">
      <c r="A1515" s="997">
        <f t="shared" si="23"/>
        <v>1514</v>
      </c>
      <c r="B1515" s="983" t="s">
        <v>2710</v>
      </c>
      <c r="C1515" s="999"/>
      <c r="I1515" s="983" t="s">
        <v>1373</v>
      </c>
    </row>
    <row r="1516" spans="1:9" x14ac:dyDescent="0.2">
      <c r="A1516" s="997">
        <f t="shared" si="23"/>
        <v>1515</v>
      </c>
      <c r="B1516" s="983" t="s">
        <v>2710</v>
      </c>
      <c r="C1516" s="1000"/>
      <c r="H1516" s="983" t="s">
        <v>1108</v>
      </c>
    </row>
    <row r="1517" spans="1:9" x14ac:dyDescent="0.2">
      <c r="A1517" s="997">
        <f t="shared" si="23"/>
        <v>1516</v>
      </c>
      <c r="B1517" s="983" t="s">
        <v>2710</v>
      </c>
      <c r="C1517" s="1001"/>
      <c r="H1517" s="983" t="str">
        <f>CONCATENATE("&lt;valeur&gt;",Cellule_13436,"&lt;/valeur&gt;")</f>
        <v>&lt;valeur&gt;81081,33&lt;/valeur&gt;</v>
      </c>
    </row>
    <row r="1518" spans="1:9" x14ac:dyDescent="0.2">
      <c r="A1518" s="997">
        <f t="shared" si="23"/>
        <v>1517</v>
      </c>
      <c r="B1518" s="983" t="s">
        <v>2710</v>
      </c>
      <c r="C1518" s="1000"/>
      <c r="G1518" s="983" t="s">
        <v>1109</v>
      </c>
    </row>
    <row r="1519" spans="1:9" x14ac:dyDescent="0.2">
      <c r="A1519" s="997">
        <f t="shared" si="23"/>
        <v>1518</v>
      </c>
      <c r="B1519" s="983" t="s">
        <v>2710</v>
      </c>
      <c r="C1519" s="1000"/>
      <c r="G1519" s="983" t="s">
        <v>1106</v>
      </c>
    </row>
    <row r="1520" spans="1:9" x14ac:dyDescent="0.2">
      <c r="A1520" s="997">
        <f t="shared" si="23"/>
        <v>1519</v>
      </c>
      <c r="B1520" s="983" t="s">
        <v>2710</v>
      </c>
      <c r="C1520" s="999"/>
      <c r="H1520" s="983" t="s">
        <v>1107</v>
      </c>
    </row>
    <row r="1521" spans="1:9" x14ac:dyDescent="0.2">
      <c r="A1521" s="997">
        <f t="shared" si="23"/>
        <v>1520</v>
      </c>
      <c r="B1521" s="983" t="s">
        <v>2710</v>
      </c>
      <c r="C1521" s="999"/>
      <c r="I1521" s="983" t="s">
        <v>1374</v>
      </c>
    </row>
    <row r="1522" spans="1:9" x14ac:dyDescent="0.2">
      <c r="A1522" s="997">
        <f t="shared" si="23"/>
        <v>1521</v>
      </c>
      <c r="B1522" s="983" t="s">
        <v>2710</v>
      </c>
      <c r="C1522" s="1000"/>
      <c r="H1522" s="983" t="s">
        <v>1108</v>
      </c>
    </row>
    <row r="1523" spans="1:9" x14ac:dyDescent="0.2">
      <c r="A1523" s="997">
        <f t="shared" si="23"/>
        <v>1522</v>
      </c>
      <c r="B1523" s="983" t="s">
        <v>2710</v>
      </c>
      <c r="C1523" s="1001"/>
      <c r="H1523" s="983" t="str">
        <f>CONCATENATE("&lt;valeur&gt;",Cellule_13376,"&lt;/valeur&gt;")</f>
        <v>&lt;valeur&gt;621333,33&lt;/valeur&gt;</v>
      </c>
    </row>
    <row r="1524" spans="1:9" x14ac:dyDescent="0.2">
      <c r="A1524" s="997">
        <f t="shared" si="23"/>
        <v>1523</v>
      </c>
      <c r="B1524" s="983" t="s">
        <v>2710</v>
      </c>
      <c r="C1524" s="1000"/>
      <c r="G1524" s="983" t="s">
        <v>1109</v>
      </c>
    </row>
    <row r="1525" spans="1:9" x14ac:dyDescent="0.2">
      <c r="A1525" s="997">
        <f t="shared" si="23"/>
        <v>1524</v>
      </c>
      <c r="B1525" s="983" t="s">
        <v>2710</v>
      </c>
      <c r="C1525" s="1000"/>
      <c r="G1525" s="983" t="s">
        <v>1106</v>
      </c>
    </row>
    <row r="1526" spans="1:9" x14ac:dyDescent="0.2">
      <c r="A1526" s="997">
        <f t="shared" si="23"/>
        <v>1525</v>
      </c>
      <c r="B1526" s="983" t="s">
        <v>2710</v>
      </c>
      <c r="C1526" s="999"/>
      <c r="H1526" s="983" t="s">
        <v>1107</v>
      </c>
    </row>
    <row r="1527" spans="1:9" x14ac:dyDescent="0.2">
      <c r="A1527" s="997">
        <f t="shared" si="23"/>
        <v>1526</v>
      </c>
      <c r="B1527" s="983" t="s">
        <v>2710</v>
      </c>
      <c r="C1527" s="999"/>
      <c r="I1527" s="983" t="s">
        <v>1375</v>
      </c>
    </row>
    <row r="1528" spans="1:9" x14ac:dyDescent="0.2">
      <c r="A1528" s="997">
        <f t="shared" si="23"/>
        <v>1527</v>
      </c>
      <c r="B1528" s="983" t="s">
        <v>2710</v>
      </c>
      <c r="C1528" s="1000"/>
      <c r="H1528" s="983" t="s">
        <v>1108</v>
      </c>
    </row>
    <row r="1529" spans="1:9" x14ac:dyDescent="0.2">
      <c r="A1529" s="997">
        <f t="shared" si="23"/>
        <v>1528</v>
      </c>
      <c r="B1529" s="983" t="s">
        <v>2710</v>
      </c>
      <c r="C1529" s="1001"/>
      <c r="H1529" s="983" t="str">
        <f>CONCATENATE("&lt;valeur&gt;",Cellule_13377,"&lt;/valeur&gt;")</f>
        <v>&lt;valeur&gt;7573,2&lt;/valeur&gt;</v>
      </c>
    </row>
    <row r="1530" spans="1:9" x14ac:dyDescent="0.2">
      <c r="A1530" s="997">
        <f t="shared" si="23"/>
        <v>1529</v>
      </c>
      <c r="B1530" s="983" t="s">
        <v>2710</v>
      </c>
      <c r="C1530" s="1000"/>
      <c r="G1530" s="983" t="s">
        <v>1109</v>
      </c>
    </row>
    <row r="1531" spans="1:9" x14ac:dyDescent="0.2">
      <c r="A1531" s="997">
        <f t="shared" si="23"/>
        <v>1530</v>
      </c>
      <c r="B1531" s="983" t="s">
        <v>2710</v>
      </c>
      <c r="C1531" s="1000"/>
      <c r="G1531" s="983" t="s">
        <v>1106</v>
      </c>
    </row>
    <row r="1532" spans="1:9" x14ac:dyDescent="0.2">
      <c r="A1532" s="997">
        <f t="shared" si="23"/>
        <v>1531</v>
      </c>
      <c r="B1532" s="983" t="s">
        <v>2710</v>
      </c>
      <c r="C1532" s="999"/>
      <c r="H1532" s="983" t="s">
        <v>1107</v>
      </c>
    </row>
    <row r="1533" spans="1:9" x14ac:dyDescent="0.2">
      <c r="A1533" s="997">
        <f t="shared" si="23"/>
        <v>1532</v>
      </c>
      <c r="B1533" s="983" t="s">
        <v>2710</v>
      </c>
      <c r="C1533" s="999"/>
      <c r="I1533" s="983" t="s">
        <v>1376</v>
      </c>
    </row>
    <row r="1534" spans="1:9" x14ac:dyDescent="0.2">
      <c r="A1534" s="997">
        <f t="shared" si="23"/>
        <v>1533</v>
      </c>
      <c r="B1534" s="983" t="s">
        <v>2710</v>
      </c>
      <c r="C1534" s="1000"/>
      <c r="H1534" s="983" t="s">
        <v>1108</v>
      </c>
    </row>
    <row r="1535" spans="1:9" x14ac:dyDescent="0.2">
      <c r="A1535" s="997">
        <f t="shared" si="23"/>
        <v>1534</v>
      </c>
      <c r="B1535" s="983" t="s">
        <v>2710</v>
      </c>
      <c r="C1535" s="1001"/>
      <c r="H1535" s="983" t="str">
        <f>CONCATENATE("&lt;valeur&gt;",Cellule_13378,"&lt;/valeur&gt;")</f>
        <v>&lt;valeur&gt;0&lt;/valeur&gt;</v>
      </c>
    </row>
    <row r="1536" spans="1:9" x14ac:dyDescent="0.2">
      <c r="A1536" s="997">
        <f t="shared" si="23"/>
        <v>1535</v>
      </c>
      <c r="B1536" s="983" t="s">
        <v>2710</v>
      </c>
      <c r="C1536" s="1000"/>
      <c r="G1536" s="983" t="s">
        <v>1109</v>
      </c>
    </row>
    <row r="1537" spans="1:9" x14ac:dyDescent="0.2">
      <c r="A1537" s="997">
        <f t="shared" si="23"/>
        <v>1536</v>
      </c>
      <c r="B1537" s="983" t="s">
        <v>2710</v>
      </c>
      <c r="C1537" s="1000"/>
      <c r="G1537" s="983" t="s">
        <v>1106</v>
      </c>
    </row>
    <row r="1538" spans="1:9" x14ac:dyDescent="0.2">
      <c r="A1538" s="997">
        <f t="shared" si="23"/>
        <v>1537</v>
      </c>
      <c r="B1538" s="983" t="s">
        <v>2710</v>
      </c>
      <c r="C1538" s="999"/>
      <c r="H1538" s="983" t="s">
        <v>1107</v>
      </c>
    </row>
    <row r="1539" spans="1:9" x14ac:dyDescent="0.2">
      <c r="A1539" s="997">
        <f t="shared" si="23"/>
        <v>1538</v>
      </c>
      <c r="B1539" s="983" t="s">
        <v>2710</v>
      </c>
      <c r="C1539" s="999"/>
      <c r="I1539" s="983" t="s">
        <v>1377</v>
      </c>
    </row>
    <row r="1540" spans="1:9" x14ac:dyDescent="0.2">
      <c r="A1540" s="997">
        <f t="shared" ref="A1540:A1603" si="24">+A1539+1</f>
        <v>1539</v>
      </c>
      <c r="B1540" s="983" t="s">
        <v>2710</v>
      </c>
      <c r="C1540" s="1000"/>
      <c r="H1540" s="983" t="s">
        <v>1108</v>
      </c>
    </row>
    <row r="1541" spans="1:9" x14ac:dyDescent="0.2">
      <c r="A1541" s="997">
        <f t="shared" si="24"/>
        <v>1540</v>
      </c>
      <c r="B1541" s="983" t="s">
        <v>2710</v>
      </c>
      <c r="C1541" s="1001"/>
      <c r="H1541" s="983" t="str">
        <f>CONCATENATE("&lt;valeur&gt;",Cellule_13379,"&lt;/valeur&gt;")</f>
        <v>&lt;valeur&gt;0&lt;/valeur&gt;</v>
      </c>
    </row>
    <row r="1542" spans="1:9" x14ac:dyDescent="0.2">
      <c r="A1542" s="997">
        <f t="shared" si="24"/>
        <v>1541</v>
      </c>
      <c r="B1542" s="983" t="s">
        <v>2710</v>
      </c>
      <c r="C1542" s="1000"/>
      <c r="G1542" s="983" t="s">
        <v>1109</v>
      </c>
    </row>
    <row r="1543" spans="1:9" x14ac:dyDescent="0.2">
      <c r="A1543" s="997">
        <f t="shared" si="24"/>
        <v>1542</v>
      </c>
      <c r="B1543" s="983" t="s">
        <v>2710</v>
      </c>
      <c r="C1543" s="1000"/>
      <c r="G1543" s="983" t="s">
        <v>1106</v>
      </c>
    </row>
    <row r="1544" spans="1:9" x14ac:dyDescent="0.2">
      <c r="A1544" s="997">
        <f t="shared" si="24"/>
        <v>1543</v>
      </c>
      <c r="B1544" s="983" t="s">
        <v>2710</v>
      </c>
      <c r="C1544" s="999"/>
      <c r="H1544" s="983" t="s">
        <v>1107</v>
      </c>
    </row>
    <row r="1545" spans="1:9" x14ac:dyDescent="0.2">
      <c r="A1545" s="997">
        <f t="shared" si="24"/>
        <v>1544</v>
      </c>
      <c r="B1545" s="983" t="s">
        <v>2710</v>
      </c>
      <c r="C1545" s="999"/>
      <c r="I1545" s="983" t="s">
        <v>1378</v>
      </c>
    </row>
    <row r="1546" spans="1:9" x14ac:dyDescent="0.2">
      <c r="A1546" s="997">
        <f t="shared" si="24"/>
        <v>1545</v>
      </c>
      <c r="B1546" s="983" t="s">
        <v>2710</v>
      </c>
      <c r="C1546" s="1000"/>
      <c r="H1546" s="983" t="s">
        <v>1108</v>
      </c>
    </row>
    <row r="1547" spans="1:9" x14ac:dyDescent="0.2">
      <c r="A1547" s="997">
        <f t="shared" si="24"/>
        <v>1546</v>
      </c>
      <c r="B1547" s="983" t="s">
        <v>2710</v>
      </c>
      <c r="C1547" s="1001"/>
      <c r="H1547" s="983" t="str">
        <f>CONCATENATE("&lt;valeur&gt;",Cellule_13380,"&lt;/valeur&gt;")</f>
        <v>&lt;valeur&gt;796,02&lt;/valeur&gt;</v>
      </c>
    </row>
    <row r="1548" spans="1:9" x14ac:dyDescent="0.2">
      <c r="A1548" s="997">
        <f t="shared" si="24"/>
        <v>1547</v>
      </c>
      <c r="B1548" s="983" t="s">
        <v>2710</v>
      </c>
      <c r="C1548" s="1000"/>
      <c r="G1548" s="983" t="s">
        <v>1109</v>
      </c>
    </row>
    <row r="1549" spans="1:9" x14ac:dyDescent="0.2">
      <c r="A1549" s="997">
        <f t="shared" si="24"/>
        <v>1548</v>
      </c>
      <c r="B1549" s="983" t="s">
        <v>2710</v>
      </c>
      <c r="C1549" s="1000"/>
      <c r="G1549" s="983" t="s">
        <v>1106</v>
      </c>
    </row>
    <row r="1550" spans="1:9" x14ac:dyDescent="0.2">
      <c r="A1550" s="997">
        <f t="shared" si="24"/>
        <v>1549</v>
      </c>
      <c r="B1550" s="983" t="s">
        <v>2710</v>
      </c>
      <c r="C1550" s="999"/>
      <c r="H1550" s="983" t="s">
        <v>1107</v>
      </c>
    </row>
    <row r="1551" spans="1:9" x14ac:dyDescent="0.2">
      <c r="A1551" s="997">
        <f t="shared" si="24"/>
        <v>1550</v>
      </c>
      <c r="B1551" s="983" t="s">
        <v>2710</v>
      </c>
      <c r="C1551" s="999"/>
      <c r="I1551" s="983" t="s">
        <v>1379</v>
      </c>
    </row>
    <row r="1552" spans="1:9" x14ac:dyDescent="0.2">
      <c r="A1552" s="997">
        <f t="shared" si="24"/>
        <v>1551</v>
      </c>
      <c r="B1552" s="983" t="s">
        <v>2710</v>
      </c>
      <c r="C1552" s="1000"/>
      <c r="H1552" s="983" t="s">
        <v>1108</v>
      </c>
    </row>
    <row r="1553" spans="1:9" x14ac:dyDescent="0.2">
      <c r="A1553" s="997">
        <f t="shared" si="24"/>
        <v>1552</v>
      </c>
      <c r="B1553" s="983" t="s">
        <v>2710</v>
      </c>
      <c r="C1553" s="1001"/>
      <c r="H1553" s="983" t="str">
        <f>CONCATENATE("&lt;valeur&gt;",Cellule_13381,"&lt;/valeur&gt;")</f>
        <v>&lt;valeur&gt;53001,82&lt;/valeur&gt;</v>
      </c>
    </row>
    <row r="1554" spans="1:9" x14ac:dyDescent="0.2">
      <c r="A1554" s="997">
        <f t="shared" si="24"/>
        <v>1553</v>
      </c>
      <c r="B1554" s="983" t="s">
        <v>2710</v>
      </c>
      <c r="C1554" s="1000"/>
      <c r="G1554" s="983" t="s">
        <v>1109</v>
      </c>
    </row>
    <row r="1555" spans="1:9" x14ac:dyDescent="0.2">
      <c r="A1555" s="997">
        <f t="shared" si="24"/>
        <v>1554</v>
      </c>
      <c r="B1555" s="983" t="s">
        <v>2710</v>
      </c>
      <c r="C1555" s="1000"/>
      <c r="G1555" s="983" t="s">
        <v>1106</v>
      </c>
    </row>
    <row r="1556" spans="1:9" x14ac:dyDescent="0.2">
      <c r="A1556" s="997">
        <f t="shared" si="24"/>
        <v>1555</v>
      </c>
      <c r="B1556" s="983" t="s">
        <v>2710</v>
      </c>
      <c r="C1556" s="999"/>
      <c r="H1556" s="983" t="s">
        <v>1107</v>
      </c>
    </row>
    <row r="1557" spans="1:9" x14ac:dyDescent="0.2">
      <c r="A1557" s="997">
        <f t="shared" si="24"/>
        <v>1556</v>
      </c>
      <c r="B1557" s="983" t="s">
        <v>2710</v>
      </c>
      <c r="C1557" s="999"/>
      <c r="I1557" s="983" t="s">
        <v>1380</v>
      </c>
    </row>
    <row r="1558" spans="1:9" x14ac:dyDescent="0.2">
      <c r="A1558" s="997">
        <f t="shared" si="24"/>
        <v>1557</v>
      </c>
      <c r="B1558" s="983" t="s">
        <v>2710</v>
      </c>
      <c r="C1558" s="1000"/>
      <c r="H1558" s="983" t="s">
        <v>1108</v>
      </c>
    </row>
    <row r="1559" spans="1:9" x14ac:dyDescent="0.2">
      <c r="A1559" s="997">
        <f t="shared" si="24"/>
        <v>1558</v>
      </c>
      <c r="B1559" s="983" t="s">
        <v>2710</v>
      </c>
      <c r="C1559" s="1001"/>
      <c r="H1559" s="983" t="str">
        <f>CONCATENATE("&lt;valeur&gt;",Cellule_13382,"&lt;/valeur&gt;")</f>
        <v>&lt;valeur&gt;559962,29&lt;/valeur&gt;</v>
      </c>
    </row>
    <row r="1560" spans="1:9" x14ac:dyDescent="0.2">
      <c r="A1560" s="997">
        <f t="shared" si="24"/>
        <v>1559</v>
      </c>
      <c r="B1560" s="983" t="s">
        <v>2710</v>
      </c>
      <c r="C1560" s="1000"/>
      <c r="G1560" s="983" t="s">
        <v>1109</v>
      </c>
    </row>
    <row r="1561" spans="1:9" x14ac:dyDescent="0.2">
      <c r="A1561" s="997">
        <f t="shared" si="24"/>
        <v>1560</v>
      </c>
      <c r="B1561" s="983" t="s">
        <v>2710</v>
      </c>
      <c r="C1561" s="1000"/>
      <c r="G1561" s="983" t="s">
        <v>1106</v>
      </c>
    </row>
    <row r="1562" spans="1:9" x14ac:dyDescent="0.2">
      <c r="A1562" s="997">
        <f t="shared" si="24"/>
        <v>1561</v>
      </c>
      <c r="B1562" s="983" t="s">
        <v>2710</v>
      </c>
      <c r="C1562" s="999"/>
      <c r="H1562" s="983" t="s">
        <v>1107</v>
      </c>
    </row>
    <row r="1563" spans="1:9" x14ac:dyDescent="0.2">
      <c r="A1563" s="997">
        <f t="shared" si="24"/>
        <v>1562</v>
      </c>
      <c r="B1563" s="983" t="s">
        <v>2710</v>
      </c>
      <c r="C1563" s="999"/>
      <c r="I1563" s="983" t="s">
        <v>1381</v>
      </c>
    </row>
    <row r="1564" spans="1:9" x14ac:dyDescent="0.2">
      <c r="A1564" s="997">
        <f t="shared" si="24"/>
        <v>1563</v>
      </c>
      <c r="B1564" s="983" t="s">
        <v>2710</v>
      </c>
      <c r="C1564" s="1000"/>
      <c r="H1564" s="983" t="s">
        <v>1108</v>
      </c>
    </row>
    <row r="1565" spans="1:9" x14ac:dyDescent="0.2">
      <c r="A1565" s="997">
        <f t="shared" si="24"/>
        <v>1564</v>
      </c>
      <c r="B1565" s="983" t="s">
        <v>2710</v>
      </c>
      <c r="C1565" s="1001"/>
      <c r="H1565" s="983" t="str">
        <f>CONCATENATE("&lt;valeur&gt;",Cellule_13383,"&lt;/valeur&gt;")</f>
        <v>&lt;valeur&gt;0&lt;/valeur&gt;</v>
      </c>
    </row>
    <row r="1566" spans="1:9" x14ac:dyDescent="0.2">
      <c r="A1566" s="997">
        <f t="shared" si="24"/>
        <v>1565</v>
      </c>
      <c r="B1566" s="983" t="s">
        <v>2710</v>
      </c>
      <c r="C1566" s="1000"/>
      <c r="G1566" s="983" t="s">
        <v>1109</v>
      </c>
    </row>
    <row r="1567" spans="1:9" x14ac:dyDescent="0.2">
      <c r="A1567" s="997">
        <f t="shared" si="24"/>
        <v>1566</v>
      </c>
      <c r="B1567" s="983" t="s">
        <v>2710</v>
      </c>
      <c r="C1567" s="1000"/>
      <c r="G1567" s="983" t="s">
        <v>1106</v>
      </c>
    </row>
    <row r="1568" spans="1:9" x14ac:dyDescent="0.2">
      <c r="A1568" s="997">
        <f t="shared" si="24"/>
        <v>1567</v>
      </c>
      <c r="B1568" s="983" t="s">
        <v>2710</v>
      </c>
      <c r="C1568" s="999"/>
      <c r="H1568" s="983" t="s">
        <v>1107</v>
      </c>
    </row>
    <row r="1569" spans="1:9" x14ac:dyDescent="0.2">
      <c r="A1569" s="997">
        <f t="shared" si="24"/>
        <v>1568</v>
      </c>
      <c r="B1569" s="983" t="s">
        <v>2710</v>
      </c>
      <c r="C1569" s="999"/>
      <c r="I1569" s="983" t="s">
        <v>1382</v>
      </c>
    </row>
    <row r="1570" spans="1:9" x14ac:dyDescent="0.2">
      <c r="A1570" s="997">
        <f t="shared" si="24"/>
        <v>1569</v>
      </c>
      <c r="B1570" s="983" t="s">
        <v>2710</v>
      </c>
      <c r="C1570" s="1000"/>
      <c r="H1570" s="983" t="s">
        <v>1108</v>
      </c>
    </row>
    <row r="1571" spans="1:9" x14ac:dyDescent="0.2">
      <c r="A1571" s="997">
        <f t="shared" si="24"/>
        <v>1570</v>
      </c>
      <c r="B1571" s="983" t="s">
        <v>2710</v>
      </c>
      <c r="C1571" s="1001"/>
      <c r="H1571" s="983" t="str">
        <f>CONCATENATE("&lt;valeur&gt;",Cellule_13384,"&lt;/valeur&gt;")</f>
        <v>&lt;valeur&gt;0&lt;/valeur&gt;</v>
      </c>
    </row>
    <row r="1572" spans="1:9" x14ac:dyDescent="0.2">
      <c r="A1572" s="997">
        <f t="shared" si="24"/>
        <v>1571</v>
      </c>
      <c r="B1572" s="983" t="s">
        <v>2710</v>
      </c>
      <c r="C1572" s="1000"/>
      <c r="G1572" s="983" t="s">
        <v>1109</v>
      </c>
    </row>
    <row r="1573" spans="1:9" x14ac:dyDescent="0.2">
      <c r="A1573" s="997">
        <f t="shared" si="24"/>
        <v>1572</v>
      </c>
      <c r="B1573" s="983" t="s">
        <v>2710</v>
      </c>
      <c r="C1573" s="1000"/>
      <c r="G1573" s="983" t="s">
        <v>1106</v>
      </c>
    </row>
    <row r="1574" spans="1:9" x14ac:dyDescent="0.2">
      <c r="A1574" s="997">
        <f t="shared" si="24"/>
        <v>1573</v>
      </c>
      <c r="B1574" s="983" t="s">
        <v>2710</v>
      </c>
      <c r="C1574" s="999"/>
      <c r="H1574" s="983" t="s">
        <v>1107</v>
      </c>
    </row>
    <row r="1575" spans="1:9" x14ac:dyDescent="0.2">
      <c r="A1575" s="997">
        <f t="shared" si="24"/>
        <v>1574</v>
      </c>
      <c r="B1575" s="983" t="s">
        <v>2710</v>
      </c>
      <c r="C1575" s="999"/>
      <c r="I1575" s="983" t="s">
        <v>1383</v>
      </c>
    </row>
    <row r="1576" spans="1:9" x14ac:dyDescent="0.2">
      <c r="A1576" s="997">
        <f t="shared" si="24"/>
        <v>1575</v>
      </c>
      <c r="B1576" s="983" t="s">
        <v>2710</v>
      </c>
      <c r="C1576" s="1000"/>
      <c r="H1576" s="983" t="s">
        <v>1108</v>
      </c>
    </row>
    <row r="1577" spans="1:9" x14ac:dyDescent="0.2">
      <c r="A1577" s="997">
        <f t="shared" si="24"/>
        <v>1576</v>
      </c>
      <c r="B1577" s="983" t="s">
        <v>2710</v>
      </c>
      <c r="C1577" s="1001"/>
      <c r="H1577" s="983" t="str">
        <f>CONCATENATE("&lt;valeur&gt;",Cellule_13437,"&lt;/valeur&gt;")</f>
        <v>&lt;valeur&gt;235004,5&lt;/valeur&gt;</v>
      </c>
    </row>
    <row r="1578" spans="1:9" x14ac:dyDescent="0.2">
      <c r="A1578" s="997">
        <f t="shared" si="24"/>
        <v>1577</v>
      </c>
      <c r="B1578" s="983" t="s">
        <v>2710</v>
      </c>
      <c r="C1578" s="1000"/>
      <c r="G1578" s="983" t="s">
        <v>1109</v>
      </c>
    </row>
    <row r="1579" spans="1:9" x14ac:dyDescent="0.2">
      <c r="A1579" s="997">
        <f t="shared" si="24"/>
        <v>1578</v>
      </c>
      <c r="B1579" s="983" t="s">
        <v>2710</v>
      </c>
      <c r="C1579" s="1000"/>
      <c r="G1579" s="983" t="s">
        <v>1106</v>
      </c>
    </row>
    <row r="1580" spans="1:9" x14ac:dyDescent="0.2">
      <c r="A1580" s="997">
        <f t="shared" si="24"/>
        <v>1579</v>
      </c>
      <c r="B1580" s="983" t="s">
        <v>2710</v>
      </c>
      <c r="C1580" s="999"/>
      <c r="H1580" s="983" t="s">
        <v>1107</v>
      </c>
    </row>
    <row r="1581" spans="1:9" x14ac:dyDescent="0.2">
      <c r="A1581" s="997">
        <f t="shared" si="24"/>
        <v>1580</v>
      </c>
      <c r="B1581" s="983" t="s">
        <v>2710</v>
      </c>
      <c r="C1581" s="999"/>
      <c r="I1581" s="983" t="s">
        <v>1384</v>
      </c>
    </row>
    <row r="1582" spans="1:9" x14ac:dyDescent="0.2">
      <c r="A1582" s="997">
        <f t="shared" si="24"/>
        <v>1581</v>
      </c>
      <c r="B1582" s="983" t="s">
        <v>2710</v>
      </c>
      <c r="C1582" s="1000"/>
      <c r="H1582" s="983" t="s">
        <v>1108</v>
      </c>
    </row>
    <row r="1583" spans="1:9" x14ac:dyDescent="0.2">
      <c r="A1583" s="997">
        <f t="shared" si="24"/>
        <v>1582</v>
      </c>
      <c r="B1583" s="983" t="s">
        <v>2710</v>
      </c>
      <c r="C1583" s="1001"/>
      <c r="H1583" s="983" t="str">
        <f>CONCATENATE("&lt;valeur&gt;",Cellule_13438,"&lt;/valeur&gt;")</f>
        <v>&lt;valeur&gt;0&lt;/valeur&gt;</v>
      </c>
    </row>
    <row r="1584" spans="1:9" x14ac:dyDescent="0.2">
      <c r="A1584" s="997">
        <f t="shared" si="24"/>
        <v>1583</v>
      </c>
      <c r="B1584" s="983" t="s">
        <v>2710</v>
      </c>
      <c r="C1584" s="1000"/>
      <c r="G1584" s="983" t="s">
        <v>1109</v>
      </c>
    </row>
    <row r="1585" spans="1:9" x14ac:dyDescent="0.2">
      <c r="A1585" s="997">
        <f t="shared" si="24"/>
        <v>1584</v>
      </c>
      <c r="B1585" s="983" t="s">
        <v>2710</v>
      </c>
      <c r="C1585" s="1000"/>
      <c r="G1585" s="983" t="s">
        <v>1106</v>
      </c>
    </row>
    <row r="1586" spans="1:9" x14ac:dyDescent="0.2">
      <c r="A1586" s="997">
        <f t="shared" si="24"/>
        <v>1585</v>
      </c>
      <c r="B1586" s="983" t="s">
        <v>2710</v>
      </c>
      <c r="C1586" s="999"/>
      <c r="H1586" s="983" t="s">
        <v>1107</v>
      </c>
    </row>
    <row r="1587" spans="1:9" x14ac:dyDescent="0.2">
      <c r="A1587" s="997">
        <f t="shared" si="24"/>
        <v>1586</v>
      </c>
      <c r="B1587" s="983" t="s">
        <v>2710</v>
      </c>
      <c r="C1587" s="999"/>
      <c r="I1587" s="983" t="s">
        <v>1385</v>
      </c>
    </row>
    <row r="1588" spans="1:9" x14ac:dyDescent="0.2">
      <c r="A1588" s="997">
        <f t="shared" si="24"/>
        <v>1587</v>
      </c>
      <c r="B1588" s="983" t="s">
        <v>2710</v>
      </c>
      <c r="C1588" s="1000"/>
      <c r="H1588" s="983" t="s">
        <v>1108</v>
      </c>
    </row>
    <row r="1589" spans="1:9" x14ac:dyDescent="0.2">
      <c r="A1589" s="997">
        <f t="shared" si="24"/>
        <v>1588</v>
      </c>
      <c r="B1589" s="983" t="s">
        <v>2710</v>
      </c>
      <c r="C1589" s="1001"/>
      <c r="H1589" s="983" t="str">
        <f>CONCATENATE("&lt;valeur&gt;",Cellule_13439,"&lt;/valeur&gt;")</f>
        <v>&lt;valeur&gt;0&lt;/valeur&gt;</v>
      </c>
    </row>
    <row r="1590" spans="1:9" x14ac:dyDescent="0.2">
      <c r="A1590" s="997">
        <f t="shared" si="24"/>
        <v>1589</v>
      </c>
      <c r="B1590" s="983" t="s">
        <v>2710</v>
      </c>
      <c r="C1590" s="1000"/>
      <c r="G1590" s="983" t="s">
        <v>1109</v>
      </c>
    </row>
    <row r="1591" spans="1:9" x14ac:dyDescent="0.2">
      <c r="A1591" s="997">
        <f t="shared" si="24"/>
        <v>1590</v>
      </c>
      <c r="B1591" s="983" t="s">
        <v>2710</v>
      </c>
      <c r="C1591" s="1000"/>
      <c r="G1591" s="983" t="s">
        <v>1106</v>
      </c>
    </row>
    <row r="1592" spans="1:9" x14ac:dyDescent="0.2">
      <c r="A1592" s="997">
        <f t="shared" si="24"/>
        <v>1591</v>
      </c>
      <c r="B1592" s="983" t="s">
        <v>2710</v>
      </c>
      <c r="C1592" s="999"/>
      <c r="H1592" s="983" t="s">
        <v>1107</v>
      </c>
    </row>
    <row r="1593" spans="1:9" x14ac:dyDescent="0.2">
      <c r="A1593" s="997">
        <f t="shared" si="24"/>
        <v>1592</v>
      </c>
      <c r="B1593" s="983" t="s">
        <v>2710</v>
      </c>
      <c r="C1593" s="999"/>
      <c r="I1593" s="983" t="s">
        <v>1386</v>
      </c>
    </row>
    <row r="1594" spans="1:9" x14ac:dyDescent="0.2">
      <c r="A1594" s="997">
        <f t="shared" si="24"/>
        <v>1593</v>
      </c>
      <c r="B1594" s="983" t="s">
        <v>2710</v>
      </c>
      <c r="C1594" s="1000"/>
      <c r="H1594" s="983" t="s">
        <v>1108</v>
      </c>
    </row>
    <row r="1595" spans="1:9" x14ac:dyDescent="0.2">
      <c r="A1595" s="997">
        <f t="shared" si="24"/>
        <v>1594</v>
      </c>
      <c r="B1595" s="983" t="s">
        <v>2710</v>
      </c>
      <c r="C1595" s="1001"/>
      <c r="H1595" s="983" t="str">
        <f>CONCATENATE("&lt;valeur&gt;",Cellule_13440,"&lt;/valeur&gt;")</f>
        <v>&lt;valeur&gt;0&lt;/valeur&gt;</v>
      </c>
    </row>
    <row r="1596" spans="1:9" x14ac:dyDescent="0.2">
      <c r="A1596" s="997">
        <f t="shared" si="24"/>
        <v>1595</v>
      </c>
      <c r="B1596" s="983" t="s">
        <v>2710</v>
      </c>
      <c r="C1596" s="1000"/>
      <c r="G1596" s="983" t="s">
        <v>1109</v>
      </c>
    </row>
    <row r="1597" spans="1:9" x14ac:dyDescent="0.2">
      <c r="A1597" s="997">
        <f t="shared" si="24"/>
        <v>1596</v>
      </c>
      <c r="B1597" s="983" t="s">
        <v>2710</v>
      </c>
      <c r="C1597" s="1000"/>
      <c r="G1597" s="983" t="s">
        <v>1106</v>
      </c>
    </row>
    <row r="1598" spans="1:9" x14ac:dyDescent="0.2">
      <c r="A1598" s="997">
        <f t="shared" si="24"/>
        <v>1597</v>
      </c>
      <c r="B1598" s="983" t="s">
        <v>2710</v>
      </c>
      <c r="C1598" s="999"/>
      <c r="H1598" s="983" t="s">
        <v>1107</v>
      </c>
    </row>
    <row r="1599" spans="1:9" x14ac:dyDescent="0.2">
      <c r="A1599" s="997">
        <f t="shared" si="24"/>
        <v>1598</v>
      </c>
      <c r="B1599" s="983" t="s">
        <v>2710</v>
      </c>
      <c r="C1599" s="999"/>
      <c r="I1599" s="983" t="s">
        <v>1387</v>
      </c>
    </row>
    <row r="1600" spans="1:9" x14ac:dyDescent="0.2">
      <c r="A1600" s="997">
        <f t="shared" si="24"/>
        <v>1599</v>
      </c>
      <c r="B1600" s="983" t="s">
        <v>2710</v>
      </c>
      <c r="C1600" s="1000"/>
      <c r="H1600" s="983" t="s">
        <v>1108</v>
      </c>
    </row>
    <row r="1601" spans="1:9" x14ac:dyDescent="0.2">
      <c r="A1601" s="997">
        <f t="shared" si="24"/>
        <v>1600</v>
      </c>
      <c r="B1601" s="983" t="s">
        <v>2710</v>
      </c>
      <c r="C1601" s="1001"/>
      <c r="H1601" s="983" t="str">
        <f>CONCATENATE("&lt;valeur&gt;",Cellule_13441,"&lt;/valeur&gt;")</f>
        <v>&lt;valeur&gt;1391,5&lt;/valeur&gt;</v>
      </c>
    </row>
    <row r="1602" spans="1:9" x14ac:dyDescent="0.2">
      <c r="A1602" s="997">
        <f t="shared" si="24"/>
        <v>1601</v>
      </c>
      <c r="B1602" s="983" t="s">
        <v>2710</v>
      </c>
      <c r="C1602" s="1000"/>
      <c r="G1602" s="983" t="s">
        <v>1109</v>
      </c>
    </row>
    <row r="1603" spans="1:9" x14ac:dyDescent="0.2">
      <c r="A1603" s="997">
        <f t="shared" si="24"/>
        <v>1602</v>
      </c>
      <c r="B1603" s="983" t="s">
        <v>2710</v>
      </c>
      <c r="C1603" s="1000"/>
      <c r="G1603" s="983" t="s">
        <v>1106</v>
      </c>
    </row>
    <row r="1604" spans="1:9" x14ac:dyDescent="0.2">
      <c r="A1604" s="997">
        <f t="shared" ref="A1604:A1667" si="25">+A1603+1</f>
        <v>1603</v>
      </c>
      <c r="B1604" s="983" t="s">
        <v>2710</v>
      </c>
      <c r="C1604" s="999"/>
      <c r="H1604" s="983" t="s">
        <v>1107</v>
      </c>
    </row>
    <row r="1605" spans="1:9" x14ac:dyDescent="0.2">
      <c r="A1605" s="997">
        <f t="shared" si="25"/>
        <v>1604</v>
      </c>
      <c r="B1605" s="983" t="s">
        <v>2710</v>
      </c>
      <c r="C1605" s="999"/>
      <c r="I1605" s="983" t="s">
        <v>1388</v>
      </c>
    </row>
    <row r="1606" spans="1:9" x14ac:dyDescent="0.2">
      <c r="A1606" s="997">
        <f t="shared" si="25"/>
        <v>1605</v>
      </c>
      <c r="B1606" s="983" t="s">
        <v>2710</v>
      </c>
      <c r="C1606" s="1000"/>
      <c r="H1606" s="983" t="s">
        <v>1108</v>
      </c>
    </row>
    <row r="1607" spans="1:9" x14ac:dyDescent="0.2">
      <c r="A1607" s="997">
        <f t="shared" si="25"/>
        <v>1606</v>
      </c>
      <c r="B1607" s="983" t="s">
        <v>2710</v>
      </c>
      <c r="C1607" s="1001"/>
      <c r="H1607" s="983" t="str">
        <f>CONCATENATE("&lt;valeur&gt;",Cellule_13442,"&lt;/valeur&gt;")</f>
        <v>&lt;valeur&gt;88&lt;/valeur&gt;</v>
      </c>
    </row>
    <row r="1608" spans="1:9" x14ac:dyDescent="0.2">
      <c r="A1608" s="997">
        <f t="shared" si="25"/>
        <v>1607</v>
      </c>
      <c r="B1608" s="983" t="s">
        <v>2710</v>
      </c>
      <c r="C1608" s="1000"/>
      <c r="G1608" s="983" t="s">
        <v>1109</v>
      </c>
    </row>
    <row r="1609" spans="1:9" x14ac:dyDescent="0.2">
      <c r="A1609" s="997">
        <f t="shared" si="25"/>
        <v>1608</v>
      </c>
      <c r="B1609" s="983" t="s">
        <v>2710</v>
      </c>
      <c r="C1609" s="1000"/>
      <c r="G1609" s="983" t="s">
        <v>1106</v>
      </c>
    </row>
    <row r="1610" spans="1:9" x14ac:dyDescent="0.2">
      <c r="A1610" s="997">
        <f t="shared" si="25"/>
        <v>1609</v>
      </c>
      <c r="B1610" s="983" t="s">
        <v>2710</v>
      </c>
      <c r="C1610" s="999"/>
      <c r="H1610" s="983" t="s">
        <v>1107</v>
      </c>
    </row>
    <row r="1611" spans="1:9" x14ac:dyDescent="0.2">
      <c r="A1611" s="997">
        <f t="shared" si="25"/>
        <v>1610</v>
      </c>
      <c r="B1611" s="983" t="s">
        <v>2710</v>
      </c>
      <c r="C1611" s="999"/>
      <c r="I1611" s="983" t="s">
        <v>1389</v>
      </c>
    </row>
    <row r="1612" spans="1:9" x14ac:dyDescent="0.2">
      <c r="A1612" s="997">
        <f t="shared" si="25"/>
        <v>1611</v>
      </c>
      <c r="B1612" s="983" t="s">
        <v>2710</v>
      </c>
      <c r="C1612" s="1000"/>
      <c r="H1612" s="983" t="s">
        <v>1108</v>
      </c>
    </row>
    <row r="1613" spans="1:9" x14ac:dyDescent="0.2">
      <c r="A1613" s="997">
        <f t="shared" si="25"/>
        <v>1612</v>
      </c>
      <c r="B1613" s="983" t="s">
        <v>2710</v>
      </c>
      <c r="C1613" s="1001"/>
      <c r="H1613" s="983" t="str">
        <f>CONCATENATE("&lt;valeur&gt;",Cellule_13443,"&lt;/valeur&gt;")</f>
        <v>&lt;valeur&gt;233525&lt;/valeur&gt;</v>
      </c>
    </row>
    <row r="1614" spans="1:9" x14ac:dyDescent="0.2">
      <c r="A1614" s="997">
        <f t="shared" si="25"/>
        <v>1613</v>
      </c>
      <c r="B1614" s="983" t="s">
        <v>2710</v>
      </c>
      <c r="C1614" s="1000"/>
      <c r="G1614" s="983" t="s">
        <v>1109</v>
      </c>
    </row>
    <row r="1615" spans="1:9" x14ac:dyDescent="0.2">
      <c r="A1615" s="997">
        <f t="shared" si="25"/>
        <v>1614</v>
      </c>
      <c r="B1615" s="983" t="s">
        <v>2710</v>
      </c>
      <c r="C1615" s="1000"/>
      <c r="G1615" s="983" t="s">
        <v>1106</v>
      </c>
    </row>
    <row r="1616" spans="1:9" x14ac:dyDescent="0.2">
      <c r="A1616" s="997">
        <f t="shared" si="25"/>
        <v>1615</v>
      </c>
      <c r="B1616" s="983" t="s">
        <v>2710</v>
      </c>
      <c r="C1616" s="999"/>
      <c r="H1616" s="983" t="s">
        <v>1107</v>
      </c>
    </row>
    <row r="1617" spans="1:9" x14ac:dyDescent="0.2">
      <c r="A1617" s="997">
        <f t="shared" si="25"/>
        <v>1616</v>
      </c>
      <c r="B1617" s="983" t="s">
        <v>2710</v>
      </c>
      <c r="C1617" s="999"/>
      <c r="I1617" s="983" t="s">
        <v>1390</v>
      </c>
    </row>
    <row r="1618" spans="1:9" x14ac:dyDescent="0.2">
      <c r="A1618" s="997">
        <f t="shared" si="25"/>
        <v>1617</v>
      </c>
      <c r="B1618" s="983" t="s">
        <v>2710</v>
      </c>
      <c r="C1618" s="1000"/>
      <c r="H1618" s="983" t="s">
        <v>1108</v>
      </c>
    </row>
    <row r="1619" spans="1:9" x14ac:dyDescent="0.2">
      <c r="A1619" s="997">
        <f t="shared" si="25"/>
        <v>1618</v>
      </c>
      <c r="B1619" s="983" t="s">
        <v>2710</v>
      </c>
      <c r="C1619" s="1001"/>
      <c r="H1619" s="983" t="str">
        <f>CONCATENATE("&lt;valeur&gt;",Cellule_13444,"&lt;/valeur&gt;")</f>
        <v>&lt;valeur&gt;0&lt;/valeur&gt;</v>
      </c>
    </row>
    <row r="1620" spans="1:9" x14ac:dyDescent="0.2">
      <c r="A1620" s="997">
        <f t="shared" si="25"/>
        <v>1619</v>
      </c>
      <c r="B1620" s="983" t="s">
        <v>2710</v>
      </c>
      <c r="C1620" s="1000"/>
      <c r="G1620" s="983" t="s">
        <v>1109</v>
      </c>
    </row>
    <row r="1621" spans="1:9" x14ac:dyDescent="0.2">
      <c r="A1621" s="997">
        <f t="shared" si="25"/>
        <v>1620</v>
      </c>
      <c r="B1621" s="983" t="s">
        <v>2710</v>
      </c>
      <c r="C1621" s="1000"/>
      <c r="G1621" s="983" t="s">
        <v>1106</v>
      </c>
    </row>
    <row r="1622" spans="1:9" x14ac:dyDescent="0.2">
      <c r="A1622" s="997">
        <f t="shared" si="25"/>
        <v>1621</v>
      </c>
      <c r="B1622" s="983" t="s">
        <v>2710</v>
      </c>
      <c r="C1622" s="999"/>
      <c r="H1622" s="983" t="s">
        <v>1107</v>
      </c>
    </row>
    <row r="1623" spans="1:9" x14ac:dyDescent="0.2">
      <c r="A1623" s="997">
        <f t="shared" si="25"/>
        <v>1622</v>
      </c>
      <c r="B1623" s="983" t="s">
        <v>2710</v>
      </c>
      <c r="C1623" s="999"/>
      <c r="I1623" s="983" t="s">
        <v>1391</v>
      </c>
    </row>
    <row r="1624" spans="1:9" x14ac:dyDescent="0.2">
      <c r="A1624" s="997">
        <f t="shared" si="25"/>
        <v>1623</v>
      </c>
      <c r="B1624" s="983" t="s">
        <v>2710</v>
      </c>
      <c r="C1624" s="1000"/>
      <c r="H1624" s="983" t="s">
        <v>1108</v>
      </c>
    </row>
    <row r="1625" spans="1:9" x14ac:dyDescent="0.2">
      <c r="A1625" s="997">
        <f t="shared" si="25"/>
        <v>1624</v>
      </c>
      <c r="B1625" s="983" t="s">
        <v>2710</v>
      </c>
      <c r="C1625" s="1001"/>
      <c r="H1625" s="983" t="str">
        <f>CONCATENATE("&lt;valeur&gt;",Cellule_13445,"&lt;/valeur&gt;")</f>
        <v>&lt;valeur&gt;0&lt;/valeur&gt;</v>
      </c>
    </row>
    <row r="1626" spans="1:9" x14ac:dyDescent="0.2">
      <c r="A1626" s="997">
        <f t="shared" si="25"/>
        <v>1625</v>
      </c>
      <c r="B1626" s="983" t="s">
        <v>2710</v>
      </c>
      <c r="C1626" s="1000"/>
      <c r="G1626" s="983" t="s">
        <v>1109</v>
      </c>
    </row>
    <row r="1627" spans="1:9" x14ac:dyDescent="0.2">
      <c r="A1627" s="997">
        <f t="shared" si="25"/>
        <v>1626</v>
      </c>
      <c r="B1627" s="983" t="s">
        <v>2710</v>
      </c>
      <c r="C1627" s="1000"/>
      <c r="G1627" s="983" t="s">
        <v>1106</v>
      </c>
    </row>
    <row r="1628" spans="1:9" x14ac:dyDescent="0.2">
      <c r="A1628" s="997">
        <f t="shared" si="25"/>
        <v>1627</v>
      </c>
      <c r="B1628" s="983" t="s">
        <v>2710</v>
      </c>
      <c r="C1628" s="999"/>
      <c r="H1628" s="983" t="s">
        <v>1107</v>
      </c>
    </row>
    <row r="1629" spans="1:9" x14ac:dyDescent="0.2">
      <c r="A1629" s="997">
        <f t="shared" si="25"/>
        <v>1628</v>
      </c>
      <c r="B1629" s="983" t="s">
        <v>2710</v>
      </c>
      <c r="C1629" s="999"/>
      <c r="I1629" s="983" t="s">
        <v>1392</v>
      </c>
    </row>
    <row r="1630" spans="1:9" x14ac:dyDescent="0.2">
      <c r="A1630" s="997">
        <f t="shared" si="25"/>
        <v>1629</v>
      </c>
      <c r="B1630" s="983" t="s">
        <v>2710</v>
      </c>
      <c r="C1630" s="1000"/>
      <c r="H1630" s="983" t="s">
        <v>1108</v>
      </c>
    </row>
    <row r="1631" spans="1:9" x14ac:dyDescent="0.2">
      <c r="A1631" s="997">
        <f t="shared" si="25"/>
        <v>1630</v>
      </c>
      <c r="B1631" s="983" t="s">
        <v>2710</v>
      </c>
      <c r="C1631" s="1001"/>
      <c r="H1631" s="983" t="str">
        <f>CONCATENATE("&lt;valeur&gt;",Cellule_13375,"&lt;/valeur&gt;")</f>
        <v>&lt;valeur&gt;0&lt;/valeur&gt;</v>
      </c>
    </row>
    <row r="1632" spans="1:9" x14ac:dyDescent="0.2">
      <c r="A1632" s="997">
        <f t="shared" si="25"/>
        <v>1631</v>
      </c>
      <c r="B1632" s="983" t="s">
        <v>2710</v>
      </c>
      <c r="C1632" s="1000"/>
      <c r="G1632" s="983" t="s">
        <v>1109</v>
      </c>
    </row>
    <row r="1633" spans="1:9" x14ac:dyDescent="0.2">
      <c r="A1633" s="997">
        <f t="shared" si="25"/>
        <v>1632</v>
      </c>
      <c r="B1633" s="983" t="s">
        <v>2710</v>
      </c>
      <c r="C1633" s="1000"/>
      <c r="G1633" s="983" t="s">
        <v>1106</v>
      </c>
    </row>
    <row r="1634" spans="1:9" x14ac:dyDescent="0.2">
      <c r="A1634" s="997">
        <f t="shared" si="25"/>
        <v>1633</v>
      </c>
      <c r="B1634" s="983" t="s">
        <v>2710</v>
      </c>
      <c r="C1634" s="999"/>
      <c r="H1634" s="983" t="s">
        <v>1107</v>
      </c>
    </row>
    <row r="1635" spans="1:9" x14ac:dyDescent="0.2">
      <c r="A1635" s="997">
        <f t="shared" si="25"/>
        <v>1634</v>
      </c>
      <c r="B1635" s="983" t="s">
        <v>2710</v>
      </c>
      <c r="C1635" s="999"/>
      <c r="I1635" s="983" t="s">
        <v>1393</v>
      </c>
    </row>
    <row r="1636" spans="1:9" x14ac:dyDescent="0.2">
      <c r="A1636" s="997">
        <f t="shared" si="25"/>
        <v>1635</v>
      </c>
      <c r="B1636" s="983" t="s">
        <v>2710</v>
      </c>
      <c r="C1636" s="1000"/>
      <c r="H1636" s="983" t="s">
        <v>1108</v>
      </c>
    </row>
    <row r="1637" spans="1:9" x14ac:dyDescent="0.2">
      <c r="A1637" s="997">
        <f t="shared" si="25"/>
        <v>1636</v>
      </c>
      <c r="B1637" s="983" t="s">
        <v>2710</v>
      </c>
      <c r="C1637" s="1001"/>
      <c r="H1637" s="983" t="str">
        <f>CONCATENATE("&lt;valeur&gt;",Cellule_13446,"&lt;/valeur&gt;")</f>
        <v>&lt;valeur&gt;0&lt;/valeur&gt;</v>
      </c>
    </row>
    <row r="1638" spans="1:9" x14ac:dyDescent="0.2">
      <c r="A1638" s="997">
        <f t="shared" si="25"/>
        <v>1637</v>
      </c>
      <c r="B1638" s="983" t="s">
        <v>2710</v>
      </c>
      <c r="C1638" s="1000"/>
      <c r="G1638" s="983" t="s">
        <v>1109</v>
      </c>
    </row>
    <row r="1639" spans="1:9" x14ac:dyDescent="0.2">
      <c r="A1639" s="997">
        <f t="shared" si="25"/>
        <v>1638</v>
      </c>
      <c r="B1639" s="983" t="s">
        <v>2710</v>
      </c>
      <c r="C1639" s="1000"/>
      <c r="G1639" s="983" t="s">
        <v>1106</v>
      </c>
    </row>
    <row r="1640" spans="1:9" x14ac:dyDescent="0.2">
      <c r="A1640" s="997">
        <f t="shared" si="25"/>
        <v>1639</v>
      </c>
      <c r="B1640" s="983" t="s">
        <v>2710</v>
      </c>
      <c r="C1640" s="999"/>
      <c r="H1640" s="983" t="s">
        <v>1107</v>
      </c>
    </row>
    <row r="1641" spans="1:9" x14ac:dyDescent="0.2">
      <c r="A1641" s="997">
        <f t="shared" si="25"/>
        <v>1640</v>
      </c>
      <c r="B1641" s="983" t="s">
        <v>2710</v>
      </c>
      <c r="C1641" s="999"/>
      <c r="I1641" s="983" t="s">
        <v>1394</v>
      </c>
    </row>
    <row r="1642" spans="1:9" x14ac:dyDescent="0.2">
      <c r="A1642" s="997">
        <f t="shared" si="25"/>
        <v>1641</v>
      </c>
      <c r="B1642" s="983" t="s">
        <v>2710</v>
      </c>
      <c r="C1642" s="1000"/>
      <c r="H1642" s="983" t="s">
        <v>1108</v>
      </c>
    </row>
    <row r="1643" spans="1:9" x14ac:dyDescent="0.2">
      <c r="A1643" s="997">
        <f t="shared" si="25"/>
        <v>1642</v>
      </c>
      <c r="B1643" s="983" t="s">
        <v>2710</v>
      </c>
      <c r="C1643" s="1001"/>
      <c r="H1643" s="983" t="str">
        <f>CONCATENATE("&lt;valeur&gt;",Cellule_13374,"&lt;/valeur&gt;")</f>
        <v>&lt;valeur&gt;0&lt;/valeur&gt;</v>
      </c>
    </row>
    <row r="1644" spans="1:9" x14ac:dyDescent="0.2">
      <c r="A1644" s="997">
        <f t="shared" si="25"/>
        <v>1643</v>
      </c>
      <c r="B1644" s="983" t="s">
        <v>2710</v>
      </c>
      <c r="C1644" s="1000"/>
      <c r="G1644" s="983" t="s">
        <v>1109</v>
      </c>
    </row>
    <row r="1645" spans="1:9" x14ac:dyDescent="0.2">
      <c r="A1645" s="997">
        <f t="shared" si="25"/>
        <v>1644</v>
      </c>
      <c r="B1645" s="983" t="s">
        <v>2710</v>
      </c>
      <c r="C1645" s="1000"/>
      <c r="G1645" s="983" t="s">
        <v>1106</v>
      </c>
    </row>
    <row r="1646" spans="1:9" x14ac:dyDescent="0.2">
      <c r="A1646" s="997">
        <f t="shared" si="25"/>
        <v>1645</v>
      </c>
      <c r="B1646" s="983" t="s">
        <v>2710</v>
      </c>
      <c r="C1646" s="999"/>
      <c r="H1646" s="983" t="s">
        <v>1107</v>
      </c>
    </row>
    <row r="1647" spans="1:9" x14ac:dyDescent="0.2">
      <c r="A1647" s="997">
        <f t="shared" si="25"/>
        <v>1646</v>
      </c>
      <c r="B1647" s="983" t="s">
        <v>2710</v>
      </c>
      <c r="C1647" s="999"/>
      <c r="I1647" s="983" t="s">
        <v>1395</v>
      </c>
    </row>
    <row r="1648" spans="1:9" x14ac:dyDescent="0.2">
      <c r="A1648" s="997">
        <f t="shared" si="25"/>
        <v>1647</v>
      </c>
      <c r="B1648" s="983" t="s">
        <v>2710</v>
      </c>
      <c r="C1648" s="1000"/>
      <c r="H1648" s="983" t="s">
        <v>1108</v>
      </c>
    </row>
    <row r="1649" spans="1:9" x14ac:dyDescent="0.2">
      <c r="A1649" s="997">
        <f t="shared" si="25"/>
        <v>1648</v>
      </c>
      <c r="B1649" s="983" t="s">
        <v>2710</v>
      </c>
      <c r="C1649" s="1001"/>
      <c r="H1649" s="983" t="str">
        <f>CONCATENATE("&lt;valeur&gt;",Cellule_13447,"&lt;/valeur&gt;")</f>
        <v>&lt;valeur&gt;0&lt;/valeur&gt;</v>
      </c>
    </row>
    <row r="1650" spans="1:9" x14ac:dyDescent="0.2">
      <c r="A1650" s="997">
        <f t="shared" si="25"/>
        <v>1649</v>
      </c>
      <c r="B1650" s="983" t="s">
        <v>2710</v>
      </c>
      <c r="C1650" s="1000"/>
      <c r="G1650" s="983" t="s">
        <v>1109</v>
      </c>
    </row>
    <row r="1651" spans="1:9" x14ac:dyDescent="0.2">
      <c r="A1651" s="997">
        <f t="shared" si="25"/>
        <v>1650</v>
      </c>
      <c r="B1651" s="983" t="s">
        <v>2710</v>
      </c>
      <c r="C1651" s="1000"/>
      <c r="G1651" s="983" t="s">
        <v>1106</v>
      </c>
    </row>
    <row r="1652" spans="1:9" x14ac:dyDescent="0.2">
      <c r="A1652" s="997">
        <f t="shared" si="25"/>
        <v>1651</v>
      </c>
      <c r="B1652" s="983" t="s">
        <v>2710</v>
      </c>
      <c r="C1652" s="999"/>
      <c r="H1652" s="983" t="s">
        <v>1107</v>
      </c>
    </row>
    <row r="1653" spans="1:9" x14ac:dyDescent="0.2">
      <c r="A1653" s="997">
        <f t="shared" si="25"/>
        <v>1652</v>
      </c>
      <c r="B1653" s="983" t="s">
        <v>2710</v>
      </c>
      <c r="C1653" s="999"/>
      <c r="I1653" s="983" t="s">
        <v>1396</v>
      </c>
    </row>
    <row r="1654" spans="1:9" x14ac:dyDescent="0.2">
      <c r="A1654" s="997">
        <f t="shared" si="25"/>
        <v>1653</v>
      </c>
      <c r="B1654" s="983" t="s">
        <v>2710</v>
      </c>
      <c r="C1654" s="1000"/>
      <c r="H1654" s="983" t="s">
        <v>1108</v>
      </c>
    </row>
    <row r="1655" spans="1:9" x14ac:dyDescent="0.2">
      <c r="A1655" s="997">
        <f t="shared" si="25"/>
        <v>1654</v>
      </c>
      <c r="B1655" s="983" t="s">
        <v>2710</v>
      </c>
      <c r="C1655" s="1001"/>
      <c r="H1655" s="983" t="str">
        <f>CONCATENATE("&lt;valeur&gt;",Cellule_13373,"&lt;/valeur&gt;")</f>
        <v>&lt;valeur&gt;621333,33&lt;/valeur&gt;</v>
      </c>
    </row>
    <row r="1656" spans="1:9" x14ac:dyDescent="0.2">
      <c r="A1656" s="997">
        <f t="shared" si="25"/>
        <v>1655</v>
      </c>
      <c r="B1656" s="983" t="s">
        <v>2710</v>
      </c>
      <c r="C1656" s="1000"/>
      <c r="G1656" s="983" t="s">
        <v>1109</v>
      </c>
    </row>
    <row r="1657" spans="1:9" x14ac:dyDescent="0.2">
      <c r="A1657" s="997">
        <f t="shared" si="25"/>
        <v>1656</v>
      </c>
      <c r="B1657" s="983" t="s">
        <v>2710</v>
      </c>
      <c r="C1657" s="1000"/>
      <c r="G1657" s="983" t="s">
        <v>1106</v>
      </c>
    </row>
    <row r="1658" spans="1:9" x14ac:dyDescent="0.2">
      <c r="A1658" s="997">
        <f t="shared" si="25"/>
        <v>1657</v>
      </c>
      <c r="B1658" s="983" t="s">
        <v>2710</v>
      </c>
      <c r="C1658" s="999"/>
      <c r="H1658" s="983" t="s">
        <v>1107</v>
      </c>
    </row>
    <row r="1659" spans="1:9" x14ac:dyDescent="0.2">
      <c r="A1659" s="997">
        <f t="shared" si="25"/>
        <v>1658</v>
      </c>
      <c r="B1659" s="983" t="s">
        <v>2710</v>
      </c>
      <c r="C1659" s="999"/>
      <c r="I1659" s="983" t="s">
        <v>1397</v>
      </c>
    </row>
    <row r="1660" spans="1:9" x14ac:dyDescent="0.2">
      <c r="A1660" s="997">
        <f t="shared" si="25"/>
        <v>1659</v>
      </c>
      <c r="B1660" s="983" t="s">
        <v>2710</v>
      </c>
      <c r="C1660" s="1000"/>
      <c r="H1660" s="983" t="s">
        <v>1108</v>
      </c>
    </row>
    <row r="1661" spans="1:9" x14ac:dyDescent="0.2">
      <c r="A1661" s="997">
        <f t="shared" si="25"/>
        <v>1660</v>
      </c>
      <c r="B1661" s="983" t="s">
        <v>2710</v>
      </c>
      <c r="C1661" s="1001"/>
      <c r="H1661" s="983" t="str">
        <f>CONCATENATE("&lt;valeur&gt;",Cellule_13448,"&lt;/valeur&gt;")</f>
        <v>&lt;valeur&gt;235004,5&lt;/valeur&gt;</v>
      </c>
    </row>
    <row r="1662" spans="1:9" x14ac:dyDescent="0.2">
      <c r="A1662" s="997">
        <f t="shared" si="25"/>
        <v>1661</v>
      </c>
      <c r="B1662" s="983" t="s">
        <v>2710</v>
      </c>
      <c r="C1662" s="1000"/>
      <c r="G1662" s="983" t="s">
        <v>1109</v>
      </c>
    </row>
    <row r="1663" spans="1:9" x14ac:dyDescent="0.2">
      <c r="A1663" s="997">
        <f t="shared" si="25"/>
        <v>1662</v>
      </c>
      <c r="B1663" s="983" t="s">
        <v>2710</v>
      </c>
      <c r="C1663" s="1000"/>
      <c r="G1663" s="983" t="s">
        <v>1106</v>
      </c>
    </row>
    <row r="1664" spans="1:9" x14ac:dyDescent="0.2">
      <c r="A1664" s="997">
        <f t="shared" si="25"/>
        <v>1663</v>
      </c>
      <c r="B1664" s="983" t="s">
        <v>2710</v>
      </c>
      <c r="C1664" s="999"/>
      <c r="H1664" s="983" t="s">
        <v>1107</v>
      </c>
    </row>
    <row r="1665" spans="1:9" x14ac:dyDescent="0.2">
      <c r="A1665" s="997">
        <f t="shared" si="25"/>
        <v>1664</v>
      </c>
      <c r="B1665" s="983" t="s">
        <v>2710</v>
      </c>
      <c r="C1665" s="999"/>
      <c r="I1665" s="983" t="s">
        <v>1398</v>
      </c>
    </row>
    <row r="1666" spans="1:9" x14ac:dyDescent="0.2">
      <c r="A1666" s="997">
        <f t="shared" si="25"/>
        <v>1665</v>
      </c>
      <c r="B1666" s="983" t="s">
        <v>2710</v>
      </c>
      <c r="C1666" s="1000"/>
      <c r="H1666" s="983" t="s">
        <v>1108</v>
      </c>
    </row>
    <row r="1667" spans="1:9" x14ac:dyDescent="0.2">
      <c r="A1667" s="997">
        <f t="shared" si="25"/>
        <v>1666</v>
      </c>
      <c r="B1667" s="983" t="s">
        <v>2710</v>
      </c>
      <c r="C1667" s="1001"/>
      <c r="H1667" s="983" t="str">
        <f>CONCATENATE("&lt;valeur&gt;",Cellule_13370,"&lt;/valeur&gt;")</f>
        <v>&lt;valeur&gt;0&lt;/valeur&gt;</v>
      </c>
    </row>
    <row r="1668" spans="1:9" x14ac:dyDescent="0.2">
      <c r="A1668" s="997">
        <f t="shared" ref="A1668:A1731" si="26">+A1667+1</f>
        <v>1667</v>
      </c>
      <c r="B1668" s="983" t="s">
        <v>2710</v>
      </c>
      <c r="C1668" s="1000"/>
      <c r="G1668" s="983" t="s">
        <v>1109</v>
      </c>
    </row>
    <row r="1669" spans="1:9" x14ac:dyDescent="0.2">
      <c r="A1669" s="997">
        <f t="shared" si="26"/>
        <v>1668</v>
      </c>
      <c r="B1669" s="983" t="s">
        <v>2710</v>
      </c>
      <c r="C1669" s="1000"/>
      <c r="G1669" s="983" t="s">
        <v>1106</v>
      </c>
    </row>
    <row r="1670" spans="1:9" x14ac:dyDescent="0.2">
      <c r="A1670" s="997">
        <f t="shared" si="26"/>
        <v>1669</v>
      </c>
      <c r="B1670" s="983" t="s">
        <v>2710</v>
      </c>
      <c r="C1670" s="999"/>
      <c r="H1670" s="983" t="s">
        <v>1107</v>
      </c>
    </row>
    <row r="1671" spans="1:9" x14ac:dyDescent="0.2">
      <c r="A1671" s="997">
        <f t="shared" si="26"/>
        <v>1670</v>
      </c>
      <c r="B1671" s="983" t="s">
        <v>2710</v>
      </c>
      <c r="C1671" s="999"/>
      <c r="I1671" s="983" t="s">
        <v>1399</v>
      </c>
    </row>
    <row r="1672" spans="1:9" x14ac:dyDescent="0.2">
      <c r="A1672" s="997">
        <f t="shared" si="26"/>
        <v>1671</v>
      </c>
      <c r="B1672" s="983" t="s">
        <v>2710</v>
      </c>
      <c r="C1672" s="1000"/>
      <c r="H1672" s="983" t="s">
        <v>1108</v>
      </c>
    </row>
    <row r="1673" spans="1:9" x14ac:dyDescent="0.2">
      <c r="A1673" s="997">
        <f t="shared" si="26"/>
        <v>1672</v>
      </c>
      <c r="B1673" s="983" t="s">
        <v>2710</v>
      </c>
      <c r="C1673" s="1001"/>
      <c r="H1673" s="983" t="str">
        <f>CONCATENATE("&lt;valeur&gt;",Cellule_13371,"&lt;/valeur&gt;")</f>
        <v>&lt;valeur&gt;0&lt;/valeur&gt;</v>
      </c>
    </row>
    <row r="1674" spans="1:9" x14ac:dyDescent="0.2">
      <c r="A1674" s="997">
        <f t="shared" si="26"/>
        <v>1673</v>
      </c>
      <c r="B1674" s="983" t="s">
        <v>2710</v>
      </c>
      <c r="C1674" s="1000"/>
      <c r="G1674" s="983" t="s">
        <v>1109</v>
      </c>
    </row>
    <row r="1675" spans="1:9" x14ac:dyDescent="0.2">
      <c r="A1675" s="997">
        <f t="shared" si="26"/>
        <v>1674</v>
      </c>
      <c r="B1675" s="983" t="s">
        <v>2710</v>
      </c>
      <c r="C1675" s="1000"/>
      <c r="G1675" s="983" t="s">
        <v>1106</v>
      </c>
    </row>
    <row r="1676" spans="1:9" x14ac:dyDescent="0.2">
      <c r="A1676" s="997">
        <f t="shared" si="26"/>
        <v>1675</v>
      </c>
      <c r="B1676" s="983" t="s">
        <v>2710</v>
      </c>
      <c r="C1676" s="999"/>
      <c r="H1676" s="983" t="s">
        <v>1107</v>
      </c>
    </row>
    <row r="1677" spans="1:9" x14ac:dyDescent="0.2">
      <c r="A1677" s="997">
        <f t="shared" si="26"/>
        <v>1676</v>
      </c>
      <c r="B1677" s="983" t="s">
        <v>2710</v>
      </c>
      <c r="C1677" s="999"/>
      <c r="I1677" s="983" t="s">
        <v>1400</v>
      </c>
    </row>
    <row r="1678" spans="1:9" x14ac:dyDescent="0.2">
      <c r="A1678" s="997">
        <f t="shared" si="26"/>
        <v>1677</v>
      </c>
      <c r="B1678" s="983" t="s">
        <v>2710</v>
      </c>
      <c r="C1678" s="1000"/>
      <c r="H1678" s="983" t="s">
        <v>1108</v>
      </c>
    </row>
    <row r="1679" spans="1:9" x14ac:dyDescent="0.2">
      <c r="A1679" s="997">
        <f t="shared" si="26"/>
        <v>1678</v>
      </c>
      <c r="B1679" s="983" t="s">
        <v>2710</v>
      </c>
      <c r="C1679" s="1001"/>
      <c r="H1679" s="983" t="str">
        <f>CONCATENATE("&lt;valeur&gt;",Cellule_13372,"&lt;/valeur&gt;")</f>
        <v>&lt;valeur&gt;0&lt;/valeur&gt;</v>
      </c>
    </row>
    <row r="1680" spans="1:9" x14ac:dyDescent="0.2">
      <c r="A1680" s="997">
        <f t="shared" si="26"/>
        <v>1679</v>
      </c>
      <c r="B1680" s="983" t="s">
        <v>2710</v>
      </c>
      <c r="C1680" s="1000"/>
      <c r="G1680" s="983" t="s">
        <v>1109</v>
      </c>
    </row>
    <row r="1681" spans="1:9" x14ac:dyDescent="0.2">
      <c r="A1681" s="997">
        <f t="shared" si="26"/>
        <v>1680</v>
      </c>
      <c r="B1681" s="983" t="s">
        <v>2710</v>
      </c>
      <c r="C1681" s="1000"/>
      <c r="G1681" s="983" t="s">
        <v>1106</v>
      </c>
    </row>
    <row r="1682" spans="1:9" x14ac:dyDescent="0.2">
      <c r="A1682" s="997">
        <f t="shared" si="26"/>
        <v>1681</v>
      </c>
      <c r="B1682" s="983" t="s">
        <v>2710</v>
      </c>
      <c r="C1682" s="999"/>
      <c r="H1682" s="983" t="s">
        <v>1107</v>
      </c>
    </row>
    <row r="1683" spans="1:9" x14ac:dyDescent="0.2">
      <c r="A1683" s="997">
        <f t="shared" si="26"/>
        <v>1682</v>
      </c>
      <c r="B1683" s="983" t="s">
        <v>2710</v>
      </c>
      <c r="C1683" s="999"/>
      <c r="I1683" s="983" t="s">
        <v>1401</v>
      </c>
    </row>
    <row r="1684" spans="1:9" x14ac:dyDescent="0.2">
      <c r="A1684" s="997">
        <f t="shared" si="26"/>
        <v>1683</v>
      </c>
      <c r="B1684" s="983" t="s">
        <v>2710</v>
      </c>
      <c r="C1684" s="1000"/>
      <c r="H1684" s="983" t="s">
        <v>1108</v>
      </c>
    </row>
    <row r="1685" spans="1:9" x14ac:dyDescent="0.2">
      <c r="A1685" s="997">
        <f t="shared" si="26"/>
        <v>1684</v>
      </c>
      <c r="B1685" s="983" t="s">
        <v>2710</v>
      </c>
      <c r="C1685" s="1001"/>
      <c r="H1685" s="983" t="str">
        <f>CONCATENATE("&lt;valeur&gt;",Cellule_13449,"&lt;/valeur&gt;")</f>
        <v>&lt;valeur&gt;0&lt;/valeur&gt;</v>
      </c>
    </row>
    <row r="1686" spans="1:9" x14ac:dyDescent="0.2">
      <c r="A1686" s="997">
        <f t="shared" si="26"/>
        <v>1685</v>
      </c>
      <c r="B1686" s="983" t="s">
        <v>2710</v>
      </c>
      <c r="C1686" s="1000"/>
      <c r="G1686" s="983" t="s">
        <v>1109</v>
      </c>
    </row>
    <row r="1687" spans="1:9" x14ac:dyDescent="0.2">
      <c r="A1687" s="997">
        <f t="shared" si="26"/>
        <v>1686</v>
      </c>
      <c r="B1687" s="983" t="s">
        <v>2710</v>
      </c>
      <c r="C1687" s="1000"/>
      <c r="G1687" s="983" t="s">
        <v>1106</v>
      </c>
    </row>
    <row r="1688" spans="1:9" x14ac:dyDescent="0.2">
      <c r="A1688" s="997">
        <f t="shared" si="26"/>
        <v>1687</v>
      </c>
      <c r="B1688" s="983" t="s">
        <v>2710</v>
      </c>
      <c r="C1688" s="999"/>
      <c r="H1688" s="983" t="s">
        <v>1107</v>
      </c>
    </row>
    <row r="1689" spans="1:9" x14ac:dyDescent="0.2">
      <c r="A1689" s="997">
        <f t="shared" si="26"/>
        <v>1688</v>
      </c>
      <c r="B1689" s="983" t="s">
        <v>2710</v>
      </c>
      <c r="C1689" s="999"/>
      <c r="I1689" s="983" t="s">
        <v>1402</v>
      </c>
    </row>
    <row r="1690" spans="1:9" x14ac:dyDescent="0.2">
      <c r="A1690" s="997">
        <f t="shared" si="26"/>
        <v>1689</v>
      </c>
      <c r="B1690" s="983" t="s">
        <v>2710</v>
      </c>
      <c r="C1690" s="1000"/>
      <c r="H1690" s="983" t="s">
        <v>1108</v>
      </c>
    </row>
    <row r="1691" spans="1:9" x14ac:dyDescent="0.2">
      <c r="A1691" s="997">
        <f t="shared" si="26"/>
        <v>1690</v>
      </c>
      <c r="B1691" s="983" t="s">
        <v>2710</v>
      </c>
      <c r="C1691" s="1001"/>
      <c r="H1691" s="983" t="str">
        <f>CONCATENATE("&lt;valeur&gt;",Cellule_13450,"&lt;/valeur&gt;")</f>
        <v>&lt;valeur&gt;0&lt;/valeur&gt;</v>
      </c>
    </row>
    <row r="1692" spans="1:9" x14ac:dyDescent="0.2">
      <c r="A1692" s="997">
        <f t="shared" si="26"/>
        <v>1691</v>
      </c>
      <c r="B1692" s="983" t="s">
        <v>2710</v>
      </c>
      <c r="C1692" s="1000"/>
      <c r="G1692" s="983" t="s">
        <v>1109</v>
      </c>
    </row>
    <row r="1693" spans="1:9" x14ac:dyDescent="0.2">
      <c r="A1693" s="997">
        <f t="shared" si="26"/>
        <v>1692</v>
      </c>
      <c r="B1693" s="983" t="s">
        <v>2710</v>
      </c>
      <c r="C1693" s="1000"/>
      <c r="G1693" s="983" t="s">
        <v>1106</v>
      </c>
    </row>
    <row r="1694" spans="1:9" x14ac:dyDescent="0.2">
      <c r="A1694" s="997">
        <f t="shared" si="26"/>
        <v>1693</v>
      </c>
      <c r="B1694" s="983" t="s">
        <v>2710</v>
      </c>
      <c r="C1694" s="999"/>
      <c r="H1694" s="983" t="s">
        <v>1107</v>
      </c>
    </row>
    <row r="1695" spans="1:9" x14ac:dyDescent="0.2">
      <c r="A1695" s="997">
        <f t="shared" si="26"/>
        <v>1694</v>
      </c>
      <c r="B1695" s="983" t="s">
        <v>2710</v>
      </c>
      <c r="C1695" s="999"/>
      <c r="I1695" s="983" t="s">
        <v>1403</v>
      </c>
    </row>
    <row r="1696" spans="1:9" x14ac:dyDescent="0.2">
      <c r="A1696" s="997">
        <f t="shared" si="26"/>
        <v>1695</v>
      </c>
      <c r="B1696" s="983" t="s">
        <v>2710</v>
      </c>
      <c r="C1696" s="1000"/>
      <c r="H1696" s="983" t="s">
        <v>1108</v>
      </c>
    </row>
    <row r="1697" spans="1:9" x14ac:dyDescent="0.2">
      <c r="A1697" s="997">
        <f t="shared" si="26"/>
        <v>1696</v>
      </c>
      <c r="B1697" s="983" t="s">
        <v>2710</v>
      </c>
      <c r="C1697" s="1001"/>
      <c r="H1697" s="983" t="str">
        <f>CONCATENATE("&lt;valeur&gt;",Cellule_13451,"&lt;/valeur&gt;")</f>
        <v>&lt;valeur&gt;0&lt;/valeur&gt;</v>
      </c>
    </row>
    <row r="1698" spans="1:9" x14ac:dyDescent="0.2">
      <c r="A1698" s="997">
        <f t="shared" si="26"/>
        <v>1697</v>
      </c>
      <c r="B1698" s="983" t="s">
        <v>2710</v>
      </c>
      <c r="C1698" s="1000"/>
      <c r="G1698" s="983" t="s">
        <v>1109</v>
      </c>
    </row>
    <row r="1699" spans="1:9" x14ac:dyDescent="0.2">
      <c r="A1699" s="997">
        <f t="shared" si="26"/>
        <v>1698</v>
      </c>
      <c r="B1699" s="983" t="s">
        <v>2710</v>
      </c>
      <c r="C1699" s="1000"/>
      <c r="G1699" s="983" t="s">
        <v>1106</v>
      </c>
    </row>
    <row r="1700" spans="1:9" x14ac:dyDescent="0.2">
      <c r="A1700" s="997">
        <f t="shared" si="26"/>
        <v>1699</v>
      </c>
      <c r="B1700" s="983" t="s">
        <v>2710</v>
      </c>
      <c r="C1700" s="999"/>
      <c r="H1700" s="983" t="s">
        <v>1107</v>
      </c>
    </row>
    <row r="1701" spans="1:9" x14ac:dyDescent="0.2">
      <c r="A1701" s="997">
        <f t="shared" si="26"/>
        <v>1700</v>
      </c>
      <c r="B1701" s="983" t="s">
        <v>2710</v>
      </c>
      <c r="C1701" s="999"/>
      <c r="I1701" s="983" t="s">
        <v>1404</v>
      </c>
    </row>
    <row r="1702" spans="1:9" x14ac:dyDescent="0.2">
      <c r="A1702" s="997">
        <f t="shared" si="26"/>
        <v>1701</v>
      </c>
      <c r="B1702" s="983" t="s">
        <v>2710</v>
      </c>
      <c r="C1702" s="1000"/>
      <c r="H1702" s="983" t="s">
        <v>1108</v>
      </c>
    </row>
    <row r="1703" spans="1:9" x14ac:dyDescent="0.2">
      <c r="A1703" s="997">
        <f t="shared" si="26"/>
        <v>1702</v>
      </c>
      <c r="B1703" s="983" t="s">
        <v>2710</v>
      </c>
      <c r="C1703" s="1001"/>
      <c r="H1703" s="983" t="str">
        <f>CONCATENATE("&lt;valeur&gt;",Cellule_13369,"&lt;/valeur&gt;")</f>
        <v>&lt;valeur&gt;0&lt;/valeur&gt;</v>
      </c>
    </row>
    <row r="1704" spans="1:9" x14ac:dyDescent="0.2">
      <c r="A1704" s="997">
        <f t="shared" si="26"/>
        <v>1703</v>
      </c>
      <c r="B1704" s="983" t="s">
        <v>2710</v>
      </c>
      <c r="C1704" s="1000"/>
      <c r="G1704" s="983" t="s">
        <v>1109</v>
      </c>
    </row>
    <row r="1705" spans="1:9" x14ac:dyDescent="0.2">
      <c r="A1705" s="997">
        <f t="shared" si="26"/>
        <v>1704</v>
      </c>
      <c r="B1705" s="983" t="s">
        <v>2710</v>
      </c>
      <c r="C1705" s="1000"/>
      <c r="G1705" s="983" t="s">
        <v>1106</v>
      </c>
    </row>
    <row r="1706" spans="1:9" x14ac:dyDescent="0.2">
      <c r="A1706" s="997">
        <f t="shared" si="26"/>
        <v>1705</v>
      </c>
      <c r="B1706" s="983" t="s">
        <v>2710</v>
      </c>
      <c r="C1706" s="999"/>
      <c r="H1706" s="983" t="s">
        <v>1107</v>
      </c>
    </row>
    <row r="1707" spans="1:9" x14ac:dyDescent="0.2">
      <c r="A1707" s="997">
        <f t="shared" si="26"/>
        <v>1706</v>
      </c>
      <c r="B1707" s="983" t="s">
        <v>2710</v>
      </c>
      <c r="C1707" s="999"/>
      <c r="I1707" s="983" t="s">
        <v>1405</v>
      </c>
    </row>
    <row r="1708" spans="1:9" x14ac:dyDescent="0.2">
      <c r="A1708" s="997">
        <f t="shared" si="26"/>
        <v>1707</v>
      </c>
      <c r="B1708" s="983" t="s">
        <v>2710</v>
      </c>
      <c r="C1708" s="1000"/>
      <c r="H1708" s="983" t="s">
        <v>1108</v>
      </c>
    </row>
    <row r="1709" spans="1:9" x14ac:dyDescent="0.2">
      <c r="A1709" s="997">
        <f t="shared" si="26"/>
        <v>1708</v>
      </c>
      <c r="B1709" s="983" t="s">
        <v>2710</v>
      </c>
      <c r="C1709" s="1001"/>
      <c r="H1709" s="983" t="str">
        <f>CONCATENATE("&lt;valeur&gt;",Cellule_13452,"&lt;/valeur&gt;")</f>
        <v>&lt;valeur&gt;0&lt;/valeur&gt;</v>
      </c>
    </row>
    <row r="1710" spans="1:9" x14ac:dyDescent="0.2">
      <c r="A1710" s="997">
        <f t="shared" si="26"/>
        <v>1709</v>
      </c>
      <c r="B1710" s="983" t="s">
        <v>2710</v>
      </c>
      <c r="C1710" s="1000"/>
      <c r="G1710" s="983" t="s">
        <v>1109</v>
      </c>
    </row>
    <row r="1711" spans="1:9" x14ac:dyDescent="0.2">
      <c r="A1711" s="997">
        <f t="shared" si="26"/>
        <v>1710</v>
      </c>
      <c r="B1711" s="983" t="s">
        <v>2710</v>
      </c>
      <c r="C1711" s="1000"/>
      <c r="G1711" s="983" t="s">
        <v>1106</v>
      </c>
    </row>
    <row r="1712" spans="1:9" x14ac:dyDescent="0.2">
      <c r="A1712" s="997">
        <f t="shared" si="26"/>
        <v>1711</v>
      </c>
      <c r="B1712" s="983" t="s">
        <v>2710</v>
      </c>
      <c r="C1712" s="999"/>
      <c r="H1712" s="983" t="s">
        <v>1107</v>
      </c>
    </row>
    <row r="1713" spans="1:9" x14ac:dyDescent="0.2">
      <c r="A1713" s="997">
        <f t="shared" si="26"/>
        <v>1712</v>
      </c>
      <c r="B1713" s="983" t="s">
        <v>2710</v>
      </c>
      <c r="C1713" s="999"/>
      <c r="I1713" s="983" t="s">
        <v>1406</v>
      </c>
    </row>
    <row r="1714" spans="1:9" x14ac:dyDescent="0.2">
      <c r="A1714" s="997">
        <f t="shared" si="26"/>
        <v>1713</v>
      </c>
      <c r="B1714" s="983" t="s">
        <v>2710</v>
      </c>
      <c r="C1714" s="1000"/>
      <c r="H1714" s="983" t="s">
        <v>1108</v>
      </c>
    </row>
    <row r="1715" spans="1:9" x14ac:dyDescent="0.2">
      <c r="A1715" s="997">
        <f t="shared" si="26"/>
        <v>1714</v>
      </c>
      <c r="B1715" s="983" t="s">
        <v>2710</v>
      </c>
      <c r="C1715" s="1001"/>
      <c r="H1715" s="983" t="str">
        <f>CONCATENATE("&lt;valeur&gt;",Cellule_13368,"&lt;/valeur&gt;")</f>
        <v>&lt;valeur&gt;1729282,71&lt;/valeur&gt;</v>
      </c>
    </row>
    <row r="1716" spans="1:9" x14ac:dyDescent="0.2">
      <c r="A1716" s="997">
        <f t="shared" si="26"/>
        <v>1715</v>
      </c>
      <c r="B1716" s="983" t="s">
        <v>2710</v>
      </c>
      <c r="C1716" s="1000"/>
      <c r="G1716" s="983" t="s">
        <v>1109</v>
      </c>
    </row>
    <row r="1717" spans="1:9" x14ac:dyDescent="0.2">
      <c r="A1717" s="997">
        <f t="shared" si="26"/>
        <v>1716</v>
      </c>
      <c r="B1717" s="983" t="s">
        <v>2710</v>
      </c>
      <c r="C1717" s="1000"/>
      <c r="G1717" s="983" t="s">
        <v>1106</v>
      </c>
    </row>
    <row r="1718" spans="1:9" x14ac:dyDescent="0.2">
      <c r="A1718" s="997">
        <f t="shared" si="26"/>
        <v>1717</v>
      </c>
      <c r="B1718" s="983" t="s">
        <v>2710</v>
      </c>
      <c r="C1718" s="999"/>
      <c r="H1718" s="983" t="s">
        <v>1107</v>
      </c>
    </row>
    <row r="1719" spans="1:9" x14ac:dyDescent="0.2">
      <c r="A1719" s="997">
        <f t="shared" si="26"/>
        <v>1718</v>
      </c>
      <c r="B1719" s="983" t="s">
        <v>2710</v>
      </c>
      <c r="C1719" s="999"/>
      <c r="I1719" s="983" t="s">
        <v>1407</v>
      </c>
    </row>
    <row r="1720" spans="1:9" x14ac:dyDescent="0.2">
      <c r="A1720" s="997">
        <f t="shared" si="26"/>
        <v>1719</v>
      </c>
      <c r="B1720" s="983" t="s">
        <v>2710</v>
      </c>
      <c r="C1720" s="1000"/>
      <c r="H1720" s="983" t="s">
        <v>1108</v>
      </c>
    </row>
    <row r="1721" spans="1:9" x14ac:dyDescent="0.2">
      <c r="A1721" s="997">
        <f t="shared" si="26"/>
        <v>1720</v>
      </c>
      <c r="B1721" s="983" t="s">
        <v>2710</v>
      </c>
      <c r="C1721" s="1001"/>
      <c r="H1721" s="983" t="str">
        <f>CONCATENATE("&lt;valeur&gt;",Cellule_13453,"&lt;/valeur&gt;")</f>
        <v>&lt;valeur&gt;316085,83&lt;/valeur&gt;</v>
      </c>
    </row>
    <row r="1722" spans="1:9" x14ac:dyDescent="0.2">
      <c r="A1722" s="997">
        <f t="shared" si="26"/>
        <v>1721</v>
      </c>
      <c r="B1722" s="983" t="s">
        <v>2710</v>
      </c>
      <c r="C1722" s="1000"/>
      <c r="G1722" s="983" t="s">
        <v>1109</v>
      </c>
    </row>
    <row r="1723" spans="1:9" x14ac:dyDescent="0.2">
      <c r="A1723" s="997">
        <f t="shared" si="26"/>
        <v>1722</v>
      </c>
      <c r="B1723" s="983" t="s">
        <v>2710</v>
      </c>
      <c r="C1723" s="1000"/>
      <c r="F1723" s="983" t="s">
        <v>1110</v>
      </c>
    </row>
    <row r="1724" spans="1:9" x14ac:dyDescent="0.2">
      <c r="A1724" s="997">
        <f t="shared" si="26"/>
        <v>1723</v>
      </c>
      <c r="B1724" s="983" t="s">
        <v>2710</v>
      </c>
      <c r="C1724" s="999"/>
      <c r="F1724" s="983" t="s">
        <v>1111</v>
      </c>
    </row>
    <row r="1725" spans="1:9" x14ac:dyDescent="0.2">
      <c r="A1725" s="997">
        <f t="shared" si="26"/>
        <v>1724</v>
      </c>
      <c r="B1725" s="983" t="s">
        <v>2710</v>
      </c>
      <c r="C1725" s="1000"/>
      <c r="F1725" s="983" t="s">
        <v>1112</v>
      </c>
    </row>
    <row r="1726" spans="1:9" x14ac:dyDescent="0.2">
      <c r="A1726" s="997">
        <f t="shared" si="26"/>
        <v>1725</v>
      </c>
      <c r="B1726" s="983" t="s">
        <v>2710</v>
      </c>
      <c r="C1726" s="1001"/>
      <c r="E1726" s="983" t="s">
        <v>1113</v>
      </c>
    </row>
    <row r="1727" spans="1:9" x14ac:dyDescent="0.2">
      <c r="A1727" s="997">
        <f t="shared" si="26"/>
        <v>1726</v>
      </c>
      <c r="B1727" s="983" t="s">
        <v>2711</v>
      </c>
      <c r="C1727" s="1000"/>
      <c r="E1727" s="983" t="s">
        <v>1104</v>
      </c>
    </row>
    <row r="1728" spans="1:9" x14ac:dyDescent="0.2">
      <c r="A1728" s="997">
        <f t="shared" si="26"/>
        <v>1727</v>
      </c>
      <c r="B1728" s="983" t="s">
        <v>2711</v>
      </c>
      <c r="C1728" s="1000"/>
      <c r="F1728" s="983" t="s">
        <v>1408</v>
      </c>
    </row>
    <row r="1729" spans="1:9" x14ac:dyDescent="0.2">
      <c r="A1729" s="997">
        <f t="shared" si="26"/>
        <v>1728</v>
      </c>
      <c r="B1729" s="983" t="s">
        <v>2711</v>
      </c>
      <c r="C1729" s="999"/>
      <c r="F1729" s="983" t="s">
        <v>1105</v>
      </c>
    </row>
    <row r="1730" spans="1:9" x14ac:dyDescent="0.2">
      <c r="A1730" s="997">
        <f t="shared" si="26"/>
        <v>1729</v>
      </c>
      <c r="B1730" s="983" t="s">
        <v>2711</v>
      </c>
      <c r="C1730" s="998"/>
      <c r="G1730" s="983" t="s">
        <v>1106</v>
      </c>
    </row>
    <row r="1731" spans="1:9" x14ac:dyDescent="0.2">
      <c r="A1731" s="997">
        <f t="shared" si="26"/>
        <v>1730</v>
      </c>
      <c r="B1731" s="983" t="s">
        <v>2711</v>
      </c>
      <c r="C1731" s="998"/>
      <c r="H1731" s="983" t="s">
        <v>1107</v>
      </c>
    </row>
    <row r="1732" spans="1:9" x14ac:dyDescent="0.2">
      <c r="A1732" s="997">
        <f t="shared" ref="A1732:A1795" si="27">+A1731+1</f>
        <v>1731</v>
      </c>
      <c r="B1732" s="983" t="s">
        <v>2711</v>
      </c>
      <c r="C1732" s="995"/>
      <c r="I1732" s="983" t="s">
        <v>1409</v>
      </c>
    </row>
    <row r="1733" spans="1:9" x14ac:dyDescent="0.2">
      <c r="A1733" s="997">
        <f t="shared" si="27"/>
        <v>1732</v>
      </c>
      <c r="B1733" s="983" t="s">
        <v>2711</v>
      </c>
      <c r="C1733" s="995"/>
      <c r="H1733" s="983" t="s">
        <v>1108</v>
      </c>
    </row>
    <row r="1734" spans="1:9" x14ac:dyDescent="0.2">
      <c r="A1734" s="997">
        <f t="shared" si="27"/>
        <v>1733</v>
      </c>
      <c r="B1734" s="983" t="s">
        <v>2711</v>
      </c>
      <c r="C1734" s="998"/>
      <c r="H1734" s="983" t="str">
        <f>CONCATENATE("&lt;valeur&gt;",Cellule_11206,"&lt;/valeur&gt;")</f>
        <v>&lt;valeur&gt;0&lt;/valeur&gt;</v>
      </c>
    </row>
    <row r="1735" spans="1:9" x14ac:dyDescent="0.2">
      <c r="A1735" s="997">
        <f t="shared" si="27"/>
        <v>1734</v>
      </c>
      <c r="B1735" s="983" t="s">
        <v>2711</v>
      </c>
      <c r="C1735" s="999"/>
      <c r="G1735" s="983" t="s">
        <v>1109</v>
      </c>
    </row>
    <row r="1736" spans="1:9" x14ac:dyDescent="0.2">
      <c r="A1736" s="997">
        <f t="shared" si="27"/>
        <v>1735</v>
      </c>
      <c r="B1736" s="983" t="s">
        <v>2711</v>
      </c>
      <c r="C1736" s="998"/>
      <c r="G1736" s="983" t="s">
        <v>1106</v>
      </c>
    </row>
    <row r="1737" spans="1:9" x14ac:dyDescent="0.2">
      <c r="A1737" s="997">
        <f t="shared" si="27"/>
        <v>1736</v>
      </c>
      <c r="B1737" s="983" t="s">
        <v>2711</v>
      </c>
      <c r="C1737" s="998"/>
      <c r="H1737" s="983" t="s">
        <v>1107</v>
      </c>
    </row>
    <row r="1738" spans="1:9" x14ac:dyDescent="0.2">
      <c r="A1738" s="997">
        <f t="shared" si="27"/>
        <v>1737</v>
      </c>
      <c r="B1738" s="983" t="s">
        <v>2711</v>
      </c>
      <c r="C1738" s="999"/>
      <c r="I1738" s="983" t="s">
        <v>1410</v>
      </c>
    </row>
    <row r="1739" spans="1:9" x14ac:dyDescent="0.2">
      <c r="A1739" s="997">
        <f t="shared" si="27"/>
        <v>1738</v>
      </c>
      <c r="B1739" s="983" t="s">
        <v>2711</v>
      </c>
      <c r="C1739" s="1000"/>
      <c r="H1739" s="983" t="s">
        <v>1108</v>
      </c>
    </row>
    <row r="1740" spans="1:9" x14ac:dyDescent="0.2">
      <c r="A1740" s="997">
        <f t="shared" si="27"/>
        <v>1739</v>
      </c>
      <c r="B1740" s="983" t="s">
        <v>2711</v>
      </c>
      <c r="C1740" s="1001"/>
      <c r="H1740" s="983" t="str">
        <f>CONCATENATE("&lt;valeur&gt;",Cellule_11211,"&lt;/valeur&gt;")</f>
        <v>&lt;valeur&gt;0&lt;/valeur&gt;</v>
      </c>
    </row>
    <row r="1741" spans="1:9" x14ac:dyDescent="0.2">
      <c r="A1741" s="997">
        <f t="shared" si="27"/>
        <v>1740</v>
      </c>
      <c r="B1741" s="983" t="s">
        <v>2711</v>
      </c>
      <c r="C1741" s="1000"/>
      <c r="G1741" s="983" t="s">
        <v>1109</v>
      </c>
    </row>
    <row r="1742" spans="1:9" x14ac:dyDescent="0.2">
      <c r="A1742" s="997">
        <f t="shared" si="27"/>
        <v>1741</v>
      </c>
      <c r="B1742" s="983" t="s">
        <v>2711</v>
      </c>
      <c r="C1742" s="1000"/>
      <c r="G1742" s="983" t="s">
        <v>1106</v>
      </c>
    </row>
    <row r="1743" spans="1:9" x14ac:dyDescent="0.2">
      <c r="A1743" s="997">
        <f t="shared" si="27"/>
        <v>1742</v>
      </c>
      <c r="B1743" s="983" t="s">
        <v>2711</v>
      </c>
      <c r="C1743" s="999"/>
      <c r="H1743" s="983" t="s">
        <v>1107</v>
      </c>
    </row>
    <row r="1744" spans="1:9" x14ac:dyDescent="0.2">
      <c r="A1744" s="997">
        <f t="shared" si="27"/>
        <v>1743</v>
      </c>
      <c r="B1744" s="983" t="s">
        <v>2711</v>
      </c>
      <c r="C1744" s="999"/>
      <c r="I1744" s="983" t="s">
        <v>1411</v>
      </c>
    </row>
    <row r="1745" spans="1:9" x14ac:dyDescent="0.2">
      <c r="A1745" s="997">
        <f t="shared" si="27"/>
        <v>1744</v>
      </c>
      <c r="B1745" s="983" t="s">
        <v>2711</v>
      </c>
      <c r="C1745" s="1000"/>
      <c r="H1745" s="983" t="s">
        <v>1108</v>
      </c>
    </row>
    <row r="1746" spans="1:9" x14ac:dyDescent="0.2">
      <c r="A1746" s="997">
        <f t="shared" si="27"/>
        <v>1745</v>
      </c>
      <c r="B1746" s="983" t="s">
        <v>2711</v>
      </c>
      <c r="C1746" s="1001"/>
      <c r="H1746" s="983" t="str">
        <f>CONCATENATE("&lt;valeur&gt;",Cellule_11216,"&lt;/valeur&gt;")</f>
        <v>&lt;valeur&gt;381666,67&lt;/valeur&gt;</v>
      </c>
    </row>
    <row r="1747" spans="1:9" x14ac:dyDescent="0.2">
      <c r="A1747" s="997">
        <f t="shared" si="27"/>
        <v>1746</v>
      </c>
      <c r="B1747" s="983" t="s">
        <v>2711</v>
      </c>
      <c r="C1747" s="1000"/>
      <c r="G1747" s="983" t="s">
        <v>1109</v>
      </c>
    </row>
    <row r="1748" spans="1:9" x14ac:dyDescent="0.2">
      <c r="A1748" s="997">
        <f t="shared" si="27"/>
        <v>1747</v>
      </c>
      <c r="B1748" s="983" t="s">
        <v>2711</v>
      </c>
      <c r="C1748" s="1000"/>
      <c r="G1748" s="983" t="s">
        <v>1106</v>
      </c>
    </row>
    <row r="1749" spans="1:9" x14ac:dyDescent="0.2">
      <c r="A1749" s="997">
        <f t="shared" si="27"/>
        <v>1748</v>
      </c>
      <c r="B1749" s="983" t="s">
        <v>2711</v>
      </c>
      <c r="C1749" s="999"/>
      <c r="H1749" s="983" t="s">
        <v>1107</v>
      </c>
    </row>
    <row r="1750" spans="1:9" x14ac:dyDescent="0.2">
      <c r="A1750" s="997">
        <f t="shared" si="27"/>
        <v>1749</v>
      </c>
      <c r="B1750" s="983" t="s">
        <v>2711</v>
      </c>
      <c r="C1750" s="999"/>
      <c r="I1750" s="983" t="s">
        <v>1412</v>
      </c>
    </row>
    <row r="1751" spans="1:9" x14ac:dyDescent="0.2">
      <c r="A1751" s="997">
        <f t="shared" si="27"/>
        <v>1750</v>
      </c>
      <c r="B1751" s="983" t="s">
        <v>2711</v>
      </c>
      <c r="C1751" s="1000"/>
      <c r="H1751" s="983" t="s">
        <v>1108</v>
      </c>
    </row>
    <row r="1752" spans="1:9" x14ac:dyDescent="0.2">
      <c r="A1752" s="997">
        <f t="shared" si="27"/>
        <v>1751</v>
      </c>
      <c r="B1752" s="983" t="s">
        <v>2711</v>
      </c>
      <c r="C1752" s="1001"/>
      <c r="H1752" s="983" t="str">
        <f>CONCATENATE("&lt;valeur&gt;",Cellule_11221,"&lt;/valeur&gt;")</f>
        <v>&lt;valeur&gt;0&lt;/valeur&gt;</v>
      </c>
    </row>
    <row r="1753" spans="1:9" x14ac:dyDescent="0.2">
      <c r="A1753" s="997">
        <f t="shared" si="27"/>
        <v>1752</v>
      </c>
      <c r="B1753" s="983" t="s">
        <v>2711</v>
      </c>
      <c r="C1753" s="1000"/>
      <c r="G1753" s="983" t="s">
        <v>1109</v>
      </c>
    </row>
    <row r="1754" spans="1:9" x14ac:dyDescent="0.2">
      <c r="A1754" s="997">
        <f t="shared" si="27"/>
        <v>1753</v>
      </c>
      <c r="B1754" s="983" t="s">
        <v>2711</v>
      </c>
      <c r="C1754" s="1000"/>
      <c r="G1754" s="983" t="s">
        <v>1106</v>
      </c>
    </row>
    <row r="1755" spans="1:9" x14ac:dyDescent="0.2">
      <c r="A1755" s="997">
        <f t="shared" si="27"/>
        <v>1754</v>
      </c>
      <c r="B1755" s="983" t="s">
        <v>2711</v>
      </c>
      <c r="C1755" s="999"/>
      <c r="H1755" s="983" t="s">
        <v>1107</v>
      </c>
    </row>
    <row r="1756" spans="1:9" x14ac:dyDescent="0.2">
      <c r="A1756" s="997">
        <f t="shared" si="27"/>
        <v>1755</v>
      </c>
      <c r="B1756" s="983" t="s">
        <v>2711</v>
      </c>
      <c r="C1756" s="999"/>
      <c r="I1756" s="983" t="s">
        <v>1413</v>
      </c>
    </row>
    <row r="1757" spans="1:9" x14ac:dyDescent="0.2">
      <c r="A1757" s="997">
        <f t="shared" si="27"/>
        <v>1756</v>
      </c>
      <c r="B1757" s="983" t="s">
        <v>2711</v>
      </c>
      <c r="C1757" s="1000"/>
      <c r="H1757" s="983" t="s">
        <v>1108</v>
      </c>
    </row>
    <row r="1758" spans="1:9" x14ac:dyDescent="0.2">
      <c r="A1758" s="997">
        <f t="shared" si="27"/>
        <v>1757</v>
      </c>
      <c r="B1758" s="983" t="s">
        <v>2711</v>
      </c>
      <c r="C1758" s="1001"/>
      <c r="H1758" s="983" t="str">
        <f>CONCATENATE("&lt;valeur&gt;",Cellule_11226,"&lt;/valeur&gt;")</f>
        <v>&lt;valeur&gt;313873,12&lt;/valeur&gt;</v>
      </c>
    </row>
    <row r="1759" spans="1:9" x14ac:dyDescent="0.2">
      <c r="A1759" s="997">
        <f t="shared" si="27"/>
        <v>1758</v>
      </c>
      <c r="B1759" s="983" t="s">
        <v>2711</v>
      </c>
      <c r="C1759" s="1000"/>
      <c r="G1759" s="983" t="s">
        <v>1109</v>
      </c>
    </row>
    <row r="1760" spans="1:9" x14ac:dyDescent="0.2">
      <c r="A1760" s="997">
        <f t="shared" si="27"/>
        <v>1759</v>
      </c>
      <c r="B1760" s="983" t="s">
        <v>2711</v>
      </c>
      <c r="C1760" s="1000"/>
      <c r="G1760" s="983" t="s">
        <v>1106</v>
      </c>
    </row>
    <row r="1761" spans="1:9" x14ac:dyDescent="0.2">
      <c r="A1761" s="997">
        <f t="shared" si="27"/>
        <v>1760</v>
      </c>
      <c r="B1761" s="983" t="s">
        <v>2711</v>
      </c>
      <c r="C1761" s="999"/>
      <c r="H1761" s="983" t="s">
        <v>1107</v>
      </c>
    </row>
    <row r="1762" spans="1:9" x14ac:dyDescent="0.2">
      <c r="A1762" s="997">
        <f t="shared" si="27"/>
        <v>1761</v>
      </c>
      <c r="B1762" s="983" t="s">
        <v>2711</v>
      </c>
      <c r="C1762" s="999"/>
      <c r="I1762" s="983" t="s">
        <v>1414</v>
      </c>
    </row>
    <row r="1763" spans="1:9" x14ac:dyDescent="0.2">
      <c r="A1763" s="997">
        <f t="shared" si="27"/>
        <v>1762</v>
      </c>
      <c r="B1763" s="983" t="s">
        <v>2711</v>
      </c>
      <c r="C1763" s="1000"/>
      <c r="H1763" s="983" t="s">
        <v>1108</v>
      </c>
    </row>
    <row r="1764" spans="1:9" x14ac:dyDescent="0.2">
      <c r="A1764" s="997">
        <f t="shared" si="27"/>
        <v>1763</v>
      </c>
      <c r="B1764" s="983" t="s">
        <v>2711</v>
      </c>
      <c r="C1764" s="1001"/>
      <c r="H1764" s="983" t="str">
        <f>CONCATENATE("&lt;valeur&gt;",Cellule_11231,"&lt;/valeur&gt;")</f>
        <v>&lt;valeur&gt;67793,55&lt;/valeur&gt;</v>
      </c>
    </row>
    <row r="1765" spans="1:9" x14ac:dyDescent="0.2">
      <c r="A1765" s="997">
        <f t="shared" si="27"/>
        <v>1764</v>
      </c>
      <c r="B1765" s="983" t="s">
        <v>2711</v>
      </c>
      <c r="C1765" s="1000"/>
      <c r="G1765" s="983" t="s">
        <v>1109</v>
      </c>
    </row>
    <row r="1766" spans="1:9" x14ac:dyDescent="0.2">
      <c r="A1766" s="997">
        <f t="shared" si="27"/>
        <v>1765</v>
      </c>
      <c r="B1766" s="983" t="s">
        <v>2711</v>
      </c>
      <c r="C1766" s="1000"/>
      <c r="G1766" s="983" t="s">
        <v>1106</v>
      </c>
    </row>
    <row r="1767" spans="1:9" x14ac:dyDescent="0.2">
      <c r="A1767" s="997">
        <f t="shared" si="27"/>
        <v>1766</v>
      </c>
      <c r="B1767" s="983" t="s">
        <v>2711</v>
      </c>
      <c r="C1767" s="999"/>
      <c r="H1767" s="983" t="s">
        <v>1107</v>
      </c>
    </row>
    <row r="1768" spans="1:9" x14ac:dyDescent="0.2">
      <c r="A1768" s="997">
        <f t="shared" si="27"/>
        <v>1767</v>
      </c>
      <c r="B1768" s="983" t="s">
        <v>2711</v>
      </c>
      <c r="C1768" s="999"/>
      <c r="I1768" s="983" t="s">
        <v>1415</v>
      </c>
    </row>
    <row r="1769" spans="1:9" x14ac:dyDescent="0.2">
      <c r="A1769" s="997">
        <f t="shared" si="27"/>
        <v>1768</v>
      </c>
      <c r="B1769" s="983" t="s">
        <v>2711</v>
      </c>
      <c r="C1769" s="1000"/>
      <c r="H1769" s="983" t="s">
        <v>1108</v>
      </c>
    </row>
    <row r="1770" spans="1:9" x14ac:dyDescent="0.2">
      <c r="A1770" s="997">
        <f t="shared" si="27"/>
        <v>1769</v>
      </c>
      <c r="B1770" s="983" t="s">
        <v>2711</v>
      </c>
      <c r="C1770" s="1001"/>
      <c r="H1770" s="983" t="str">
        <f>CONCATENATE("&lt;valeur&gt;",Cellule_11176,"&lt;/valeur&gt;")</f>
        <v>&lt;valeur&gt;381666,67&lt;/valeur&gt;</v>
      </c>
    </row>
    <row r="1771" spans="1:9" x14ac:dyDescent="0.2">
      <c r="A1771" s="997">
        <f t="shared" si="27"/>
        <v>1770</v>
      </c>
      <c r="B1771" s="983" t="s">
        <v>2711</v>
      </c>
      <c r="C1771" s="1000"/>
      <c r="G1771" s="983" t="s">
        <v>1109</v>
      </c>
    </row>
    <row r="1772" spans="1:9" x14ac:dyDescent="0.2">
      <c r="A1772" s="997">
        <f t="shared" si="27"/>
        <v>1771</v>
      </c>
      <c r="B1772" s="983" t="s">
        <v>2711</v>
      </c>
      <c r="C1772" s="1000"/>
      <c r="G1772" s="983" t="s">
        <v>1106</v>
      </c>
    </row>
    <row r="1773" spans="1:9" x14ac:dyDescent="0.2">
      <c r="A1773" s="997">
        <f t="shared" si="27"/>
        <v>1772</v>
      </c>
      <c r="B1773" s="983" t="s">
        <v>2711</v>
      </c>
      <c r="C1773" s="999"/>
      <c r="H1773" s="983" t="s">
        <v>1107</v>
      </c>
    </row>
    <row r="1774" spans="1:9" x14ac:dyDescent="0.2">
      <c r="A1774" s="997">
        <f t="shared" si="27"/>
        <v>1773</v>
      </c>
      <c r="B1774" s="983" t="s">
        <v>2711</v>
      </c>
      <c r="C1774" s="999"/>
      <c r="I1774" s="983" t="s">
        <v>1416</v>
      </c>
    </row>
    <row r="1775" spans="1:9" x14ac:dyDescent="0.2">
      <c r="A1775" s="997">
        <f t="shared" si="27"/>
        <v>1774</v>
      </c>
      <c r="B1775" s="983" t="s">
        <v>2711</v>
      </c>
      <c r="C1775" s="1000"/>
      <c r="H1775" s="983" t="s">
        <v>1108</v>
      </c>
    </row>
    <row r="1776" spans="1:9" x14ac:dyDescent="0.2">
      <c r="A1776" s="997">
        <f t="shared" si="27"/>
        <v>1775</v>
      </c>
      <c r="B1776" s="983" t="s">
        <v>2711</v>
      </c>
      <c r="C1776" s="1001"/>
      <c r="H1776" s="983" t="str">
        <f>CONCATENATE("&lt;valeur&gt;",Cellule_11181,"&lt;/valeur&gt;")</f>
        <v>&lt;valeur&gt;0&lt;/valeur&gt;</v>
      </c>
    </row>
    <row r="1777" spans="1:9" x14ac:dyDescent="0.2">
      <c r="A1777" s="997">
        <f t="shared" si="27"/>
        <v>1776</v>
      </c>
      <c r="B1777" s="983" t="s">
        <v>2711</v>
      </c>
      <c r="C1777" s="1000"/>
      <c r="G1777" s="983" t="s">
        <v>1109</v>
      </c>
    </row>
    <row r="1778" spans="1:9" x14ac:dyDescent="0.2">
      <c r="A1778" s="997">
        <f t="shared" si="27"/>
        <v>1777</v>
      </c>
      <c r="B1778" s="983" t="s">
        <v>2711</v>
      </c>
      <c r="C1778" s="1000"/>
      <c r="G1778" s="983" t="s">
        <v>1106</v>
      </c>
    </row>
    <row r="1779" spans="1:9" x14ac:dyDescent="0.2">
      <c r="A1779" s="997">
        <f t="shared" si="27"/>
        <v>1778</v>
      </c>
      <c r="B1779" s="983" t="s">
        <v>2711</v>
      </c>
      <c r="C1779" s="999"/>
      <c r="H1779" s="983" t="s">
        <v>1107</v>
      </c>
    </row>
    <row r="1780" spans="1:9" x14ac:dyDescent="0.2">
      <c r="A1780" s="997">
        <f t="shared" si="27"/>
        <v>1779</v>
      </c>
      <c r="B1780" s="983" t="s">
        <v>2711</v>
      </c>
      <c r="C1780" s="999"/>
      <c r="I1780" s="983" t="s">
        <v>1417</v>
      </c>
    </row>
    <row r="1781" spans="1:9" x14ac:dyDescent="0.2">
      <c r="A1781" s="997">
        <f t="shared" si="27"/>
        <v>1780</v>
      </c>
      <c r="B1781" s="983" t="s">
        <v>2711</v>
      </c>
      <c r="C1781" s="1000"/>
      <c r="H1781" s="983" t="s">
        <v>1108</v>
      </c>
    </row>
    <row r="1782" spans="1:9" x14ac:dyDescent="0.2">
      <c r="A1782" s="997">
        <f t="shared" si="27"/>
        <v>1781</v>
      </c>
      <c r="B1782" s="983" t="s">
        <v>2711</v>
      </c>
      <c r="C1782" s="1001"/>
      <c r="H1782" s="983" t="str">
        <f>CONCATENATE("&lt;valeur&gt;",Cellule_11186,"&lt;/valeur&gt;")</f>
        <v>&lt;valeur&gt;381666,67&lt;/valeur&gt;</v>
      </c>
    </row>
    <row r="1783" spans="1:9" x14ac:dyDescent="0.2">
      <c r="A1783" s="997">
        <f t="shared" si="27"/>
        <v>1782</v>
      </c>
      <c r="B1783" s="983" t="s">
        <v>2711</v>
      </c>
      <c r="C1783" s="1000"/>
      <c r="G1783" s="983" t="s">
        <v>1109</v>
      </c>
    </row>
    <row r="1784" spans="1:9" x14ac:dyDescent="0.2">
      <c r="A1784" s="997">
        <f t="shared" si="27"/>
        <v>1783</v>
      </c>
      <c r="B1784" s="983" t="s">
        <v>2711</v>
      </c>
      <c r="C1784" s="1000"/>
      <c r="G1784" s="983" t="s">
        <v>1106</v>
      </c>
    </row>
    <row r="1785" spans="1:9" x14ac:dyDescent="0.2">
      <c r="A1785" s="997">
        <f t="shared" si="27"/>
        <v>1784</v>
      </c>
      <c r="B1785" s="983" t="s">
        <v>2711</v>
      </c>
      <c r="C1785" s="999"/>
      <c r="H1785" s="983" t="s">
        <v>1107</v>
      </c>
    </row>
    <row r="1786" spans="1:9" x14ac:dyDescent="0.2">
      <c r="A1786" s="997">
        <f t="shared" si="27"/>
        <v>1785</v>
      </c>
      <c r="B1786" s="983" t="s">
        <v>2711</v>
      </c>
      <c r="C1786" s="999"/>
      <c r="I1786" s="983" t="s">
        <v>1418</v>
      </c>
    </row>
    <row r="1787" spans="1:9" x14ac:dyDescent="0.2">
      <c r="A1787" s="997">
        <f t="shared" si="27"/>
        <v>1786</v>
      </c>
      <c r="B1787" s="983" t="s">
        <v>2711</v>
      </c>
      <c r="C1787" s="1000"/>
      <c r="H1787" s="983" t="s">
        <v>1108</v>
      </c>
    </row>
    <row r="1788" spans="1:9" x14ac:dyDescent="0.2">
      <c r="A1788" s="997">
        <f t="shared" si="27"/>
        <v>1787</v>
      </c>
      <c r="B1788" s="983" t="s">
        <v>2711</v>
      </c>
      <c r="C1788" s="1001"/>
      <c r="H1788" s="983" t="str">
        <f>CONCATENATE("&lt;valeur&gt;",Cellule_11191,"&lt;/valeur&gt;")</f>
        <v>&lt;valeur&gt;0&lt;/valeur&gt;</v>
      </c>
    </row>
    <row r="1789" spans="1:9" x14ac:dyDescent="0.2">
      <c r="A1789" s="997">
        <f t="shared" si="27"/>
        <v>1788</v>
      </c>
      <c r="B1789" s="983" t="s">
        <v>2711</v>
      </c>
      <c r="C1789" s="1000"/>
      <c r="G1789" s="983" t="s">
        <v>1109</v>
      </c>
    </row>
    <row r="1790" spans="1:9" x14ac:dyDescent="0.2">
      <c r="A1790" s="997">
        <f t="shared" si="27"/>
        <v>1789</v>
      </c>
      <c r="B1790" s="983" t="s">
        <v>2711</v>
      </c>
      <c r="C1790" s="1000"/>
      <c r="G1790" s="983" t="s">
        <v>1106</v>
      </c>
    </row>
    <row r="1791" spans="1:9" x14ac:dyDescent="0.2">
      <c r="A1791" s="997">
        <f t="shared" si="27"/>
        <v>1790</v>
      </c>
      <c r="B1791" s="983" t="s">
        <v>2711</v>
      </c>
      <c r="C1791" s="999"/>
      <c r="H1791" s="983" t="s">
        <v>1107</v>
      </c>
    </row>
    <row r="1792" spans="1:9" x14ac:dyDescent="0.2">
      <c r="A1792" s="997">
        <f t="shared" si="27"/>
        <v>1791</v>
      </c>
      <c r="B1792" s="983" t="s">
        <v>2711</v>
      </c>
      <c r="C1792" s="999"/>
      <c r="I1792" s="983" t="s">
        <v>1419</v>
      </c>
    </row>
    <row r="1793" spans="1:9" x14ac:dyDescent="0.2">
      <c r="A1793" s="997">
        <f t="shared" si="27"/>
        <v>1792</v>
      </c>
      <c r="B1793" s="983" t="s">
        <v>2711</v>
      </c>
      <c r="C1793" s="1000"/>
      <c r="H1793" s="983" t="s">
        <v>1108</v>
      </c>
    </row>
    <row r="1794" spans="1:9" x14ac:dyDescent="0.2">
      <c r="A1794" s="997">
        <f t="shared" si="27"/>
        <v>1793</v>
      </c>
      <c r="B1794" s="983" t="s">
        <v>2711</v>
      </c>
      <c r="C1794" s="1001"/>
      <c r="H1794" s="983" t="str">
        <f>CONCATENATE("&lt;valeur&gt;",Cellule_11196,"&lt;/valeur&gt;")</f>
        <v>&lt;valeur&gt;0&lt;/valeur&gt;</v>
      </c>
    </row>
    <row r="1795" spans="1:9" x14ac:dyDescent="0.2">
      <c r="A1795" s="997">
        <f t="shared" si="27"/>
        <v>1794</v>
      </c>
      <c r="B1795" s="983" t="s">
        <v>2711</v>
      </c>
      <c r="C1795" s="1000"/>
      <c r="G1795" s="983" t="s">
        <v>1109</v>
      </c>
    </row>
    <row r="1796" spans="1:9" x14ac:dyDescent="0.2">
      <c r="A1796" s="997">
        <f t="shared" ref="A1796:A1859" si="28">+A1795+1</f>
        <v>1795</v>
      </c>
      <c r="B1796" s="983" t="s">
        <v>2711</v>
      </c>
      <c r="C1796" s="1000"/>
      <c r="G1796" s="983" t="s">
        <v>1106</v>
      </c>
    </row>
    <row r="1797" spans="1:9" x14ac:dyDescent="0.2">
      <c r="A1797" s="997">
        <f t="shared" si="28"/>
        <v>1796</v>
      </c>
      <c r="B1797" s="983" t="s">
        <v>2711</v>
      </c>
      <c r="C1797" s="999"/>
      <c r="H1797" s="983" t="s">
        <v>1107</v>
      </c>
    </row>
    <row r="1798" spans="1:9" x14ac:dyDescent="0.2">
      <c r="A1798" s="997">
        <f t="shared" si="28"/>
        <v>1797</v>
      </c>
      <c r="B1798" s="983" t="s">
        <v>2711</v>
      </c>
      <c r="C1798" s="999"/>
      <c r="I1798" s="983" t="s">
        <v>1420</v>
      </c>
    </row>
    <row r="1799" spans="1:9" x14ac:dyDescent="0.2">
      <c r="A1799" s="997">
        <f t="shared" si="28"/>
        <v>1798</v>
      </c>
      <c r="B1799" s="983" t="s">
        <v>2711</v>
      </c>
      <c r="C1799" s="1000"/>
      <c r="H1799" s="983" t="s">
        <v>1108</v>
      </c>
    </row>
    <row r="1800" spans="1:9" x14ac:dyDescent="0.2">
      <c r="A1800" s="997">
        <f t="shared" si="28"/>
        <v>1799</v>
      </c>
      <c r="B1800" s="983" t="s">
        <v>2711</v>
      </c>
      <c r="C1800" s="1001"/>
      <c r="H1800" s="983" t="str">
        <f>CONCATENATE("&lt;valeur&gt;",Cellule_11201,"&lt;/valeur&gt;")</f>
        <v>&lt;valeur&gt;0&lt;/valeur&gt;</v>
      </c>
    </row>
    <row r="1801" spans="1:9" x14ac:dyDescent="0.2">
      <c r="A1801" s="997">
        <f t="shared" si="28"/>
        <v>1800</v>
      </c>
      <c r="B1801" s="983" t="s">
        <v>2711</v>
      </c>
      <c r="C1801" s="1000"/>
      <c r="G1801" s="983" t="s">
        <v>1109</v>
      </c>
    </row>
    <row r="1802" spans="1:9" x14ac:dyDescent="0.2">
      <c r="A1802" s="997">
        <f t="shared" si="28"/>
        <v>1801</v>
      </c>
      <c r="B1802" s="983" t="s">
        <v>2711</v>
      </c>
      <c r="C1802" s="1000"/>
      <c r="G1802" s="983" t="s">
        <v>1106</v>
      </c>
    </row>
    <row r="1803" spans="1:9" x14ac:dyDescent="0.2">
      <c r="A1803" s="997">
        <f t="shared" si="28"/>
        <v>1802</v>
      </c>
      <c r="B1803" s="983" t="s">
        <v>2711</v>
      </c>
      <c r="C1803" s="999"/>
      <c r="H1803" s="983" t="s">
        <v>1107</v>
      </c>
    </row>
    <row r="1804" spans="1:9" x14ac:dyDescent="0.2">
      <c r="A1804" s="997">
        <f t="shared" si="28"/>
        <v>1803</v>
      </c>
      <c r="B1804" s="983" t="s">
        <v>2711</v>
      </c>
      <c r="C1804" s="999"/>
      <c r="I1804" s="983" t="s">
        <v>1421</v>
      </c>
    </row>
    <row r="1805" spans="1:9" x14ac:dyDescent="0.2">
      <c r="A1805" s="997">
        <f t="shared" si="28"/>
        <v>1804</v>
      </c>
      <c r="B1805" s="983" t="s">
        <v>2711</v>
      </c>
      <c r="C1805" s="1000"/>
      <c r="H1805" s="983" t="s">
        <v>1108</v>
      </c>
    </row>
    <row r="1806" spans="1:9" x14ac:dyDescent="0.2">
      <c r="A1806" s="997">
        <f t="shared" si="28"/>
        <v>1805</v>
      </c>
      <c r="B1806" s="983" t="s">
        <v>2711</v>
      </c>
      <c r="C1806" s="1001"/>
      <c r="H1806" s="983" t="str">
        <f>CONCATENATE("&lt;valeur&gt;",Cellule_11266,"&lt;/valeur&gt;")</f>
        <v>&lt;valeur&gt;34176,55&lt;/valeur&gt;</v>
      </c>
    </row>
    <row r="1807" spans="1:9" x14ac:dyDescent="0.2">
      <c r="A1807" s="997">
        <f t="shared" si="28"/>
        <v>1806</v>
      </c>
      <c r="B1807" s="983" t="s">
        <v>2711</v>
      </c>
      <c r="C1807" s="1000"/>
      <c r="G1807" s="983" t="s">
        <v>1109</v>
      </c>
    </row>
    <row r="1808" spans="1:9" x14ac:dyDescent="0.2">
      <c r="A1808" s="997">
        <f t="shared" si="28"/>
        <v>1807</v>
      </c>
      <c r="B1808" s="983" t="s">
        <v>2711</v>
      </c>
      <c r="C1808" s="1000"/>
      <c r="G1808" s="983" t="s">
        <v>1106</v>
      </c>
    </row>
    <row r="1809" spans="1:9" x14ac:dyDescent="0.2">
      <c r="A1809" s="997">
        <f t="shared" si="28"/>
        <v>1808</v>
      </c>
      <c r="B1809" s="983" t="s">
        <v>2711</v>
      </c>
      <c r="C1809" s="999"/>
      <c r="H1809" s="983" t="s">
        <v>1107</v>
      </c>
    </row>
    <row r="1810" spans="1:9" x14ac:dyDescent="0.2">
      <c r="A1810" s="997">
        <f t="shared" si="28"/>
        <v>1809</v>
      </c>
      <c r="B1810" s="983" t="s">
        <v>2711</v>
      </c>
      <c r="C1810" s="999"/>
      <c r="I1810" s="983" t="s">
        <v>1422</v>
      </c>
    </row>
    <row r="1811" spans="1:9" x14ac:dyDescent="0.2">
      <c r="A1811" s="997">
        <f t="shared" si="28"/>
        <v>1810</v>
      </c>
      <c r="B1811" s="983" t="s">
        <v>2711</v>
      </c>
      <c r="C1811" s="1000"/>
      <c r="H1811" s="983" t="s">
        <v>1108</v>
      </c>
    </row>
    <row r="1812" spans="1:9" x14ac:dyDescent="0.2">
      <c r="A1812" s="997">
        <f t="shared" si="28"/>
        <v>1811</v>
      </c>
      <c r="B1812" s="983" t="s">
        <v>2711</v>
      </c>
      <c r="C1812" s="1001"/>
      <c r="H1812" s="983" t="str">
        <f>CONCATENATE("&lt;valeur&gt;",Cellule_11236,"&lt;/valeur&gt;")</f>
        <v>&lt;valeur&gt;313873,12&lt;/valeur&gt;</v>
      </c>
    </row>
    <row r="1813" spans="1:9" x14ac:dyDescent="0.2">
      <c r="A1813" s="997">
        <f t="shared" si="28"/>
        <v>1812</v>
      </c>
      <c r="B1813" s="983" t="s">
        <v>2711</v>
      </c>
      <c r="C1813" s="1000"/>
      <c r="G1813" s="983" t="s">
        <v>1109</v>
      </c>
    </row>
    <row r="1814" spans="1:9" x14ac:dyDescent="0.2">
      <c r="A1814" s="997">
        <f t="shared" si="28"/>
        <v>1813</v>
      </c>
      <c r="B1814" s="983" t="s">
        <v>2711</v>
      </c>
      <c r="C1814" s="1000"/>
      <c r="G1814" s="983" t="s">
        <v>1106</v>
      </c>
    </row>
    <row r="1815" spans="1:9" x14ac:dyDescent="0.2">
      <c r="A1815" s="997">
        <f t="shared" si="28"/>
        <v>1814</v>
      </c>
      <c r="B1815" s="983" t="s">
        <v>2711</v>
      </c>
      <c r="C1815" s="999"/>
      <c r="H1815" s="983" t="s">
        <v>1107</v>
      </c>
    </row>
    <row r="1816" spans="1:9" x14ac:dyDescent="0.2">
      <c r="A1816" s="997">
        <f t="shared" si="28"/>
        <v>1815</v>
      </c>
      <c r="B1816" s="983" t="s">
        <v>2711</v>
      </c>
      <c r="C1816" s="999"/>
      <c r="I1816" s="983" t="s">
        <v>1423</v>
      </c>
    </row>
    <row r="1817" spans="1:9" x14ac:dyDescent="0.2">
      <c r="A1817" s="997">
        <f t="shared" si="28"/>
        <v>1816</v>
      </c>
      <c r="B1817" s="983" t="s">
        <v>2711</v>
      </c>
      <c r="C1817" s="1000"/>
      <c r="H1817" s="983" t="s">
        <v>1108</v>
      </c>
    </row>
    <row r="1818" spans="1:9" x14ac:dyDescent="0.2">
      <c r="A1818" s="997">
        <f t="shared" si="28"/>
        <v>1817</v>
      </c>
      <c r="B1818" s="983" t="s">
        <v>2711</v>
      </c>
      <c r="C1818" s="1001"/>
      <c r="H1818" s="983" t="str">
        <f>CONCATENATE("&lt;valeur&gt;",Cellule_11241,"&lt;/valeur&gt;")</f>
        <v>&lt;valeur&gt;172843,76&lt;/valeur&gt;</v>
      </c>
    </row>
    <row r="1819" spans="1:9" x14ac:dyDescent="0.2">
      <c r="A1819" s="997">
        <f t="shared" si="28"/>
        <v>1818</v>
      </c>
      <c r="B1819" s="983" t="s">
        <v>2711</v>
      </c>
      <c r="C1819" s="1000"/>
      <c r="G1819" s="983" t="s">
        <v>1109</v>
      </c>
    </row>
    <row r="1820" spans="1:9" x14ac:dyDescent="0.2">
      <c r="A1820" s="997">
        <f t="shared" si="28"/>
        <v>1819</v>
      </c>
      <c r="B1820" s="983" t="s">
        <v>2711</v>
      </c>
      <c r="C1820" s="1000"/>
      <c r="G1820" s="983" t="s">
        <v>1106</v>
      </c>
    </row>
    <row r="1821" spans="1:9" x14ac:dyDescent="0.2">
      <c r="A1821" s="997">
        <f t="shared" si="28"/>
        <v>1820</v>
      </c>
      <c r="B1821" s="983" t="s">
        <v>2711</v>
      </c>
      <c r="C1821" s="999"/>
      <c r="H1821" s="983" t="s">
        <v>1107</v>
      </c>
    </row>
    <row r="1822" spans="1:9" x14ac:dyDescent="0.2">
      <c r="A1822" s="997">
        <f t="shared" si="28"/>
        <v>1821</v>
      </c>
      <c r="B1822" s="983" t="s">
        <v>2711</v>
      </c>
      <c r="C1822" s="999"/>
      <c r="I1822" s="983" t="s">
        <v>1424</v>
      </c>
    </row>
    <row r="1823" spans="1:9" x14ac:dyDescent="0.2">
      <c r="A1823" s="997">
        <f t="shared" si="28"/>
        <v>1822</v>
      </c>
      <c r="B1823" s="983" t="s">
        <v>2711</v>
      </c>
      <c r="C1823" s="1000"/>
      <c r="H1823" s="983" t="s">
        <v>1108</v>
      </c>
    </row>
    <row r="1824" spans="1:9" x14ac:dyDescent="0.2">
      <c r="A1824" s="997">
        <f t="shared" si="28"/>
        <v>1823</v>
      </c>
      <c r="B1824" s="983" t="s">
        <v>2711</v>
      </c>
      <c r="C1824" s="1001"/>
      <c r="H1824" s="983" t="str">
        <f>CONCATENATE("&lt;valeur&gt;",Cellule_11246,"&lt;/valeur&gt;")</f>
        <v>&lt;valeur&gt;0&lt;/valeur&gt;</v>
      </c>
    </row>
    <row r="1825" spans="1:9" x14ac:dyDescent="0.2">
      <c r="A1825" s="997">
        <f t="shared" si="28"/>
        <v>1824</v>
      </c>
      <c r="B1825" s="983" t="s">
        <v>2711</v>
      </c>
      <c r="C1825" s="1000"/>
      <c r="G1825" s="983" t="s">
        <v>1109</v>
      </c>
    </row>
    <row r="1826" spans="1:9" x14ac:dyDescent="0.2">
      <c r="A1826" s="997">
        <f t="shared" si="28"/>
        <v>1825</v>
      </c>
      <c r="B1826" s="983" t="s">
        <v>2711</v>
      </c>
      <c r="C1826" s="1000"/>
      <c r="G1826" s="983" t="s">
        <v>1106</v>
      </c>
    </row>
    <row r="1827" spans="1:9" x14ac:dyDescent="0.2">
      <c r="A1827" s="997">
        <f t="shared" si="28"/>
        <v>1826</v>
      </c>
      <c r="B1827" s="983" t="s">
        <v>2711</v>
      </c>
      <c r="C1827" s="999"/>
      <c r="H1827" s="983" t="s">
        <v>1107</v>
      </c>
    </row>
    <row r="1828" spans="1:9" x14ac:dyDescent="0.2">
      <c r="A1828" s="997">
        <f t="shared" si="28"/>
        <v>1827</v>
      </c>
      <c r="B1828" s="983" t="s">
        <v>2711</v>
      </c>
      <c r="C1828" s="999"/>
      <c r="I1828" s="983" t="s">
        <v>1425</v>
      </c>
    </row>
    <row r="1829" spans="1:9" x14ac:dyDescent="0.2">
      <c r="A1829" s="997">
        <f t="shared" si="28"/>
        <v>1828</v>
      </c>
      <c r="B1829" s="983" t="s">
        <v>2711</v>
      </c>
      <c r="C1829" s="1000"/>
      <c r="H1829" s="983" t="s">
        <v>1108</v>
      </c>
    </row>
    <row r="1830" spans="1:9" x14ac:dyDescent="0.2">
      <c r="A1830" s="997">
        <f t="shared" si="28"/>
        <v>1829</v>
      </c>
      <c r="B1830" s="983" t="s">
        <v>2711</v>
      </c>
      <c r="C1830" s="1001"/>
      <c r="H1830" s="983" t="str">
        <f>CONCATENATE("&lt;valeur&gt;",Cellule_11251,"&lt;/valeur&gt;")</f>
        <v>&lt;valeur&gt;28187&lt;/valeur&gt;</v>
      </c>
    </row>
    <row r="1831" spans="1:9" x14ac:dyDescent="0.2">
      <c r="A1831" s="997">
        <f t="shared" si="28"/>
        <v>1830</v>
      </c>
      <c r="B1831" s="983" t="s">
        <v>2711</v>
      </c>
      <c r="C1831" s="1000"/>
      <c r="G1831" s="983" t="s">
        <v>1109</v>
      </c>
    </row>
    <row r="1832" spans="1:9" x14ac:dyDescent="0.2">
      <c r="A1832" s="997">
        <f t="shared" si="28"/>
        <v>1831</v>
      </c>
      <c r="B1832" s="983" t="s">
        <v>2711</v>
      </c>
      <c r="C1832" s="1000"/>
      <c r="G1832" s="983" t="s">
        <v>1106</v>
      </c>
    </row>
    <row r="1833" spans="1:9" x14ac:dyDescent="0.2">
      <c r="A1833" s="997">
        <f t="shared" si="28"/>
        <v>1832</v>
      </c>
      <c r="B1833" s="983" t="s">
        <v>2711</v>
      </c>
      <c r="C1833" s="999"/>
      <c r="H1833" s="983" t="s">
        <v>1107</v>
      </c>
    </row>
    <row r="1834" spans="1:9" x14ac:dyDescent="0.2">
      <c r="A1834" s="997">
        <f t="shared" si="28"/>
        <v>1833</v>
      </c>
      <c r="B1834" s="983" t="s">
        <v>2711</v>
      </c>
      <c r="C1834" s="999"/>
      <c r="I1834" s="983" t="s">
        <v>1426</v>
      </c>
    </row>
    <row r="1835" spans="1:9" x14ac:dyDescent="0.2">
      <c r="A1835" s="997">
        <f t="shared" si="28"/>
        <v>1834</v>
      </c>
      <c r="B1835" s="983" t="s">
        <v>2711</v>
      </c>
      <c r="C1835" s="1000"/>
      <c r="H1835" s="983" t="s">
        <v>1108</v>
      </c>
    </row>
    <row r="1836" spans="1:9" x14ac:dyDescent="0.2">
      <c r="A1836" s="997">
        <f t="shared" si="28"/>
        <v>1835</v>
      </c>
      <c r="B1836" s="983" t="s">
        <v>2711</v>
      </c>
      <c r="C1836" s="1001"/>
      <c r="H1836" s="983" t="str">
        <f>CONCATENATE("&lt;valeur&gt;",Cellule_11256,"&lt;/valeur&gt;")</f>
        <v>&lt;valeur&gt;0&lt;/valeur&gt;</v>
      </c>
    </row>
    <row r="1837" spans="1:9" x14ac:dyDescent="0.2">
      <c r="A1837" s="997">
        <f t="shared" si="28"/>
        <v>1836</v>
      </c>
      <c r="B1837" s="983" t="s">
        <v>2711</v>
      </c>
      <c r="C1837" s="1000"/>
      <c r="G1837" s="983" t="s">
        <v>1109</v>
      </c>
    </row>
    <row r="1838" spans="1:9" x14ac:dyDescent="0.2">
      <c r="A1838" s="997">
        <f t="shared" si="28"/>
        <v>1837</v>
      </c>
      <c r="B1838" s="983" t="s">
        <v>2711</v>
      </c>
      <c r="C1838" s="1000"/>
      <c r="G1838" s="983" t="s">
        <v>1106</v>
      </c>
    </row>
    <row r="1839" spans="1:9" x14ac:dyDescent="0.2">
      <c r="A1839" s="997">
        <f t="shared" si="28"/>
        <v>1838</v>
      </c>
      <c r="B1839" s="983" t="s">
        <v>2711</v>
      </c>
      <c r="C1839" s="999"/>
      <c r="H1839" s="983" t="s">
        <v>1107</v>
      </c>
    </row>
    <row r="1840" spans="1:9" x14ac:dyDescent="0.2">
      <c r="A1840" s="997">
        <f t="shared" si="28"/>
        <v>1839</v>
      </c>
      <c r="B1840" s="983" t="s">
        <v>2711</v>
      </c>
      <c r="C1840" s="999"/>
      <c r="I1840" s="983" t="s">
        <v>1427</v>
      </c>
    </row>
    <row r="1841" spans="1:9" x14ac:dyDescent="0.2">
      <c r="A1841" s="997">
        <f t="shared" si="28"/>
        <v>1840</v>
      </c>
      <c r="B1841" s="983" t="s">
        <v>2711</v>
      </c>
      <c r="C1841" s="1000"/>
      <c r="H1841" s="983" t="s">
        <v>1108</v>
      </c>
    </row>
    <row r="1842" spans="1:9" x14ac:dyDescent="0.2">
      <c r="A1842" s="997">
        <f t="shared" si="28"/>
        <v>1841</v>
      </c>
      <c r="B1842" s="983" t="s">
        <v>2711</v>
      </c>
      <c r="C1842" s="1001"/>
      <c r="H1842" s="983" t="str">
        <f>CONCATENATE("&lt;valeur&gt;",Cellule_11261,"&lt;/valeur&gt;")</f>
        <v>&lt;valeur&gt;78665,81&lt;/valeur&gt;</v>
      </c>
    </row>
    <row r="1843" spans="1:9" x14ac:dyDescent="0.2">
      <c r="A1843" s="997">
        <f t="shared" si="28"/>
        <v>1842</v>
      </c>
      <c r="B1843" s="983" t="s">
        <v>2711</v>
      </c>
      <c r="C1843" s="1000"/>
      <c r="G1843" s="983" t="s">
        <v>1109</v>
      </c>
    </row>
    <row r="1844" spans="1:9" x14ac:dyDescent="0.2">
      <c r="A1844" s="997">
        <f t="shared" si="28"/>
        <v>1843</v>
      </c>
      <c r="B1844" s="983" t="s">
        <v>2711</v>
      </c>
      <c r="C1844" s="1000"/>
      <c r="G1844" s="983" t="s">
        <v>1106</v>
      </c>
    </row>
    <row r="1845" spans="1:9" x14ac:dyDescent="0.2">
      <c r="A1845" s="997">
        <f t="shared" si="28"/>
        <v>1844</v>
      </c>
      <c r="B1845" s="983" t="s">
        <v>2711</v>
      </c>
      <c r="C1845" s="999"/>
      <c r="H1845" s="983" t="s">
        <v>1107</v>
      </c>
    </row>
    <row r="1846" spans="1:9" x14ac:dyDescent="0.2">
      <c r="A1846" s="997">
        <f t="shared" si="28"/>
        <v>1845</v>
      </c>
      <c r="B1846" s="983" t="s">
        <v>2711</v>
      </c>
      <c r="C1846" s="999"/>
      <c r="I1846" s="983" t="s">
        <v>1428</v>
      </c>
    </row>
    <row r="1847" spans="1:9" x14ac:dyDescent="0.2">
      <c r="A1847" s="997">
        <f t="shared" si="28"/>
        <v>1846</v>
      </c>
      <c r="B1847" s="983" t="s">
        <v>2711</v>
      </c>
      <c r="C1847" s="1000"/>
      <c r="H1847" s="983" t="s">
        <v>1108</v>
      </c>
    </row>
    <row r="1848" spans="1:9" x14ac:dyDescent="0.2">
      <c r="A1848" s="997">
        <f t="shared" si="28"/>
        <v>1847</v>
      </c>
      <c r="B1848" s="983" t="s">
        <v>2711</v>
      </c>
      <c r="C1848" s="1001"/>
      <c r="H1848" s="983" t="str">
        <f>CONCATENATE("&lt;valeur&gt;",Cellule_11202,"&lt;/valeur&gt;")</f>
        <v>&lt;valeur&gt;0&lt;/valeur&gt;</v>
      </c>
    </row>
    <row r="1849" spans="1:9" x14ac:dyDescent="0.2">
      <c r="A1849" s="997">
        <f t="shared" si="28"/>
        <v>1848</v>
      </c>
      <c r="B1849" s="983" t="s">
        <v>2711</v>
      </c>
      <c r="C1849" s="1000"/>
      <c r="G1849" s="983" t="s">
        <v>1109</v>
      </c>
    </row>
    <row r="1850" spans="1:9" x14ac:dyDescent="0.2">
      <c r="A1850" s="997">
        <f t="shared" si="28"/>
        <v>1849</v>
      </c>
      <c r="B1850" s="983" t="s">
        <v>2711</v>
      </c>
      <c r="C1850" s="1000"/>
      <c r="G1850" s="983" t="s">
        <v>1106</v>
      </c>
    </row>
    <row r="1851" spans="1:9" x14ac:dyDescent="0.2">
      <c r="A1851" s="997">
        <f t="shared" si="28"/>
        <v>1850</v>
      </c>
      <c r="B1851" s="983" t="s">
        <v>2711</v>
      </c>
      <c r="C1851" s="999"/>
      <c r="H1851" s="983" t="s">
        <v>1107</v>
      </c>
    </row>
    <row r="1852" spans="1:9" x14ac:dyDescent="0.2">
      <c r="A1852" s="997">
        <f t="shared" si="28"/>
        <v>1851</v>
      </c>
      <c r="B1852" s="983" t="s">
        <v>2711</v>
      </c>
      <c r="C1852" s="999"/>
      <c r="I1852" s="983" t="s">
        <v>1429</v>
      </c>
    </row>
    <row r="1853" spans="1:9" x14ac:dyDescent="0.2">
      <c r="A1853" s="997">
        <f t="shared" si="28"/>
        <v>1852</v>
      </c>
      <c r="B1853" s="983" t="s">
        <v>2711</v>
      </c>
      <c r="C1853" s="1000"/>
      <c r="H1853" s="983" t="s">
        <v>1108</v>
      </c>
    </row>
    <row r="1854" spans="1:9" x14ac:dyDescent="0.2">
      <c r="A1854" s="997">
        <f t="shared" si="28"/>
        <v>1853</v>
      </c>
      <c r="B1854" s="983" t="s">
        <v>2711</v>
      </c>
      <c r="C1854" s="1001"/>
      <c r="H1854" s="983" t="str">
        <f>CONCATENATE("&lt;valeur&gt;",Cellule_11207,"&lt;/valeur&gt;")</f>
        <v>&lt;valeur&gt;0&lt;/valeur&gt;</v>
      </c>
    </row>
    <row r="1855" spans="1:9" x14ac:dyDescent="0.2">
      <c r="A1855" s="997">
        <f t="shared" si="28"/>
        <v>1854</v>
      </c>
      <c r="B1855" s="983" t="s">
        <v>2711</v>
      </c>
      <c r="C1855" s="1000"/>
      <c r="G1855" s="983" t="s">
        <v>1109</v>
      </c>
    </row>
    <row r="1856" spans="1:9" x14ac:dyDescent="0.2">
      <c r="A1856" s="997">
        <f t="shared" si="28"/>
        <v>1855</v>
      </c>
      <c r="B1856" s="983" t="s">
        <v>2711</v>
      </c>
      <c r="C1856" s="1000"/>
      <c r="G1856" s="983" t="s">
        <v>1106</v>
      </c>
    </row>
    <row r="1857" spans="1:9" x14ac:dyDescent="0.2">
      <c r="A1857" s="997">
        <f t="shared" si="28"/>
        <v>1856</v>
      </c>
      <c r="B1857" s="983" t="s">
        <v>2711</v>
      </c>
      <c r="C1857" s="999"/>
      <c r="H1857" s="983" t="s">
        <v>1107</v>
      </c>
    </row>
    <row r="1858" spans="1:9" x14ac:dyDescent="0.2">
      <c r="A1858" s="997">
        <f t="shared" si="28"/>
        <v>1857</v>
      </c>
      <c r="B1858" s="983" t="s">
        <v>2711</v>
      </c>
      <c r="C1858" s="999"/>
      <c r="I1858" s="983" t="s">
        <v>1430</v>
      </c>
    </row>
    <row r="1859" spans="1:9" x14ac:dyDescent="0.2">
      <c r="A1859" s="997">
        <f t="shared" si="28"/>
        <v>1858</v>
      </c>
      <c r="B1859" s="983" t="s">
        <v>2711</v>
      </c>
      <c r="C1859" s="1000"/>
      <c r="H1859" s="983" t="s">
        <v>1108</v>
      </c>
    </row>
    <row r="1860" spans="1:9" x14ac:dyDescent="0.2">
      <c r="A1860" s="997">
        <f t="shared" ref="A1860:A1923" si="29">+A1859+1</f>
        <v>1859</v>
      </c>
      <c r="B1860" s="983" t="s">
        <v>2711</v>
      </c>
      <c r="C1860" s="1001"/>
      <c r="H1860" s="983" t="str">
        <f>CONCATENATE("&lt;valeur&gt;",Cellule_11212,"&lt;/valeur&gt;")</f>
        <v>&lt;valeur&gt;0&lt;/valeur&gt;</v>
      </c>
    </row>
    <row r="1861" spans="1:9" x14ac:dyDescent="0.2">
      <c r="A1861" s="997">
        <f t="shared" si="29"/>
        <v>1860</v>
      </c>
      <c r="B1861" s="983" t="s">
        <v>2711</v>
      </c>
      <c r="C1861" s="1000"/>
      <c r="G1861" s="983" t="s">
        <v>1109</v>
      </c>
    </row>
    <row r="1862" spans="1:9" x14ac:dyDescent="0.2">
      <c r="A1862" s="997">
        <f t="shared" si="29"/>
        <v>1861</v>
      </c>
      <c r="B1862" s="983" t="s">
        <v>2711</v>
      </c>
      <c r="C1862" s="1000"/>
      <c r="G1862" s="983" t="s">
        <v>1106</v>
      </c>
    </row>
    <row r="1863" spans="1:9" x14ac:dyDescent="0.2">
      <c r="A1863" s="997">
        <f t="shared" si="29"/>
        <v>1862</v>
      </c>
      <c r="B1863" s="983" t="s">
        <v>2711</v>
      </c>
      <c r="C1863" s="999"/>
      <c r="H1863" s="983" t="s">
        <v>1107</v>
      </c>
    </row>
    <row r="1864" spans="1:9" x14ac:dyDescent="0.2">
      <c r="A1864" s="997">
        <f t="shared" si="29"/>
        <v>1863</v>
      </c>
      <c r="B1864" s="983" t="s">
        <v>2711</v>
      </c>
      <c r="C1864" s="999"/>
      <c r="I1864" s="983" t="s">
        <v>1431</v>
      </c>
    </row>
    <row r="1865" spans="1:9" x14ac:dyDescent="0.2">
      <c r="A1865" s="997">
        <f t="shared" si="29"/>
        <v>1864</v>
      </c>
      <c r="B1865" s="983" t="s">
        <v>2711</v>
      </c>
      <c r="C1865" s="1000"/>
      <c r="H1865" s="983" t="s">
        <v>1108</v>
      </c>
    </row>
    <row r="1866" spans="1:9" x14ac:dyDescent="0.2">
      <c r="A1866" s="997">
        <f t="shared" si="29"/>
        <v>1865</v>
      </c>
      <c r="B1866" s="983" t="s">
        <v>2711</v>
      </c>
      <c r="C1866" s="1001"/>
      <c r="H1866" s="983" t="str">
        <f>CONCATENATE("&lt;valeur&gt;",Cellule_11217,"&lt;/valeur&gt;")</f>
        <v>&lt;valeur&gt;0&lt;/valeur&gt;</v>
      </c>
    </row>
    <row r="1867" spans="1:9" x14ac:dyDescent="0.2">
      <c r="A1867" s="997">
        <f t="shared" si="29"/>
        <v>1866</v>
      </c>
      <c r="B1867" s="983" t="s">
        <v>2711</v>
      </c>
      <c r="C1867" s="1000"/>
      <c r="G1867" s="983" t="s">
        <v>1109</v>
      </c>
    </row>
    <row r="1868" spans="1:9" x14ac:dyDescent="0.2">
      <c r="A1868" s="997">
        <f t="shared" si="29"/>
        <v>1867</v>
      </c>
      <c r="B1868" s="983" t="s">
        <v>2711</v>
      </c>
      <c r="C1868" s="1000"/>
      <c r="G1868" s="983" t="s">
        <v>1106</v>
      </c>
    </row>
    <row r="1869" spans="1:9" x14ac:dyDescent="0.2">
      <c r="A1869" s="997">
        <f t="shared" si="29"/>
        <v>1868</v>
      </c>
      <c r="B1869" s="983" t="s">
        <v>2711</v>
      </c>
      <c r="C1869" s="999"/>
      <c r="H1869" s="983" t="s">
        <v>1107</v>
      </c>
    </row>
    <row r="1870" spans="1:9" x14ac:dyDescent="0.2">
      <c r="A1870" s="997">
        <f t="shared" si="29"/>
        <v>1869</v>
      </c>
      <c r="B1870" s="983" t="s">
        <v>2711</v>
      </c>
      <c r="C1870" s="999"/>
      <c r="I1870" s="983" t="s">
        <v>1432</v>
      </c>
    </row>
    <row r="1871" spans="1:9" x14ac:dyDescent="0.2">
      <c r="A1871" s="997">
        <f t="shared" si="29"/>
        <v>1870</v>
      </c>
      <c r="B1871" s="983" t="s">
        <v>2711</v>
      </c>
      <c r="C1871" s="1000"/>
      <c r="H1871" s="983" t="s">
        <v>1108</v>
      </c>
    </row>
    <row r="1872" spans="1:9" x14ac:dyDescent="0.2">
      <c r="A1872" s="997">
        <f t="shared" si="29"/>
        <v>1871</v>
      </c>
      <c r="B1872" s="983" t="s">
        <v>2711</v>
      </c>
      <c r="C1872" s="1001"/>
      <c r="H1872" s="983" t="str">
        <f>CONCATENATE("&lt;valeur&gt;",Cellule_11222,"&lt;/valeur&gt;")</f>
        <v>&lt;valeur&gt;0&lt;/valeur&gt;</v>
      </c>
    </row>
    <row r="1873" spans="1:9" x14ac:dyDescent="0.2">
      <c r="A1873" s="997">
        <f t="shared" si="29"/>
        <v>1872</v>
      </c>
      <c r="B1873" s="983" t="s">
        <v>2711</v>
      </c>
      <c r="C1873" s="1000"/>
      <c r="G1873" s="983" t="s">
        <v>1109</v>
      </c>
    </row>
    <row r="1874" spans="1:9" x14ac:dyDescent="0.2">
      <c r="A1874" s="997">
        <f t="shared" si="29"/>
        <v>1873</v>
      </c>
      <c r="B1874" s="983" t="s">
        <v>2711</v>
      </c>
      <c r="C1874" s="1000"/>
      <c r="G1874" s="983" t="s">
        <v>1106</v>
      </c>
    </row>
    <row r="1875" spans="1:9" x14ac:dyDescent="0.2">
      <c r="A1875" s="997">
        <f t="shared" si="29"/>
        <v>1874</v>
      </c>
      <c r="B1875" s="983" t="s">
        <v>2711</v>
      </c>
      <c r="C1875" s="999"/>
      <c r="H1875" s="983" t="s">
        <v>1107</v>
      </c>
    </row>
    <row r="1876" spans="1:9" x14ac:dyDescent="0.2">
      <c r="A1876" s="997">
        <f t="shared" si="29"/>
        <v>1875</v>
      </c>
      <c r="B1876" s="983" t="s">
        <v>2711</v>
      </c>
      <c r="C1876" s="999"/>
      <c r="I1876" s="983" t="s">
        <v>1433</v>
      </c>
    </row>
    <row r="1877" spans="1:9" x14ac:dyDescent="0.2">
      <c r="A1877" s="997">
        <f t="shared" si="29"/>
        <v>1876</v>
      </c>
      <c r="B1877" s="983" t="s">
        <v>2711</v>
      </c>
      <c r="C1877" s="1000"/>
      <c r="H1877" s="983" t="s">
        <v>1108</v>
      </c>
    </row>
    <row r="1878" spans="1:9" x14ac:dyDescent="0.2">
      <c r="A1878" s="997">
        <f t="shared" si="29"/>
        <v>1877</v>
      </c>
      <c r="B1878" s="983" t="s">
        <v>2711</v>
      </c>
      <c r="C1878" s="1001"/>
      <c r="H1878" s="983" t="str">
        <f>CONCATENATE("&lt;valeur&gt;",Cellule_11227,"&lt;/valeur&gt;")</f>
        <v>&lt;valeur&gt;0&lt;/valeur&gt;</v>
      </c>
    </row>
    <row r="1879" spans="1:9" x14ac:dyDescent="0.2">
      <c r="A1879" s="997">
        <f t="shared" si="29"/>
        <v>1878</v>
      </c>
      <c r="B1879" s="983" t="s">
        <v>2711</v>
      </c>
      <c r="C1879" s="1000"/>
      <c r="G1879" s="983" t="s">
        <v>1109</v>
      </c>
    </row>
    <row r="1880" spans="1:9" x14ac:dyDescent="0.2">
      <c r="A1880" s="997">
        <f t="shared" si="29"/>
        <v>1879</v>
      </c>
      <c r="B1880" s="983" t="s">
        <v>2711</v>
      </c>
      <c r="C1880" s="1000"/>
      <c r="G1880" s="983" t="s">
        <v>1106</v>
      </c>
    </row>
    <row r="1881" spans="1:9" x14ac:dyDescent="0.2">
      <c r="A1881" s="997">
        <f t="shared" si="29"/>
        <v>1880</v>
      </c>
      <c r="B1881" s="983" t="s">
        <v>2711</v>
      </c>
      <c r="C1881" s="999"/>
      <c r="H1881" s="983" t="s">
        <v>1107</v>
      </c>
    </row>
    <row r="1882" spans="1:9" x14ac:dyDescent="0.2">
      <c r="A1882" s="997">
        <f t="shared" si="29"/>
        <v>1881</v>
      </c>
      <c r="B1882" s="983" t="s">
        <v>2711</v>
      </c>
      <c r="C1882" s="999"/>
      <c r="I1882" s="983" t="s">
        <v>1434</v>
      </c>
    </row>
    <row r="1883" spans="1:9" x14ac:dyDescent="0.2">
      <c r="A1883" s="997">
        <f t="shared" si="29"/>
        <v>1882</v>
      </c>
      <c r="B1883" s="983" t="s">
        <v>2711</v>
      </c>
      <c r="C1883" s="1000"/>
      <c r="H1883" s="983" t="s">
        <v>1108</v>
      </c>
    </row>
    <row r="1884" spans="1:9" x14ac:dyDescent="0.2">
      <c r="A1884" s="997">
        <f t="shared" si="29"/>
        <v>1883</v>
      </c>
      <c r="B1884" s="983" t="s">
        <v>2711</v>
      </c>
      <c r="C1884" s="1001"/>
      <c r="H1884" s="983" t="str">
        <f>CONCATENATE("&lt;valeur&gt;",Cellule_11232,"&lt;/valeur&gt;")</f>
        <v>&lt;valeur&gt;0&lt;/valeur&gt;</v>
      </c>
    </row>
    <row r="1885" spans="1:9" x14ac:dyDescent="0.2">
      <c r="A1885" s="997">
        <f t="shared" si="29"/>
        <v>1884</v>
      </c>
      <c r="B1885" s="983" t="s">
        <v>2711</v>
      </c>
      <c r="C1885" s="1000"/>
      <c r="G1885" s="983" t="s">
        <v>1109</v>
      </c>
    </row>
    <row r="1886" spans="1:9" x14ac:dyDescent="0.2">
      <c r="A1886" s="997">
        <f t="shared" si="29"/>
        <v>1885</v>
      </c>
      <c r="B1886" s="983" t="s">
        <v>2711</v>
      </c>
      <c r="C1886" s="1000"/>
      <c r="G1886" s="983" t="s">
        <v>1106</v>
      </c>
    </row>
    <row r="1887" spans="1:9" x14ac:dyDescent="0.2">
      <c r="A1887" s="997">
        <f t="shared" si="29"/>
        <v>1886</v>
      </c>
      <c r="B1887" s="983" t="s">
        <v>2711</v>
      </c>
      <c r="C1887" s="999"/>
      <c r="H1887" s="983" t="s">
        <v>1107</v>
      </c>
    </row>
    <row r="1888" spans="1:9" x14ac:dyDescent="0.2">
      <c r="A1888" s="997">
        <f t="shared" si="29"/>
        <v>1887</v>
      </c>
      <c r="B1888" s="983" t="s">
        <v>2711</v>
      </c>
      <c r="C1888" s="999"/>
      <c r="I1888" s="983" t="s">
        <v>1435</v>
      </c>
    </row>
    <row r="1889" spans="1:9" x14ac:dyDescent="0.2">
      <c r="A1889" s="997">
        <f t="shared" si="29"/>
        <v>1888</v>
      </c>
      <c r="B1889" s="983" t="s">
        <v>2711</v>
      </c>
      <c r="C1889" s="1000"/>
      <c r="H1889" s="983" t="s">
        <v>1108</v>
      </c>
    </row>
    <row r="1890" spans="1:9" x14ac:dyDescent="0.2">
      <c r="A1890" s="997">
        <f t="shared" si="29"/>
        <v>1889</v>
      </c>
      <c r="B1890" s="983" t="s">
        <v>2711</v>
      </c>
      <c r="C1890" s="1001"/>
      <c r="H1890" s="983" t="str">
        <f>CONCATENATE("&lt;valeur&gt;",Cellule_11177,"&lt;/valeur&gt;")</f>
        <v>&lt;valeur&gt;0&lt;/valeur&gt;</v>
      </c>
    </row>
    <row r="1891" spans="1:9" x14ac:dyDescent="0.2">
      <c r="A1891" s="997">
        <f t="shared" si="29"/>
        <v>1890</v>
      </c>
      <c r="B1891" s="983" t="s">
        <v>2711</v>
      </c>
      <c r="C1891" s="1000"/>
      <c r="G1891" s="983" t="s">
        <v>1109</v>
      </c>
    </row>
    <row r="1892" spans="1:9" x14ac:dyDescent="0.2">
      <c r="A1892" s="997">
        <f t="shared" si="29"/>
        <v>1891</v>
      </c>
      <c r="B1892" s="983" t="s">
        <v>2711</v>
      </c>
      <c r="C1892" s="1000"/>
      <c r="G1892" s="983" t="s">
        <v>1106</v>
      </c>
    </row>
    <row r="1893" spans="1:9" x14ac:dyDescent="0.2">
      <c r="A1893" s="997">
        <f t="shared" si="29"/>
        <v>1892</v>
      </c>
      <c r="B1893" s="983" t="s">
        <v>2711</v>
      </c>
      <c r="C1893" s="999"/>
      <c r="H1893" s="983" t="s">
        <v>1107</v>
      </c>
    </row>
    <row r="1894" spans="1:9" x14ac:dyDescent="0.2">
      <c r="A1894" s="997">
        <f t="shared" si="29"/>
        <v>1893</v>
      </c>
      <c r="B1894" s="983" t="s">
        <v>2711</v>
      </c>
      <c r="C1894" s="999"/>
      <c r="I1894" s="983" t="s">
        <v>1436</v>
      </c>
    </row>
    <row r="1895" spans="1:9" x14ac:dyDescent="0.2">
      <c r="A1895" s="997">
        <f t="shared" si="29"/>
        <v>1894</v>
      </c>
      <c r="B1895" s="983" t="s">
        <v>2711</v>
      </c>
      <c r="C1895" s="1000"/>
      <c r="H1895" s="983" t="s">
        <v>1108</v>
      </c>
    </row>
    <row r="1896" spans="1:9" x14ac:dyDescent="0.2">
      <c r="A1896" s="997">
        <f t="shared" si="29"/>
        <v>1895</v>
      </c>
      <c r="B1896" s="983" t="s">
        <v>2711</v>
      </c>
      <c r="C1896" s="1001"/>
      <c r="H1896" s="983" t="str">
        <f>CONCATENATE("&lt;valeur&gt;",Cellule_11182,"&lt;/valeur&gt;")</f>
        <v>&lt;valeur&gt;0&lt;/valeur&gt;</v>
      </c>
    </row>
    <row r="1897" spans="1:9" x14ac:dyDescent="0.2">
      <c r="A1897" s="997">
        <f t="shared" si="29"/>
        <v>1896</v>
      </c>
      <c r="B1897" s="983" t="s">
        <v>2711</v>
      </c>
      <c r="C1897" s="1000"/>
      <c r="G1897" s="983" t="s">
        <v>1109</v>
      </c>
    </row>
    <row r="1898" spans="1:9" x14ac:dyDescent="0.2">
      <c r="A1898" s="997">
        <f t="shared" si="29"/>
        <v>1897</v>
      </c>
      <c r="B1898" s="983" t="s">
        <v>2711</v>
      </c>
      <c r="C1898" s="1000"/>
      <c r="G1898" s="983" t="s">
        <v>1106</v>
      </c>
    </row>
    <row r="1899" spans="1:9" x14ac:dyDescent="0.2">
      <c r="A1899" s="997">
        <f t="shared" si="29"/>
        <v>1898</v>
      </c>
      <c r="B1899" s="983" t="s">
        <v>2711</v>
      </c>
      <c r="C1899" s="999"/>
      <c r="H1899" s="983" t="s">
        <v>1107</v>
      </c>
    </row>
    <row r="1900" spans="1:9" x14ac:dyDescent="0.2">
      <c r="A1900" s="997">
        <f t="shared" si="29"/>
        <v>1899</v>
      </c>
      <c r="B1900" s="983" t="s">
        <v>2711</v>
      </c>
      <c r="C1900" s="999"/>
      <c r="I1900" s="983" t="s">
        <v>1437</v>
      </c>
    </row>
    <row r="1901" spans="1:9" x14ac:dyDescent="0.2">
      <c r="A1901" s="997">
        <f t="shared" si="29"/>
        <v>1900</v>
      </c>
      <c r="B1901" s="983" t="s">
        <v>2711</v>
      </c>
      <c r="C1901" s="1000"/>
      <c r="H1901" s="983" t="s">
        <v>1108</v>
      </c>
    </row>
    <row r="1902" spans="1:9" x14ac:dyDescent="0.2">
      <c r="A1902" s="997">
        <f t="shared" si="29"/>
        <v>1901</v>
      </c>
      <c r="B1902" s="983" t="s">
        <v>2711</v>
      </c>
      <c r="C1902" s="1001"/>
      <c r="H1902" s="983" t="str">
        <f>CONCATENATE("&lt;valeur&gt;",Cellule_11187,"&lt;/valeur&gt;")</f>
        <v>&lt;valeur&gt;0&lt;/valeur&gt;</v>
      </c>
    </row>
    <row r="1903" spans="1:9" x14ac:dyDescent="0.2">
      <c r="A1903" s="997">
        <f t="shared" si="29"/>
        <v>1902</v>
      </c>
      <c r="B1903" s="983" t="s">
        <v>2711</v>
      </c>
      <c r="C1903" s="1000"/>
      <c r="G1903" s="983" t="s">
        <v>1109</v>
      </c>
    </row>
    <row r="1904" spans="1:9" x14ac:dyDescent="0.2">
      <c r="A1904" s="997">
        <f t="shared" si="29"/>
        <v>1903</v>
      </c>
      <c r="B1904" s="983" t="s">
        <v>2711</v>
      </c>
      <c r="C1904" s="1000"/>
      <c r="G1904" s="983" t="s">
        <v>1106</v>
      </c>
    </row>
    <row r="1905" spans="1:9" x14ac:dyDescent="0.2">
      <c r="A1905" s="997">
        <f t="shared" si="29"/>
        <v>1904</v>
      </c>
      <c r="B1905" s="983" t="s">
        <v>2711</v>
      </c>
      <c r="C1905" s="999"/>
      <c r="H1905" s="983" t="s">
        <v>1107</v>
      </c>
    </row>
    <row r="1906" spans="1:9" x14ac:dyDescent="0.2">
      <c r="A1906" s="997">
        <f t="shared" si="29"/>
        <v>1905</v>
      </c>
      <c r="B1906" s="983" t="s">
        <v>2711</v>
      </c>
      <c r="C1906" s="999"/>
      <c r="I1906" s="983" t="s">
        <v>1438</v>
      </c>
    </row>
    <row r="1907" spans="1:9" x14ac:dyDescent="0.2">
      <c r="A1907" s="997">
        <f t="shared" si="29"/>
        <v>1906</v>
      </c>
      <c r="B1907" s="983" t="s">
        <v>2711</v>
      </c>
      <c r="C1907" s="1000"/>
      <c r="H1907" s="983" t="s">
        <v>1108</v>
      </c>
    </row>
    <row r="1908" spans="1:9" x14ac:dyDescent="0.2">
      <c r="A1908" s="997">
        <f t="shared" si="29"/>
        <v>1907</v>
      </c>
      <c r="B1908" s="983" t="s">
        <v>2711</v>
      </c>
      <c r="C1908" s="1001"/>
      <c r="H1908" s="983" t="str">
        <f>CONCATENATE("&lt;valeur&gt;",Cellule_11192,"&lt;/valeur&gt;")</f>
        <v>&lt;valeur&gt;&lt;/valeur&gt;</v>
      </c>
    </row>
    <row r="1909" spans="1:9" x14ac:dyDescent="0.2">
      <c r="A1909" s="997">
        <f t="shared" si="29"/>
        <v>1908</v>
      </c>
      <c r="B1909" s="983" t="s">
        <v>2711</v>
      </c>
      <c r="C1909" s="1000"/>
      <c r="G1909" s="983" t="s">
        <v>1109</v>
      </c>
    </row>
    <row r="1910" spans="1:9" x14ac:dyDescent="0.2">
      <c r="A1910" s="997">
        <f t="shared" si="29"/>
        <v>1909</v>
      </c>
      <c r="B1910" s="983" t="s">
        <v>2711</v>
      </c>
      <c r="C1910" s="1000"/>
      <c r="G1910" s="983" t="s">
        <v>1106</v>
      </c>
    </row>
    <row r="1911" spans="1:9" x14ac:dyDescent="0.2">
      <c r="A1911" s="997">
        <f t="shared" si="29"/>
        <v>1910</v>
      </c>
      <c r="B1911" s="983" t="s">
        <v>2711</v>
      </c>
      <c r="C1911" s="999"/>
      <c r="H1911" s="983" t="s">
        <v>1107</v>
      </c>
    </row>
    <row r="1912" spans="1:9" x14ac:dyDescent="0.2">
      <c r="A1912" s="997">
        <f t="shared" si="29"/>
        <v>1911</v>
      </c>
      <c r="B1912" s="983" t="s">
        <v>2711</v>
      </c>
      <c r="C1912" s="999"/>
      <c r="I1912" s="983" t="s">
        <v>1439</v>
      </c>
    </row>
    <row r="1913" spans="1:9" x14ac:dyDescent="0.2">
      <c r="A1913" s="997">
        <f t="shared" si="29"/>
        <v>1912</v>
      </c>
      <c r="B1913" s="983" t="s">
        <v>2711</v>
      </c>
      <c r="C1913" s="1000"/>
      <c r="H1913" s="983" t="s">
        <v>1108</v>
      </c>
    </row>
    <row r="1914" spans="1:9" x14ac:dyDescent="0.2">
      <c r="A1914" s="997">
        <f t="shared" si="29"/>
        <v>1913</v>
      </c>
      <c r="B1914" s="983" t="s">
        <v>2711</v>
      </c>
      <c r="C1914" s="1001"/>
      <c r="H1914" s="983" t="str">
        <f>CONCATENATE("&lt;valeur&gt;",Cellule_11197,"&lt;/valeur&gt;")</f>
        <v>&lt;valeur&gt;0&lt;/valeur&gt;</v>
      </c>
    </row>
    <row r="1915" spans="1:9" x14ac:dyDescent="0.2">
      <c r="A1915" s="997">
        <f t="shared" si="29"/>
        <v>1914</v>
      </c>
      <c r="B1915" s="983" t="s">
        <v>2711</v>
      </c>
      <c r="C1915" s="1000"/>
      <c r="G1915" s="983" t="s">
        <v>1109</v>
      </c>
    </row>
    <row r="1916" spans="1:9" x14ac:dyDescent="0.2">
      <c r="A1916" s="997">
        <f t="shared" si="29"/>
        <v>1915</v>
      </c>
      <c r="B1916" s="983" t="s">
        <v>2711</v>
      </c>
      <c r="C1916" s="1000"/>
      <c r="G1916" s="983" t="s">
        <v>1106</v>
      </c>
    </row>
    <row r="1917" spans="1:9" x14ac:dyDescent="0.2">
      <c r="A1917" s="997">
        <f t="shared" si="29"/>
        <v>1916</v>
      </c>
      <c r="B1917" s="983" t="s">
        <v>2711</v>
      </c>
      <c r="C1917" s="999"/>
      <c r="H1917" s="983" t="s">
        <v>1107</v>
      </c>
    </row>
    <row r="1918" spans="1:9" x14ac:dyDescent="0.2">
      <c r="A1918" s="997">
        <f t="shared" si="29"/>
        <v>1917</v>
      </c>
      <c r="B1918" s="983" t="s">
        <v>2711</v>
      </c>
      <c r="C1918" s="999"/>
      <c r="I1918" s="983" t="s">
        <v>1440</v>
      </c>
    </row>
    <row r="1919" spans="1:9" x14ac:dyDescent="0.2">
      <c r="A1919" s="997">
        <f t="shared" si="29"/>
        <v>1918</v>
      </c>
      <c r="B1919" s="983" t="s">
        <v>2711</v>
      </c>
      <c r="C1919" s="1000"/>
      <c r="H1919" s="983" t="s">
        <v>1108</v>
      </c>
    </row>
    <row r="1920" spans="1:9" x14ac:dyDescent="0.2">
      <c r="A1920" s="997">
        <f t="shared" si="29"/>
        <v>1919</v>
      </c>
      <c r="B1920" s="983" t="s">
        <v>2711</v>
      </c>
      <c r="C1920" s="1001"/>
      <c r="H1920" s="983" t="str">
        <f>CONCATENATE("&lt;valeur&gt;",Cellule_11267,"&lt;/valeur&gt;")</f>
        <v>&lt;valeur&gt;0&lt;/valeur&gt;</v>
      </c>
    </row>
    <row r="1921" spans="1:9" x14ac:dyDescent="0.2">
      <c r="A1921" s="997">
        <f t="shared" si="29"/>
        <v>1920</v>
      </c>
      <c r="B1921" s="983" t="s">
        <v>2711</v>
      </c>
      <c r="C1921" s="1000"/>
      <c r="G1921" s="983" t="s">
        <v>1109</v>
      </c>
    </row>
    <row r="1922" spans="1:9" x14ac:dyDescent="0.2">
      <c r="A1922" s="997">
        <f t="shared" si="29"/>
        <v>1921</v>
      </c>
      <c r="B1922" s="983" t="s">
        <v>2711</v>
      </c>
      <c r="C1922" s="1000"/>
      <c r="G1922" s="983" t="s">
        <v>1106</v>
      </c>
    </row>
    <row r="1923" spans="1:9" x14ac:dyDescent="0.2">
      <c r="A1923" s="997">
        <f t="shared" si="29"/>
        <v>1922</v>
      </c>
      <c r="B1923" s="983" t="s">
        <v>2711</v>
      </c>
      <c r="C1923" s="999"/>
      <c r="H1923" s="983" t="s">
        <v>1107</v>
      </c>
    </row>
    <row r="1924" spans="1:9" x14ac:dyDescent="0.2">
      <c r="A1924" s="997">
        <f t="shared" ref="A1924:A1987" si="30">+A1923+1</f>
        <v>1923</v>
      </c>
      <c r="B1924" s="983" t="s">
        <v>2711</v>
      </c>
      <c r="C1924" s="999"/>
      <c r="I1924" s="983" t="s">
        <v>1441</v>
      </c>
    </row>
    <row r="1925" spans="1:9" x14ac:dyDescent="0.2">
      <c r="A1925" s="997">
        <f t="shared" si="30"/>
        <v>1924</v>
      </c>
      <c r="B1925" s="983" t="s">
        <v>2711</v>
      </c>
      <c r="C1925" s="1000"/>
      <c r="H1925" s="983" t="s">
        <v>1108</v>
      </c>
    </row>
    <row r="1926" spans="1:9" x14ac:dyDescent="0.2">
      <c r="A1926" s="997">
        <f t="shared" si="30"/>
        <v>1925</v>
      </c>
      <c r="B1926" s="983" t="s">
        <v>2711</v>
      </c>
      <c r="C1926" s="1001"/>
      <c r="H1926" s="983" t="str">
        <f>CONCATENATE("&lt;valeur&gt;",Cellule_11237,"&lt;/valeur&gt;")</f>
        <v>&lt;valeur&gt;0&lt;/valeur&gt;</v>
      </c>
    </row>
    <row r="1927" spans="1:9" x14ac:dyDescent="0.2">
      <c r="A1927" s="997">
        <f t="shared" si="30"/>
        <v>1926</v>
      </c>
      <c r="B1927" s="983" t="s">
        <v>2711</v>
      </c>
      <c r="C1927" s="1000"/>
      <c r="G1927" s="983" t="s">
        <v>1109</v>
      </c>
    </row>
    <row r="1928" spans="1:9" x14ac:dyDescent="0.2">
      <c r="A1928" s="997">
        <f t="shared" si="30"/>
        <v>1927</v>
      </c>
      <c r="B1928" s="983" t="s">
        <v>2711</v>
      </c>
      <c r="C1928" s="1000"/>
      <c r="G1928" s="983" t="s">
        <v>1106</v>
      </c>
    </row>
    <row r="1929" spans="1:9" x14ac:dyDescent="0.2">
      <c r="A1929" s="997">
        <f t="shared" si="30"/>
        <v>1928</v>
      </c>
      <c r="B1929" s="983" t="s">
        <v>2711</v>
      </c>
      <c r="C1929" s="999"/>
      <c r="H1929" s="983" t="s">
        <v>1107</v>
      </c>
    </row>
    <row r="1930" spans="1:9" x14ac:dyDescent="0.2">
      <c r="A1930" s="997">
        <f t="shared" si="30"/>
        <v>1929</v>
      </c>
      <c r="B1930" s="983" t="s">
        <v>2711</v>
      </c>
      <c r="C1930" s="999"/>
      <c r="I1930" s="983" t="s">
        <v>1442</v>
      </c>
    </row>
    <row r="1931" spans="1:9" x14ac:dyDescent="0.2">
      <c r="A1931" s="997">
        <f t="shared" si="30"/>
        <v>1930</v>
      </c>
      <c r="B1931" s="983" t="s">
        <v>2711</v>
      </c>
      <c r="C1931" s="1000"/>
      <c r="H1931" s="983" t="s">
        <v>1108</v>
      </c>
    </row>
    <row r="1932" spans="1:9" x14ac:dyDescent="0.2">
      <c r="A1932" s="997">
        <f t="shared" si="30"/>
        <v>1931</v>
      </c>
      <c r="B1932" s="983" t="s">
        <v>2711</v>
      </c>
      <c r="C1932" s="1001"/>
      <c r="H1932" s="983" t="str">
        <f>CONCATENATE("&lt;valeur&gt;",Cellule_11242,"&lt;/valeur&gt;")</f>
        <v>&lt;valeur&gt;0&lt;/valeur&gt;</v>
      </c>
    </row>
    <row r="1933" spans="1:9" x14ac:dyDescent="0.2">
      <c r="A1933" s="997">
        <f t="shared" si="30"/>
        <v>1932</v>
      </c>
      <c r="B1933" s="983" t="s">
        <v>2711</v>
      </c>
      <c r="C1933" s="1000"/>
      <c r="G1933" s="983" t="s">
        <v>1109</v>
      </c>
    </row>
    <row r="1934" spans="1:9" x14ac:dyDescent="0.2">
      <c r="A1934" s="997">
        <f t="shared" si="30"/>
        <v>1933</v>
      </c>
      <c r="B1934" s="983" t="s">
        <v>2711</v>
      </c>
      <c r="C1934" s="1000"/>
      <c r="G1934" s="983" t="s">
        <v>1106</v>
      </c>
    </row>
    <row r="1935" spans="1:9" x14ac:dyDescent="0.2">
      <c r="A1935" s="997">
        <f t="shared" si="30"/>
        <v>1934</v>
      </c>
      <c r="B1935" s="983" t="s">
        <v>2711</v>
      </c>
      <c r="C1935" s="999"/>
      <c r="H1935" s="983" t="s">
        <v>1107</v>
      </c>
    </row>
    <row r="1936" spans="1:9" x14ac:dyDescent="0.2">
      <c r="A1936" s="997">
        <f t="shared" si="30"/>
        <v>1935</v>
      </c>
      <c r="B1936" s="983" t="s">
        <v>2711</v>
      </c>
      <c r="C1936" s="999"/>
      <c r="I1936" s="983" t="s">
        <v>1443</v>
      </c>
    </row>
    <row r="1937" spans="1:9" x14ac:dyDescent="0.2">
      <c r="A1937" s="997">
        <f t="shared" si="30"/>
        <v>1936</v>
      </c>
      <c r="B1937" s="983" t="s">
        <v>2711</v>
      </c>
      <c r="C1937" s="1000"/>
      <c r="H1937" s="983" t="s">
        <v>1108</v>
      </c>
    </row>
    <row r="1938" spans="1:9" x14ac:dyDescent="0.2">
      <c r="A1938" s="997">
        <f t="shared" si="30"/>
        <v>1937</v>
      </c>
      <c r="B1938" s="983" t="s">
        <v>2711</v>
      </c>
      <c r="C1938" s="1001"/>
      <c r="H1938" s="983" t="str">
        <f>CONCATENATE("&lt;valeur&gt;",Cellule_11247,"&lt;/valeur&gt;")</f>
        <v>&lt;valeur&gt;0&lt;/valeur&gt;</v>
      </c>
    </row>
    <row r="1939" spans="1:9" x14ac:dyDescent="0.2">
      <c r="A1939" s="997">
        <f t="shared" si="30"/>
        <v>1938</v>
      </c>
      <c r="B1939" s="983" t="s">
        <v>2711</v>
      </c>
      <c r="C1939" s="1000"/>
      <c r="G1939" s="983" t="s">
        <v>1109</v>
      </c>
    </row>
    <row r="1940" spans="1:9" x14ac:dyDescent="0.2">
      <c r="A1940" s="997">
        <f t="shared" si="30"/>
        <v>1939</v>
      </c>
      <c r="B1940" s="983" t="s">
        <v>2711</v>
      </c>
      <c r="C1940" s="1000"/>
      <c r="G1940" s="983" t="s">
        <v>1106</v>
      </c>
    </row>
    <row r="1941" spans="1:9" x14ac:dyDescent="0.2">
      <c r="A1941" s="997">
        <f t="shared" si="30"/>
        <v>1940</v>
      </c>
      <c r="B1941" s="983" t="s">
        <v>2711</v>
      </c>
      <c r="C1941" s="999"/>
      <c r="H1941" s="983" t="s">
        <v>1107</v>
      </c>
    </row>
    <row r="1942" spans="1:9" x14ac:dyDescent="0.2">
      <c r="A1942" s="997">
        <f t="shared" si="30"/>
        <v>1941</v>
      </c>
      <c r="B1942" s="983" t="s">
        <v>2711</v>
      </c>
      <c r="C1942" s="999"/>
      <c r="I1942" s="983" t="s">
        <v>1444</v>
      </c>
    </row>
    <row r="1943" spans="1:9" x14ac:dyDescent="0.2">
      <c r="A1943" s="997">
        <f t="shared" si="30"/>
        <v>1942</v>
      </c>
      <c r="B1943" s="983" t="s">
        <v>2711</v>
      </c>
      <c r="C1943" s="1000"/>
      <c r="H1943" s="983" t="s">
        <v>1108</v>
      </c>
    </row>
    <row r="1944" spans="1:9" x14ac:dyDescent="0.2">
      <c r="A1944" s="997">
        <f t="shared" si="30"/>
        <v>1943</v>
      </c>
      <c r="B1944" s="983" t="s">
        <v>2711</v>
      </c>
      <c r="C1944" s="1001"/>
      <c r="H1944" s="983" t="str">
        <f>CONCATENATE("&lt;valeur&gt;",Cellule_11252,"&lt;/valeur&gt;")</f>
        <v>&lt;valeur&gt;0&lt;/valeur&gt;</v>
      </c>
    </row>
    <row r="1945" spans="1:9" x14ac:dyDescent="0.2">
      <c r="A1945" s="997">
        <f t="shared" si="30"/>
        <v>1944</v>
      </c>
      <c r="B1945" s="983" t="s">
        <v>2711</v>
      </c>
      <c r="C1945" s="1000"/>
      <c r="G1945" s="983" t="s">
        <v>1109</v>
      </c>
    </row>
    <row r="1946" spans="1:9" x14ac:dyDescent="0.2">
      <c r="A1946" s="997">
        <f t="shared" si="30"/>
        <v>1945</v>
      </c>
      <c r="B1946" s="983" t="s">
        <v>2711</v>
      </c>
      <c r="C1946" s="1000"/>
      <c r="G1946" s="983" t="s">
        <v>1106</v>
      </c>
    </row>
    <row r="1947" spans="1:9" x14ac:dyDescent="0.2">
      <c r="A1947" s="997">
        <f t="shared" si="30"/>
        <v>1946</v>
      </c>
      <c r="B1947" s="983" t="s">
        <v>2711</v>
      </c>
      <c r="C1947" s="999"/>
      <c r="H1947" s="983" t="s">
        <v>1107</v>
      </c>
    </row>
    <row r="1948" spans="1:9" x14ac:dyDescent="0.2">
      <c r="A1948" s="997">
        <f t="shared" si="30"/>
        <v>1947</v>
      </c>
      <c r="B1948" s="983" t="s">
        <v>2711</v>
      </c>
      <c r="C1948" s="999"/>
      <c r="I1948" s="983" t="s">
        <v>1445</v>
      </c>
    </row>
    <row r="1949" spans="1:9" x14ac:dyDescent="0.2">
      <c r="A1949" s="997">
        <f t="shared" si="30"/>
        <v>1948</v>
      </c>
      <c r="B1949" s="983" t="s">
        <v>2711</v>
      </c>
      <c r="C1949" s="1000"/>
      <c r="H1949" s="983" t="s">
        <v>1108</v>
      </c>
    </row>
    <row r="1950" spans="1:9" x14ac:dyDescent="0.2">
      <c r="A1950" s="997">
        <f t="shared" si="30"/>
        <v>1949</v>
      </c>
      <c r="B1950" s="983" t="s">
        <v>2711</v>
      </c>
      <c r="C1950" s="1001"/>
      <c r="H1950" s="983" t="str">
        <f>CONCATENATE("&lt;valeur&gt;",Cellule_11257,"&lt;/valeur&gt;")</f>
        <v>&lt;valeur&gt;0&lt;/valeur&gt;</v>
      </c>
    </row>
    <row r="1951" spans="1:9" x14ac:dyDescent="0.2">
      <c r="A1951" s="997">
        <f t="shared" si="30"/>
        <v>1950</v>
      </c>
      <c r="B1951" s="983" t="s">
        <v>2711</v>
      </c>
      <c r="C1951" s="1000"/>
      <c r="G1951" s="983" t="s">
        <v>1109</v>
      </c>
    </row>
    <row r="1952" spans="1:9" x14ac:dyDescent="0.2">
      <c r="A1952" s="997">
        <f t="shared" si="30"/>
        <v>1951</v>
      </c>
      <c r="B1952" s="983" t="s">
        <v>2711</v>
      </c>
      <c r="C1952" s="1000"/>
      <c r="G1952" s="983" t="s">
        <v>1106</v>
      </c>
    </row>
    <row r="1953" spans="1:9" x14ac:dyDescent="0.2">
      <c r="A1953" s="997">
        <f t="shared" si="30"/>
        <v>1952</v>
      </c>
      <c r="B1953" s="983" t="s">
        <v>2711</v>
      </c>
      <c r="C1953" s="999"/>
      <c r="H1953" s="983" t="s">
        <v>1107</v>
      </c>
    </row>
    <row r="1954" spans="1:9" x14ac:dyDescent="0.2">
      <c r="A1954" s="997">
        <f t="shared" si="30"/>
        <v>1953</v>
      </c>
      <c r="B1954" s="983" t="s">
        <v>2711</v>
      </c>
      <c r="C1954" s="999"/>
      <c r="I1954" s="983" t="s">
        <v>1446</v>
      </c>
    </row>
    <row r="1955" spans="1:9" x14ac:dyDescent="0.2">
      <c r="A1955" s="997">
        <f t="shared" si="30"/>
        <v>1954</v>
      </c>
      <c r="B1955" s="983" t="s">
        <v>2711</v>
      </c>
      <c r="C1955" s="1000"/>
      <c r="H1955" s="983" t="s">
        <v>1108</v>
      </c>
    </row>
    <row r="1956" spans="1:9" x14ac:dyDescent="0.2">
      <c r="A1956" s="997">
        <f t="shared" si="30"/>
        <v>1955</v>
      </c>
      <c r="B1956" s="983" t="s">
        <v>2711</v>
      </c>
      <c r="C1956" s="1001"/>
      <c r="H1956" s="983" t="str">
        <f>CONCATENATE("&lt;valeur&gt;",Cellule_11262,"&lt;/valeur&gt;")</f>
        <v>&lt;valeur&gt;0&lt;/valeur&gt;</v>
      </c>
    </row>
    <row r="1957" spans="1:9" x14ac:dyDescent="0.2">
      <c r="A1957" s="997">
        <f t="shared" si="30"/>
        <v>1956</v>
      </c>
      <c r="B1957" s="983" t="s">
        <v>2711</v>
      </c>
      <c r="C1957" s="1000"/>
      <c r="G1957" s="983" t="s">
        <v>1109</v>
      </c>
    </row>
    <row r="1958" spans="1:9" x14ac:dyDescent="0.2">
      <c r="A1958" s="997">
        <f t="shared" si="30"/>
        <v>1957</v>
      </c>
      <c r="B1958" s="983" t="s">
        <v>2711</v>
      </c>
      <c r="C1958" s="1000"/>
      <c r="G1958" s="983" t="s">
        <v>1106</v>
      </c>
    </row>
    <row r="1959" spans="1:9" x14ac:dyDescent="0.2">
      <c r="A1959" s="997">
        <f t="shared" si="30"/>
        <v>1958</v>
      </c>
      <c r="B1959" s="983" t="s">
        <v>2711</v>
      </c>
      <c r="C1959" s="999"/>
      <c r="H1959" s="983" t="s">
        <v>1107</v>
      </c>
    </row>
    <row r="1960" spans="1:9" x14ac:dyDescent="0.2">
      <c r="A1960" s="997">
        <f t="shared" si="30"/>
        <v>1959</v>
      </c>
      <c r="B1960" s="983" t="s">
        <v>2711</v>
      </c>
      <c r="C1960" s="999"/>
      <c r="I1960" s="983" t="s">
        <v>1447</v>
      </c>
    </row>
    <row r="1961" spans="1:9" x14ac:dyDescent="0.2">
      <c r="A1961" s="997">
        <f t="shared" si="30"/>
        <v>1960</v>
      </c>
      <c r="B1961" s="983" t="s">
        <v>2711</v>
      </c>
      <c r="C1961" s="1000"/>
      <c r="H1961" s="983" t="s">
        <v>1108</v>
      </c>
    </row>
    <row r="1962" spans="1:9" x14ac:dyDescent="0.2">
      <c r="A1962" s="997">
        <f t="shared" si="30"/>
        <v>1961</v>
      </c>
      <c r="B1962" s="983" t="s">
        <v>2711</v>
      </c>
      <c r="C1962" s="1001"/>
      <c r="H1962" s="983" t="str">
        <f>CONCATENATE("&lt;valeur&gt;",Cellule_11203,"&lt;/valeur&gt;")</f>
        <v>&lt;valeur&gt;0&lt;/valeur&gt;</v>
      </c>
    </row>
    <row r="1963" spans="1:9" x14ac:dyDescent="0.2">
      <c r="A1963" s="997">
        <f t="shared" si="30"/>
        <v>1962</v>
      </c>
      <c r="B1963" s="983" t="s">
        <v>2711</v>
      </c>
      <c r="C1963" s="1000"/>
      <c r="G1963" s="983" t="s">
        <v>1109</v>
      </c>
    </row>
    <row r="1964" spans="1:9" x14ac:dyDescent="0.2">
      <c r="A1964" s="997">
        <f t="shared" si="30"/>
        <v>1963</v>
      </c>
      <c r="B1964" s="983" t="s">
        <v>2711</v>
      </c>
      <c r="C1964" s="1000"/>
      <c r="G1964" s="983" t="s">
        <v>1106</v>
      </c>
    </row>
    <row r="1965" spans="1:9" x14ac:dyDescent="0.2">
      <c r="A1965" s="997">
        <f t="shared" si="30"/>
        <v>1964</v>
      </c>
      <c r="B1965" s="983" t="s">
        <v>2711</v>
      </c>
      <c r="C1965" s="999"/>
      <c r="H1965" s="983" t="s">
        <v>1107</v>
      </c>
    </row>
    <row r="1966" spans="1:9" x14ac:dyDescent="0.2">
      <c r="A1966" s="997">
        <f t="shared" si="30"/>
        <v>1965</v>
      </c>
      <c r="B1966" s="983" t="s">
        <v>2711</v>
      </c>
      <c r="C1966" s="999"/>
      <c r="I1966" s="983" t="s">
        <v>1448</v>
      </c>
    </row>
    <row r="1967" spans="1:9" x14ac:dyDescent="0.2">
      <c r="A1967" s="997">
        <f t="shared" si="30"/>
        <v>1966</v>
      </c>
      <c r="B1967" s="983" t="s">
        <v>2711</v>
      </c>
      <c r="C1967" s="1000"/>
      <c r="H1967" s="983" t="s">
        <v>1108</v>
      </c>
    </row>
    <row r="1968" spans="1:9" x14ac:dyDescent="0.2">
      <c r="A1968" s="997">
        <f t="shared" si="30"/>
        <v>1967</v>
      </c>
      <c r="B1968" s="983" t="s">
        <v>2711</v>
      </c>
      <c r="C1968" s="1001"/>
      <c r="H1968" s="983" t="str">
        <f>CONCATENATE("&lt;valeur&gt;",Cellule_11208,"&lt;/valeur&gt;")</f>
        <v>&lt;valeur&gt;0&lt;/valeur&gt;</v>
      </c>
    </row>
    <row r="1969" spans="1:9" x14ac:dyDescent="0.2">
      <c r="A1969" s="997">
        <f t="shared" si="30"/>
        <v>1968</v>
      </c>
      <c r="B1969" s="983" t="s">
        <v>2711</v>
      </c>
      <c r="C1969" s="1000"/>
      <c r="G1969" s="983" t="s">
        <v>1109</v>
      </c>
    </row>
    <row r="1970" spans="1:9" x14ac:dyDescent="0.2">
      <c r="A1970" s="997">
        <f t="shared" si="30"/>
        <v>1969</v>
      </c>
      <c r="B1970" s="983" t="s">
        <v>2711</v>
      </c>
      <c r="C1970" s="1000"/>
      <c r="G1970" s="983" t="s">
        <v>1106</v>
      </c>
    </row>
    <row r="1971" spans="1:9" x14ac:dyDescent="0.2">
      <c r="A1971" s="997">
        <f t="shared" si="30"/>
        <v>1970</v>
      </c>
      <c r="B1971" s="983" t="s">
        <v>2711</v>
      </c>
      <c r="C1971" s="999"/>
      <c r="H1971" s="983" t="s">
        <v>1107</v>
      </c>
    </row>
    <row r="1972" spans="1:9" x14ac:dyDescent="0.2">
      <c r="A1972" s="997">
        <f t="shared" si="30"/>
        <v>1971</v>
      </c>
      <c r="B1972" s="983" t="s">
        <v>2711</v>
      </c>
      <c r="C1972" s="999"/>
      <c r="I1972" s="983" t="s">
        <v>1449</v>
      </c>
    </row>
    <row r="1973" spans="1:9" x14ac:dyDescent="0.2">
      <c r="A1973" s="997">
        <f t="shared" si="30"/>
        <v>1972</v>
      </c>
      <c r="B1973" s="983" t="s">
        <v>2711</v>
      </c>
      <c r="C1973" s="1000"/>
      <c r="H1973" s="983" t="s">
        <v>1108</v>
      </c>
    </row>
    <row r="1974" spans="1:9" x14ac:dyDescent="0.2">
      <c r="A1974" s="997">
        <f t="shared" si="30"/>
        <v>1973</v>
      </c>
      <c r="B1974" s="983" t="s">
        <v>2711</v>
      </c>
      <c r="C1974" s="1001"/>
      <c r="H1974" s="983" t="str">
        <f>CONCATENATE("&lt;valeur&gt;",Cellule_11213,"&lt;/valeur&gt;")</f>
        <v>&lt;valeur&gt;0&lt;/valeur&gt;</v>
      </c>
    </row>
    <row r="1975" spans="1:9" x14ac:dyDescent="0.2">
      <c r="A1975" s="997">
        <f t="shared" si="30"/>
        <v>1974</v>
      </c>
      <c r="B1975" s="983" t="s">
        <v>2711</v>
      </c>
      <c r="C1975" s="1000"/>
      <c r="G1975" s="983" t="s">
        <v>1109</v>
      </c>
    </row>
    <row r="1976" spans="1:9" x14ac:dyDescent="0.2">
      <c r="A1976" s="997">
        <f t="shared" si="30"/>
        <v>1975</v>
      </c>
      <c r="B1976" s="983" t="s">
        <v>2711</v>
      </c>
      <c r="C1976" s="1000"/>
      <c r="G1976" s="983" t="s">
        <v>1106</v>
      </c>
    </row>
    <row r="1977" spans="1:9" x14ac:dyDescent="0.2">
      <c r="A1977" s="997">
        <f t="shared" si="30"/>
        <v>1976</v>
      </c>
      <c r="B1977" s="983" t="s">
        <v>2711</v>
      </c>
      <c r="C1977" s="999"/>
      <c r="H1977" s="983" t="s">
        <v>1107</v>
      </c>
    </row>
    <row r="1978" spans="1:9" x14ac:dyDescent="0.2">
      <c r="A1978" s="997">
        <f t="shared" si="30"/>
        <v>1977</v>
      </c>
      <c r="B1978" s="983" t="s">
        <v>2711</v>
      </c>
      <c r="C1978" s="999"/>
      <c r="I1978" s="983" t="s">
        <v>1450</v>
      </c>
    </row>
    <row r="1979" spans="1:9" x14ac:dyDescent="0.2">
      <c r="A1979" s="997">
        <f t="shared" si="30"/>
        <v>1978</v>
      </c>
      <c r="B1979" s="983" t="s">
        <v>2711</v>
      </c>
      <c r="C1979" s="1000"/>
      <c r="H1979" s="983" t="s">
        <v>1108</v>
      </c>
    </row>
    <row r="1980" spans="1:9" x14ac:dyDescent="0.2">
      <c r="A1980" s="997">
        <f t="shared" si="30"/>
        <v>1979</v>
      </c>
      <c r="B1980" s="983" t="s">
        <v>2711</v>
      </c>
      <c r="C1980" s="1001"/>
      <c r="H1980" s="983" t="str">
        <f>CONCATENATE("&lt;valeur&gt;",Cellule_11218,"&lt;/valeur&gt;")</f>
        <v>&lt;valeur&gt;381666,67&lt;/valeur&gt;</v>
      </c>
    </row>
    <row r="1981" spans="1:9" x14ac:dyDescent="0.2">
      <c r="A1981" s="997">
        <f t="shared" si="30"/>
        <v>1980</v>
      </c>
      <c r="B1981" s="983" t="s">
        <v>2711</v>
      </c>
      <c r="C1981" s="1000"/>
      <c r="G1981" s="983" t="s">
        <v>1109</v>
      </c>
    </row>
    <row r="1982" spans="1:9" x14ac:dyDescent="0.2">
      <c r="A1982" s="997">
        <f t="shared" si="30"/>
        <v>1981</v>
      </c>
      <c r="B1982" s="983" t="s">
        <v>2711</v>
      </c>
      <c r="C1982" s="1000"/>
      <c r="G1982" s="983" t="s">
        <v>1106</v>
      </c>
    </row>
    <row r="1983" spans="1:9" x14ac:dyDescent="0.2">
      <c r="A1983" s="997">
        <f t="shared" si="30"/>
        <v>1982</v>
      </c>
      <c r="B1983" s="983" t="s">
        <v>2711</v>
      </c>
      <c r="C1983" s="999"/>
      <c r="H1983" s="983" t="s">
        <v>1107</v>
      </c>
    </row>
    <row r="1984" spans="1:9" x14ac:dyDescent="0.2">
      <c r="A1984" s="997">
        <f t="shared" si="30"/>
        <v>1983</v>
      </c>
      <c r="B1984" s="983" t="s">
        <v>2711</v>
      </c>
      <c r="C1984" s="999"/>
      <c r="I1984" s="983" t="s">
        <v>1451</v>
      </c>
    </row>
    <row r="1985" spans="1:9" x14ac:dyDescent="0.2">
      <c r="A1985" s="997">
        <f t="shared" si="30"/>
        <v>1984</v>
      </c>
      <c r="B1985" s="983" t="s">
        <v>2711</v>
      </c>
      <c r="C1985" s="1000"/>
      <c r="H1985" s="983" t="s">
        <v>1108</v>
      </c>
    </row>
    <row r="1986" spans="1:9" x14ac:dyDescent="0.2">
      <c r="A1986" s="997">
        <f t="shared" si="30"/>
        <v>1985</v>
      </c>
      <c r="B1986" s="983" t="s">
        <v>2711</v>
      </c>
      <c r="C1986" s="1001"/>
      <c r="H1986" s="983" t="str">
        <f>CONCATENATE("&lt;valeur&gt;",Cellule_11223,"&lt;/valeur&gt;")</f>
        <v>&lt;valeur&gt;0&lt;/valeur&gt;</v>
      </c>
    </row>
    <row r="1987" spans="1:9" x14ac:dyDescent="0.2">
      <c r="A1987" s="997">
        <f t="shared" si="30"/>
        <v>1986</v>
      </c>
      <c r="B1987" s="983" t="s">
        <v>2711</v>
      </c>
      <c r="C1987" s="1000"/>
      <c r="G1987" s="983" t="s">
        <v>1109</v>
      </c>
    </row>
    <row r="1988" spans="1:9" x14ac:dyDescent="0.2">
      <c r="A1988" s="997">
        <f t="shared" ref="A1988:A2051" si="31">+A1987+1</f>
        <v>1987</v>
      </c>
      <c r="B1988" s="983" t="s">
        <v>2711</v>
      </c>
      <c r="C1988" s="1000"/>
      <c r="G1988" s="983" t="s">
        <v>1106</v>
      </c>
    </row>
    <row r="1989" spans="1:9" x14ac:dyDescent="0.2">
      <c r="A1989" s="997">
        <f t="shared" si="31"/>
        <v>1988</v>
      </c>
      <c r="B1989" s="983" t="s">
        <v>2711</v>
      </c>
      <c r="C1989" s="999"/>
      <c r="H1989" s="983" t="s">
        <v>1107</v>
      </c>
    </row>
    <row r="1990" spans="1:9" x14ac:dyDescent="0.2">
      <c r="A1990" s="997">
        <f t="shared" si="31"/>
        <v>1989</v>
      </c>
      <c r="B1990" s="983" t="s">
        <v>2711</v>
      </c>
      <c r="C1990" s="999"/>
      <c r="I1990" s="983" t="s">
        <v>1452</v>
      </c>
    </row>
    <row r="1991" spans="1:9" x14ac:dyDescent="0.2">
      <c r="A1991" s="997">
        <f t="shared" si="31"/>
        <v>1990</v>
      </c>
      <c r="B1991" s="983" t="s">
        <v>2711</v>
      </c>
      <c r="C1991" s="1000"/>
      <c r="H1991" s="983" t="s">
        <v>1108</v>
      </c>
    </row>
    <row r="1992" spans="1:9" x14ac:dyDescent="0.2">
      <c r="A1992" s="997">
        <f t="shared" si="31"/>
        <v>1991</v>
      </c>
      <c r="B1992" s="983" t="s">
        <v>2711</v>
      </c>
      <c r="C1992" s="1001"/>
      <c r="H1992" s="983" t="str">
        <f>CONCATENATE("&lt;valeur&gt;",Cellule_11228,"&lt;/valeur&gt;")</f>
        <v>&lt;valeur&gt;313873,12&lt;/valeur&gt;</v>
      </c>
    </row>
    <row r="1993" spans="1:9" x14ac:dyDescent="0.2">
      <c r="A1993" s="997">
        <f t="shared" si="31"/>
        <v>1992</v>
      </c>
      <c r="B1993" s="983" t="s">
        <v>2711</v>
      </c>
      <c r="C1993" s="1000"/>
      <c r="G1993" s="983" t="s">
        <v>1109</v>
      </c>
    </row>
    <row r="1994" spans="1:9" x14ac:dyDescent="0.2">
      <c r="A1994" s="997">
        <f t="shared" si="31"/>
        <v>1993</v>
      </c>
      <c r="B1994" s="983" t="s">
        <v>2711</v>
      </c>
      <c r="C1994" s="1000"/>
      <c r="G1994" s="983" t="s">
        <v>1106</v>
      </c>
    </row>
    <row r="1995" spans="1:9" x14ac:dyDescent="0.2">
      <c r="A1995" s="997">
        <f t="shared" si="31"/>
        <v>1994</v>
      </c>
      <c r="B1995" s="983" t="s">
        <v>2711</v>
      </c>
      <c r="C1995" s="999"/>
      <c r="H1995" s="983" t="s">
        <v>1107</v>
      </c>
    </row>
    <row r="1996" spans="1:9" x14ac:dyDescent="0.2">
      <c r="A1996" s="997">
        <f t="shared" si="31"/>
        <v>1995</v>
      </c>
      <c r="B1996" s="983" t="s">
        <v>2711</v>
      </c>
      <c r="C1996" s="999"/>
      <c r="I1996" s="983" t="s">
        <v>1453</v>
      </c>
    </row>
    <row r="1997" spans="1:9" x14ac:dyDescent="0.2">
      <c r="A1997" s="997">
        <f t="shared" si="31"/>
        <v>1996</v>
      </c>
      <c r="B1997" s="983" t="s">
        <v>2711</v>
      </c>
      <c r="C1997" s="1000"/>
      <c r="H1997" s="983" t="s">
        <v>1108</v>
      </c>
    </row>
    <row r="1998" spans="1:9" x14ac:dyDescent="0.2">
      <c r="A1998" s="997">
        <f t="shared" si="31"/>
        <v>1997</v>
      </c>
      <c r="B1998" s="983" t="s">
        <v>2711</v>
      </c>
      <c r="C1998" s="1001"/>
      <c r="H1998" s="983" t="str">
        <f>CONCATENATE("&lt;valeur&gt;",Cellule_11233,"&lt;/valeur&gt;")</f>
        <v>&lt;valeur&gt;67793,55&lt;/valeur&gt;</v>
      </c>
    </row>
    <row r="1999" spans="1:9" x14ac:dyDescent="0.2">
      <c r="A1999" s="997">
        <f t="shared" si="31"/>
        <v>1998</v>
      </c>
      <c r="B1999" s="983" t="s">
        <v>2711</v>
      </c>
      <c r="C1999" s="1000"/>
      <c r="G1999" s="983" t="s">
        <v>1109</v>
      </c>
    </row>
    <row r="2000" spans="1:9" x14ac:dyDescent="0.2">
      <c r="A2000" s="997">
        <f t="shared" si="31"/>
        <v>1999</v>
      </c>
      <c r="B2000" s="983" t="s">
        <v>2711</v>
      </c>
      <c r="C2000" s="1000"/>
      <c r="G2000" s="983" t="s">
        <v>1106</v>
      </c>
    </row>
    <row r="2001" spans="1:9" x14ac:dyDescent="0.2">
      <c r="A2001" s="997">
        <f t="shared" si="31"/>
        <v>2000</v>
      </c>
      <c r="B2001" s="983" t="s">
        <v>2711</v>
      </c>
      <c r="C2001" s="999"/>
      <c r="H2001" s="983" t="s">
        <v>1107</v>
      </c>
    </row>
    <row r="2002" spans="1:9" x14ac:dyDescent="0.2">
      <c r="A2002" s="997">
        <f t="shared" si="31"/>
        <v>2001</v>
      </c>
      <c r="B2002" s="983" t="s">
        <v>2711</v>
      </c>
      <c r="C2002" s="999"/>
      <c r="I2002" s="983" t="s">
        <v>1454</v>
      </c>
    </row>
    <row r="2003" spans="1:9" x14ac:dyDescent="0.2">
      <c r="A2003" s="997">
        <f t="shared" si="31"/>
        <v>2002</v>
      </c>
      <c r="B2003" s="983" t="s">
        <v>2711</v>
      </c>
      <c r="C2003" s="1000"/>
      <c r="H2003" s="983" t="s">
        <v>1108</v>
      </c>
    </row>
    <row r="2004" spans="1:9" x14ac:dyDescent="0.2">
      <c r="A2004" s="997">
        <f t="shared" si="31"/>
        <v>2003</v>
      </c>
      <c r="B2004" s="983" t="s">
        <v>2711</v>
      </c>
      <c r="C2004" s="1001"/>
      <c r="H2004" s="983" t="str">
        <f>CONCATENATE("&lt;valeur&gt;",Cellule_11178,"&lt;/valeur&gt;")</f>
        <v>&lt;valeur&gt;381666,67&lt;/valeur&gt;</v>
      </c>
    </row>
    <row r="2005" spans="1:9" x14ac:dyDescent="0.2">
      <c r="A2005" s="997">
        <f t="shared" si="31"/>
        <v>2004</v>
      </c>
      <c r="B2005" s="983" t="s">
        <v>2711</v>
      </c>
      <c r="C2005" s="1000"/>
      <c r="G2005" s="983" t="s">
        <v>1109</v>
      </c>
    </row>
    <row r="2006" spans="1:9" x14ac:dyDescent="0.2">
      <c r="A2006" s="997">
        <f t="shared" si="31"/>
        <v>2005</v>
      </c>
      <c r="B2006" s="983" t="s">
        <v>2711</v>
      </c>
      <c r="C2006" s="1000"/>
      <c r="G2006" s="983" t="s">
        <v>1106</v>
      </c>
    </row>
    <row r="2007" spans="1:9" x14ac:dyDescent="0.2">
      <c r="A2007" s="997">
        <f t="shared" si="31"/>
        <v>2006</v>
      </c>
      <c r="B2007" s="983" t="s">
        <v>2711</v>
      </c>
      <c r="C2007" s="999"/>
      <c r="H2007" s="983" t="s">
        <v>1107</v>
      </c>
    </row>
    <row r="2008" spans="1:9" x14ac:dyDescent="0.2">
      <c r="A2008" s="997">
        <f t="shared" si="31"/>
        <v>2007</v>
      </c>
      <c r="B2008" s="983" t="s">
        <v>2711</v>
      </c>
      <c r="C2008" s="999"/>
      <c r="I2008" s="983" t="s">
        <v>1455</v>
      </c>
    </row>
    <row r="2009" spans="1:9" x14ac:dyDescent="0.2">
      <c r="A2009" s="997">
        <f t="shared" si="31"/>
        <v>2008</v>
      </c>
      <c r="B2009" s="983" t="s">
        <v>2711</v>
      </c>
      <c r="C2009" s="1000"/>
      <c r="H2009" s="983" t="s">
        <v>1108</v>
      </c>
    </row>
    <row r="2010" spans="1:9" x14ac:dyDescent="0.2">
      <c r="A2010" s="997">
        <f t="shared" si="31"/>
        <v>2009</v>
      </c>
      <c r="B2010" s="983" t="s">
        <v>2711</v>
      </c>
      <c r="C2010" s="1001"/>
      <c r="H2010" s="983" t="str">
        <f>CONCATENATE("&lt;valeur&gt;",Cellule_11183,"&lt;/valeur&gt;")</f>
        <v>&lt;valeur&gt;0&lt;/valeur&gt;</v>
      </c>
    </row>
    <row r="2011" spans="1:9" x14ac:dyDescent="0.2">
      <c r="A2011" s="997">
        <f t="shared" si="31"/>
        <v>2010</v>
      </c>
      <c r="B2011" s="983" t="s">
        <v>2711</v>
      </c>
      <c r="C2011" s="1000"/>
      <c r="G2011" s="983" t="s">
        <v>1109</v>
      </c>
    </row>
    <row r="2012" spans="1:9" x14ac:dyDescent="0.2">
      <c r="A2012" s="997">
        <f t="shared" si="31"/>
        <v>2011</v>
      </c>
      <c r="B2012" s="983" t="s">
        <v>2711</v>
      </c>
      <c r="C2012" s="1000"/>
      <c r="G2012" s="983" t="s">
        <v>1106</v>
      </c>
    </row>
    <row r="2013" spans="1:9" x14ac:dyDescent="0.2">
      <c r="A2013" s="997">
        <f t="shared" si="31"/>
        <v>2012</v>
      </c>
      <c r="B2013" s="983" t="s">
        <v>2711</v>
      </c>
      <c r="C2013" s="999"/>
      <c r="H2013" s="983" t="s">
        <v>1107</v>
      </c>
    </row>
    <row r="2014" spans="1:9" x14ac:dyDescent="0.2">
      <c r="A2014" s="997">
        <f t="shared" si="31"/>
        <v>2013</v>
      </c>
      <c r="B2014" s="983" t="s">
        <v>2711</v>
      </c>
      <c r="C2014" s="999"/>
      <c r="I2014" s="983" t="s">
        <v>1456</v>
      </c>
    </row>
    <row r="2015" spans="1:9" x14ac:dyDescent="0.2">
      <c r="A2015" s="997">
        <f t="shared" si="31"/>
        <v>2014</v>
      </c>
      <c r="B2015" s="983" t="s">
        <v>2711</v>
      </c>
      <c r="C2015" s="1000"/>
      <c r="H2015" s="983" t="s">
        <v>1108</v>
      </c>
    </row>
    <row r="2016" spans="1:9" x14ac:dyDescent="0.2">
      <c r="A2016" s="997">
        <f t="shared" si="31"/>
        <v>2015</v>
      </c>
      <c r="B2016" s="983" t="s">
        <v>2711</v>
      </c>
      <c r="C2016" s="1001"/>
      <c r="H2016" s="983" t="str">
        <f>CONCATENATE("&lt;valeur&gt;",Cellule_11188,"&lt;/valeur&gt;")</f>
        <v>&lt;valeur&gt;381666,67&lt;/valeur&gt;</v>
      </c>
    </row>
    <row r="2017" spans="1:9" x14ac:dyDescent="0.2">
      <c r="A2017" s="997">
        <f t="shared" si="31"/>
        <v>2016</v>
      </c>
      <c r="B2017" s="983" t="s">
        <v>2711</v>
      </c>
      <c r="C2017" s="1000"/>
      <c r="G2017" s="983" t="s">
        <v>1109</v>
      </c>
    </row>
    <row r="2018" spans="1:9" x14ac:dyDescent="0.2">
      <c r="A2018" s="997">
        <f t="shared" si="31"/>
        <v>2017</v>
      </c>
      <c r="B2018" s="983" t="s">
        <v>2711</v>
      </c>
      <c r="C2018" s="1000"/>
      <c r="G2018" s="983" t="s">
        <v>1106</v>
      </c>
    </row>
    <row r="2019" spans="1:9" x14ac:dyDescent="0.2">
      <c r="A2019" s="997">
        <f t="shared" si="31"/>
        <v>2018</v>
      </c>
      <c r="B2019" s="983" t="s">
        <v>2711</v>
      </c>
      <c r="C2019" s="999"/>
      <c r="H2019" s="983" t="s">
        <v>1107</v>
      </c>
    </row>
    <row r="2020" spans="1:9" x14ac:dyDescent="0.2">
      <c r="A2020" s="997">
        <f t="shared" si="31"/>
        <v>2019</v>
      </c>
      <c r="B2020" s="983" t="s">
        <v>2711</v>
      </c>
      <c r="C2020" s="999"/>
      <c r="I2020" s="983" t="s">
        <v>1457</v>
      </c>
    </row>
    <row r="2021" spans="1:9" x14ac:dyDescent="0.2">
      <c r="A2021" s="997">
        <f t="shared" si="31"/>
        <v>2020</v>
      </c>
      <c r="B2021" s="983" t="s">
        <v>2711</v>
      </c>
      <c r="C2021" s="1000"/>
      <c r="H2021" s="983" t="s">
        <v>1108</v>
      </c>
    </row>
    <row r="2022" spans="1:9" x14ac:dyDescent="0.2">
      <c r="A2022" s="997">
        <f t="shared" si="31"/>
        <v>2021</v>
      </c>
      <c r="B2022" s="983" t="s">
        <v>2711</v>
      </c>
      <c r="C2022" s="1001"/>
      <c r="H2022" s="983" t="str">
        <f>CONCATENATE("&lt;valeur&gt;",Cellule_11193,"&lt;/valeur&gt;")</f>
        <v>&lt;valeur&gt;0&lt;/valeur&gt;</v>
      </c>
    </row>
    <row r="2023" spans="1:9" x14ac:dyDescent="0.2">
      <c r="A2023" s="997">
        <f t="shared" si="31"/>
        <v>2022</v>
      </c>
      <c r="B2023" s="983" t="s">
        <v>2711</v>
      </c>
      <c r="C2023" s="1000"/>
      <c r="G2023" s="983" t="s">
        <v>1109</v>
      </c>
    </row>
    <row r="2024" spans="1:9" x14ac:dyDescent="0.2">
      <c r="A2024" s="997">
        <f t="shared" si="31"/>
        <v>2023</v>
      </c>
      <c r="B2024" s="983" t="s">
        <v>2711</v>
      </c>
      <c r="C2024" s="1000"/>
      <c r="G2024" s="983" t="s">
        <v>1106</v>
      </c>
    </row>
    <row r="2025" spans="1:9" x14ac:dyDescent="0.2">
      <c r="A2025" s="997">
        <f t="shared" si="31"/>
        <v>2024</v>
      </c>
      <c r="B2025" s="983" t="s">
        <v>2711</v>
      </c>
      <c r="C2025" s="999"/>
      <c r="H2025" s="983" t="s">
        <v>1107</v>
      </c>
    </row>
    <row r="2026" spans="1:9" x14ac:dyDescent="0.2">
      <c r="A2026" s="997">
        <f t="shared" si="31"/>
        <v>2025</v>
      </c>
      <c r="B2026" s="983" t="s">
        <v>2711</v>
      </c>
      <c r="C2026" s="999"/>
      <c r="I2026" s="983" t="s">
        <v>1458</v>
      </c>
    </row>
    <row r="2027" spans="1:9" x14ac:dyDescent="0.2">
      <c r="A2027" s="997">
        <f t="shared" si="31"/>
        <v>2026</v>
      </c>
      <c r="B2027" s="983" t="s">
        <v>2711</v>
      </c>
      <c r="C2027" s="1000"/>
      <c r="H2027" s="983" t="s">
        <v>1108</v>
      </c>
    </row>
    <row r="2028" spans="1:9" x14ac:dyDescent="0.2">
      <c r="A2028" s="997">
        <f t="shared" si="31"/>
        <v>2027</v>
      </c>
      <c r="B2028" s="983" t="s">
        <v>2711</v>
      </c>
      <c r="C2028" s="1001"/>
      <c r="H2028" s="983" t="str">
        <f>CONCATENATE("&lt;valeur&gt;",Cellule_11198,"&lt;/valeur&gt;")</f>
        <v>&lt;valeur&gt;0&lt;/valeur&gt;</v>
      </c>
    </row>
    <row r="2029" spans="1:9" x14ac:dyDescent="0.2">
      <c r="A2029" s="997">
        <f t="shared" si="31"/>
        <v>2028</v>
      </c>
      <c r="B2029" s="983" t="s">
        <v>2711</v>
      </c>
      <c r="C2029" s="1000"/>
      <c r="G2029" s="983" t="s">
        <v>1109</v>
      </c>
    </row>
    <row r="2030" spans="1:9" x14ac:dyDescent="0.2">
      <c r="A2030" s="997">
        <f t="shared" si="31"/>
        <v>2029</v>
      </c>
      <c r="B2030" s="983" t="s">
        <v>2711</v>
      </c>
      <c r="C2030" s="1000"/>
      <c r="G2030" s="983" t="s">
        <v>1106</v>
      </c>
    </row>
    <row r="2031" spans="1:9" x14ac:dyDescent="0.2">
      <c r="A2031" s="997">
        <f t="shared" si="31"/>
        <v>2030</v>
      </c>
      <c r="B2031" s="983" t="s">
        <v>2711</v>
      </c>
      <c r="C2031" s="999"/>
      <c r="H2031" s="983" t="s">
        <v>1107</v>
      </c>
    </row>
    <row r="2032" spans="1:9" x14ac:dyDescent="0.2">
      <c r="A2032" s="997">
        <f t="shared" si="31"/>
        <v>2031</v>
      </c>
      <c r="B2032" s="983" t="s">
        <v>2711</v>
      </c>
      <c r="C2032" s="999"/>
      <c r="I2032" s="983" t="s">
        <v>1459</v>
      </c>
    </row>
    <row r="2033" spans="1:9" x14ac:dyDescent="0.2">
      <c r="A2033" s="997">
        <f t="shared" si="31"/>
        <v>2032</v>
      </c>
      <c r="B2033" s="983" t="s">
        <v>2711</v>
      </c>
      <c r="C2033" s="1000"/>
      <c r="H2033" s="983" t="s">
        <v>1108</v>
      </c>
    </row>
    <row r="2034" spans="1:9" x14ac:dyDescent="0.2">
      <c r="A2034" s="997">
        <f t="shared" si="31"/>
        <v>2033</v>
      </c>
      <c r="B2034" s="983" t="s">
        <v>2711</v>
      </c>
      <c r="C2034" s="1001"/>
      <c r="H2034" s="983" t="str">
        <f>CONCATENATE("&lt;valeur&gt;",Cellule_11268,"&lt;/valeur&gt;")</f>
        <v>&lt;valeur&gt;34176,55&lt;/valeur&gt;</v>
      </c>
    </row>
    <row r="2035" spans="1:9" x14ac:dyDescent="0.2">
      <c r="A2035" s="997">
        <f t="shared" si="31"/>
        <v>2034</v>
      </c>
      <c r="B2035" s="983" t="s">
        <v>2711</v>
      </c>
      <c r="C2035" s="1000"/>
      <c r="G2035" s="983" t="s">
        <v>1109</v>
      </c>
    </row>
    <row r="2036" spans="1:9" x14ac:dyDescent="0.2">
      <c r="A2036" s="997">
        <f t="shared" si="31"/>
        <v>2035</v>
      </c>
      <c r="B2036" s="983" t="s">
        <v>2711</v>
      </c>
      <c r="C2036" s="1000"/>
      <c r="G2036" s="983" t="s">
        <v>1106</v>
      </c>
    </row>
    <row r="2037" spans="1:9" x14ac:dyDescent="0.2">
      <c r="A2037" s="997">
        <f t="shared" si="31"/>
        <v>2036</v>
      </c>
      <c r="B2037" s="983" t="s">
        <v>2711</v>
      </c>
      <c r="C2037" s="999"/>
      <c r="H2037" s="983" t="s">
        <v>1107</v>
      </c>
    </row>
    <row r="2038" spans="1:9" x14ac:dyDescent="0.2">
      <c r="A2038" s="997">
        <f t="shared" si="31"/>
        <v>2037</v>
      </c>
      <c r="B2038" s="983" t="s">
        <v>2711</v>
      </c>
      <c r="C2038" s="999"/>
      <c r="I2038" s="983" t="s">
        <v>1460</v>
      </c>
    </row>
    <row r="2039" spans="1:9" x14ac:dyDescent="0.2">
      <c r="A2039" s="997">
        <f t="shared" si="31"/>
        <v>2038</v>
      </c>
      <c r="B2039" s="983" t="s">
        <v>2711</v>
      </c>
      <c r="C2039" s="1000"/>
      <c r="H2039" s="983" t="s">
        <v>1108</v>
      </c>
    </row>
    <row r="2040" spans="1:9" x14ac:dyDescent="0.2">
      <c r="A2040" s="997">
        <f t="shared" si="31"/>
        <v>2039</v>
      </c>
      <c r="B2040" s="983" t="s">
        <v>2711</v>
      </c>
      <c r="C2040" s="1001"/>
      <c r="H2040" s="983" t="str">
        <f>CONCATENATE("&lt;valeur&gt;",Cellule_11238,"&lt;/valeur&gt;")</f>
        <v>&lt;valeur&gt;313873,12&lt;/valeur&gt;</v>
      </c>
    </row>
    <row r="2041" spans="1:9" x14ac:dyDescent="0.2">
      <c r="A2041" s="997">
        <f t="shared" si="31"/>
        <v>2040</v>
      </c>
      <c r="B2041" s="983" t="s">
        <v>2711</v>
      </c>
      <c r="C2041" s="1000"/>
      <c r="G2041" s="983" t="s">
        <v>1109</v>
      </c>
    </row>
    <row r="2042" spans="1:9" x14ac:dyDescent="0.2">
      <c r="A2042" s="997">
        <f t="shared" si="31"/>
        <v>2041</v>
      </c>
      <c r="B2042" s="983" t="s">
        <v>2711</v>
      </c>
      <c r="C2042" s="1000"/>
      <c r="G2042" s="983" t="s">
        <v>1106</v>
      </c>
    </row>
    <row r="2043" spans="1:9" x14ac:dyDescent="0.2">
      <c r="A2043" s="997">
        <f t="shared" si="31"/>
        <v>2042</v>
      </c>
      <c r="B2043" s="983" t="s">
        <v>2711</v>
      </c>
      <c r="C2043" s="999"/>
      <c r="H2043" s="983" t="s">
        <v>1107</v>
      </c>
    </row>
    <row r="2044" spans="1:9" x14ac:dyDescent="0.2">
      <c r="A2044" s="997">
        <f t="shared" si="31"/>
        <v>2043</v>
      </c>
      <c r="B2044" s="983" t="s">
        <v>2711</v>
      </c>
      <c r="C2044" s="999"/>
      <c r="I2044" s="983" t="s">
        <v>1461</v>
      </c>
    </row>
    <row r="2045" spans="1:9" x14ac:dyDescent="0.2">
      <c r="A2045" s="997">
        <f t="shared" si="31"/>
        <v>2044</v>
      </c>
      <c r="B2045" s="983" t="s">
        <v>2711</v>
      </c>
      <c r="C2045" s="1000"/>
      <c r="H2045" s="983" t="s">
        <v>1108</v>
      </c>
    </row>
    <row r="2046" spans="1:9" x14ac:dyDescent="0.2">
      <c r="A2046" s="997">
        <f t="shared" si="31"/>
        <v>2045</v>
      </c>
      <c r="B2046" s="983" t="s">
        <v>2711</v>
      </c>
      <c r="C2046" s="1001"/>
      <c r="H2046" s="983" t="str">
        <f>CONCATENATE("&lt;valeur&gt;",Cellule_11243,"&lt;/valeur&gt;")</f>
        <v>&lt;valeur&gt;172843,76&lt;/valeur&gt;</v>
      </c>
    </row>
    <row r="2047" spans="1:9" x14ac:dyDescent="0.2">
      <c r="A2047" s="997">
        <f t="shared" si="31"/>
        <v>2046</v>
      </c>
      <c r="B2047" s="983" t="s">
        <v>2711</v>
      </c>
      <c r="C2047" s="1000"/>
      <c r="G2047" s="983" t="s">
        <v>1109</v>
      </c>
    </row>
    <row r="2048" spans="1:9" x14ac:dyDescent="0.2">
      <c r="A2048" s="997">
        <f t="shared" si="31"/>
        <v>2047</v>
      </c>
      <c r="B2048" s="983" t="s">
        <v>2711</v>
      </c>
      <c r="C2048" s="1000"/>
      <c r="G2048" s="983" t="s">
        <v>1106</v>
      </c>
    </row>
    <row r="2049" spans="1:9" x14ac:dyDescent="0.2">
      <c r="A2049" s="997">
        <f t="shared" si="31"/>
        <v>2048</v>
      </c>
      <c r="B2049" s="983" t="s">
        <v>2711</v>
      </c>
      <c r="C2049" s="999"/>
      <c r="H2049" s="983" t="s">
        <v>1107</v>
      </c>
    </row>
    <row r="2050" spans="1:9" x14ac:dyDescent="0.2">
      <c r="A2050" s="997">
        <f t="shared" si="31"/>
        <v>2049</v>
      </c>
      <c r="B2050" s="983" t="s">
        <v>2711</v>
      </c>
      <c r="C2050" s="999"/>
      <c r="I2050" s="983" t="s">
        <v>1462</v>
      </c>
    </row>
    <row r="2051" spans="1:9" x14ac:dyDescent="0.2">
      <c r="A2051" s="997">
        <f t="shared" si="31"/>
        <v>2050</v>
      </c>
      <c r="B2051" s="983" t="s">
        <v>2711</v>
      </c>
      <c r="C2051" s="1000"/>
      <c r="H2051" s="983" t="s">
        <v>1108</v>
      </c>
    </row>
    <row r="2052" spans="1:9" x14ac:dyDescent="0.2">
      <c r="A2052" s="997">
        <f t="shared" ref="A2052:A2115" si="32">+A2051+1</f>
        <v>2051</v>
      </c>
      <c r="B2052" s="983" t="s">
        <v>2711</v>
      </c>
      <c r="C2052" s="1001"/>
      <c r="H2052" s="983" t="str">
        <f>CONCATENATE("&lt;valeur&gt;",Cellule_11248,"&lt;/valeur&gt;")</f>
        <v>&lt;valeur&gt;0&lt;/valeur&gt;</v>
      </c>
    </row>
    <row r="2053" spans="1:9" x14ac:dyDescent="0.2">
      <c r="A2053" s="997">
        <f t="shared" si="32"/>
        <v>2052</v>
      </c>
      <c r="B2053" s="983" t="s">
        <v>2711</v>
      </c>
      <c r="C2053" s="1000"/>
      <c r="G2053" s="983" t="s">
        <v>1109</v>
      </c>
    </row>
    <row r="2054" spans="1:9" x14ac:dyDescent="0.2">
      <c r="A2054" s="997">
        <f t="shared" si="32"/>
        <v>2053</v>
      </c>
      <c r="B2054" s="983" t="s">
        <v>2711</v>
      </c>
      <c r="C2054" s="1000"/>
      <c r="G2054" s="983" t="s">
        <v>1106</v>
      </c>
    </row>
    <row r="2055" spans="1:9" x14ac:dyDescent="0.2">
      <c r="A2055" s="997">
        <f t="shared" si="32"/>
        <v>2054</v>
      </c>
      <c r="B2055" s="983" t="s">
        <v>2711</v>
      </c>
      <c r="C2055" s="999"/>
      <c r="H2055" s="983" t="s">
        <v>1107</v>
      </c>
    </row>
    <row r="2056" spans="1:9" x14ac:dyDescent="0.2">
      <c r="A2056" s="997">
        <f t="shared" si="32"/>
        <v>2055</v>
      </c>
      <c r="B2056" s="983" t="s">
        <v>2711</v>
      </c>
      <c r="C2056" s="999"/>
      <c r="I2056" s="983" t="s">
        <v>1463</v>
      </c>
    </row>
    <row r="2057" spans="1:9" x14ac:dyDescent="0.2">
      <c r="A2057" s="997">
        <f t="shared" si="32"/>
        <v>2056</v>
      </c>
      <c r="B2057" s="983" t="s">
        <v>2711</v>
      </c>
      <c r="C2057" s="1000"/>
      <c r="H2057" s="983" t="s">
        <v>1108</v>
      </c>
    </row>
    <row r="2058" spans="1:9" x14ac:dyDescent="0.2">
      <c r="A2058" s="997">
        <f t="shared" si="32"/>
        <v>2057</v>
      </c>
      <c r="B2058" s="983" t="s">
        <v>2711</v>
      </c>
      <c r="C2058" s="1001"/>
      <c r="H2058" s="983" t="str">
        <f>CONCATENATE("&lt;valeur&gt;",Cellule_11253,"&lt;/valeur&gt;")</f>
        <v>&lt;valeur&gt;28187&lt;/valeur&gt;</v>
      </c>
    </row>
    <row r="2059" spans="1:9" x14ac:dyDescent="0.2">
      <c r="A2059" s="997">
        <f t="shared" si="32"/>
        <v>2058</v>
      </c>
      <c r="B2059" s="983" t="s">
        <v>2711</v>
      </c>
      <c r="C2059" s="1000"/>
      <c r="G2059" s="983" t="s">
        <v>1109</v>
      </c>
    </row>
    <row r="2060" spans="1:9" x14ac:dyDescent="0.2">
      <c r="A2060" s="997">
        <f t="shared" si="32"/>
        <v>2059</v>
      </c>
      <c r="B2060" s="983" t="s">
        <v>2711</v>
      </c>
      <c r="C2060" s="1000"/>
      <c r="G2060" s="983" t="s">
        <v>1106</v>
      </c>
    </row>
    <row r="2061" spans="1:9" x14ac:dyDescent="0.2">
      <c r="A2061" s="997">
        <f t="shared" si="32"/>
        <v>2060</v>
      </c>
      <c r="B2061" s="983" t="s">
        <v>2711</v>
      </c>
      <c r="C2061" s="999"/>
      <c r="H2061" s="983" t="s">
        <v>1107</v>
      </c>
    </row>
    <row r="2062" spans="1:9" x14ac:dyDescent="0.2">
      <c r="A2062" s="997">
        <f t="shared" si="32"/>
        <v>2061</v>
      </c>
      <c r="B2062" s="983" t="s">
        <v>2711</v>
      </c>
      <c r="C2062" s="999"/>
      <c r="I2062" s="983" t="s">
        <v>1464</v>
      </c>
    </row>
    <row r="2063" spans="1:9" x14ac:dyDescent="0.2">
      <c r="A2063" s="997">
        <f t="shared" si="32"/>
        <v>2062</v>
      </c>
      <c r="B2063" s="983" t="s">
        <v>2711</v>
      </c>
      <c r="C2063" s="1000"/>
      <c r="H2063" s="983" t="s">
        <v>1108</v>
      </c>
    </row>
    <row r="2064" spans="1:9" x14ac:dyDescent="0.2">
      <c r="A2064" s="997">
        <f t="shared" si="32"/>
        <v>2063</v>
      </c>
      <c r="B2064" s="983" t="s">
        <v>2711</v>
      </c>
      <c r="C2064" s="1001"/>
      <c r="H2064" s="983" t="str">
        <f>CONCATENATE("&lt;valeur&gt;",Cellule_11258,"&lt;/valeur&gt;")</f>
        <v>&lt;valeur&gt;0&lt;/valeur&gt;</v>
      </c>
    </row>
    <row r="2065" spans="1:9" x14ac:dyDescent="0.2">
      <c r="A2065" s="997">
        <f t="shared" si="32"/>
        <v>2064</v>
      </c>
      <c r="B2065" s="983" t="s">
        <v>2711</v>
      </c>
      <c r="C2065" s="1000"/>
      <c r="G2065" s="983" t="s">
        <v>1109</v>
      </c>
    </row>
    <row r="2066" spans="1:9" x14ac:dyDescent="0.2">
      <c r="A2066" s="997">
        <f t="shared" si="32"/>
        <v>2065</v>
      </c>
      <c r="B2066" s="983" t="s">
        <v>2711</v>
      </c>
      <c r="C2066" s="1000"/>
      <c r="G2066" s="983" t="s">
        <v>1106</v>
      </c>
    </row>
    <row r="2067" spans="1:9" x14ac:dyDescent="0.2">
      <c r="A2067" s="997">
        <f t="shared" si="32"/>
        <v>2066</v>
      </c>
      <c r="B2067" s="983" t="s">
        <v>2711</v>
      </c>
      <c r="C2067" s="999"/>
      <c r="H2067" s="983" t="s">
        <v>1107</v>
      </c>
    </row>
    <row r="2068" spans="1:9" x14ac:dyDescent="0.2">
      <c r="A2068" s="997">
        <f t="shared" si="32"/>
        <v>2067</v>
      </c>
      <c r="B2068" s="983" t="s">
        <v>2711</v>
      </c>
      <c r="C2068" s="999"/>
      <c r="I2068" s="983" t="s">
        <v>1465</v>
      </c>
    </row>
    <row r="2069" spans="1:9" x14ac:dyDescent="0.2">
      <c r="A2069" s="997">
        <f t="shared" si="32"/>
        <v>2068</v>
      </c>
      <c r="B2069" s="983" t="s">
        <v>2711</v>
      </c>
      <c r="C2069" s="1000"/>
      <c r="H2069" s="983" t="s">
        <v>1108</v>
      </c>
    </row>
    <row r="2070" spans="1:9" x14ac:dyDescent="0.2">
      <c r="A2070" s="997">
        <f t="shared" si="32"/>
        <v>2069</v>
      </c>
      <c r="B2070" s="983" t="s">
        <v>2711</v>
      </c>
      <c r="C2070" s="1001"/>
      <c r="H2070" s="983" t="str">
        <f>CONCATENATE("&lt;valeur&gt;",Cellule_11263,"&lt;/valeur&gt;")</f>
        <v>&lt;valeur&gt;78665,81&lt;/valeur&gt;</v>
      </c>
    </row>
    <row r="2071" spans="1:9" x14ac:dyDescent="0.2">
      <c r="A2071" s="997">
        <f t="shared" si="32"/>
        <v>2070</v>
      </c>
      <c r="B2071" s="983" t="s">
        <v>2711</v>
      </c>
      <c r="C2071" s="1000"/>
      <c r="G2071" s="983" t="s">
        <v>1109</v>
      </c>
    </row>
    <row r="2072" spans="1:9" x14ac:dyDescent="0.2">
      <c r="A2072" s="997">
        <f t="shared" si="32"/>
        <v>2071</v>
      </c>
      <c r="B2072" s="983" t="s">
        <v>2711</v>
      </c>
      <c r="C2072" s="1000"/>
      <c r="G2072" s="983" t="s">
        <v>1106</v>
      </c>
    </row>
    <row r="2073" spans="1:9" x14ac:dyDescent="0.2">
      <c r="A2073" s="997">
        <f t="shared" si="32"/>
        <v>2072</v>
      </c>
      <c r="B2073" s="983" t="s">
        <v>2711</v>
      </c>
      <c r="C2073" s="999"/>
      <c r="H2073" s="983" t="s">
        <v>1107</v>
      </c>
    </row>
    <row r="2074" spans="1:9" x14ac:dyDescent="0.2">
      <c r="A2074" s="997">
        <f t="shared" si="32"/>
        <v>2073</v>
      </c>
      <c r="B2074" s="983" t="s">
        <v>2711</v>
      </c>
      <c r="C2074" s="999"/>
      <c r="I2074" s="983" t="s">
        <v>1466</v>
      </c>
    </row>
    <row r="2075" spans="1:9" x14ac:dyDescent="0.2">
      <c r="A2075" s="997">
        <f t="shared" si="32"/>
        <v>2074</v>
      </c>
      <c r="B2075" s="983" t="s">
        <v>2711</v>
      </c>
      <c r="C2075" s="1000"/>
      <c r="H2075" s="983" t="s">
        <v>1108</v>
      </c>
    </row>
    <row r="2076" spans="1:9" x14ac:dyDescent="0.2">
      <c r="A2076" s="997">
        <f t="shared" si="32"/>
        <v>2075</v>
      </c>
      <c r="B2076" s="983" t="s">
        <v>2711</v>
      </c>
      <c r="C2076" s="1001"/>
      <c r="H2076" s="983" t="str">
        <f>CONCATENATE("&lt;valeur&gt;",Cellule_11204,"&lt;/valeur&gt;")</f>
        <v>&lt;valeur&gt;0&lt;/valeur&gt;</v>
      </c>
    </row>
    <row r="2077" spans="1:9" x14ac:dyDescent="0.2">
      <c r="A2077" s="997">
        <f t="shared" si="32"/>
        <v>2076</v>
      </c>
      <c r="B2077" s="983" t="s">
        <v>2711</v>
      </c>
      <c r="C2077" s="1000"/>
      <c r="G2077" s="983" t="s">
        <v>1109</v>
      </c>
    </row>
    <row r="2078" spans="1:9" x14ac:dyDescent="0.2">
      <c r="A2078" s="997">
        <f t="shared" si="32"/>
        <v>2077</v>
      </c>
      <c r="B2078" s="983" t="s">
        <v>2711</v>
      </c>
      <c r="C2078" s="1000"/>
      <c r="G2078" s="983" t="s">
        <v>1106</v>
      </c>
    </row>
    <row r="2079" spans="1:9" x14ac:dyDescent="0.2">
      <c r="A2079" s="997">
        <f t="shared" si="32"/>
        <v>2078</v>
      </c>
      <c r="B2079" s="983" t="s">
        <v>2711</v>
      </c>
      <c r="C2079" s="999"/>
      <c r="H2079" s="983" t="s">
        <v>1107</v>
      </c>
    </row>
    <row r="2080" spans="1:9" x14ac:dyDescent="0.2">
      <c r="A2080" s="997">
        <f t="shared" si="32"/>
        <v>2079</v>
      </c>
      <c r="B2080" s="983" t="s">
        <v>2711</v>
      </c>
      <c r="C2080" s="999"/>
      <c r="I2080" s="983" t="s">
        <v>1467</v>
      </c>
    </row>
    <row r="2081" spans="1:9" x14ac:dyDescent="0.2">
      <c r="A2081" s="997">
        <f t="shared" si="32"/>
        <v>2080</v>
      </c>
      <c r="B2081" s="983" t="s">
        <v>2711</v>
      </c>
      <c r="C2081" s="1000"/>
      <c r="H2081" s="983" t="s">
        <v>1108</v>
      </c>
    </row>
    <row r="2082" spans="1:9" x14ac:dyDescent="0.2">
      <c r="A2082" s="997">
        <f t="shared" si="32"/>
        <v>2081</v>
      </c>
      <c r="B2082" s="983" t="s">
        <v>2711</v>
      </c>
      <c r="C2082" s="1001"/>
      <c r="H2082" s="983" t="str">
        <f>CONCATENATE("&lt;valeur&gt;",Cellule_11209,"&lt;/valeur&gt;")</f>
        <v>&lt;valeur&gt;0&lt;/valeur&gt;</v>
      </c>
    </row>
    <row r="2083" spans="1:9" x14ac:dyDescent="0.2">
      <c r="A2083" s="997">
        <f t="shared" si="32"/>
        <v>2082</v>
      </c>
      <c r="B2083" s="983" t="s">
        <v>2711</v>
      </c>
      <c r="C2083" s="1000"/>
      <c r="G2083" s="983" t="s">
        <v>1109</v>
      </c>
    </row>
    <row r="2084" spans="1:9" x14ac:dyDescent="0.2">
      <c r="A2084" s="997">
        <f t="shared" si="32"/>
        <v>2083</v>
      </c>
      <c r="B2084" s="983" t="s">
        <v>2711</v>
      </c>
      <c r="C2084" s="1000"/>
      <c r="G2084" s="983" t="s">
        <v>1106</v>
      </c>
    </row>
    <row r="2085" spans="1:9" x14ac:dyDescent="0.2">
      <c r="A2085" s="997">
        <f t="shared" si="32"/>
        <v>2084</v>
      </c>
      <c r="B2085" s="983" t="s">
        <v>2711</v>
      </c>
      <c r="C2085" s="999"/>
      <c r="H2085" s="983" t="s">
        <v>1107</v>
      </c>
    </row>
    <row r="2086" spans="1:9" x14ac:dyDescent="0.2">
      <c r="A2086" s="997">
        <f t="shared" si="32"/>
        <v>2085</v>
      </c>
      <c r="B2086" s="983" t="s">
        <v>2711</v>
      </c>
      <c r="C2086" s="999"/>
      <c r="I2086" s="983" t="s">
        <v>1468</v>
      </c>
    </row>
    <row r="2087" spans="1:9" x14ac:dyDescent="0.2">
      <c r="A2087" s="997">
        <f t="shared" si="32"/>
        <v>2086</v>
      </c>
      <c r="B2087" s="983" t="s">
        <v>2711</v>
      </c>
      <c r="C2087" s="1000"/>
      <c r="H2087" s="983" t="s">
        <v>1108</v>
      </c>
    </row>
    <row r="2088" spans="1:9" x14ac:dyDescent="0.2">
      <c r="A2088" s="997">
        <f t="shared" si="32"/>
        <v>2087</v>
      </c>
      <c r="B2088" s="983" t="s">
        <v>2711</v>
      </c>
      <c r="C2088" s="1001"/>
      <c r="H2088" s="983" t="str">
        <f>CONCATENATE("&lt;valeur&gt;",Cellule_11214,"&lt;/valeur&gt;")</f>
        <v>&lt;valeur&gt;0&lt;/valeur&gt;</v>
      </c>
    </row>
    <row r="2089" spans="1:9" x14ac:dyDescent="0.2">
      <c r="A2089" s="997">
        <f t="shared" si="32"/>
        <v>2088</v>
      </c>
      <c r="B2089" s="983" t="s">
        <v>2711</v>
      </c>
      <c r="C2089" s="1000"/>
      <c r="G2089" s="983" t="s">
        <v>1109</v>
      </c>
    </row>
    <row r="2090" spans="1:9" x14ac:dyDescent="0.2">
      <c r="A2090" s="997">
        <f t="shared" si="32"/>
        <v>2089</v>
      </c>
      <c r="B2090" s="983" t="s">
        <v>2711</v>
      </c>
      <c r="C2090" s="1000"/>
      <c r="G2090" s="983" t="s">
        <v>1106</v>
      </c>
    </row>
    <row r="2091" spans="1:9" x14ac:dyDescent="0.2">
      <c r="A2091" s="997">
        <f t="shared" si="32"/>
        <v>2090</v>
      </c>
      <c r="B2091" s="983" t="s">
        <v>2711</v>
      </c>
      <c r="C2091" s="999"/>
      <c r="H2091" s="983" t="s">
        <v>1107</v>
      </c>
    </row>
    <row r="2092" spans="1:9" x14ac:dyDescent="0.2">
      <c r="A2092" s="997">
        <f t="shared" si="32"/>
        <v>2091</v>
      </c>
      <c r="B2092" s="983" t="s">
        <v>2711</v>
      </c>
      <c r="C2092" s="999"/>
      <c r="I2092" s="983" t="s">
        <v>1469</v>
      </c>
    </row>
    <row r="2093" spans="1:9" x14ac:dyDescent="0.2">
      <c r="A2093" s="997">
        <f t="shared" si="32"/>
        <v>2092</v>
      </c>
      <c r="B2093" s="983" t="s">
        <v>2711</v>
      </c>
      <c r="C2093" s="1000"/>
      <c r="H2093" s="983" t="s">
        <v>1108</v>
      </c>
    </row>
    <row r="2094" spans="1:9" x14ac:dyDescent="0.2">
      <c r="A2094" s="997">
        <f t="shared" si="32"/>
        <v>2093</v>
      </c>
      <c r="B2094" s="983" t="s">
        <v>2711</v>
      </c>
      <c r="C2094" s="1001"/>
      <c r="H2094" s="983" t="str">
        <f>CONCATENATE("&lt;valeur&gt;",Cellule_11219,"&lt;/valeur&gt;")</f>
        <v>&lt;valeur&gt;0&lt;/valeur&gt;</v>
      </c>
    </row>
    <row r="2095" spans="1:9" x14ac:dyDescent="0.2">
      <c r="A2095" s="997">
        <f t="shared" si="32"/>
        <v>2094</v>
      </c>
      <c r="B2095" s="983" t="s">
        <v>2711</v>
      </c>
      <c r="C2095" s="1000"/>
      <c r="G2095" s="983" t="s">
        <v>1109</v>
      </c>
    </row>
    <row r="2096" spans="1:9" x14ac:dyDescent="0.2">
      <c r="A2096" s="997">
        <f t="shared" si="32"/>
        <v>2095</v>
      </c>
      <c r="B2096" s="983" t="s">
        <v>2711</v>
      </c>
      <c r="C2096" s="1000"/>
      <c r="G2096" s="983" t="s">
        <v>1106</v>
      </c>
    </row>
    <row r="2097" spans="1:9" x14ac:dyDescent="0.2">
      <c r="A2097" s="997">
        <f t="shared" si="32"/>
        <v>2096</v>
      </c>
      <c r="B2097" s="983" t="s">
        <v>2711</v>
      </c>
      <c r="C2097" s="999"/>
      <c r="H2097" s="983" t="s">
        <v>1107</v>
      </c>
    </row>
    <row r="2098" spans="1:9" x14ac:dyDescent="0.2">
      <c r="A2098" s="997">
        <f t="shared" si="32"/>
        <v>2097</v>
      </c>
      <c r="B2098" s="983" t="s">
        <v>2711</v>
      </c>
      <c r="C2098" s="999"/>
      <c r="I2098" s="983" t="s">
        <v>1470</v>
      </c>
    </row>
    <row r="2099" spans="1:9" x14ac:dyDescent="0.2">
      <c r="A2099" s="997">
        <f t="shared" si="32"/>
        <v>2098</v>
      </c>
      <c r="B2099" s="983" t="s">
        <v>2711</v>
      </c>
      <c r="C2099" s="1000"/>
      <c r="H2099" s="983" t="s">
        <v>1108</v>
      </c>
    </row>
    <row r="2100" spans="1:9" x14ac:dyDescent="0.2">
      <c r="A2100" s="997">
        <f t="shared" si="32"/>
        <v>2099</v>
      </c>
      <c r="B2100" s="983" t="s">
        <v>2711</v>
      </c>
      <c r="C2100" s="1001"/>
      <c r="H2100" s="983" t="str">
        <f>CONCATENATE("&lt;valeur&gt;",Cellule_11224,"&lt;/valeur&gt;")</f>
        <v>&lt;valeur&gt;0&lt;/valeur&gt;</v>
      </c>
    </row>
    <row r="2101" spans="1:9" x14ac:dyDescent="0.2">
      <c r="A2101" s="997">
        <f t="shared" si="32"/>
        <v>2100</v>
      </c>
      <c r="B2101" s="983" t="s">
        <v>2711</v>
      </c>
      <c r="C2101" s="1000"/>
      <c r="G2101" s="983" t="s">
        <v>1109</v>
      </c>
    </row>
    <row r="2102" spans="1:9" x14ac:dyDescent="0.2">
      <c r="A2102" s="997">
        <f t="shared" si="32"/>
        <v>2101</v>
      </c>
      <c r="B2102" s="983" t="s">
        <v>2711</v>
      </c>
      <c r="C2102" s="1000"/>
      <c r="G2102" s="983" t="s">
        <v>1106</v>
      </c>
    </row>
    <row r="2103" spans="1:9" x14ac:dyDescent="0.2">
      <c r="A2103" s="997">
        <f t="shared" si="32"/>
        <v>2102</v>
      </c>
      <c r="B2103" s="983" t="s">
        <v>2711</v>
      </c>
      <c r="C2103" s="999"/>
      <c r="H2103" s="983" t="s">
        <v>1107</v>
      </c>
    </row>
    <row r="2104" spans="1:9" x14ac:dyDescent="0.2">
      <c r="A2104" s="997">
        <f t="shared" si="32"/>
        <v>2103</v>
      </c>
      <c r="B2104" s="983" t="s">
        <v>2711</v>
      </c>
      <c r="C2104" s="999"/>
      <c r="I2104" s="983" t="s">
        <v>1471</v>
      </c>
    </row>
    <row r="2105" spans="1:9" x14ac:dyDescent="0.2">
      <c r="A2105" s="997">
        <f t="shared" si="32"/>
        <v>2104</v>
      </c>
      <c r="B2105" s="983" t="s">
        <v>2711</v>
      </c>
      <c r="C2105" s="1000"/>
      <c r="H2105" s="983" t="s">
        <v>1108</v>
      </c>
    </row>
    <row r="2106" spans="1:9" x14ac:dyDescent="0.2">
      <c r="A2106" s="997">
        <f t="shared" si="32"/>
        <v>2105</v>
      </c>
      <c r="B2106" s="983" t="s">
        <v>2711</v>
      </c>
      <c r="C2106" s="1001"/>
      <c r="H2106" s="983" t="str">
        <f>CONCATENATE("&lt;valeur&gt;",Cellule_11229,"&lt;/valeur&gt;")</f>
        <v>&lt;valeur&gt;18918,67&lt;/valeur&gt;</v>
      </c>
    </row>
    <row r="2107" spans="1:9" x14ac:dyDescent="0.2">
      <c r="A2107" s="997">
        <f t="shared" si="32"/>
        <v>2106</v>
      </c>
      <c r="B2107" s="983" t="s">
        <v>2711</v>
      </c>
      <c r="C2107" s="1000"/>
      <c r="G2107" s="983" t="s">
        <v>1109</v>
      </c>
    </row>
    <row r="2108" spans="1:9" x14ac:dyDescent="0.2">
      <c r="A2108" s="997">
        <f t="shared" si="32"/>
        <v>2107</v>
      </c>
      <c r="B2108" s="983" t="s">
        <v>2711</v>
      </c>
      <c r="C2108" s="1000"/>
      <c r="G2108" s="983" t="s">
        <v>1106</v>
      </c>
    </row>
    <row r="2109" spans="1:9" x14ac:dyDescent="0.2">
      <c r="A2109" s="997">
        <f t="shared" si="32"/>
        <v>2108</v>
      </c>
      <c r="B2109" s="983" t="s">
        <v>2711</v>
      </c>
      <c r="C2109" s="999"/>
      <c r="H2109" s="983" t="s">
        <v>1107</v>
      </c>
    </row>
    <row r="2110" spans="1:9" x14ac:dyDescent="0.2">
      <c r="A2110" s="997">
        <f t="shared" si="32"/>
        <v>2109</v>
      </c>
      <c r="B2110" s="983" t="s">
        <v>2711</v>
      </c>
      <c r="C2110" s="999"/>
      <c r="I2110" s="983" t="s">
        <v>1472</v>
      </c>
    </row>
    <row r="2111" spans="1:9" x14ac:dyDescent="0.2">
      <c r="A2111" s="997">
        <f t="shared" si="32"/>
        <v>2110</v>
      </c>
      <c r="B2111" s="983" t="s">
        <v>2711</v>
      </c>
      <c r="C2111" s="1000"/>
      <c r="H2111" s="983" t="s">
        <v>1108</v>
      </c>
    </row>
    <row r="2112" spans="1:9" x14ac:dyDescent="0.2">
      <c r="A2112" s="997">
        <f t="shared" si="32"/>
        <v>2111</v>
      </c>
      <c r="B2112" s="983" t="s">
        <v>2711</v>
      </c>
      <c r="C2112" s="1001"/>
      <c r="H2112" s="983" t="str">
        <f>CONCATENATE("&lt;valeur&gt;",Cellule_11234,"&lt;/valeur&gt;")</f>
        <v>&lt;valeur&gt;-18918,67&lt;/valeur&gt;</v>
      </c>
    </row>
    <row r="2113" spans="1:9" x14ac:dyDescent="0.2">
      <c r="A2113" s="997">
        <f t="shared" si="32"/>
        <v>2112</v>
      </c>
      <c r="B2113" s="983" t="s">
        <v>2711</v>
      </c>
      <c r="C2113" s="1000"/>
      <c r="G2113" s="983" t="s">
        <v>1109</v>
      </c>
    </row>
    <row r="2114" spans="1:9" x14ac:dyDescent="0.2">
      <c r="A2114" s="997">
        <f t="shared" si="32"/>
        <v>2113</v>
      </c>
      <c r="B2114" s="983" t="s">
        <v>2711</v>
      </c>
      <c r="C2114" s="1000"/>
      <c r="G2114" s="983" t="s">
        <v>1106</v>
      </c>
    </row>
    <row r="2115" spans="1:9" x14ac:dyDescent="0.2">
      <c r="A2115" s="997">
        <f t="shared" si="32"/>
        <v>2114</v>
      </c>
      <c r="B2115" s="983" t="s">
        <v>2711</v>
      </c>
      <c r="C2115" s="999"/>
      <c r="H2115" s="983" t="s">
        <v>1107</v>
      </c>
    </row>
    <row r="2116" spans="1:9" x14ac:dyDescent="0.2">
      <c r="A2116" s="997">
        <f t="shared" ref="A2116:A2179" si="33">+A2115+1</f>
        <v>2115</v>
      </c>
      <c r="B2116" s="983" t="s">
        <v>2711</v>
      </c>
      <c r="C2116" s="999"/>
      <c r="I2116" s="983" t="s">
        <v>1473</v>
      </c>
    </row>
    <row r="2117" spans="1:9" x14ac:dyDescent="0.2">
      <c r="A2117" s="997">
        <f t="shared" si="33"/>
        <v>2116</v>
      </c>
      <c r="B2117" s="983" t="s">
        <v>2711</v>
      </c>
      <c r="C2117" s="1000"/>
      <c r="H2117" s="983" t="s">
        <v>1108</v>
      </c>
    </row>
    <row r="2118" spans="1:9" x14ac:dyDescent="0.2">
      <c r="A2118" s="997">
        <f t="shared" si="33"/>
        <v>2117</v>
      </c>
      <c r="B2118" s="983" t="s">
        <v>2711</v>
      </c>
      <c r="C2118" s="1001"/>
      <c r="H2118" s="983" t="str">
        <f>CONCATENATE("&lt;valeur&gt;",Cellule_11179,"&lt;/valeur&gt;")</f>
        <v>&lt;valeur&gt;0&lt;/valeur&gt;</v>
      </c>
    </row>
    <row r="2119" spans="1:9" x14ac:dyDescent="0.2">
      <c r="A2119" s="997">
        <f t="shared" si="33"/>
        <v>2118</v>
      </c>
      <c r="B2119" s="983" t="s">
        <v>2711</v>
      </c>
      <c r="C2119" s="1000"/>
      <c r="G2119" s="983" t="s">
        <v>1109</v>
      </c>
    </row>
    <row r="2120" spans="1:9" x14ac:dyDescent="0.2">
      <c r="A2120" s="997">
        <f t="shared" si="33"/>
        <v>2119</v>
      </c>
      <c r="B2120" s="983" t="s">
        <v>2711</v>
      </c>
      <c r="C2120" s="1000"/>
      <c r="G2120" s="983" t="s">
        <v>1106</v>
      </c>
    </row>
    <row r="2121" spans="1:9" x14ac:dyDescent="0.2">
      <c r="A2121" s="997">
        <f t="shared" si="33"/>
        <v>2120</v>
      </c>
      <c r="B2121" s="983" t="s">
        <v>2711</v>
      </c>
      <c r="C2121" s="999"/>
      <c r="H2121" s="983" t="s">
        <v>1107</v>
      </c>
    </row>
    <row r="2122" spans="1:9" x14ac:dyDescent="0.2">
      <c r="A2122" s="997">
        <f t="shared" si="33"/>
        <v>2121</v>
      </c>
      <c r="B2122" s="983" t="s">
        <v>2711</v>
      </c>
      <c r="C2122" s="999"/>
      <c r="I2122" s="983" t="s">
        <v>1474</v>
      </c>
    </row>
    <row r="2123" spans="1:9" x14ac:dyDescent="0.2">
      <c r="A2123" s="997">
        <f t="shared" si="33"/>
        <v>2122</v>
      </c>
      <c r="B2123" s="983" t="s">
        <v>2711</v>
      </c>
      <c r="C2123" s="1000"/>
      <c r="H2123" s="983" t="s">
        <v>1108</v>
      </c>
    </row>
    <row r="2124" spans="1:9" x14ac:dyDescent="0.2">
      <c r="A2124" s="997">
        <f t="shared" si="33"/>
        <v>2123</v>
      </c>
      <c r="B2124" s="983" t="s">
        <v>2711</v>
      </c>
      <c r="C2124" s="1001"/>
      <c r="H2124" s="983" t="str">
        <f>CONCATENATE("&lt;valeur&gt;",Cellule_11184,"&lt;/valeur&gt;")</f>
        <v>&lt;valeur&gt;0&lt;/valeur&gt;</v>
      </c>
    </row>
    <row r="2125" spans="1:9" x14ac:dyDescent="0.2">
      <c r="A2125" s="997">
        <f t="shared" si="33"/>
        <v>2124</v>
      </c>
      <c r="B2125" s="983" t="s">
        <v>2711</v>
      </c>
      <c r="C2125" s="1000"/>
      <c r="G2125" s="983" t="s">
        <v>1109</v>
      </c>
    </row>
    <row r="2126" spans="1:9" x14ac:dyDescent="0.2">
      <c r="A2126" s="997">
        <f t="shared" si="33"/>
        <v>2125</v>
      </c>
      <c r="B2126" s="983" t="s">
        <v>2711</v>
      </c>
      <c r="C2126" s="1000"/>
      <c r="G2126" s="983" t="s">
        <v>1106</v>
      </c>
    </row>
    <row r="2127" spans="1:9" x14ac:dyDescent="0.2">
      <c r="A2127" s="997">
        <f t="shared" si="33"/>
        <v>2126</v>
      </c>
      <c r="B2127" s="983" t="s">
        <v>2711</v>
      </c>
      <c r="C2127" s="999"/>
      <c r="H2127" s="983" t="s">
        <v>1107</v>
      </c>
    </row>
    <row r="2128" spans="1:9" x14ac:dyDescent="0.2">
      <c r="A2128" s="997">
        <f t="shared" si="33"/>
        <v>2127</v>
      </c>
      <c r="B2128" s="983" t="s">
        <v>2711</v>
      </c>
      <c r="C2128" s="999"/>
      <c r="I2128" s="983" t="s">
        <v>1475</v>
      </c>
    </row>
    <row r="2129" spans="1:9" x14ac:dyDescent="0.2">
      <c r="A2129" s="997">
        <f t="shared" si="33"/>
        <v>2128</v>
      </c>
      <c r="B2129" s="983" t="s">
        <v>2711</v>
      </c>
      <c r="C2129" s="1000"/>
      <c r="H2129" s="983" t="s">
        <v>1108</v>
      </c>
    </row>
    <row r="2130" spans="1:9" x14ac:dyDescent="0.2">
      <c r="A2130" s="997">
        <f t="shared" si="33"/>
        <v>2129</v>
      </c>
      <c r="B2130" s="983" t="s">
        <v>2711</v>
      </c>
      <c r="C2130" s="1001"/>
      <c r="H2130" s="983" t="str">
        <f>CONCATENATE("&lt;valeur&gt;",Cellule_11189,"&lt;/valeur&gt;")</f>
        <v>&lt;valeur&gt;0&lt;/valeur&gt;</v>
      </c>
    </row>
    <row r="2131" spans="1:9" x14ac:dyDescent="0.2">
      <c r="A2131" s="997">
        <f t="shared" si="33"/>
        <v>2130</v>
      </c>
      <c r="B2131" s="983" t="s">
        <v>2711</v>
      </c>
      <c r="C2131" s="1000"/>
      <c r="G2131" s="983" t="s">
        <v>1109</v>
      </c>
    </row>
    <row r="2132" spans="1:9" x14ac:dyDescent="0.2">
      <c r="A2132" s="997">
        <f t="shared" si="33"/>
        <v>2131</v>
      </c>
      <c r="B2132" s="983" t="s">
        <v>2711</v>
      </c>
      <c r="C2132" s="1000"/>
      <c r="G2132" s="983" t="s">
        <v>1106</v>
      </c>
    </row>
    <row r="2133" spans="1:9" x14ac:dyDescent="0.2">
      <c r="A2133" s="997">
        <f t="shared" si="33"/>
        <v>2132</v>
      </c>
      <c r="B2133" s="983" t="s">
        <v>2711</v>
      </c>
      <c r="C2133" s="999"/>
      <c r="H2133" s="983" t="s">
        <v>1107</v>
      </c>
    </row>
    <row r="2134" spans="1:9" x14ac:dyDescent="0.2">
      <c r="A2134" s="997">
        <f t="shared" si="33"/>
        <v>2133</v>
      </c>
      <c r="B2134" s="983" t="s">
        <v>2711</v>
      </c>
      <c r="C2134" s="999"/>
      <c r="I2134" s="983" t="s">
        <v>1476</v>
      </c>
    </row>
    <row r="2135" spans="1:9" x14ac:dyDescent="0.2">
      <c r="A2135" s="997">
        <f t="shared" si="33"/>
        <v>2134</v>
      </c>
      <c r="B2135" s="983" t="s">
        <v>2711</v>
      </c>
      <c r="C2135" s="1000"/>
      <c r="H2135" s="983" t="s">
        <v>1108</v>
      </c>
    </row>
    <row r="2136" spans="1:9" x14ac:dyDescent="0.2">
      <c r="A2136" s="997">
        <f t="shared" si="33"/>
        <v>2135</v>
      </c>
      <c r="B2136" s="983" t="s">
        <v>2711</v>
      </c>
      <c r="C2136" s="1001"/>
      <c r="H2136" s="983" t="str">
        <f>CONCATENATE("&lt;valeur&gt;",Cellule_11194,"&lt;/valeur&gt;")</f>
        <v>&lt;valeur&gt;0&lt;/valeur&gt;</v>
      </c>
    </row>
    <row r="2137" spans="1:9" x14ac:dyDescent="0.2">
      <c r="A2137" s="997">
        <f t="shared" si="33"/>
        <v>2136</v>
      </c>
      <c r="B2137" s="983" t="s">
        <v>2711</v>
      </c>
      <c r="C2137" s="1000"/>
      <c r="G2137" s="983" t="s">
        <v>1109</v>
      </c>
    </row>
    <row r="2138" spans="1:9" x14ac:dyDescent="0.2">
      <c r="A2138" s="997">
        <f t="shared" si="33"/>
        <v>2137</v>
      </c>
      <c r="B2138" s="983" t="s">
        <v>2711</v>
      </c>
      <c r="C2138" s="1000"/>
      <c r="G2138" s="983" t="s">
        <v>1106</v>
      </c>
    </row>
    <row r="2139" spans="1:9" x14ac:dyDescent="0.2">
      <c r="A2139" s="997">
        <f t="shared" si="33"/>
        <v>2138</v>
      </c>
      <c r="B2139" s="983" t="s">
        <v>2711</v>
      </c>
      <c r="C2139" s="999"/>
      <c r="H2139" s="983" t="s">
        <v>1107</v>
      </c>
    </row>
    <row r="2140" spans="1:9" x14ac:dyDescent="0.2">
      <c r="A2140" s="997">
        <f t="shared" si="33"/>
        <v>2139</v>
      </c>
      <c r="B2140" s="983" t="s">
        <v>2711</v>
      </c>
      <c r="C2140" s="999"/>
      <c r="I2140" s="983" t="s">
        <v>1477</v>
      </c>
    </row>
    <row r="2141" spans="1:9" x14ac:dyDescent="0.2">
      <c r="A2141" s="997">
        <f t="shared" si="33"/>
        <v>2140</v>
      </c>
      <c r="B2141" s="983" t="s">
        <v>2711</v>
      </c>
      <c r="C2141" s="1000"/>
      <c r="H2141" s="983" t="s">
        <v>1108</v>
      </c>
    </row>
    <row r="2142" spans="1:9" x14ac:dyDescent="0.2">
      <c r="A2142" s="997">
        <f t="shared" si="33"/>
        <v>2141</v>
      </c>
      <c r="B2142" s="983" t="s">
        <v>2711</v>
      </c>
      <c r="C2142" s="1001"/>
      <c r="H2142" s="983" t="str">
        <f>CONCATENATE("&lt;valeur&gt;",Cellule_11199,"&lt;/valeur&gt;")</f>
        <v>&lt;valeur&gt;0&lt;/valeur&gt;</v>
      </c>
    </row>
    <row r="2143" spans="1:9" x14ac:dyDescent="0.2">
      <c r="A2143" s="997">
        <f t="shared" si="33"/>
        <v>2142</v>
      </c>
      <c r="B2143" s="983" t="s">
        <v>2711</v>
      </c>
      <c r="C2143" s="1000"/>
      <c r="G2143" s="983" t="s">
        <v>1109</v>
      </c>
    </row>
    <row r="2144" spans="1:9" x14ac:dyDescent="0.2">
      <c r="A2144" s="997">
        <f t="shared" si="33"/>
        <v>2143</v>
      </c>
      <c r="B2144" s="983" t="s">
        <v>2711</v>
      </c>
      <c r="C2144" s="1000"/>
      <c r="G2144" s="983" t="s">
        <v>1106</v>
      </c>
    </row>
    <row r="2145" spans="1:9" x14ac:dyDescent="0.2">
      <c r="A2145" s="997">
        <f t="shared" si="33"/>
        <v>2144</v>
      </c>
      <c r="B2145" s="983" t="s">
        <v>2711</v>
      </c>
      <c r="C2145" s="999"/>
      <c r="H2145" s="983" t="s">
        <v>1107</v>
      </c>
    </row>
    <row r="2146" spans="1:9" x14ac:dyDescent="0.2">
      <c r="A2146" s="997">
        <f t="shared" si="33"/>
        <v>2145</v>
      </c>
      <c r="B2146" s="983" t="s">
        <v>2711</v>
      </c>
      <c r="C2146" s="999"/>
      <c r="I2146" s="983" t="s">
        <v>1478</v>
      </c>
    </row>
    <row r="2147" spans="1:9" x14ac:dyDescent="0.2">
      <c r="A2147" s="997">
        <f t="shared" si="33"/>
        <v>2146</v>
      </c>
      <c r="B2147" s="983" t="s">
        <v>2711</v>
      </c>
      <c r="C2147" s="1000"/>
      <c r="H2147" s="983" t="s">
        <v>1108</v>
      </c>
    </row>
    <row r="2148" spans="1:9" x14ac:dyDescent="0.2">
      <c r="A2148" s="997">
        <f t="shared" si="33"/>
        <v>2147</v>
      </c>
      <c r="B2148" s="983" t="s">
        <v>2711</v>
      </c>
      <c r="C2148" s="1001"/>
      <c r="H2148" s="983" t="str">
        <f>CONCATENATE("&lt;valeur&gt;",Cellule_11269,"&lt;/valeur&gt;")</f>
        <v>&lt;valeur&gt;12871&lt;/valeur&gt;</v>
      </c>
    </row>
    <row r="2149" spans="1:9" x14ac:dyDescent="0.2">
      <c r="A2149" s="997">
        <f t="shared" si="33"/>
        <v>2148</v>
      </c>
      <c r="B2149" s="983" t="s">
        <v>2711</v>
      </c>
      <c r="C2149" s="1000"/>
      <c r="G2149" s="983" t="s">
        <v>1109</v>
      </c>
    </row>
    <row r="2150" spans="1:9" x14ac:dyDescent="0.2">
      <c r="A2150" s="997">
        <f t="shared" si="33"/>
        <v>2149</v>
      </c>
      <c r="B2150" s="983" t="s">
        <v>2711</v>
      </c>
      <c r="C2150" s="1000"/>
      <c r="G2150" s="983" t="s">
        <v>1106</v>
      </c>
    </row>
    <row r="2151" spans="1:9" x14ac:dyDescent="0.2">
      <c r="A2151" s="997">
        <f t="shared" si="33"/>
        <v>2150</v>
      </c>
      <c r="B2151" s="983" t="s">
        <v>2711</v>
      </c>
      <c r="C2151" s="999"/>
      <c r="H2151" s="983" t="s">
        <v>1107</v>
      </c>
    </row>
    <row r="2152" spans="1:9" x14ac:dyDescent="0.2">
      <c r="A2152" s="997">
        <f t="shared" si="33"/>
        <v>2151</v>
      </c>
      <c r="B2152" s="983" t="s">
        <v>2711</v>
      </c>
      <c r="C2152" s="999"/>
      <c r="I2152" s="983" t="s">
        <v>1479</v>
      </c>
    </row>
    <row r="2153" spans="1:9" x14ac:dyDescent="0.2">
      <c r="A2153" s="997">
        <f t="shared" si="33"/>
        <v>2152</v>
      </c>
      <c r="B2153" s="983" t="s">
        <v>2711</v>
      </c>
      <c r="C2153" s="1000"/>
      <c r="H2153" s="983" t="s">
        <v>1108</v>
      </c>
    </row>
    <row r="2154" spans="1:9" x14ac:dyDescent="0.2">
      <c r="A2154" s="997">
        <f t="shared" si="33"/>
        <v>2153</v>
      </c>
      <c r="B2154" s="983" t="s">
        <v>2711</v>
      </c>
      <c r="C2154" s="1001"/>
      <c r="H2154" s="983" t="str">
        <f>CONCATENATE("&lt;valeur&gt;",Cellule_11239,"&lt;/valeur&gt;")</f>
        <v>&lt;valeur&gt;18918,67&lt;/valeur&gt;</v>
      </c>
    </row>
    <row r="2155" spans="1:9" x14ac:dyDescent="0.2">
      <c r="A2155" s="997">
        <f t="shared" si="33"/>
        <v>2154</v>
      </c>
      <c r="B2155" s="983" t="s">
        <v>2711</v>
      </c>
      <c r="C2155" s="1000"/>
      <c r="G2155" s="983" t="s">
        <v>1109</v>
      </c>
    </row>
    <row r="2156" spans="1:9" x14ac:dyDescent="0.2">
      <c r="A2156" s="997">
        <f t="shared" si="33"/>
        <v>2155</v>
      </c>
      <c r="B2156" s="983" t="s">
        <v>2711</v>
      </c>
      <c r="C2156" s="1000"/>
      <c r="G2156" s="983" t="s">
        <v>1106</v>
      </c>
    </row>
    <row r="2157" spans="1:9" x14ac:dyDescent="0.2">
      <c r="A2157" s="997">
        <f t="shared" si="33"/>
        <v>2156</v>
      </c>
      <c r="B2157" s="983" t="s">
        <v>2711</v>
      </c>
      <c r="C2157" s="999"/>
      <c r="H2157" s="983" t="s">
        <v>1107</v>
      </c>
    </row>
    <row r="2158" spans="1:9" x14ac:dyDescent="0.2">
      <c r="A2158" s="997">
        <f t="shared" si="33"/>
        <v>2157</v>
      </c>
      <c r="B2158" s="983" t="s">
        <v>2711</v>
      </c>
      <c r="C2158" s="999"/>
      <c r="I2158" s="983" t="s">
        <v>1480</v>
      </c>
    </row>
    <row r="2159" spans="1:9" x14ac:dyDescent="0.2">
      <c r="A2159" s="997">
        <f t="shared" si="33"/>
        <v>2158</v>
      </c>
      <c r="B2159" s="983" t="s">
        <v>2711</v>
      </c>
      <c r="C2159" s="1000"/>
      <c r="H2159" s="983" t="s">
        <v>1108</v>
      </c>
    </row>
    <row r="2160" spans="1:9" x14ac:dyDescent="0.2">
      <c r="A2160" s="997">
        <f t="shared" si="33"/>
        <v>2159</v>
      </c>
      <c r="B2160" s="983" t="s">
        <v>2711</v>
      </c>
      <c r="C2160" s="1001"/>
      <c r="H2160" s="983" t="str">
        <f>CONCATENATE("&lt;valeur&gt;",Cellule_11244,"&lt;/valeur&gt;")</f>
        <v>&lt;valeur&gt;694,37&lt;/valeur&gt;</v>
      </c>
    </row>
    <row r="2161" spans="1:9" x14ac:dyDescent="0.2">
      <c r="A2161" s="997">
        <f t="shared" si="33"/>
        <v>2160</v>
      </c>
      <c r="B2161" s="983" t="s">
        <v>2711</v>
      </c>
      <c r="C2161" s="1000"/>
      <c r="G2161" s="983" t="s">
        <v>1109</v>
      </c>
    </row>
    <row r="2162" spans="1:9" x14ac:dyDescent="0.2">
      <c r="A2162" s="997">
        <f t="shared" si="33"/>
        <v>2161</v>
      </c>
      <c r="B2162" s="983" t="s">
        <v>2711</v>
      </c>
      <c r="C2162" s="1000"/>
      <c r="G2162" s="983" t="s">
        <v>1106</v>
      </c>
    </row>
    <row r="2163" spans="1:9" x14ac:dyDescent="0.2">
      <c r="A2163" s="997">
        <f t="shared" si="33"/>
        <v>2162</v>
      </c>
      <c r="B2163" s="983" t="s">
        <v>2711</v>
      </c>
      <c r="C2163" s="999"/>
      <c r="H2163" s="983" t="s">
        <v>1107</v>
      </c>
    </row>
    <row r="2164" spans="1:9" x14ac:dyDescent="0.2">
      <c r="A2164" s="997">
        <f t="shared" si="33"/>
        <v>2163</v>
      </c>
      <c r="B2164" s="983" t="s">
        <v>2711</v>
      </c>
      <c r="C2164" s="999"/>
      <c r="I2164" s="983" t="s">
        <v>1481</v>
      </c>
    </row>
    <row r="2165" spans="1:9" x14ac:dyDescent="0.2">
      <c r="A2165" s="997">
        <f t="shared" si="33"/>
        <v>2164</v>
      </c>
      <c r="B2165" s="983" t="s">
        <v>2711</v>
      </c>
      <c r="C2165" s="1000"/>
      <c r="H2165" s="983" t="s">
        <v>1108</v>
      </c>
    </row>
    <row r="2166" spans="1:9" x14ac:dyDescent="0.2">
      <c r="A2166" s="997">
        <f t="shared" si="33"/>
        <v>2165</v>
      </c>
      <c r="B2166" s="983" t="s">
        <v>2711</v>
      </c>
      <c r="C2166" s="1001"/>
      <c r="H2166" s="983" t="str">
        <f>CONCATENATE("&lt;valeur&gt;",Cellule_11249,"&lt;/valeur&gt;")</f>
        <v>&lt;valeur&gt;0&lt;/valeur&gt;</v>
      </c>
    </row>
    <row r="2167" spans="1:9" x14ac:dyDescent="0.2">
      <c r="A2167" s="997">
        <f t="shared" si="33"/>
        <v>2166</v>
      </c>
      <c r="B2167" s="983" t="s">
        <v>2711</v>
      </c>
      <c r="C2167" s="1000"/>
      <c r="G2167" s="983" t="s">
        <v>1109</v>
      </c>
    </row>
    <row r="2168" spans="1:9" x14ac:dyDescent="0.2">
      <c r="A2168" s="997">
        <f t="shared" si="33"/>
        <v>2167</v>
      </c>
      <c r="B2168" s="983" t="s">
        <v>2711</v>
      </c>
      <c r="C2168" s="1000"/>
      <c r="G2168" s="983" t="s">
        <v>1106</v>
      </c>
    </row>
    <row r="2169" spans="1:9" x14ac:dyDescent="0.2">
      <c r="A2169" s="997">
        <f t="shared" si="33"/>
        <v>2168</v>
      </c>
      <c r="B2169" s="983" t="s">
        <v>2711</v>
      </c>
      <c r="C2169" s="999"/>
      <c r="H2169" s="983" t="s">
        <v>1107</v>
      </c>
    </row>
    <row r="2170" spans="1:9" x14ac:dyDescent="0.2">
      <c r="A2170" s="997">
        <f t="shared" si="33"/>
        <v>2169</v>
      </c>
      <c r="B2170" s="983" t="s">
        <v>2711</v>
      </c>
      <c r="C2170" s="999"/>
      <c r="I2170" s="983" t="s">
        <v>1482</v>
      </c>
    </row>
    <row r="2171" spans="1:9" x14ac:dyDescent="0.2">
      <c r="A2171" s="997">
        <f t="shared" si="33"/>
        <v>2170</v>
      </c>
      <c r="B2171" s="983" t="s">
        <v>2711</v>
      </c>
      <c r="C2171" s="1000"/>
      <c r="H2171" s="983" t="s">
        <v>1108</v>
      </c>
    </row>
    <row r="2172" spans="1:9" x14ac:dyDescent="0.2">
      <c r="A2172" s="997">
        <f t="shared" si="33"/>
        <v>2171</v>
      </c>
      <c r="B2172" s="983" t="s">
        <v>2711</v>
      </c>
      <c r="C2172" s="1001"/>
      <c r="H2172" s="983" t="str">
        <f>CONCATENATE("&lt;valeur&gt;",Cellule_11254,"&lt;/valeur&gt;")</f>
        <v>&lt;valeur&gt;0&lt;/valeur&gt;</v>
      </c>
    </row>
    <row r="2173" spans="1:9" x14ac:dyDescent="0.2">
      <c r="A2173" s="997">
        <f t="shared" si="33"/>
        <v>2172</v>
      </c>
      <c r="B2173" s="983" t="s">
        <v>2711</v>
      </c>
      <c r="C2173" s="1000"/>
      <c r="G2173" s="983" t="s">
        <v>1109</v>
      </c>
    </row>
    <row r="2174" spans="1:9" x14ac:dyDescent="0.2">
      <c r="A2174" s="997">
        <f t="shared" si="33"/>
        <v>2173</v>
      </c>
      <c r="B2174" s="983" t="s">
        <v>2711</v>
      </c>
      <c r="C2174" s="1000"/>
      <c r="G2174" s="983" t="s">
        <v>1106</v>
      </c>
    </row>
    <row r="2175" spans="1:9" x14ac:dyDescent="0.2">
      <c r="A2175" s="997">
        <f t="shared" si="33"/>
        <v>2174</v>
      </c>
      <c r="B2175" s="983" t="s">
        <v>2711</v>
      </c>
      <c r="C2175" s="999"/>
      <c r="H2175" s="983" t="s">
        <v>1107</v>
      </c>
    </row>
    <row r="2176" spans="1:9" x14ac:dyDescent="0.2">
      <c r="A2176" s="997">
        <f t="shared" si="33"/>
        <v>2175</v>
      </c>
      <c r="B2176" s="983" t="s">
        <v>2711</v>
      </c>
      <c r="C2176" s="999"/>
      <c r="I2176" s="983" t="s">
        <v>1483</v>
      </c>
    </row>
    <row r="2177" spans="1:9" x14ac:dyDescent="0.2">
      <c r="A2177" s="997">
        <f t="shared" si="33"/>
        <v>2176</v>
      </c>
      <c r="B2177" s="983" t="s">
        <v>2711</v>
      </c>
      <c r="C2177" s="1000"/>
      <c r="H2177" s="983" t="s">
        <v>1108</v>
      </c>
    </row>
    <row r="2178" spans="1:9" x14ac:dyDescent="0.2">
      <c r="A2178" s="997">
        <f t="shared" si="33"/>
        <v>2177</v>
      </c>
      <c r="B2178" s="983" t="s">
        <v>2711</v>
      </c>
      <c r="C2178" s="1001"/>
      <c r="H2178" s="983" t="str">
        <f>CONCATENATE("&lt;valeur&gt;",Cellule_11259,"&lt;/valeur&gt;")</f>
        <v>&lt;valeur&gt;0&lt;/valeur&gt;</v>
      </c>
    </row>
    <row r="2179" spans="1:9" x14ac:dyDescent="0.2">
      <c r="A2179" s="997">
        <f t="shared" si="33"/>
        <v>2178</v>
      </c>
      <c r="B2179" s="983" t="s">
        <v>2711</v>
      </c>
      <c r="C2179" s="1000"/>
      <c r="G2179" s="983" t="s">
        <v>1109</v>
      </c>
    </row>
    <row r="2180" spans="1:9" x14ac:dyDescent="0.2">
      <c r="A2180" s="997">
        <f t="shared" ref="A2180:A2243" si="34">+A2179+1</f>
        <v>2179</v>
      </c>
      <c r="B2180" s="983" t="s">
        <v>2711</v>
      </c>
      <c r="C2180" s="1000"/>
      <c r="G2180" s="983" t="s">
        <v>1106</v>
      </c>
    </row>
    <row r="2181" spans="1:9" x14ac:dyDescent="0.2">
      <c r="A2181" s="997">
        <f t="shared" si="34"/>
        <v>2180</v>
      </c>
      <c r="B2181" s="983" t="s">
        <v>2711</v>
      </c>
      <c r="C2181" s="999"/>
      <c r="H2181" s="983" t="s">
        <v>1107</v>
      </c>
    </row>
    <row r="2182" spans="1:9" x14ac:dyDescent="0.2">
      <c r="A2182" s="997">
        <f t="shared" si="34"/>
        <v>2181</v>
      </c>
      <c r="B2182" s="983" t="s">
        <v>2711</v>
      </c>
      <c r="C2182" s="999"/>
      <c r="I2182" s="983" t="s">
        <v>1484</v>
      </c>
    </row>
    <row r="2183" spans="1:9" x14ac:dyDescent="0.2">
      <c r="A2183" s="997">
        <f t="shared" si="34"/>
        <v>2182</v>
      </c>
      <c r="B2183" s="983" t="s">
        <v>2711</v>
      </c>
      <c r="C2183" s="1000"/>
      <c r="H2183" s="983" t="s">
        <v>1108</v>
      </c>
    </row>
    <row r="2184" spans="1:9" x14ac:dyDescent="0.2">
      <c r="A2184" s="997">
        <f t="shared" si="34"/>
        <v>2183</v>
      </c>
      <c r="B2184" s="983" t="s">
        <v>2711</v>
      </c>
      <c r="C2184" s="1001"/>
      <c r="H2184" s="983" t="str">
        <f>CONCATENATE("&lt;valeur&gt;",Cellule_11264,"&lt;/valeur&gt;")</f>
        <v>&lt;valeur&gt;5353,3&lt;/valeur&gt;</v>
      </c>
    </row>
    <row r="2185" spans="1:9" x14ac:dyDescent="0.2">
      <c r="A2185" s="997">
        <f t="shared" si="34"/>
        <v>2184</v>
      </c>
      <c r="B2185" s="983" t="s">
        <v>2711</v>
      </c>
      <c r="C2185" s="1000"/>
      <c r="G2185" s="983" t="s">
        <v>1109</v>
      </c>
    </row>
    <row r="2186" spans="1:9" x14ac:dyDescent="0.2">
      <c r="A2186" s="997">
        <f t="shared" si="34"/>
        <v>2185</v>
      </c>
      <c r="B2186" s="983" t="s">
        <v>2711</v>
      </c>
      <c r="C2186" s="1000"/>
      <c r="G2186" s="983" t="s">
        <v>1106</v>
      </c>
    </row>
    <row r="2187" spans="1:9" x14ac:dyDescent="0.2">
      <c r="A2187" s="997">
        <f t="shared" si="34"/>
        <v>2186</v>
      </c>
      <c r="B2187" s="983" t="s">
        <v>2711</v>
      </c>
      <c r="C2187" s="999"/>
      <c r="H2187" s="983" t="s">
        <v>1107</v>
      </c>
    </row>
    <row r="2188" spans="1:9" x14ac:dyDescent="0.2">
      <c r="A2188" s="997">
        <f t="shared" si="34"/>
        <v>2187</v>
      </c>
      <c r="B2188" s="983" t="s">
        <v>2711</v>
      </c>
      <c r="C2188" s="999"/>
      <c r="I2188" s="983" t="s">
        <v>1485</v>
      </c>
    </row>
    <row r="2189" spans="1:9" x14ac:dyDescent="0.2">
      <c r="A2189" s="997">
        <f t="shared" si="34"/>
        <v>2188</v>
      </c>
      <c r="B2189" s="983" t="s">
        <v>2711</v>
      </c>
      <c r="C2189" s="1000"/>
      <c r="H2189" s="983" t="s">
        <v>1108</v>
      </c>
    </row>
    <row r="2190" spans="1:9" x14ac:dyDescent="0.2">
      <c r="A2190" s="997">
        <f t="shared" si="34"/>
        <v>2189</v>
      </c>
      <c r="B2190" s="983" t="s">
        <v>2711</v>
      </c>
      <c r="C2190" s="1001"/>
      <c r="H2190" s="983" t="str">
        <f>CONCATENATE("&lt;valeur&gt;",Cellule_11271,"&lt;/valeur&gt;")</f>
        <v>&lt;valeur&gt;0&lt;/valeur&gt;</v>
      </c>
    </row>
    <row r="2191" spans="1:9" x14ac:dyDescent="0.2">
      <c r="A2191" s="997">
        <f t="shared" si="34"/>
        <v>2190</v>
      </c>
      <c r="B2191" s="983" t="s">
        <v>2711</v>
      </c>
      <c r="C2191" s="1000"/>
      <c r="G2191" s="983" t="s">
        <v>1109</v>
      </c>
    </row>
    <row r="2192" spans="1:9" x14ac:dyDescent="0.2">
      <c r="A2192" s="997">
        <f t="shared" si="34"/>
        <v>2191</v>
      </c>
      <c r="B2192" s="983" t="s">
        <v>2711</v>
      </c>
      <c r="C2192" s="1000"/>
      <c r="G2192" s="983" t="s">
        <v>1106</v>
      </c>
    </row>
    <row r="2193" spans="1:9" x14ac:dyDescent="0.2">
      <c r="A2193" s="997">
        <f t="shared" si="34"/>
        <v>2192</v>
      </c>
      <c r="B2193" s="983" t="s">
        <v>2711</v>
      </c>
      <c r="C2193" s="999"/>
      <c r="H2193" s="983" t="s">
        <v>1107</v>
      </c>
    </row>
    <row r="2194" spans="1:9" x14ac:dyDescent="0.2">
      <c r="A2194" s="997">
        <f t="shared" si="34"/>
        <v>2193</v>
      </c>
      <c r="B2194" s="983" t="s">
        <v>2711</v>
      </c>
      <c r="C2194" s="999"/>
      <c r="I2194" s="983" t="s">
        <v>1486</v>
      </c>
    </row>
    <row r="2195" spans="1:9" x14ac:dyDescent="0.2">
      <c r="A2195" s="997">
        <f t="shared" si="34"/>
        <v>2194</v>
      </c>
      <c r="B2195" s="983" t="s">
        <v>2711</v>
      </c>
      <c r="C2195" s="1000"/>
      <c r="H2195" s="983" t="s">
        <v>1108</v>
      </c>
    </row>
    <row r="2196" spans="1:9" x14ac:dyDescent="0.2">
      <c r="A2196" s="997">
        <f t="shared" si="34"/>
        <v>2195</v>
      </c>
      <c r="B2196" s="983" t="s">
        <v>2711</v>
      </c>
      <c r="C2196" s="1001"/>
      <c r="H2196" s="983" t="str">
        <f>CONCATENATE("&lt;valeur&gt;",Cellule_11276,"&lt;/valeur&gt;")</f>
        <v>&lt;valeur&gt;0&lt;/valeur&gt;</v>
      </c>
    </row>
    <row r="2197" spans="1:9" x14ac:dyDescent="0.2">
      <c r="A2197" s="997">
        <f t="shared" si="34"/>
        <v>2196</v>
      </c>
      <c r="B2197" s="983" t="s">
        <v>2711</v>
      </c>
      <c r="C2197" s="1000"/>
      <c r="G2197" s="983" t="s">
        <v>1109</v>
      </c>
    </row>
    <row r="2198" spans="1:9" x14ac:dyDescent="0.2">
      <c r="A2198" s="997">
        <f t="shared" si="34"/>
        <v>2197</v>
      </c>
      <c r="B2198" s="983" t="s">
        <v>2711</v>
      </c>
      <c r="C2198" s="1000"/>
      <c r="G2198" s="983" t="s">
        <v>1106</v>
      </c>
    </row>
    <row r="2199" spans="1:9" x14ac:dyDescent="0.2">
      <c r="A2199" s="997">
        <f t="shared" si="34"/>
        <v>2198</v>
      </c>
      <c r="B2199" s="983" t="s">
        <v>2711</v>
      </c>
      <c r="C2199" s="999"/>
      <c r="H2199" s="983" t="s">
        <v>1107</v>
      </c>
    </row>
    <row r="2200" spans="1:9" x14ac:dyDescent="0.2">
      <c r="A2200" s="997">
        <f t="shared" si="34"/>
        <v>2199</v>
      </c>
      <c r="B2200" s="983" t="s">
        <v>2711</v>
      </c>
      <c r="C2200" s="999"/>
      <c r="I2200" s="983" t="s">
        <v>1487</v>
      </c>
    </row>
    <row r="2201" spans="1:9" x14ac:dyDescent="0.2">
      <c r="A2201" s="997">
        <f t="shared" si="34"/>
        <v>2200</v>
      </c>
      <c r="B2201" s="983" t="s">
        <v>2711</v>
      </c>
      <c r="C2201" s="1000"/>
      <c r="H2201" s="983" t="s">
        <v>1108</v>
      </c>
    </row>
    <row r="2202" spans="1:9" x14ac:dyDescent="0.2">
      <c r="A2202" s="997">
        <f t="shared" si="34"/>
        <v>2201</v>
      </c>
      <c r="B2202" s="983" t="s">
        <v>2711</v>
      </c>
      <c r="C2202" s="1001"/>
      <c r="H2202" s="983" t="str">
        <f>CONCATENATE("&lt;valeur&gt;",Cellule_11281,"&lt;/valeur&gt;")</f>
        <v>&lt;valeur&gt;0&lt;/valeur&gt;</v>
      </c>
    </row>
    <row r="2203" spans="1:9" x14ac:dyDescent="0.2">
      <c r="A2203" s="997">
        <f t="shared" si="34"/>
        <v>2202</v>
      </c>
      <c r="B2203" s="983" t="s">
        <v>2711</v>
      </c>
      <c r="C2203" s="1000"/>
      <c r="G2203" s="983" t="s">
        <v>1109</v>
      </c>
    </row>
    <row r="2204" spans="1:9" x14ac:dyDescent="0.2">
      <c r="A2204" s="997">
        <f t="shared" si="34"/>
        <v>2203</v>
      </c>
      <c r="B2204" s="983" t="s">
        <v>2711</v>
      </c>
      <c r="C2204" s="1000"/>
      <c r="G2204" s="983" t="s">
        <v>1106</v>
      </c>
    </row>
    <row r="2205" spans="1:9" x14ac:dyDescent="0.2">
      <c r="A2205" s="997">
        <f t="shared" si="34"/>
        <v>2204</v>
      </c>
      <c r="B2205" s="983" t="s">
        <v>2711</v>
      </c>
      <c r="C2205" s="999"/>
      <c r="H2205" s="983" t="s">
        <v>1107</v>
      </c>
    </row>
    <row r="2206" spans="1:9" x14ac:dyDescent="0.2">
      <c r="A2206" s="997">
        <f t="shared" si="34"/>
        <v>2205</v>
      </c>
      <c r="B2206" s="983" t="s">
        <v>2711</v>
      </c>
      <c r="C2206" s="999"/>
      <c r="I2206" s="983" t="s">
        <v>1488</v>
      </c>
    </row>
    <row r="2207" spans="1:9" x14ac:dyDescent="0.2">
      <c r="A2207" s="997">
        <f t="shared" si="34"/>
        <v>2206</v>
      </c>
      <c r="B2207" s="983" t="s">
        <v>2711</v>
      </c>
      <c r="C2207" s="1000"/>
      <c r="H2207" s="983" t="s">
        <v>1108</v>
      </c>
    </row>
    <row r="2208" spans="1:9" x14ac:dyDescent="0.2">
      <c r="A2208" s="997">
        <f t="shared" si="34"/>
        <v>2207</v>
      </c>
      <c r="B2208" s="983" t="s">
        <v>2711</v>
      </c>
      <c r="C2208" s="1001"/>
      <c r="H2208" s="983" t="str">
        <f>CONCATENATE("&lt;valeur&gt;",Cellule_11286,"&lt;/valeur&gt;")</f>
        <v>&lt;valeur&gt;0&lt;/valeur&gt;</v>
      </c>
    </row>
    <row r="2209" spans="1:9" x14ac:dyDescent="0.2">
      <c r="A2209" s="997">
        <f t="shared" si="34"/>
        <v>2208</v>
      </c>
      <c r="B2209" s="983" t="s">
        <v>2711</v>
      </c>
      <c r="C2209" s="1000"/>
      <c r="G2209" s="983" t="s">
        <v>1109</v>
      </c>
    </row>
    <row r="2210" spans="1:9" x14ac:dyDescent="0.2">
      <c r="A2210" s="997">
        <f t="shared" si="34"/>
        <v>2209</v>
      </c>
      <c r="B2210" s="983" t="s">
        <v>2711</v>
      </c>
      <c r="C2210" s="1000"/>
      <c r="G2210" s="983" t="s">
        <v>1106</v>
      </c>
    </row>
    <row r="2211" spans="1:9" x14ac:dyDescent="0.2">
      <c r="A2211" s="997">
        <f t="shared" si="34"/>
        <v>2210</v>
      </c>
      <c r="B2211" s="983" t="s">
        <v>2711</v>
      </c>
      <c r="C2211" s="999"/>
      <c r="H2211" s="983" t="s">
        <v>1107</v>
      </c>
    </row>
    <row r="2212" spans="1:9" x14ac:dyDescent="0.2">
      <c r="A2212" s="997">
        <f t="shared" si="34"/>
        <v>2211</v>
      </c>
      <c r="B2212" s="983" t="s">
        <v>2711</v>
      </c>
      <c r="C2212" s="999"/>
      <c r="I2212" s="983" t="s">
        <v>1489</v>
      </c>
    </row>
    <row r="2213" spans="1:9" x14ac:dyDescent="0.2">
      <c r="A2213" s="997">
        <f t="shared" si="34"/>
        <v>2212</v>
      </c>
      <c r="B2213" s="983" t="s">
        <v>2711</v>
      </c>
      <c r="C2213" s="1000"/>
      <c r="H2213" s="983" t="s">
        <v>1108</v>
      </c>
    </row>
    <row r="2214" spans="1:9" x14ac:dyDescent="0.2">
      <c r="A2214" s="997">
        <f t="shared" si="34"/>
        <v>2213</v>
      </c>
      <c r="B2214" s="983" t="s">
        <v>2711</v>
      </c>
      <c r="C2214" s="1001"/>
      <c r="H2214" s="983" t="str">
        <f>CONCATENATE("&lt;valeur&gt;",Cellule_11291,"&lt;/valeur&gt;")</f>
        <v>&lt;valeur&gt;0&lt;/valeur&gt;</v>
      </c>
    </row>
    <row r="2215" spans="1:9" x14ac:dyDescent="0.2">
      <c r="A2215" s="997">
        <f t="shared" si="34"/>
        <v>2214</v>
      </c>
      <c r="B2215" s="983" t="s">
        <v>2711</v>
      </c>
      <c r="C2215" s="1000"/>
      <c r="G2215" s="983" t="s">
        <v>1109</v>
      </c>
    </row>
    <row r="2216" spans="1:9" x14ac:dyDescent="0.2">
      <c r="A2216" s="997">
        <f t="shared" si="34"/>
        <v>2215</v>
      </c>
      <c r="B2216" s="983" t="s">
        <v>2711</v>
      </c>
      <c r="C2216" s="1000"/>
      <c r="G2216" s="983" t="s">
        <v>1106</v>
      </c>
    </row>
    <row r="2217" spans="1:9" x14ac:dyDescent="0.2">
      <c r="A2217" s="997">
        <f t="shared" si="34"/>
        <v>2216</v>
      </c>
      <c r="B2217" s="983" t="s">
        <v>2711</v>
      </c>
      <c r="C2217" s="999"/>
      <c r="H2217" s="983" t="s">
        <v>1107</v>
      </c>
    </row>
    <row r="2218" spans="1:9" x14ac:dyDescent="0.2">
      <c r="A2218" s="997">
        <f t="shared" si="34"/>
        <v>2217</v>
      </c>
      <c r="B2218" s="983" t="s">
        <v>2711</v>
      </c>
      <c r="C2218" s="999"/>
      <c r="I2218" s="983" t="s">
        <v>1490</v>
      </c>
    </row>
    <row r="2219" spans="1:9" x14ac:dyDescent="0.2">
      <c r="A2219" s="997">
        <f t="shared" si="34"/>
        <v>2218</v>
      </c>
      <c r="B2219" s="983" t="s">
        <v>2711</v>
      </c>
      <c r="C2219" s="1000"/>
      <c r="H2219" s="983" t="s">
        <v>1108</v>
      </c>
    </row>
    <row r="2220" spans="1:9" x14ac:dyDescent="0.2">
      <c r="A2220" s="997">
        <f t="shared" si="34"/>
        <v>2219</v>
      </c>
      <c r="B2220" s="983" t="s">
        <v>2711</v>
      </c>
      <c r="C2220" s="1001"/>
      <c r="H2220" s="983" t="str">
        <f>CONCATENATE("&lt;valeur&gt;",Cellule_11331,"&lt;/valeur&gt;")</f>
        <v>&lt;valeur&gt;-43957,11&lt;/valeur&gt;</v>
      </c>
    </row>
    <row r="2221" spans="1:9" x14ac:dyDescent="0.2">
      <c r="A2221" s="997">
        <f t="shared" si="34"/>
        <v>2220</v>
      </c>
      <c r="B2221" s="983" t="s">
        <v>2711</v>
      </c>
      <c r="C2221" s="1000"/>
      <c r="G2221" s="983" t="s">
        <v>1109</v>
      </c>
    </row>
    <row r="2222" spans="1:9" x14ac:dyDescent="0.2">
      <c r="A2222" s="997">
        <f t="shared" si="34"/>
        <v>2221</v>
      </c>
      <c r="B2222" s="983" t="s">
        <v>2711</v>
      </c>
      <c r="C2222" s="1000"/>
      <c r="G2222" s="983" t="s">
        <v>1106</v>
      </c>
    </row>
    <row r="2223" spans="1:9" x14ac:dyDescent="0.2">
      <c r="A2223" s="997">
        <f t="shared" si="34"/>
        <v>2222</v>
      </c>
      <c r="B2223" s="983" t="s">
        <v>2711</v>
      </c>
      <c r="C2223" s="999"/>
      <c r="H2223" s="983" t="s">
        <v>1107</v>
      </c>
    </row>
    <row r="2224" spans="1:9" x14ac:dyDescent="0.2">
      <c r="A2224" s="997">
        <f t="shared" si="34"/>
        <v>2223</v>
      </c>
      <c r="B2224" s="983" t="s">
        <v>2711</v>
      </c>
      <c r="C2224" s="999"/>
      <c r="I2224" s="983" t="s">
        <v>1491</v>
      </c>
    </row>
    <row r="2225" spans="1:9" x14ac:dyDescent="0.2">
      <c r="A2225" s="997">
        <f t="shared" si="34"/>
        <v>2224</v>
      </c>
      <c r="B2225" s="983" t="s">
        <v>2711</v>
      </c>
      <c r="C2225" s="1000"/>
      <c r="H2225" s="983" t="s">
        <v>1108</v>
      </c>
    </row>
    <row r="2226" spans="1:9" x14ac:dyDescent="0.2">
      <c r="A2226" s="997">
        <f t="shared" si="34"/>
        <v>2225</v>
      </c>
      <c r="B2226" s="983" t="s">
        <v>2711</v>
      </c>
      <c r="C2226" s="1001"/>
      <c r="H2226" s="983" t="str">
        <f>CONCATENATE("&lt;valeur&gt;",Cellule_11296,"&lt;/valeur&gt;")</f>
        <v>&lt;valeur&gt;43957,11&lt;/valeur&gt;</v>
      </c>
    </row>
    <row r="2227" spans="1:9" x14ac:dyDescent="0.2">
      <c r="A2227" s="997">
        <f t="shared" si="34"/>
        <v>2226</v>
      </c>
      <c r="B2227" s="983" t="s">
        <v>2711</v>
      </c>
      <c r="C2227" s="1000"/>
      <c r="G2227" s="983" t="s">
        <v>1109</v>
      </c>
    </row>
    <row r="2228" spans="1:9" x14ac:dyDescent="0.2">
      <c r="A2228" s="997">
        <f t="shared" si="34"/>
        <v>2227</v>
      </c>
      <c r="B2228" s="983" t="s">
        <v>2711</v>
      </c>
      <c r="C2228" s="1000"/>
      <c r="G2228" s="983" t="s">
        <v>1106</v>
      </c>
    </row>
    <row r="2229" spans="1:9" x14ac:dyDescent="0.2">
      <c r="A2229" s="997">
        <f t="shared" si="34"/>
        <v>2228</v>
      </c>
      <c r="B2229" s="983" t="s">
        <v>2711</v>
      </c>
      <c r="C2229" s="999"/>
      <c r="H2229" s="983" t="s">
        <v>1107</v>
      </c>
    </row>
    <row r="2230" spans="1:9" x14ac:dyDescent="0.2">
      <c r="A2230" s="997">
        <f t="shared" si="34"/>
        <v>2229</v>
      </c>
      <c r="B2230" s="983" t="s">
        <v>2711</v>
      </c>
      <c r="C2230" s="999"/>
      <c r="I2230" s="983" t="s">
        <v>1492</v>
      </c>
    </row>
    <row r="2231" spans="1:9" x14ac:dyDescent="0.2">
      <c r="A2231" s="997">
        <f t="shared" si="34"/>
        <v>2230</v>
      </c>
      <c r="B2231" s="983" t="s">
        <v>2711</v>
      </c>
      <c r="C2231" s="1000"/>
      <c r="H2231" s="983" t="s">
        <v>1108</v>
      </c>
    </row>
    <row r="2232" spans="1:9" x14ac:dyDescent="0.2">
      <c r="A2232" s="997">
        <f t="shared" si="34"/>
        <v>2231</v>
      </c>
      <c r="B2232" s="983" t="s">
        <v>2711</v>
      </c>
      <c r="C2232" s="1001"/>
      <c r="H2232" s="983" t="str">
        <f>CONCATENATE("&lt;valeur&gt;",Cellule_11301,"&lt;/valeur&gt;")</f>
        <v>&lt;valeur&gt;0&lt;/valeur&gt;</v>
      </c>
    </row>
    <row r="2233" spans="1:9" x14ac:dyDescent="0.2">
      <c r="A2233" s="997">
        <f t="shared" si="34"/>
        <v>2232</v>
      </c>
      <c r="B2233" s="983" t="s">
        <v>2711</v>
      </c>
      <c r="C2233" s="1000"/>
      <c r="G2233" s="983" t="s">
        <v>1109</v>
      </c>
    </row>
    <row r="2234" spans="1:9" x14ac:dyDescent="0.2">
      <c r="A2234" s="997">
        <f t="shared" si="34"/>
        <v>2233</v>
      </c>
      <c r="B2234" s="983" t="s">
        <v>2711</v>
      </c>
      <c r="C2234" s="1000"/>
      <c r="G2234" s="983" t="s">
        <v>1106</v>
      </c>
    </row>
    <row r="2235" spans="1:9" x14ac:dyDescent="0.2">
      <c r="A2235" s="997">
        <f t="shared" si="34"/>
        <v>2234</v>
      </c>
      <c r="B2235" s="983" t="s">
        <v>2711</v>
      </c>
      <c r="C2235" s="999"/>
      <c r="H2235" s="983" t="s">
        <v>1107</v>
      </c>
    </row>
    <row r="2236" spans="1:9" x14ac:dyDescent="0.2">
      <c r="A2236" s="997">
        <f t="shared" si="34"/>
        <v>2235</v>
      </c>
      <c r="B2236" s="983" t="s">
        <v>2711</v>
      </c>
      <c r="C2236" s="999"/>
      <c r="I2236" s="983" t="s">
        <v>1493</v>
      </c>
    </row>
    <row r="2237" spans="1:9" x14ac:dyDescent="0.2">
      <c r="A2237" s="997">
        <f t="shared" si="34"/>
        <v>2236</v>
      </c>
      <c r="B2237" s="983" t="s">
        <v>2711</v>
      </c>
      <c r="C2237" s="1000"/>
      <c r="H2237" s="983" t="s">
        <v>1108</v>
      </c>
    </row>
    <row r="2238" spans="1:9" x14ac:dyDescent="0.2">
      <c r="A2238" s="997">
        <f t="shared" si="34"/>
        <v>2237</v>
      </c>
      <c r="B2238" s="983" t="s">
        <v>2711</v>
      </c>
      <c r="C2238" s="1001"/>
      <c r="H2238" s="983" t="str">
        <f>CONCATENATE("&lt;valeur&gt;",Cellule_11306,"&lt;/valeur&gt;")</f>
        <v>&lt;valeur&gt;0&lt;/valeur&gt;</v>
      </c>
    </row>
    <row r="2239" spans="1:9" x14ac:dyDescent="0.2">
      <c r="A2239" s="997">
        <f t="shared" si="34"/>
        <v>2238</v>
      </c>
      <c r="B2239" s="983" t="s">
        <v>2711</v>
      </c>
      <c r="C2239" s="1000"/>
      <c r="G2239" s="983" t="s">
        <v>1109</v>
      </c>
    </row>
    <row r="2240" spans="1:9" x14ac:dyDescent="0.2">
      <c r="A2240" s="997">
        <f t="shared" si="34"/>
        <v>2239</v>
      </c>
      <c r="B2240" s="983" t="s">
        <v>2711</v>
      </c>
      <c r="C2240" s="1000"/>
      <c r="G2240" s="983" t="s">
        <v>1106</v>
      </c>
    </row>
    <row r="2241" spans="1:9" x14ac:dyDescent="0.2">
      <c r="A2241" s="997">
        <f t="shared" si="34"/>
        <v>2240</v>
      </c>
      <c r="B2241" s="983" t="s">
        <v>2711</v>
      </c>
      <c r="C2241" s="999"/>
      <c r="H2241" s="983" t="s">
        <v>1107</v>
      </c>
    </row>
    <row r="2242" spans="1:9" x14ac:dyDescent="0.2">
      <c r="A2242" s="997">
        <f t="shared" si="34"/>
        <v>2241</v>
      </c>
      <c r="B2242" s="983" t="s">
        <v>2711</v>
      </c>
      <c r="C2242" s="999"/>
      <c r="I2242" s="983" t="s">
        <v>1494</v>
      </c>
    </row>
    <row r="2243" spans="1:9" x14ac:dyDescent="0.2">
      <c r="A2243" s="997">
        <f t="shared" si="34"/>
        <v>2242</v>
      </c>
      <c r="B2243" s="983" t="s">
        <v>2711</v>
      </c>
      <c r="C2243" s="1000"/>
      <c r="H2243" s="983" t="s">
        <v>1108</v>
      </c>
    </row>
    <row r="2244" spans="1:9" x14ac:dyDescent="0.2">
      <c r="A2244" s="997">
        <f t="shared" ref="A2244:A2307" si="35">+A2243+1</f>
        <v>2243</v>
      </c>
      <c r="B2244" s="983" t="s">
        <v>2711</v>
      </c>
      <c r="C2244" s="1001"/>
      <c r="H2244" s="983" t="str">
        <f>CONCATENATE("&lt;valeur&gt;",Cellule_11311,"&lt;/valeur&gt;")</f>
        <v>&lt;valeur&gt;0&lt;/valeur&gt;</v>
      </c>
    </row>
    <row r="2245" spans="1:9" x14ac:dyDescent="0.2">
      <c r="A2245" s="997">
        <f t="shared" si="35"/>
        <v>2244</v>
      </c>
      <c r="B2245" s="983" t="s">
        <v>2711</v>
      </c>
      <c r="C2245" s="1000"/>
      <c r="G2245" s="983" t="s">
        <v>1109</v>
      </c>
    </row>
    <row r="2246" spans="1:9" x14ac:dyDescent="0.2">
      <c r="A2246" s="997">
        <f t="shared" si="35"/>
        <v>2245</v>
      </c>
      <c r="B2246" s="983" t="s">
        <v>2711</v>
      </c>
      <c r="C2246" s="1000"/>
      <c r="G2246" s="983" t="s">
        <v>1106</v>
      </c>
    </row>
    <row r="2247" spans="1:9" x14ac:dyDescent="0.2">
      <c r="A2247" s="997">
        <f t="shared" si="35"/>
        <v>2246</v>
      </c>
      <c r="B2247" s="983" t="s">
        <v>2711</v>
      </c>
      <c r="C2247" s="999"/>
      <c r="H2247" s="983" t="s">
        <v>1107</v>
      </c>
    </row>
    <row r="2248" spans="1:9" x14ac:dyDescent="0.2">
      <c r="A2248" s="997">
        <f t="shared" si="35"/>
        <v>2247</v>
      </c>
      <c r="B2248" s="983" t="s">
        <v>2711</v>
      </c>
      <c r="C2248" s="999"/>
      <c r="I2248" s="983" t="s">
        <v>1495</v>
      </c>
    </row>
    <row r="2249" spans="1:9" x14ac:dyDescent="0.2">
      <c r="A2249" s="997">
        <f t="shared" si="35"/>
        <v>2248</v>
      </c>
      <c r="B2249" s="983" t="s">
        <v>2711</v>
      </c>
      <c r="C2249" s="1000"/>
      <c r="H2249" s="983" t="s">
        <v>1108</v>
      </c>
    </row>
    <row r="2250" spans="1:9" x14ac:dyDescent="0.2">
      <c r="A2250" s="997">
        <f t="shared" si="35"/>
        <v>2249</v>
      </c>
      <c r="B2250" s="983" t="s">
        <v>2711</v>
      </c>
      <c r="C2250" s="1001"/>
      <c r="H2250" s="983" t="str">
        <f>CONCATENATE("&lt;valeur&gt;",Cellule_11316,"&lt;/valeur&gt;")</f>
        <v>&lt;valeur&gt;43957,11&lt;/valeur&gt;</v>
      </c>
    </row>
    <row r="2251" spans="1:9" x14ac:dyDescent="0.2">
      <c r="A2251" s="997">
        <f t="shared" si="35"/>
        <v>2250</v>
      </c>
      <c r="B2251" s="983" t="s">
        <v>2711</v>
      </c>
      <c r="C2251" s="1000"/>
      <c r="G2251" s="983" t="s">
        <v>1109</v>
      </c>
    </row>
    <row r="2252" spans="1:9" x14ac:dyDescent="0.2">
      <c r="A2252" s="997">
        <f t="shared" si="35"/>
        <v>2251</v>
      </c>
      <c r="B2252" s="983" t="s">
        <v>2711</v>
      </c>
      <c r="C2252" s="1000"/>
      <c r="G2252" s="983" t="s">
        <v>1106</v>
      </c>
    </row>
    <row r="2253" spans="1:9" x14ac:dyDescent="0.2">
      <c r="A2253" s="997">
        <f t="shared" si="35"/>
        <v>2252</v>
      </c>
      <c r="B2253" s="983" t="s">
        <v>2711</v>
      </c>
      <c r="C2253" s="999"/>
      <c r="H2253" s="983" t="s">
        <v>1107</v>
      </c>
    </row>
    <row r="2254" spans="1:9" x14ac:dyDescent="0.2">
      <c r="A2254" s="997">
        <f t="shared" si="35"/>
        <v>2253</v>
      </c>
      <c r="B2254" s="983" t="s">
        <v>2711</v>
      </c>
      <c r="C2254" s="999"/>
      <c r="I2254" s="983" t="s">
        <v>1496</v>
      </c>
    </row>
    <row r="2255" spans="1:9" x14ac:dyDescent="0.2">
      <c r="A2255" s="997">
        <f t="shared" si="35"/>
        <v>2254</v>
      </c>
      <c r="B2255" s="983" t="s">
        <v>2711</v>
      </c>
      <c r="C2255" s="1000"/>
      <c r="H2255" s="983" t="s">
        <v>1108</v>
      </c>
    </row>
    <row r="2256" spans="1:9" x14ac:dyDescent="0.2">
      <c r="A2256" s="997">
        <f t="shared" si="35"/>
        <v>2255</v>
      </c>
      <c r="B2256" s="983" t="s">
        <v>2711</v>
      </c>
      <c r="C2256" s="1001"/>
      <c r="H2256" s="983" t="str">
        <f>CONCATENATE("&lt;valeur&gt;",Cellule_11321,"&lt;/valeur&gt;")</f>
        <v>&lt;valeur&gt;43957,11&lt;/valeur&gt;</v>
      </c>
    </row>
    <row r="2257" spans="1:9" x14ac:dyDescent="0.2">
      <c r="A2257" s="997">
        <f t="shared" si="35"/>
        <v>2256</v>
      </c>
      <c r="B2257" s="983" t="s">
        <v>2711</v>
      </c>
      <c r="C2257" s="1000"/>
      <c r="G2257" s="983" t="s">
        <v>1109</v>
      </c>
    </row>
    <row r="2258" spans="1:9" x14ac:dyDescent="0.2">
      <c r="A2258" s="997">
        <f t="shared" si="35"/>
        <v>2257</v>
      </c>
      <c r="B2258" s="983" t="s">
        <v>2711</v>
      </c>
      <c r="C2258" s="1000"/>
      <c r="G2258" s="983" t="s">
        <v>1106</v>
      </c>
    </row>
    <row r="2259" spans="1:9" x14ac:dyDescent="0.2">
      <c r="A2259" s="997">
        <f t="shared" si="35"/>
        <v>2258</v>
      </c>
      <c r="B2259" s="983" t="s">
        <v>2711</v>
      </c>
      <c r="C2259" s="999"/>
      <c r="H2259" s="983" t="s">
        <v>1107</v>
      </c>
    </row>
    <row r="2260" spans="1:9" x14ac:dyDescent="0.2">
      <c r="A2260" s="997">
        <f t="shared" si="35"/>
        <v>2259</v>
      </c>
      <c r="B2260" s="983" t="s">
        <v>2711</v>
      </c>
      <c r="C2260" s="999"/>
      <c r="I2260" s="983" t="s">
        <v>1497</v>
      </c>
    </row>
    <row r="2261" spans="1:9" x14ac:dyDescent="0.2">
      <c r="A2261" s="997">
        <f t="shared" si="35"/>
        <v>2260</v>
      </c>
      <c r="B2261" s="983" t="s">
        <v>2711</v>
      </c>
      <c r="C2261" s="1000"/>
      <c r="H2261" s="983" t="s">
        <v>1108</v>
      </c>
    </row>
    <row r="2262" spans="1:9" x14ac:dyDescent="0.2">
      <c r="A2262" s="997">
        <f t="shared" si="35"/>
        <v>2261</v>
      </c>
      <c r="B2262" s="983" t="s">
        <v>2711</v>
      </c>
      <c r="C2262" s="1001"/>
      <c r="H2262" s="983" t="str">
        <f>CONCATENATE("&lt;valeur&gt;",Cellule_11326,"&lt;/valeur&gt;")</f>
        <v>&lt;valeur&gt;0&lt;/valeur&gt;</v>
      </c>
    </row>
    <row r="2263" spans="1:9" x14ac:dyDescent="0.2">
      <c r="A2263" s="997">
        <f t="shared" si="35"/>
        <v>2262</v>
      </c>
      <c r="B2263" s="983" t="s">
        <v>2711</v>
      </c>
      <c r="C2263" s="1000"/>
      <c r="G2263" s="983" t="s">
        <v>1109</v>
      </c>
    </row>
    <row r="2264" spans="1:9" x14ac:dyDescent="0.2">
      <c r="A2264" s="997">
        <f t="shared" si="35"/>
        <v>2263</v>
      </c>
      <c r="B2264" s="983" t="s">
        <v>2711</v>
      </c>
      <c r="C2264" s="1000"/>
      <c r="G2264" s="983" t="s">
        <v>1106</v>
      </c>
    </row>
    <row r="2265" spans="1:9" x14ac:dyDescent="0.2">
      <c r="A2265" s="997">
        <f t="shared" si="35"/>
        <v>2264</v>
      </c>
      <c r="B2265" s="983" t="s">
        <v>2711</v>
      </c>
      <c r="C2265" s="999"/>
      <c r="H2265" s="983" t="s">
        <v>1107</v>
      </c>
    </row>
    <row r="2266" spans="1:9" x14ac:dyDescent="0.2">
      <c r="A2266" s="997">
        <f t="shared" si="35"/>
        <v>2265</v>
      </c>
      <c r="B2266" s="983" t="s">
        <v>2711</v>
      </c>
      <c r="C2266" s="999"/>
      <c r="I2266" s="983" t="s">
        <v>1498</v>
      </c>
    </row>
    <row r="2267" spans="1:9" x14ac:dyDescent="0.2">
      <c r="A2267" s="997">
        <f t="shared" si="35"/>
        <v>2266</v>
      </c>
      <c r="B2267" s="983" t="s">
        <v>2711</v>
      </c>
      <c r="C2267" s="1000"/>
      <c r="H2267" s="983" t="s">
        <v>1108</v>
      </c>
    </row>
    <row r="2268" spans="1:9" x14ac:dyDescent="0.2">
      <c r="A2268" s="997">
        <f t="shared" si="35"/>
        <v>2267</v>
      </c>
      <c r="B2268" s="983" t="s">
        <v>2711</v>
      </c>
      <c r="C2268" s="1001"/>
      <c r="H2268" s="983" t="str">
        <f>CONCATENATE("&lt;valeur&gt;",Cellule_11326,"&lt;/valeur&gt;")</f>
        <v>&lt;valeur&gt;0&lt;/valeur&gt;</v>
      </c>
    </row>
    <row r="2269" spans="1:9" x14ac:dyDescent="0.2">
      <c r="A2269" s="997">
        <f t="shared" si="35"/>
        <v>2268</v>
      </c>
      <c r="B2269" s="983" t="s">
        <v>2711</v>
      </c>
      <c r="C2269" s="1000"/>
      <c r="G2269" s="983" t="s">
        <v>1109</v>
      </c>
    </row>
    <row r="2270" spans="1:9" x14ac:dyDescent="0.2">
      <c r="A2270" s="997">
        <f t="shared" si="35"/>
        <v>2269</v>
      </c>
      <c r="B2270" s="983" t="s">
        <v>2711</v>
      </c>
      <c r="C2270" s="1000"/>
      <c r="G2270" s="983" t="s">
        <v>1106</v>
      </c>
    </row>
    <row r="2271" spans="1:9" x14ac:dyDescent="0.2">
      <c r="A2271" s="997">
        <f t="shared" si="35"/>
        <v>2270</v>
      </c>
      <c r="B2271" s="983" t="s">
        <v>2711</v>
      </c>
      <c r="C2271" s="999"/>
      <c r="H2271" s="983" t="s">
        <v>1107</v>
      </c>
    </row>
    <row r="2272" spans="1:9" x14ac:dyDescent="0.2">
      <c r="A2272" s="997">
        <f t="shared" si="35"/>
        <v>2271</v>
      </c>
      <c r="B2272" s="983" t="s">
        <v>2711</v>
      </c>
      <c r="C2272" s="999"/>
      <c r="I2272" s="983" t="s">
        <v>1499</v>
      </c>
    </row>
    <row r="2273" spans="1:9" x14ac:dyDescent="0.2">
      <c r="A2273" s="997">
        <f t="shared" si="35"/>
        <v>2272</v>
      </c>
      <c r="B2273" s="983" t="s">
        <v>2711</v>
      </c>
      <c r="C2273" s="1000"/>
      <c r="H2273" s="983" t="s">
        <v>1108</v>
      </c>
    </row>
    <row r="2274" spans="1:9" x14ac:dyDescent="0.2">
      <c r="A2274" s="997">
        <f t="shared" si="35"/>
        <v>2273</v>
      </c>
      <c r="B2274" s="983" t="s">
        <v>2711</v>
      </c>
      <c r="C2274" s="1001"/>
      <c r="H2274" s="983" t="str">
        <f>CONCATENATE("&lt;valeur&gt;",Cellule_11277,"&lt;/valeur&gt;")</f>
        <v>&lt;valeur&gt;0&lt;/valeur&gt;</v>
      </c>
    </row>
    <row r="2275" spans="1:9" x14ac:dyDescent="0.2">
      <c r="A2275" s="997">
        <f t="shared" si="35"/>
        <v>2274</v>
      </c>
      <c r="B2275" s="983" t="s">
        <v>2711</v>
      </c>
      <c r="C2275" s="1000"/>
      <c r="G2275" s="983" t="s">
        <v>1109</v>
      </c>
    </row>
    <row r="2276" spans="1:9" x14ac:dyDescent="0.2">
      <c r="A2276" s="997">
        <f t="shared" si="35"/>
        <v>2275</v>
      </c>
      <c r="B2276" s="983" t="s">
        <v>2711</v>
      </c>
      <c r="C2276" s="1000"/>
      <c r="G2276" s="983" t="s">
        <v>1106</v>
      </c>
    </row>
    <row r="2277" spans="1:9" x14ac:dyDescent="0.2">
      <c r="A2277" s="997">
        <f t="shared" si="35"/>
        <v>2276</v>
      </c>
      <c r="B2277" s="983" t="s">
        <v>2711</v>
      </c>
      <c r="C2277" s="999"/>
      <c r="H2277" s="983" t="s">
        <v>1107</v>
      </c>
    </row>
    <row r="2278" spans="1:9" x14ac:dyDescent="0.2">
      <c r="A2278" s="997">
        <f t="shared" si="35"/>
        <v>2277</v>
      </c>
      <c r="B2278" s="983" t="s">
        <v>2711</v>
      </c>
      <c r="C2278" s="999"/>
      <c r="I2278" s="983" t="s">
        <v>1500</v>
      </c>
    </row>
    <row r="2279" spans="1:9" x14ac:dyDescent="0.2">
      <c r="A2279" s="997">
        <f t="shared" si="35"/>
        <v>2278</v>
      </c>
      <c r="B2279" s="983" t="s">
        <v>2711</v>
      </c>
      <c r="C2279" s="1000"/>
      <c r="H2279" s="983" t="s">
        <v>1108</v>
      </c>
    </row>
    <row r="2280" spans="1:9" x14ac:dyDescent="0.2">
      <c r="A2280" s="997">
        <f t="shared" si="35"/>
        <v>2279</v>
      </c>
      <c r="B2280" s="983" t="s">
        <v>2711</v>
      </c>
      <c r="C2280" s="1001"/>
      <c r="H2280" s="983" t="str">
        <f>CONCATENATE("&lt;valeur&gt;",Cellule_11282,"&lt;/valeur&gt;")</f>
        <v>&lt;valeur&gt;0&lt;/valeur&gt;</v>
      </c>
    </row>
    <row r="2281" spans="1:9" x14ac:dyDescent="0.2">
      <c r="A2281" s="997">
        <f t="shared" si="35"/>
        <v>2280</v>
      </c>
      <c r="B2281" s="983" t="s">
        <v>2711</v>
      </c>
      <c r="C2281" s="1000"/>
      <c r="G2281" s="983" t="s">
        <v>1109</v>
      </c>
    </row>
    <row r="2282" spans="1:9" x14ac:dyDescent="0.2">
      <c r="A2282" s="997">
        <f t="shared" si="35"/>
        <v>2281</v>
      </c>
      <c r="B2282" s="983" t="s">
        <v>2711</v>
      </c>
      <c r="C2282" s="1000"/>
      <c r="G2282" s="983" t="s">
        <v>1106</v>
      </c>
    </row>
    <row r="2283" spans="1:9" x14ac:dyDescent="0.2">
      <c r="A2283" s="997">
        <f t="shared" si="35"/>
        <v>2282</v>
      </c>
      <c r="B2283" s="983" t="s">
        <v>2711</v>
      </c>
      <c r="C2283" s="999"/>
      <c r="H2283" s="983" t="s">
        <v>1107</v>
      </c>
    </row>
    <row r="2284" spans="1:9" x14ac:dyDescent="0.2">
      <c r="A2284" s="997">
        <f t="shared" si="35"/>
        <v>2283</v>
      </c>
      <c r="B2284" s="983" t="s">
        <v>2711</v>
      </c>
      <c r="C2284" s="999"/>
      <c r="I2284" s="983" t="s">
        <v>1501</v>
      </c>
    </row>
    <row r="2285" spans="1:9" x14ac:dyDescent="0.2">
      <c r="A2285" s="997">
        <f t="shared" si="35"/>
        <v>2284</v>
      </c>
      <c r="B2285" s="983" t="s">
        <v>2711</v>
      </c>
      <c r="C2285" s="1000"/>
      <c r="H2285" s="983" t="s">
        <v>1108</v>
      </c>
    </row>
    <row r="2286" spans="1:9" x14ac:dyDescent="0.2">
      <c r="A2286" s="997">
        <f t="shared" si="35"/>
        <v>2285</v>
      </c>
      <c r="B2286" s="983" t="s">
        <v>2711</v>
      </c>
      <c r="C2286" s="1001"/>
      <c r="H2286" s="983" t="str">
        <f>CONCATENATE("&lt;valeur&gt;",Cellule_11287,"&lt;/valeur&gt;")</f>
        <v>&lt;valeur&gt;0&lt;/valeur&gt;</v>
      </c>
    </row>
    <row r="2287" spans="1:9" x14ac:dyDescent="0.2">
      <c r="A2287" s="997">
        <f t="shared" si="35"/>
        <v>2286</v>
      </c>
      <c r="B2287" s="983" t="s">
        <v>2711</v>
      </c>
      <c r="C2287" s="1000"/>
      <c r="G2287" s="983" t="s">
        <v>1109</v>
      </c>
    </row>
    <row r="2288" spans="1:9" x14ac:dyDescent="0.2">
      <c r="A2288" s="997">
        <f t="shared" si="35"/>
        <v>2287</v>
      </c>
      <c r="B2288" s="983" t="s">
        <v>2711</v>
      </c>
      <c r="C2288" s="1000"/>
      <c r="G2288" s="983" t="s">
        <v>1106</v>
      </c>
    </row>
    <row r="2289" spans="1:9" x14ac:dyDescent="0.2">
      <c r="A2289" s="997">
        <f t="shared" si="35"/>
        <v>2288</v>
      </c>
      <c r="B2289" s="983" t="s">
        <v>2711</v>
      </c>
      <c r="C2289" s="999"/>
      <c r="H2289" s="983" t="s">
        <v>1107</v>
      </c>
    </row>
    <row r="2290" spans="1:9" x14ac:dyDescent="0.2">
      <c r="A2290" s="997">
        <f t="shared" si="35"/>
        <v>2289</v>
      </c>
      <c r="B2290" s="983" t="s">
        <v>2711</v>
      </c>
      <c r="C2290" s="999"/>
      <c r="I2290" s="983" t="s">
        <v>1502</v>
      </c>
    </row>
    <row r="2291" spans="1:9" x14ac:dyDescent="0.2">
      <c r="A2291" s="997">
        <f t="shared" si="35"/>
        <v>2290</v>
      </c>
      <c r="B2291" s="983" t="s">
        <v>2711</v>
      </c>
      <c r="C2291" s="1000"/>
      <c r="H2291" s="983" t="s">
        <v>1108</v>
      </c>
    </row>
    <row r="2292" spans="1:9" x14ac:dyDescent="0.2">
      <c r="A2292" s="997">
        <f t="shared" si="35"/>
        <v>2291</v>
      </c>
      <c r="B2292" s="983" t="s">
        <v>2711</v>
      </c>
      <c r="C2292" s="1001"/>
      <c r="H2292" s="983" t="str">
        <f>CONCATENATE("&lt;valeur&gt;",Cellule_11292,"&lt;/valeur&gt;")</f>
        <v>&lt;valeur&gt;0&lt;/valeur&gt;</v>
      </c>
    </row>
    <row r="2293" spans="1:9" x14ac:dyDescent="0.2">
      <c r="A2293" s="997">
        <f t="shared" si="35"/>
        <v>2292</v>
      </c>
      <c r="B2293" s="983" t="s">
        <v>2711</v>
      </c>
      <c r="C2293" s="1000"/>
      <c r="G2293" s="983" t="s">
        <v>1109</v>
      </c>
    </row>
    <row r="2294" spans="1:9" x14ac:dyDescent="0.2">
      <c r="A2294" s="997">
        <f t="shared" si="35"/>
        <v>2293</v>
      </c>
      <c r="B2294" s="983" t="s">
        <v>2711</v>
      </c>
      <c r="C2294" s="1000"/>
      <c r="G2294" s="983" t="s">
        <v>1106</v>
      </c>
    </row>
    <row r="2295" spans="1:9" x14ac:dyDescent="0.2">
      <c r="A2295" s="997">
        <f t="shared" si="35"/>
        <v>2294</v>
      </c>
      <c r="B2295" s="983" t="s">
        <v>2711</v>
      </c>
      <c r="C2295" s="999"/>
      <c r="H2295" s="983" t="s">
        <v>1107</v>
      </c>
    </row>
    <row r="2296" spans="1:9" x14ac:dyDescent="0.2">
      <c r="A2296" s="997">
        <f t="shared" si="35"/>
        <v>2295</v>
      </c>
      <c r="B2296" s="983" t="s">
        <v>2711</v>
      </c>
      <c r="C2296" s="999"/>
      <c r="I2296" s="983" t="s">
        <v>1503</v>
      </c>
    </row>
    <row r="2297" spans="1:9" x14ac:dyDescent="0.2">
      <c r="A2297" s="997">
        <f t="shared" si="35"/>
        <v>2296</v>
      </c>
      <c r="B2297" s="983" t="s">
        <v>2711</v>
      </c>
      <c r="C2297" s="1000"/>
      <c r="H2297" s="983" t="s">
        <v>1108</v>
      </c>
    </row>
    <row r="2298" spans="1:9" x14ac:dyDescent="0.2">
      <c r="A2298" s="997">
        <f t="shared" si="35"/>
        <v>2297</v>
      </c>
      <c r="B2298" s="983" t="s">
        <v>2711</v>
      </c>
      <c r="C2298" s="1001"/>
      <c r="H2298" s="983" t="str">
        <f>CONCATENATE("&lt;valeur&gt;",Cellule_11332,"&lt;/valeur&gt;")</f>
        <v>&lt;valeur&gt;0&lt;/valeur&gt;</v>
      </c>
    </row>
    <row r="2299" spans="1:9" x14ac:dyDescent="0.2">
      <c r="A2299" s="997">
        <f t="shared" si="35"/>
        <v>2298</v>
      </c>
      <c r="B2299" s="983" t="s">
        <v>2711</v>
      </c>
      <c r="C2299" s="1000"/>
      <c r="G2299" s="983" t="s">
        <v>1109</v>
      </c>
    </row>
    <row r="2300" spans="1:9" x14ac:dyDescent="0.2">
      <c r="A2300" s="997">
        <f t="shared" si="35"/>
        <v>2299</v>
      </c>
      <c r="B2300" s="983" t="s">
        <v>2711</v>
      </c>
      <c r="C2300" s="1000"/>
      <c r="G2300" s="983" t="s">
        <v>1106</v>
      </c>
    </row>
    <row r="2301" spans="1:9" x14ac:dyDescent="0.2">
      <c r="A2301" s="997">
        <f t="shared" si="35"/>
        <v>2300</v>
      </c>
      <c r="B2301" s="983" t="s">
        <v>2711</v>
      </c>
      <c r="C2301" s="999"/>
      <c r="H2301" s="983" t="s">
        <v>1107</v>
      </c>
    </row>
    <row r="2302" spans="1:9" x14ac:dyDescent="0.2">
      <c r="A2302" s="997">
        <f t="shared" si="35"/>
        <v>2301</v>
      </c>
      <c r="B2302" s="983" t="s">
        <v>2711</v>
      </c>
      <c r="C2302" s="999"/>
      <c r="I2302" s="983" t="s">
        <v>1504</v>
      </c>
    </row>
    <row r="2303" spans="1:9" x14ac:dyDescent="0.2">
      <c r="A2303" s="997">
        <f t="shared" si="35"/>
        <v>2302</v>
      </c>
      <c r="B2303" s="983" t="s">
        <v>2711</v>
      </c>
      <c r="C2303" s="1000"/>
      <c r="H2303" s="983" t="s">
        <v>1108</v>
      </c>
    </row>
    <row r="2304" spans="1:9" x14ac:dyDescent="0.2">
      <c r="A2304" s="997">
        <f t="shared" si="35"/>
        <v>2303</v>
      </c>
      <c r="B2304" s="983" t="s">
        <v>2711</v>
      </c>
      <c r="C2304" s="1001"/>
      <c r="H2304" s="983" t="str">
        <f>CONCATENATE("&lt;valeur&gt;",Cellule_11297,"&lt;/valeur&gt;")</f>
        <v>&lt;valeur&gt;0&lt;/valeur&gt;</v>
      </c>
    </row>
    <row r="2305" spans="1:9" x14ac:dyDescent="0.2">
      <c r="A2305" s="997">
        <f t="shared" si="35"/>
        <v>2304</v>
      </c>
      <c r="B2305" s="983" t="s">
        <v>2711</v>
      </c>
      <c r="C2305" s="1000"/>
      <c r="G2305" s="983" t="s">
        <v>1109</v>
      </c>
    </row>
    <row r="2306" spans="1:9" x14ac:dyDescent="0.2">
      <c r="A2306" s="997">
        <f t="shared" si="35"/>
        <v>2305</v>
      </c>
      <c r="B2306" s="983" t="s">
        <v>2711</v>
      </c>
      <c r="C2306" s="1000"/>
      <c r="G2306" s="983" t="s">
        <v>1106</v>
      </c>
    </row>
    <row r="2307" spans="1:9" x14ac:dyDescent="0.2">
      <c r="A2307" s="997">
        <f t="shared" si="35"/>
        <v>2306</v>
      </c>
      <c r="B2307" s="983" t="s">
        <v>2711</v>
      </c>
      <c r="C2307" s="999"/>
      <c r="H2307" s="983" t="s">
        <v>1107</v>
      </c>
    </row>
    <row r="2308" spans="1:9" x14ac:dyDescent="0.2">
      <c r="A2308" s="997">
        <f t="shared" ref="A2308:A2371" si="36">+A2307+1</f>
        <v>2307</v>
      </c>
      <c r="B2308" s="983" t="s">
        <v>2711</v>
      </c>
      <c r="C2308" s="999"/>
      <c r="I2308" s="983" t="s">
        <v>1505</v>
      </c>
    </row>
    <row r="2309" spans="1:9" x14ac:dyDescent="0.2">
      <c r="A2309" s="997">
        <f t="shared" si="36"/>
        <v>2308</v>
      </c>
      <c r="B2309" s="983" t="s">
        <v>2711</v>
      </c>
      <c r="C2309" s="1000"/>
      <c r="H2309" s="983" t="s">
        <v>1108</v>
      </c>
    </row>
    <row r="2310" spans="1:9" x14ac:dyDescent="0.2">
      <c r="A2310" s="997">
        <f t="shared" si="36"/>
        <v>2309</v>
      </c>
      <c r="B2310" s="983" t="s">
        <v>2711</v>
      </c>
      <c r="C2310" s="1001"/>
      <c r="H2310" s="983" t="str">
        <f>CONCATENATE("&lt;valeur&gt;",Cellule_11302,"&lt;/valeur&gt;")</f>
        <v>&lt;valeur&gt;0&lt;/valeur&gt;</v>
      </c>
    </row>
    <row r="2311" spans="1:9" x14ac:dyDescent="0.2">
      <c r="A2311" s="997">
        <f t="shared" si="36"/>
        <v>2310</v>
      </c>
      <c r="B2311" s="983" t="s">
        <v>2711</v>
      </c>
      <c r="C2311" s="1000"/>
      <c r="G2311" s="983" t="s">
        <v>1109</v>
      </c>
    </row>
    <row r="2312" spans="1:9" x14ac:dyDescent="0.2">
      <c r="A2312" s="997">
        <f t="shared" si="36"/>
        <v>2311</v>
      </c>
      <c r="B2312" s="983" t="s">
        <v>2711</v>
      </c>
      <c r="C2312" s="1000"/>
      <c r="G2312" s="983" t="s">
        <v>1106</v>
      </c>
    </row>
    <row r="2313" spans="1:9" x14ac:dyDescent="0.2">
      <c r="A2313" s="997">
        <f t="shared" si="36"/>
        <v>2312</v>
      </c>
      <c r="B2313" s="983" t="s">
        <v>2711</v>
      </c>
      <c r="C2313" s="999"/>
      <c r="H2313" s="983" t="s">
        <v>1107</v>
      </c>
    </row>
    <row r="2314" spans="1:9" x14ac:dyDescent="0.2">
      <c r="A2314" s="997">
        <f t="shared" si="36"/>
        <v>2313</v>
      </c>
      <c r="B2314" s="983" t="s">
        <v>2711</v>
      </c>
      <c r="C2314" s="999"/>
      <c r="I2314" s="983" t="s">
        <v>1506</v>
      </c>
    </row>
    <row r="2315" spans="1:9" x14ac:dyDescent="0.2">
      <c r="A2315" s="997">
        <f t="shared" si="36"/>
        <v>2314</v>
      </c>
      <c r="B2315" s="983" t="s">
        <v>2711</v>
      </c>
      <c r="C2315" s="1000"/>
      <c r="H2315" s="983" t="s">
        <v>1108</v>
      </c>
    </row>
    <row r="2316" spans="1:9" x14ac:dyDescent="0.2">
      <c r="A2316" s="997">
        <f t="shared" si="36"/>
        <v>2315</v>
      </c>
      <c r="B2316" s="983" t="s">
        <v>2711</v>
      </c>
      <c r="C2316" s="1001"/>
      <c r="H2316" s="983" t="str">
        <f>CONCATENATE("&lt;valeur&gt;",Cellule_11307,"&lt;/valeur&gt;")</f>
        <v>&lt;valeur&gt;0&lt;/valeur&gt;</v>
      </c>
    </row>
    <row r="2317" spans="1:9" x14ac:dyDescent="0.2">
      <c r="A2317" s="997">
        <f t="shared" si="36"/>
        <v>2316</v>
      </c>
      <c r="B2317" s="983" t="s">
        <v>2711</v>
      </c>
      <c r="C2317" s="1000"/>
      <c r="G2317" s="983" t="s">
        <v>1109</v>
      </c>
    </row>
    <row r="2318" spans="1:9" x14ac:dyDescent="0.2">
      <c r="A2318" s="997">
        <f t="shared" si="36"/>
        <v>2317</v>
      </c>
      <c r="B2318" s="983" t="s">
        <v>2711</v>
      </c>
      <c r="C2318" s="1000"/>
      <c r="G2318" s="983" t="s">
        <v>1106</v>
      </c>
    </row>
    <row r="2319" spans="1:9" x14ac:dyDescent="0.2">
      <c r="A2319" s="997">
        <f t="shared" si="36"/>
        <v>2318</v>
      </c>
      <c r="B2319" s="983" t="s">
        <v>2711</v>
      </c>
      <c r="C2319" s="999"/>
      <c r="H2319" s="983" t="s">
        <v>1107</v>
      </c>
    </row>
    <row r="2320" spans="1:9" x14ac:dyDescent="0.2">
      <c r="A2320" s="997">
        <f t="shared" si="36"/>
        <v>2319</v>
      </c>
      <c r="B2320" s="983" t="s">
        <v>2711</v>
      </c>
      <c r="C2320" s="999"/>
      <c r="I2320" s="983" t="s">
        <v>1507</v>
      </c>
    </row>
    <row r="2321" spans="1:9" x14ac:dyDescent="0.2">
      <c r="A2321" s="997">
        <f t="shared" si="36"/>
        <v>2320</v>
      </c>
      <c r="B2321" s="983" t="s">
        <v>2711</v>
      </c>
      <c r="C2321" s="1000"/>
      <c r="H2321" s="983" t="s">
        <v>1108</v>
      </c>
    </row>
    <row r="2322" spans="1:9" x14ac:dyDescent="0.2">
      <c r="A2322" s="997">
        <f t="shared" si="36"/>
        <v>2321</v>
      </c>
      <c r="B2322" s="983" t="s">
        <v>2711</v>
      </c>
      <c r="C2322" s="1001"/>
      <c r="H2322" s="983" t="str">
        <f>CONCATENATE("&lt;valeur&gt;",Cellule_11312,"&lt;/valeur&gt;")</f>
        <v>&lt;valeur&gt;0&lt;/valeur&gt;</v>
      </c>
    </row>
    <row r="2323" spans="1:9" x14ac:dyDescent="0.2">
      <c r="A2323" s="997">
        <f t="shared" si="36"/>
        <v>2322</v>
      </c>
      <c r="B2323" s="983" t="s">
        <v>2711</v>
      </c>
      <c r="C2323" s="1000"/>
      <c r="G2323" s="983" t="s">
        <v>1109</v>
      </c>
    </row>
    <row r="2324" spans="1:9" x14ac:dyDescent="0.2">
      <c r="A2324" s="997">
        <f t="shared" si="36"/>
        <v>2323</v>
      </c>
      <c r="B2324" s="983" t="s">
        <v>2711</v>
      </c>
      <c r="C2324" s="1000"/>
      <c r="G2324" s="983" t="s">
        <v>1106</v>
      </c>
    </row>
    <row r="2325" spans="1:9" x14ac:dyDescent="0.2">
      <c r="A2325" s="997">
        <f t="shared" si="36"/>
        <v>2324</v>
      </c>
      <c r="B2325" s="983" t="s">
        <v>2711</v>
      </c>
      <c r="C2325" s="999"/>
      <c r="H2325" s="983" t="s">
        <v>1107</v>
      </c>
    </row>
    <row r="2326" spans="1:9" x14ac:dyDescent="0.2">
      <c r="A2326" s="997">
        <f t="shared" si="36"/>
        <v>2325</v>
      </c>
      <c r="B2326" s="983" t="s">
        <v>2711</v>
      </c>
      <c r="C2326" s="999"/>
      <c r="I2326" s="983" t="s">
        <v>1508</v>
      </c>
    </row>
    <row r="2327" spans="1:9" x14ac:dyDescent="0.2">
      <c r="A2327" s="997">
        <f t="shared" si="36"/>
        <v>2326</v>
      </c>
      <c r="B2327" s="983" t="s">
        <v>2711</v>
      </c>
      <c r="C2327" s="1000"/>
      <c r="H2327" s="983" t="s">
        <v>1108</v>
      </c>
    </row>
    <row r="2328" spans="1:9" x14ac:dyDescent="0.2">
      <c r="A2328" s="997">
        <f t="shared" si="36"/>
        <v>2327</v>
      </c>
      <c r="B2328" s="983" t="s">
        <v>2711</v>
      </c>
      <c r="C2328" s="1001"/>
      <c r="H2328" s="983" t="str">
        <f>CONCATENATE("&lt;valeur&gt;",Cellule_11317,"&lt;/valeur&gt;")</f>
        <v>&lt;valeur&gt;0&lt;/valeur&gt;</v>
      </c>
    </row>
    <row r="2329" spans="1:9" x14ac:dyDescent="0.2">
      <c r="A2329" s="997">
        <f t="shared" si="36"/>
        <v>2328</v>
      </c>
      <c r="B2329" s="983" t="s">
        <v>2711</v>
      </c>
      <c r="C2329" s="1000"/>
      <c r="G2329" s="983" t="s">
        <v>1109</v>
      </c>
    </row>
    <row r="2330" spans="1:9" x14ac:dyDescent="0.2">
      <c r="A2330" s="997">
        <f t="shared" si="36"/>
        <v>2329</v>
      </c>
      <c r="B2330" s="983" t="s">
        <v>2711</v>
      </c>
      <c r="C2330" s="1000"/>
      <c r="G2330" s="983" t="s">
        <v>1106</v>
      </c>
    </row>
    <row r="2331" spans="1:9" x14ac:dyDescent="0.2">
      <c r="A2331" s="997">
        <f t="shared" si="36"/>
        <v>2330</v>
      </c>
      <c r="B2331" s="983" t="s">
        <v>2711</v>
      </c>
      <c r="C2331" s="999"/>
      <c r="H2331" s="983" t="s">
        <v>1107</v>
      </c>
    </row>
    <row r="2332" spans="1:9" x14ac:dyDescent="0.2">
      <c r="A2332" s="997">
        <f t="shared" si="36"/>
        <v>2331</v>
      </c>
      <c r="B2332" s="983" t="s">
        <v>2711</v>
      </c>
      <c r="C2332" s="999"/>
      <c r="I2332" s="983" t="s">
        <v>1509</v>
      </c>
    </row>
    <row r="2333" spans="1:9" x14ac:dyDescent="0.2">
      <c r="A2333" s="997">
        <f t="shared" si="36"/>
        <v>2332</v>
      </c>
      <c r="B2333" s="983" t="s">
        <v>2711</v>
      </c>
      <c r="C2333" s="1000"/>
      <c r="H2333" s="983" t="s">
        <v>1108</v>
      </c>
    </row>
    <row r="2334" spans="1:9" x14ac:dyDescent="0.2">
      <c r="A2334" s="997">
        <f t="shared" si="36"/>
        <v>2333</v>
      </c>
      <c r="B2334" s="983" t="s">
        <v>2711</v>
      </c>
      <c r="C2334" s="1001"/>
      <c r="H2334" s="983" t="str">
        <f>CONCATENATE("&lt;valeur&gt;",Cellule_11322,"&lt;/valeur&gt;")</f>
        <v>&lt;valeur&gt;0&lt;/valeur&gt;</v>
      </c>
    </row>
    <row r="2335" spans="1:9" x14ac:dyDescent="0.2">
      <c r="A2335" s="997">
        <f t="shared" si="36"/>
        <v>2334</v>
      </c>
      <c r="B2335" s="983" t="s">
        <v>2711</v>
      </c>
      <c r="C2335" s="1000"/>
      <c r="G2335" s="983" t="s">
        <v>1109</v>
      </c>
    </row>
    <row r="2336" spans="1:9" x14ac:dyDescent="0.2">
      <c r="A2336" s="997">
        <f t="shared" si="36"/>
        <v>2335</v>
      </c>
      <c r="B2336" s="983" t="s">
        <v>2711</v>
      </c>
      <c r="C2336" s="1000"/>
      <c r="G2336" s="983" t="s">
        <v>1106</v>
      </c>
    </row>
    <row r="2337" spans="1:9" x14ac:dyDescent="0.2">
      <c r="A2337" s="997">
        <f t="shared" si="36"/>
        <v>2336</v>
      </c>
      <c r="B2337" s="983" t="s">
        <v>2711</v>
      </c>
      <c r="C2337" s="999"/>
      <c r="H2337" s="983" t="s">
        <v>1107</v>
      </c>
    </row>
    <row r="2338" spans="1:9" x14ac:dyDescent="0.2">
      <c r="A2338" s="997">
        <f t="shared" si="36"/>
        <v>2337</v>
      </c>
      <c r="B2338" s="983" t="s">
        <v>2711</v>
      </c>
      <c r="C2338" s="999"/>
      <c r="I2338" s="983" t="s">
        <v>1510</v>
      </c>
    </row>
    <row r="2339" spans="1:9" x14ac:dyDescent="0.2">
      <c r="A2339" s="997">
        <f t="shared" si="36"/>
        <v>2338</v>
      </c>
      <c r="B2339" s="983" t="s">
        <v>2711</v>
      </c>
      <c r="C2339" s="1000"/>
      <c r="H2339" s="983" t="s">
        <v>1108</v>
      </c>
    </row>
    <row r="2340" spans="1:9" x14ac:dyDescent="0.2">
      <c r="A2340" s="997">
        <f t="shared" si="36"/>
        <v>2339</v>
      </c>
      <c r="B2340" s="983" t="s">
        <v>2711</v>
      </c>
      <c r="C2340" s="1001"/>
      <c r="H2340" s="983" t="str">
        <f>CONCATENATE("&lt;valeur&gt;",Cellule_11327,"&lt;/valeur&gt;")</f>
        <v>&lt;valeur&gt;0&lt;/valeur&gt;</v>
      </c>
    </row>
    <row r="2341" spans="1:9" x14ac:dyDescent="0.2">
      <c r="A2341" s="997">
        <f t="shared" si="36"/>
        <v>2340</v>
      </c>
      <c r="B2341" s="983" t="s">
        <v>2711</v>
      </c>
      <c r="C2341" s="1000"/>
      <c r="G2341" s="983" t="s">
        <v>1109</v>
      </c>
    </row>
    <row r="2342" spans="1:9" x14ac:dyDescent="0.2">
      <c r="A2342" s="997">
        <f t="shared" si="36"/>
        <v>2341</v>
      </c>
      <c r="B2342" s="983" t="s">
        <v>2711</v>
      </c>
      <c r="C2342" s="1000"/>
      <c r="G2342" s="983" t="s">
        <v>1106</v>
      </c>
    </row>
    <row r="2343" spans="1:9" x14ac:dyDescent="0.2">
      <c r="A2343" s="997">
        <f t="shared" si="36"/>
        <v>2342</v>
      </c>
      <c r="B2343" s="983" t="s">
        <v>2711</v>
      </c>
      <c r="C2343" s="999"/>
      <c r="H2343" s="983" t="s">
        <v>1107</v>
      </c>
    </row>
    <row r="2344" spans="1:9" x14ac:dyDescent="0.2">
      <c r="A2344" s="997">
        <f t="shared" si="36"/>
        <v>2343</v>
      </c>
      <c r="B2344" s="983" t="s">
        <v>2711</v>
      </c>
      <c r="C2344" s="999"/>
      <c r="I2344" s="983" t="s">
        <v>1511</v>
      </c>
    </row>
    <row r="2345" spans="1:9" x14ac:dyDescent="0.2">
      <c r="A2345" s="997">
        <f t="shared" si="36"/>
        <v>2344</v>
      </c>
      <c r="B2345" s="983" t="s">
        <v>2711</v>
      </c>
      <c r="C2345" s="1000"/>
      <c r="H2345" s="983" t="s">
        <v>1108</v>
      </c>
    </row>
    <row r="2346" spans="1:9" x14ac:dyDescent="0.2">
      <c r="A2346" s="997">
        <f t="shared" si="36"/>
        <v>2345</v>
      </c>
      <c r="B2346" s="983" t="s">
        <v>2711</v>
      </c>
      <c r="C2346" s="1001"/>
      <c r="H2346" s="983" t="str">
        <f>CONCATENATE("&lt;valeur&gt;",Cellule_11273,"&lt;/valeur&gt;")</f>
        <v>&lt;valeur&gt;0&lt;/valeur&gt;</v>
      </c>
    </row>
    <row r="2347" spans="1:9" x14ac:dyDescent="0.2">
      <c r="A2347" s="997">
        <f t="shared" si="36"/>
        <v>2346</v>
      </c>
      <c r="B2347" s="983" t="s">
        <v>2711</v>
      </c>
      <c r="C2347" s="1000"/>
      <c r="G2347" s="983" t="s">
        <v>1109</v>
      </c>
    </row>
    <row r="2348" spans="1:9" x14ac:dyDescent="0.2">
      <c r="A2348" s="997">
        <f t="shared" si="36"/>
        <v>2347</v>
      </c>
      <c r="B2348" s="983" t="s">
        <v>2711</v>
      </c>
      <c r="C2348" s="1000"/>
      <c r="G2348" s="983" t="s">
        <v>1106</v>
      </c>
    </row>
    <row r="2349" spans="1:9" x14ac:dyDescent="0.2">
      <c r="A2349" s="997">
        <f t="shared" si="36"/>
        <v>2348</v>
      </c>
      <c r="B2349" s="983" t="s">
        <v>2711</v>
      </c>
      <c r="C2349" s="999"/>
      <c r="H2349" s="983" t="s">
        <v>1107</v>
      </c>
    </row>
    <row r="2350" spans="1:9" x14ac:dyDescent="0.2">
      <c r="A2350" s="997">
        <f t="shared" si="36"/>
        <v>2349</v>
      </c>
      <c r="B2350" s="983" t="s">
        <v>2711</v>
      </c>
      <c r="C2350" s="999"/>
      <c r="I2350" s="983" t="s">
        <v>1512</v>
      </c>
    </row>
    <row r="2351" spans="1:9" x14ac:dyDescent="0.2">
      <c r="A2351" s="997">
        <f t="shared" si="36"/>
        <v>2350</v>
      </c>
      <c r="B2351" s="983" t="s">
        <v>2711</v>
      </c>
      <c r="C2351" s="1000"/>
      <c r="H2351" s="983" t="s">
        <v>1108</v>
      </c>
    </row>
    <row r="2352" spans="1:9" x14ac:dyDescent="0.2">
      <c r="A2352" s="997">
        <f t="shared" si="36"/>
        <v>2351</v>
      </c>
      <c r="B2352" s="983" t="s">
        <v>2711</v>
      </c>
      <c r="C2352" s="1001"/>
      <c r="H2352" s="983" t="str">
        <f>CONCATENATE("&lt;valeur&gt;",Cellule_11278,"&lt;/valeur&gt;")</f>
        <v>&lt;valeur&gt;0&lt;/valeur&gt;</v>
      </c>
    </row>
    <row r="2353" spans="1:9" x14ac:dyDescent="0.2">
      <c r="A2353" s="997">
        <f t="shared" si="36"/>
        <v>2352</v>
      </c>
      <c r="B2353" s="983" t="s">
        <v>2711</v>
      </c>
      <c r="C2353" s="1000"/>
      <c r="G2353" s="983" t="s">
        <v>1109</v>
      </c>
    </row>
    <row r="2354" spans="1:9" x14ac:dyDescent="0.2">
      <c r="A2354" s="997">
        <f t="shared" si="36"/>
        <v>2353</v>
      </c>
      <c r="B2354" s="983" t="s">
        <v>2711</v>
      </c>
      <c r="C2354" s="1000"/>
      <c r="G2354" s="983" t="s">
        <v>1106</v>
      </c>
    </row>
    <row r="2355" spans="1:9" x14ac:dyDescent="0.2">
      <c r="A2355" s="997">
        <f t="shared" si="36"/>
        <v>2354</v>
      </c>
      <c r="B2355" s="983" t="s">
        <v>2711</v>
      </c>
      <c r="C2355" s="999"/>
      <c r="H2355" s="983" t="s">
        <v>1107</v>
      </c>
    </row>
    <row r="2356" spans="1:9" x14ac:dyDescent="0.2">
      <c r="A2356" s="997">
        <f t="shared" si="36"/>
        <v>2355</v>
      </c>
      <c r="B2356" s="983" t="s">
        <v>2711</v>
      </c>
      <c r="C2356" s="999"/>
      <c r="I2356" s="983" t="s">
        <v>1513</v>
      </c>
    </row>
    <row r="2357" spans="1:9" x14ac:dyDescent="0.2">
      <c r="A2357" s="997">
        <f t="shared" si="36"/>
        <v>2356</v>
      </c>
      <c r="B2357" s="983" t="s">
        <v>2711</v>
      </c>
      <c r="C2357" s="1000"/>
      <c r="H2357" s="983" t="s">
        <v>1108</v>
      </c>
    </row>
    <row r="2358" spans="1:9" x14ac:dyDescent="0.2">
      <c r="A2358" s="997">
        <f t="shared" si="36"/>
        <v>2357</v>
      </c>
      <c r="B2358" s="983" t="s">
        <v>2711</v>
      </c>
      <c r="C2358" s="1001"/>
      <c r="H2358" s="983" t="str">
        <f>CONCATENATE("&lt;valeur&gt;",Cellule_11283,"&lt;/valeur&gt;")</f>
        <v>&lt;valeur&gt;0&lt;/valeur&gt;</v>
      </c>
    </row>
    <row r="2359" spans="1:9" x14ac:dyDescent="0.2">
      <c r="A2359" s="997">
        <f t="shared" si="36"/>
        <v>2358</v>
      </c>
      <c r="B2359" s="983" t="s">
        <v>2711</v>
      </c>
      <c r="C2359" s="1000"/>
      <c r="G2359" s="983" t="s">
        <v>1109</v>
      </c>
    </row>
    <row r="2360" spans="1:9" x14ac:dyDescent="0.2">
      <c r="A2360" s="997">
        <f t="shared" si="36"/>
        <v>2359</v>
      </c>
      <c r="B2360" s="983" t="s">
        <v>2711</v>
      </c>
      <c r="C2360" s="1000"/>
      <c r="G2360" s="983" t="s">
        <v>1106</v>
      </c>
    </row>
    <row r="2361" spans="1:9" x14ac:dyDescent="0.2">
      <c r="A2361" s="997">
        <f t="shared" si="36"/>
        <v>2360</v>
      </c>
      <c r="B2361" s="983" t="s">
        <v>2711</v>
      </c>
      <c r="C2361" s="999"/>
      <c r="H2361" s="983" t="s">
        <v>1107</v>
      </c>
    </row>
    <row r="2362" spans="1:9" x14ac:dyDescent="0.2">
      <c r="A2362" s="997">
        <f t="shared" si="36"/>
        <v>2361</v>
      </c>
      <c r="B2362" s="983" t="s">
        <v>2711</v>
      </c>
      <c r="C2362" s="999"/>
      <c r="I2362" s="983" t="s">
        <v>1514</v>
      </c>
    </row>
    <row r="2363" spans="1:9" x14ac:dyDescent="0.2">
      <c r="A2363" s="997">
        <f t="shared" si="36"/>
        <v>2362</v>
      </c>
      <c r="B2363" s="983" t="s">
        <v>2711</v>
      </c>
      <c r="C2363" s="1000"/>
      <c r="H2363" s="983" t="s">
        <v>1108</v>
      </c>
    </row>
    <row r="2364" spans="1:9" x14ac:dyDescent="0.2">
      <c r="A2364" s="997">
        <f t="shared" si="36"/>
        <v>2363</v>
      </c>
      <c r="B2364" s="983" t="s">
        <v>2711</v>
      </c>
      <c r="C2364" s="1001"/>
      <c r="H2364" s="983" t="str">
        <f>CONCATENATE("&lt;valeur&gt;",Cellule_11288,"&lt;/valeur&gt;")</f>
        <v>&lt;valeur&gt;0&lt;/valeur&gt;</v>
      </c>
    </row>
    <row r="2365" spans="1:9" x14ac:dyDescent="0.2">
      <c r="A2365" s="997">
        <f t="shared" si="36"/>
        <v>2364</v>
      </c>
      <c r="B2365" s="983" t="s">
        <v>2711</v>
      </c>
      <c r="C2365" s="1000"/>
      <c r="G2365" s="983" t="s">
        <v>1109</v>
      </c>
    </row>
    <row r="2366" spans="1:9" x14ac:dyDescent="0.2">
      <c r="A2366" s="997">
        <f t="shared" si="36"/>
        <v>2365</v>
      </c>
      <c r="B2366" s="983" t="s">
        <v>2711</v>
      </c>
      <c r="C2366" s="1000"/>
      <c r="G2366" s="983" t="s">
        <v>1106</v>
      </c>
    </row>
    <row r="2367" spans="1:9" x14ac:dyDescent="0.2">
      <c r="A2367" s="997">
        <f t="shared" si="36"/>
        <v>2366</v>
      </c>
      <c r="B2367" s="983" t="s">
        <v>2711</v>
      </c>
      <c r="C2367" s="999"/>
      <c r="H2367" s="983" t="s">
        <v>1107</v>
      </c>
    </row>
    <row r="2368" spans="1:9" x14ac:dyDescent="0.2">
      <c r="A2368" s="997">
        <f t="shared" si="36"/>
        <v>2367</v>
      </c>
      <c r="B2368" s="983" t="s">
        <v>2711</v>
      </c>
      <c r="C2368" s="999"/>
      <c r="I2368" s="983" t="s">
        <v>1515</v>
      </c>
    </row>
    <row r="2369" spans="1:9" x14ac:dyDescent="0.2">
      <c r="A2369" s="997">
        <f t="shared" si="36"/>
        <v>2368</v>
      </c>
      <c r="B2369" s="983" t="s">
        <v>2711</v>
      </c>
      <c r="C2369" s="1000"/>
      <c r="H2369" s="983" t="s">
        <v>1108</v>
      </c>
    </row>
    <row r="2370" spans="1:9" x14ac:dyDescent="0.2">
      <c r="A2370" s="997">
        <f t="shared" si="36"/>
        <v>2369</v>
      </c>
      <c r="B2370" s="983" t="s">
        <v>2711</v>
      </c>
      <c r="C2370" s="1001"/>
      <c r="H2370" s="983" t="str">
        <f>CONCATENATE("&lt;valeur&gt;",Cellule_11293,"&lt;/valeur&gt;")</f>
        <v>&lt;valeur&gt;0&lt;/valeur&gt;</v>
      </c>
    </row>
    <row r="2371" spans="1:9" x14ac:dyDescent="0.2">
      <c r="A2371" s="997">
        <f t="shared" si="36"/>
        <v>2370</v>
      </c>
      <c r="B2371" s="983" t="s">
        <v>2711</v>
      </c>
      <c r="C2371" s="1000"/>
      <c r="G2371" s="983" t="s">
        <v>1109</v>
      </c>
    </row>
    <row r="2372" spans="1:9" x14ac:dyDescent="0.2">
      <c r="A2372" s="997">
        <f t="shared" ref="A2372:A2435" si="37">+A2371+1</f>
        <v>2371</v>
      </c>
      <c r="B2372" s="983" t="s">
        <v>2711</v>
      </c>
      <c r="C2372" s="1000"/>
      <c r="G2372" s="983" t="s">
        <v>1106</v>
      </c>
    </row>
    <row r="2373" spans="1:9" x14ac:dyDescent="0.2">
      <c r="A2373" s="997">
        <f t="shared" si="37"/>
        <v>2372</v>
      </c>
      <c r="B2373" s="983" t="s">
        <v>2711</v>
      </c>
      <c r="C2373" s="999"/>
      <c r="H2373" s="983" t="s">
        <v>1107</v>
      </c>
    </row>
    <row r="2374" spans="1:9" x14ac:dyDescent="0.2">
      <c r="A2374" s="997">
        <f t="shared" si="37"/>
        <v>2373</v>
      </c>
      <c r="B2374" s="983" t="s">
        <v>2711</v>
      </c>
      <c r="C2374" s="999"/>
      <c r="I2374" s="983" t="s">
        <v>1516</v>
      </c>
    </row>
    <row r="2375" spans="1:9" x14ac:dyDescent="0.2">
      <c r="A2375" s="997">
        <f t="shared" si="37"/>
        <v>2374</v>
      </c>
      <c r="B2375" s="983" t="s">
        <v>2711</v>
      </c>
      <c r="C2375" s="1000"/>
      <c r="H2375" s="983" t="s">
        <v>1108</v>
      </c>
    </row>
    <row r="2376" spans="1:9" x14ac:dyDescent="0.2">
      <c r="A2376" s="997">
        <f t="shared" si="37"/>
        <v>2375</v>
      </c>
      <c r="B2376" s="983" t="s">
        <v>2711</v>
      </c>
      <c r="C2376" s="1001"/>
      <c r="H2376" s="983" t="str">
        <f>CONCATENATE("&lt;valeur&gt;",Cellule_11333,"&lt;/valeur&gt;")</f>
        <v>&lt;valeur&gt;-43957,11&lt;/valeur&gt;</v>
      </c>
    </row>
    <row r="2377" spans="1:9" x14ac:dyDescent="0.2">
      <c r="A2377" s="997">
        <f t="shared" si="37"/>
        <v>2376</v>
      </c>
      <c r="B2377" s="983" t="s">
        <v>2711</v>
      </c>
      <c r="C2377" s="1000"/>
      <c r="G2377" s="983" t="s">
        <v>1109</v>
      </c>
    </row>
    <row r="2378" spans="1:9" x14ac:dyDescent="0.2">
      <c r="A2378" s="997">
        <f t="shared" si="37"/>
        <v>2377</v>
      </c>
      <c r="B2378" s="983" t="s">
        <v>2711</v>
      </c>
      <c r="C2378" s="1000"/>
      <c r="G2378" s="983" t="s">
        <v>1106</v>
      </c>
    </row>
    <row r="2379" spans="1:9" x14ac:dyDescent="0.2">
      <c r="A2379" s="997">
        <f t="shared" si="37"/>
        <v>2378</v>
      </c>
      <c r="B2379" s="983" t="s">
        <v>2711</v>
      </c>
      <c r="C2379" s="999"/>
      <c r="H2379" s="983" t="s">
        <v>1107</v>
      </c>
    </row>
    <row r="2380" spans="1:9" x14ac:dyDescent="0.2">
      <c r="A2380" s="997">
        <f t="shared" si="37"/>
        <v>2379</v>
      </c>
      <c r="B2380" s="983" t="s">
        <v>2711</v>
      </c>
      <c r="C2380" s="999"/>
      <c r="I2380" s="983" t="s">
        <v>1517</v>
      </c>
    </row>
    <row r="2381" spans="1:9" x14ac:dyDescent="0.2">
      <c r="A2381" s="997">
        <f t="shared" si="37"/>
        <v>2380</v>
      </c>
      <c r="B2381" s="983" t="s">
        <v>2711</v>
      </c>
      <c r="C2381" s="1000"/>
      <c r="H2381" s="983" t="s">
        <v>1108</v>
      </c>
    </row>
    <row r="2382" spans="1:9" x14ac:dyDescent="0.2">
      <c r="A2382" s="997">
        <f t="shared" si="37"/>
        <v>2381</v>
      </c>
      <c r="B2382" s="983" t="s">
        <v>2711</v>
      </c>
      <c r="C2382" s="1001"/>
      <c r="H2382" s="983" t="str">
        <f>CONCATENATE("&lt;valeur&gt;",Cellule_11298,"&lt;/valeur&gt;")</f>
        <v>&lt;valeur&gt;43957,11&lt;/valeur&gt;</v>
      </c>
    </row>
    <row r="2383" spans="1:9" x14ac:dyDescent="0.2">
      <c r="A2383" s="997">
        <f t="shared" si="37"/>
        <v>2382</v>
      </c>
      <c r="B2383" s="983" t="s">
        <v>2711</v>
      </c>
      <c r="C2383" s="1000"/>
      <c r="G2383" s="983" t="s">
        <v>1109</v>
      </c>
    </row>
    <row r="2384" spans="1:9" x14ac:dyDescent="0.2">
      <c r="A2384" s="997">
        <f t="shared" si="37"/>
        <v>2383</v>
      </c>
      <c r="B2384" s="983" t="s">
        <v>2711</v>
      </c>
      <c r="C2384" s="1000"/>
      <c r="G2384" s="983" t="s">
        <v>1106</v>
      </c>
    </row>
    <row r="2385" spans="1:9" x14ac:dyDescent="0.2">
      <c r="A2385" s="997">
        <f t="shared" si="37"/>
        <v>2384</v>
      </c>
      <c r="B2385" s="983" t="s">
        <v>2711</v>
      </c>
      <c r="C2385" s="999"/>
      <c r="H2385" s="983" t="s">
        <v>1107</v>
      </c>
    </row>
    <row r="2386" spans="1:9" x14ac:dyDescent="0.2">
      <c r="A2386" s="997">
        <f t="shared" si="37"/>
        <v>2385</v>
      </c>
      <c r="B2386" s="983" t="s">
        <v>2711</v>
      </c>
      <c r="C2386" s="999"/>
      <c r="I2386" s="983" t="s">
        <v>1518</v>
      </c>
    </row>
    <row r="2387" spans="1:9" x14ac:dyDescent="0.2">
      <c r="A2387" s="997">
        <f t="shared" si="37"/>
        <v>2386</v>
      </c>
      <c r="B2387" s="983" t="s">
        <v>2711</v>
      </c>
      <c r="C2387" s="1000"/>
      <c r="H2387" s="983" t="s">
        <v>1108</v>
      </c>
    </row>
    <row r="2388" spans="1:9" x14ac:dyDescent="0.2">
      <c r="A2388" s="997">
        <f t="shared" si="37"/>
        <v>2387</v>
      </c>
      <c r="B2388" s="983" t="s">
        <v>2711</v>
      </c>
      <c r="C2388" s="1001"/>
      <c r="H2388" s="983" t="str">
        <f>CONCATENATE("&lt;valeur&gt;",Cellule_11303,"&lt;/valeur&gt;")</f>
        <v>&lt;valeur&gt;0&lt;/valeur&gt;</v>
      </c>
    </row>
    <row r="2389" spans="1:9" x14ac:dyDescent="0.2">
      <c r="A2389" s="997">
        <f t="shared" si="37"/>
        <v>2388</v>
      </c>
      <c r="B2389" s="983" t="s">
        <v>2711</v>
      </c>
      <c r="C2389" s="1000"/>
      <c r="G2389" s="983" t="s">
        <v>1109</v>
      </c>
    </row>
    <row r="2390" spans="1:9" x14ac:dyDescent="0.2">
      <c r="A2390" s="997">
        <f t="shared" si="37"/>
        <v>2389</v>
      </c>
      <c r="B2390" s="983" t="s">
        <v>2711</v>
      </c>
      <c r="C2390" s="1000"/>
      <c r="G2390" s="983" t="s">
        <v>1106</v>
      </c>
    </row>
    <row r="2391" spans="1:9" x14ac:dyDescent="0.2">
      <c r="A2391" s="997">
        <f t="shared" si="37"/>
        <v>2390</v>
      </c>
      <c r="B2391" s="983" t="s">
        <v>2711</v>
      </c>
      <c r="C2391" s="999"/>
      <c r="H2391" s="983" t="s">
        <v>1107</v>
      </c>
    </row>
    <row r="2392" spans="1:9" x14ac:dyDescent="0.2">
      <c r="A2392" s="997">
        <f t="shared" si="37"/>
        <v>2391</v>
      </c>
      <c r="B2392" s="983" t="s">
        <v>2711</v>
      </c>
      <c r="C2392" s="999"/>
      <c r="I2392" s="983" t="s">
        <v>1519</v>
      </c>
    </row>
    <row r="2393" spans="1:9" x14ac:dyDescent="0.2">
      <c r="A2393" s="997">
        <f t="shared" si="37"/>
        <v>2392</v>
      </c>
      <c r="B2393" s="983" t="s">
        <v>2711</v>
      </c>
      <c r="C2393" s="1000"/>
      <c r="H2393" s="983" t="s">
        <v>1108</v>
      </c>
    </row>
    <row r="2394" spans="1:9" x14ac:dyDescent="0.2">
      <c r="A2394" s="997">
        <f t="shared" si="37"/>
        <v>2393</v>
      </c>
      <c r="B2394" s="983" t="s">
        <v>2711</v>
      </c>
      <c r="C2394" s="1001"/>
      <c r="H2394" s="983" t="str">
        <f>CONCATENATE("&lt;valeur&gt;",Cellule_11308,"&lt;/valeur&gt;")</f>
        <v>&lt;valeur&gt;0&lt;/valeur&gt;</v>
      </c>
    </row>
    <row r="2395" spans="1:9" x14ac:dyDescent="0.2">
      <c r="A2395" s="997">
        <f t="shared" si="37"/>
        <v>2394</v>
      </c>
      <c r="B2395" s="983" t="s">
        <v>2711</v>
      </c>
      <c r="C2395" s="1000"/>
      <c r="G2395" s="983" t="s">
        <v>1109</v>
      </c>
    </row>
    <row r="2396" spans="1:9" x14ac:dyDescent="0.2">
      <c r="A2396" s="997">
        <f t="shared" si="37"/>
        <v>2395</v>
      </c>
      <c r="B2396" s="983" t="s">
        <v>2711</v>
      </c>
      <c r="C2396" s="1000"/>
      <c r="G2396" s="983" t="s">
        <v>1106</v>
      </c>
    </row>
    <row r="2397" spans="1:9" x14ac:dyDescent="0.2">
      <c r="A2397" s="997">
        <f t="shared" si="37"/>
        <v>2396</v>
      </c>
      <c r="B2397" s="983" t="s">
        <v>2711</v>
      </c>
      <c r="C2397" s="999"/>
      <c r="H2397" s="983" t="s">
        <v>1107</v>
      </c>
    </row>
    <row r="2398" spans="1:9" x14ac:dyDescent="0.2">
      <c r="A2398" s="997">
        <f t="shared" si="37"/>
        <v>2397</v>
      </c>
      <c r="B2398" s="983" t="s">
        <v>2711</v>
      </c>
      <c r="C2398" s="999"/>
      <c r="I2398" s="983" t="s">
        <v>1520</v>
      </c>
    </row>
    <row r="2399" spans="1:9" x14ac:dyDescent="0.2">
      <c r="A2399" s="997">
        <f t="shared" si="37"/>
        <v>2398</v>
      </c>
      <c r="B2399" s="983" t="s">
        <v>2711</v>
      </c>
      <c r="C2399" s="1000"/>
      <c r="H2399" s="983" t="s">
        <v>1108</v>
      </c>
    </row>
    <row r="2400" spans="1:9" x14ac:dyDescent="0.2">
      <c r="A2400" s="997">
        <f t="shared" si="37"/>
        <v>2399</v>
      </c>
      <c r="B2400" s="983" t="s">
        <v>2711</v>
      </c>
      <c r="C2400" s="1001"/>
      <c r="H2400" s="983" t="str">
        <f>CONCATENATE("&lt;valeur&gt;",Cellule_11313,"&lt;/valeur&gt;")</f>
        <v>&lt;valeur&gt;0&lt;/valeur&gt;</v>
      </c>
    </row>
    <row r="2401" spans="1:9" x14ac:dyDescent="0.2">
      <c r="A2401" s="997">
        <f t="shared" si="37"/>
        <v>2400</v>
      </c>
      <c r="B2401" s="983" t="s">
        <v>2711</v>
      </c>
      <c r="C2401" s="1000"/>
      <c r="G2401" s="983" t="s">
        <v>1109</v>
      </c>
    </row>
    <row r="2402" spans="1:9" x14ac:dyDescent="0.2">
      <c r="A2402" s="997">
        <f t="shared" si="37"/>
        <v>2401</v>
      </c>
      <c r="B2402" s="983" t="s">
        <v>2711</v>
      </c>
      <c r="C2402" s="1000"/>
      <c r="G2402" s="983" t="s">
        <v>1106</v>
      </c>
    </row>
    <row r="2403" spans="1:9" x14ac:dyDescent="0.2">
      <c r="A2403" s="997">
        <f t="shared" si="37"/>
        <v>2402</v>
      </c>
      <c r="B2403" s="983" t="s">
        <v>2711</v>
      </c>
      <c r="C2403" s="999"/>
      <c r="H2403" s="983" t="s">
        <v>1107</v>
      </c>
    </row>
    <row r="2404" spans="1:9" x14ac:dyDescent="0.2">
      <c r="A2404" s="997">
        <f t="shared" si="37"/>
        <v>2403</v>
      </c>
      <c r="B2404" s="983" t="s">
        <v>2711</v>
      </c>
      <c r="C2404" s="999"/>
      <c r="I2404" s="983" t="s">
        <v>1521</v>
      </c>
    </row>
    <row r="2405" spans="1:9" x14ac:dyDescent="0.2">
      <c r="A2405" s="997">
        <f t="shared" si="37"/>
        <v>2404</v>
      </c>
      <c r="B2405" s="983" t="s">
        <v>2711</v>
      </c>
      <c r="C2405" s="1000"/>
      <c r="H2405" s="983" t="s">
        <v>1108</v>
      </c>
    </row>
    <row r="2406" spans="1:9" x14ac:dyDescent="0.2">
      <c r="A2406" s="997">
        <f t="shared" si="37"/>
        <v>2405</v>
      </c>
      <c r="B2406" s="983" t="s">
        <v>2711</v>
      </c>
      <c r="C2406" s="1001"/>
      <c r="H2406" s="983" t="str">
        <f>CONCATENATE("&lt;valeur&gt;",Cellule_11318,"&lt;/valeur&gt;")</f>
        <v>&lt;valeur&gt;43957,11&lt;/valeur&gt;</v>
      </c>
    </row>
    <row r="2407" spans="1:9" x14ac:dyDescent="0.2">
      <c r="A2407" s="997">
        <f t="shared" si="37"/>
        <v>2406</v>
      </c>
      <c r="B2407" s="983" t="s">
        <v>2711</v>
      </c>
      <c r="C2407" s="1000"/>
      <c r="G2407" s="983" t="s">
        <v>1109</v>
      </c>
    </row>
    <row r="2408" spans="1:9" x14ac:dyDescent="0.2">
      <c r="A2408" s="997">
        <f t="shared" si="37"/>
        <v>2407</v>
      </c>
      <c r="B2408" s="983" t="s">
        <v>2711</v>
      </c>
      <c r="C2408" s="1000"/>
      <c r="G2408" s="983" t="s">
        <v>1106</v>
      </c>
    </row>
    <row r="2409" spans="1:9" x14ac:dyDescent="0.2">
      <c r="A2409" s="997">
        <f t="shared" si="37"/>
        <v>2408</v>
      </c>
      <c r="B2409" s="983" t="s">
        <v>2711</v>
      </c>
      <c r="C2409" s="999"/>
      <c r="H2409" s="983" t="s">
        <v>1107</v>
      </c>
    </row>
    <row r="2410" spans="1:9" x14ac:dyDescent="0.2">
      <c r="A2410" s="997">
        <f t="shared" si="37"/>
        <v>2409</v>
      </c>
      <c r="B2410" s="983" t="s">
        <v>2711</v>
      </c>
      <c r="C2410" s="999"/>
      <c r="I2410" s="983" t="s">
        <v>1522</v>
      </c>
    </row>
    <row r="2411" spans="1:9" x14ac:dyDescent="0.2">
      <c r="A2411" s="997">
        <f t="shared" si="37"/>
        <v>2410</v>
      </c>
      <c r="B2411" s="983" t="s">
        <v>2711</v>
      </c>
      <c r="C2411" s="1000"/>
      <c r="H2411" s="983" t="s">
        <v>1108</v>
      </c>
    </row>
    <row r="2412" spans="1:9" x14ac:dyDescent="0.2">
      <c r="A2412" s="997">
        <f t="shared" si="37"/>
        <v>2411</v>
      </c>
      <c r="B2412" s="983" t="s">
        <v>2711</v>
      </c>
      <c r="C2412" s="1001"/>
      <c r="H2412" s="983" t="str">
        <f>CONCATENATE("&lt;valeur&gt;",Cellule_11323,"&lt;/valeur&gt;")</f>
        <v>&lt;valeur&gt;43957,11&lt;/valeur&gt;</v>
      </c>
    </row>
    <row r="2413" spans="1:9" x14ac:dyDescent="0.2">
      <c r="A2413" s="997">
        <f t="shared" si="37"/>
        <v>2412</v>
      </c>
      <c r="B2413" s="983" t="s">
        <v>2711</v>
      </c>
      <c r="C2413" s="1000"/>
      <c r="G2413" s="983" t="s">
        <v>1109</v>
      </c>
    </row>
    <row r="2414" spans="1:9" x14ac:dyDescent="0.2">
      <c r="A2414" s="997">
        <f t="shared" si="37"/>
        <v>2413</v>
      </c>
      <c r="B2414" s="983" t="s">
        <v>2711</v>
      </c>
      <c r="C2414" s="1000"/>
      <c r="G2414" s="983" t="s">
        <v>1106</v>
      </c>
    </row>
    <row r="2415" spans="1:9" x14ac:dyDescent="0.2">
      <c r="A2415" s="997">
        <f t="shared" si="37"/>
        <v>2414</v>
      </c>
      <c r="B2415" s="983" t="s">
        <v>2711</v>
      </c>
      <c r="C2415" s="999"/>
      <c r="H2415" s="983" t="s">
        <v>1107</v>
      </c>
    </row>
    <row r="2416" spans="1:9" x14ac:dyDescent="0.2">
      <c r="A2416" s="997">
        <f t="shared" si="37"/>
        <v>2415</v>
      </c>
      <c r="B2416" s="983" t="s">
        <v>2711</v>
      </c>
      <c r="C2416" s="999"/>
      <c r="I2416" s="983" t="s">
        <v>1523</v>
      </c>
    </row>
    <row r="2417" spans="1:9" x14ac:dyDescent="0.2">
      <c r="A2417" s="997">
        <f t="shared" si="37"/>
        <v>2416</v>
      </c>
      <c r="B2417" s="983" t="s">
        <v>2711</v>
      </c>
      <c r="C2417" s="1000"/>
      <c r="H2417" s="983" t="s">
        <v>1108</v>
      </c>
    </row>
    <row r="2418" spans="1:9" x14ac:dyDescent="0.2">
      <c r="A2418" s="997">
        <f t="shared" si="37"/>
        <v>2417</v>
      </c>
      <c r="B2418" s="983" t="s">
        <v>2711</v>
      </c>
      <c r="C2418" s="1001"/>
      <c r="H2418" s="983" t="str">
        <f>CONCATENATE("&lt;valeur&gt;",Cellule_11328,"&lt;/valeur&gt;")</f>
        <v>&lt;valeur&gt;0&lt;/valeur&gt;</v>
      </c>
    </row>
    <row r="2419" spans="1:9" x14ac:dyDescent="0.2">
      <c r="A2419" s="997">
        <f t="shared" si="37"/>
        <v>2418</v>
      </c>
      <c r="B2419" s="983" t="s">
        <v>2711</v>
      </c>
      <c r="C2419" s="1000"/>
      <c r="G2419" s="983" t="s">
        <v>1109</v>
      </c>
    </row>
    <row r="2420" spans="1:9" x14ac:dyDescent="0.2">
      <c r="A2420" s="997">
        <f t="shared" si="37"/>
        <v>2419</v>
      </c>
      <c r="B2420" s="983" t="s">
        <v>2711</v>
      </c>
      <c r="C2420" s="1000"/>
      <c r="G2420" s="983" t="s">
        <v>1106</v>
      </c>
    </row>
    <row r="2421" spans="1:9" x14ac:dyDescent="0.2">
      <c r="A2421" s="997">
        <f t="shared" si="37"/>
        <v>2420</v>
      </c>
      <c r="B2421" s="983" t="s">
        <v>2711</v>
      </c>
      <c r="C2421" s="999"/>
      <c r="H2421" s="983" t="s">
        <v>1107</v>
      </c>
    </row>
    <row r="2422" spans="1:9" x14ac:dyDescent="0.2">
      <c r="A2422" s="997">
        <f t="shared" si="37"/>
        <v>2421</v>
      </c>
      <c r="B2422" s="983" t="s">
        <v>2711</v>
      </c>
      <c r="C2422" s="999"/>
      <c r="I2422" s="983" t="s">
        <v>1524</v>
      </c>
    </row>
    <row r="2423" spans="1:9" x14ac:dyDescent="0.2">
      <c r="A2423" s="997">
        <f t="shared" si="37"/>
        <v>2422</v>
      </c>
      <c r="B2423" s="983" t="s">
        <v>2711</v>
      </c>
      <c r="C2423" s="1000"/>
      <c r="H2423" s="983" t="s">
        <v>1108</v>
      </c>
    </row>
    <row r="2424" spans="1:9" x14ac:dyDescent="0.2">
      <c r="A2424" s="997">
        <f t="shared" si="37"/>
        <v>2423</v>
      </c>
      <c r="B2424" s="983" t="s">
        <v>2711</v>
      </c>
      <c r="C2424" s="1001"/>
      <c r="H2424" s="983" t="str">
        <f>CONCATENATE("&lt;valeur&gt;",Cellule_11274,"&lt;/valeur&gt;")</f>
        <v>&lt;valeur&gt;0&lt;/valeur&gt;</v>
      </c>
    </row>
    <row r="2425" spans="1:9" x14ac:dyDescent="0.2">
      <c r="A2425" s="997">
        <f t="shared" si="37"/>
        <v>2424</v>
      </c>
      <c r="B2425" s="983" t="s">
        <v>2711</v>
      </c>
      <c r="C2425" s="1000"/>
      <c r="G2425" s="983" t="s">
        <v>1109</v>
      </c>
    </row>
    <row r="2426" spans="1:9" x14ac:dyDescent="0.2">
      <c r="A2426" s="997">
        <f t="shared" si="37"/>
        <v>2425</v>
      </c>
      <c r="B2426" s="983" t="s">
        <v>2711</v>
      </c>
      <c r="C2426" s="1000"/>
      <c r="G2426" s="983" t="s">
        <v>1106</v>
      </c>
    </row>
    <row r="2427" spans="1:9" x14ac:dyDescent="0.2">
      <c r="A2427" s="997">
        <f t="shared" si="37"/>
        <v>2426</v>
      </c>
      <c r="B2427" s="983" t="s">
        <v>2711</v>
      </c>
      <c r="C2427" s="999"/>
      <c r="H2427" s="983" t="s">
        <v>1107</v>
      </c>
    </row>
    <row r="2428" spans="1:9" x14ac:dyDescent="0.2">
      <c r="A2428" s="997">
        <f t="shared" si="37"/>
        <v>2427</v>
      </c>
      <c r="B2428" s="983" t="s">
        <v>2711</v>
      </c>
      <c r="C2428" s="999"/>
      <c r="I2428" s="983" t="s">
        <v>1525</v>
      </c>
    </row>
    <row r="2429" spans="1:9" x14ac:dyDescent="0.2">
      <c r="A2429" s="997">
        <f t="shared" si="37"/>
        <v>2428</v>
      </c>
      <c r="B2429" s="983" t="s">
        <v>2711</v>
      </c>
      <c r="C2429" s="1000"/>
      <c r="H2429" s="983" t="s">
        <v>1108</v>
      </c>
    </row>
    <row r="2430" spans="1:9" x14ac:dyDescent="0.2">
      <c r="A2430" s="997">
        <f t="shared" si="37"/>
        <v>2429</v>
      </c>
      <c r="B2430" s="983" t="s">
        <v>2711</v>
      </c>
      <c r="C2430" s="1001"/>
      <c r="H2430" s="983" t="str">
        <f>CONCATENATE("&lt;valeur&gt;",Cellule_11279,"&lt;/valeur&gt;")</f>
        <v>&lt;valeur&gt;0&lt;/valeur&gt;</v>
      </c>
    </row>
    <row r="2431" spans="1:9" x14ac:dyDescent="0.2">
      <c r="A2431" s="997">
        <f t="shared" si="37"/>
        <v>2430</v>
      </c>
      <c r="B2431" s="983" t="s">
        <v>2711</v>
      </c>
      <c r="C2431" s="1000"/>
      <c r="G2431" s="983" t="s">
        <v>1109</v>
      </c>
    </row>
    <row r="2432" spans="1:9" x14ac:dyDescent="0.2">
      <c r="A2432" s="997">
        <f t="shared" si="37"/>
        <v>2431</v>
      </c>
      <c r="B2432" s="983" t="s">
        <v>2711</v>
      </c>
      <c r="C2432" s="1000"/>
      <c r="G2432" s="983" t="s">
        <v>1106</v>
      </c>
    </row>
    <row r="2433" spans="1:9" x14ac:dyDescent="0.2">
      <c r="A2433" s="997">
        <f t="shared" si="37"/>
        <v>2432</v>
      </c>
      <c r="B2433" s="983" t="s">
        <v>2711</v>
      </c>
      <c r="C2433" s="999"/>
      <c r="H2433" s="983" t="s">
        <v>1107</v>
      </c>
    </row>
    <row r="2434" spans="1:9" x14ac:dyDescent="0.2">
      <c r="A2434" s="997">
        <f t="shared" si="37"/>
        <v>2433</v>
      </c>
      <c r="B2434" s="983" t="s">
        <v>2711</v>
      </c>
      <c r="C2434" s="999"/>
      <c r="I2434" s="983" t="s">
        <v>1526</v>
      </c>
    </row>
    <row r="2435" spans="1:9" x14ac:dyDescent="0.2">
      <c r="A2435" s="997">
        <f t="shared" si="37"/>
        <v>2434</v>
      </c>
      <c r="B2435" s="983" t="s">
        <v>2711</v>
      </c>
      <c r="C2435" s="1000"/>
      <c r="H2435" s="983" t="s">
        <v>1108</v>
      </c>
    </row>
    <row r="2436" spans="1:9" x14ac:dyDescent="0.2">
      <c r="A2436" s="997">
        <f t="shared" ref="A2436:A2499" si="38">+A2435+1</f>
        <v>2435</v>
      </c>
      <c r="B2436" s="983" t="s">
        <v>2711</v>
      </c>
      <c r="C2436" s="1001"/>
      <c r="H2436" s="983" t="str">
        <f>CONCATENATE("&lt;valeur&gt;",Cellule_11284,"&lt;/valeur&gt;")</f>
        <v>&lt;valeur&gt;0&lt;/valeur&gt;</v>
      </c>
    </row>
    <row r="2437" spans="1:9" x14ac:dyDescent="0.2">
      <c r="A2437" s="997">
        <f t="shared" si="38"/>
        <v>2436</v>
      </c>
      <c r="B2437" s="983" t="s">
        <v>2711</v>
      </c>
      <c r="C2437" s="1000"/>
      <c r="G2437" s="983" t="s">
        <v>1109</v>
      </c>
    </row>
    <row r="2438" spans="1:9" x14ac:dyDescent="0.2">
      <c r="A2438" s="997">
        <f t="shared" si="38"/>
        <v>2437</v>
      </c>
      <c r="B2438" s="983" t="s">
        <v>2711</v>
      </c>
      <c r="C2438" s="1000"/>
      <c r="G2438" s="983" t="s">
        <v>1106</v>
      </c>
    </row>
    <row r="2439" spans="1:9" x14ac:dyDescent="0.2">
      <c r="A2439" s="997">
        <f t="shared" si="38"/>
        <v>2438</v>
      </c>
      <c r="B2439" s="983" t="s">
        <v>2711</v>
      </c>
      <c r="C2439" s="999"/>
      <c r="H2439" s="983" t="s">
        <v>1107</v>
      </c>
    </row>
    <row r="2440" spans="1:9" x14ac:dyDescent="0.2">
      <c r="A2440" s="997">
        <f t="shared" si="38"/>
        <v>2439</v>
      </c>
      <c r="B2440" s="983" t="s">
        <v>2711</v>
      </c>
      <c r="C2440" s="999"/>
      <c r="I2440" s="983" t="s">
        <v>1527</v>
      </c>
    </row>
    <row r="2441" spans="1:9" x14ac:dyDescent="0.2">
      <c r="A2441" s="997">
        <f t="shared" si="38"/>
        <v>2440</v>
      </c>
      <c r="B2441" s="983" t="s">
        <v>2711</v>
      </c>
      <c r="C2441" s="1000"/>
      <c r="H2441" s="983" t="s">
        <v>1108</v>
      </c>
    </row>
    <row r="2442" spans="1:9" x14ac:dyDescent="0.2">
      <c r="A2442" s="997">
        <f t="shared" si="38"/>
        <v>2441</v>
      </c>
      <c r="B2442" s="983" t="s">
        <v>2711</v>
      </c>
      <c r="C2442" s="1001"/>
      <c r="H2442" s="983" t="str">
        <f>CONCATENATE("&lt;valeur&gt;",Cellule_11289,"&lt;/valeur&gt;")</f>
        <v>&lt;valeur&gt;0&lt;/valeur&gt;</v>
      </c>
    </row>
    <row r="2443" spans="1:9" x14ac:dyDescent="0.2">
      <c r="A2443" s="997">
        <f t="shared" si="38"/>
        <v>2442</v>
      </c>
      <c r="B2443" s="983" t="s">
        <v>2711</v>
      </c>
      <c r="C2443" s="1000"/>
      <c r="G2443" s="983" t="s">
        <v>1109</v>
      </c>
    </row>
    <row r="2444" spans="1:9" x14ac:dyDescent="0.2">
      <c r="A2444" s="997">
        <f t="shared" si="38"/>
        <v>2443</v>
      </c>
      <c r="B2444" s="983" t="s">
        <v>2711</v>
      </c>
      <c r="C2444" s="1000"/>
      <c r="G2444" s="983" t="s">
        <v>1106</v>
      </c>
    </row>
    <row r="2445" spans="1:9" x14ac:dyDescent="0.2">
      <c r="A2445" s="997">
        <f t="shared" si="38"/>
        <v>2444</v>
      </c>
      <c r="B2445" s="983" t="s">
        <v>2711</v>
      </c>
      <c r="C2445" s="999"/>
      <c r="H2445" s="983" t="s">
        <v>1107</v>
      </c>
    </row>
    <row r="2446" spans="1:9" x14ac:dyDescent="0.2">
      <c r="A2446" s="997">
        <f t="shared" si="38"/>
        <v>2445</v>
      </c>
      <c r="B2446" s="983" t="s">
        <v>2711</v>
      </c>
      <c r="C2446" s="999"/>
      <c r="I2446" s="983" t="s">
        <v>1528</v>
      </c>
    </row>
    <row r="2447" spans="1:9" x14ac:dyDescent="0.2">
      <c r="A2447" s="997">
        <f t="shared" si="38"/>
        <v>2446</v>
      </c>
      <c r="B2447" s="983" t="s">
        <v>2711</v>
      </c>
      <c r="C2447" s="1000"/>
      <c r="H2447" s="983" t="s">
        <v>1108</v>
      </c>
    </row>
    <row r="2448" spans="1:9" x14ac:dyDescent="0.2">
      <c r="A2448" s="997">
        <f t="shared" si="38"/>
        <v>2447</v>
      </c>
      <c r="B2448" s="983" t="s">
        <v>2711</v>
      </c>
      <c r="C2448" s="1001"/>
      <c r="H2448" s="983" t="str">
        <f>CONCATENATE("&lt;valeur&gt;",Cellule_11294,"&lt;/valeur&gt;")</f>
        <v>&lt;valeur&gt;0&lt;/valeur&gt;</v>
      </c>
    </row>
    <row r="2449" spans="1:9" x14ac:dyDescent="0.2">
      <c r="A2449" s="997">
        <f t="shared" si="38"/>
        <v>2448</v>
      </c>
      <c r="B2449" s="983" t="s">
        <v>2711</v>
      </c>
      <c r="C2449" s="1000"/>
      <c r="G2449" s="983" t="s">
        <v>1109</v>
      </c>
    </row>
    <row r="2450" spans="1:9" x14ac:dyDescent="0.2">
      <c r="A2450" s="997">
        <f t="shared" si="38"/>
        <v>2449</v>
      </c>
      <c r="B2450" s="983" t="s">
        <v>2711</v>
      </c>
      <c r="C2450" s="1000"/>
      <c r="G2450" s="983" t="s">
        <v>1106</v>
      </c>
    </row>
    <row r="2451" spans="1:9" x14ac:dyDescent="0.2">
      <c r="A2451" s="997">
        <f t="shared" si="38"/>
        <v>2450</v>
      </c>
      <c r="B2451" s="983" t="s">
        <v>2711</v>
      </c>
      <c r="C2451" s="999"/>
      <c r="H2451" s="983" t="s">
        <v>1107</v>
      </c>
    </row>
    <row r="2452" spans="1:9" x14ac:dyDescent="0.2">
      <c r="A2452" s="997">
        <f t="shared" si="38"/>
        <v>2451</v>
      </c>
      <c r="B2452" s="983" t="s">
        <v>2711</v>
      </c>
      <c r="C2452" s="999"/>
      <c r="I2452" s="983" t="s">
        <v>1529</v>
      </c>
    </row>
    <row r="2453" spans="1:9" x14ac:dyDescent="0.2">
      <c r="A2453" s="997">
        <f t="shared" si="38"/>
        <v>2452</v>
      </c>
      <c r="B2453" s="983" t="s">
        <v>2711</v>
      </c>
      <c r="C2453" s="1000"/>
      <c r="H2453" s="983" t="s">
        <v>1108</v>
      </c>
    </row>
    <row r="2454" spans="1:9" x14ac:dyDescent="0.2">
      <c r="A2454" s="997">
        <f t="shared" si="38"/>
        <v>2453</v>
      </c>
      <c r="B2454" s="983" t="s">
        <v>2711</v>
      </c>
      <c r="C2454" s="1001"/>
      <c r="H2454" s="983" t="str">
        <f>CONCATENATE("&lt;valeur&gt;",Cellule_11329,"&lt;/valeur&gt;")</f>
        <v>&lt;valeur&gt;0&lt;/valeur&gt;</v>
      </c>
    </row>
    <row r="2455" spans="1:9" x14ac:dyDescent="0.2">
      <c r="A2455" s="997">
        <f t="shared" si="38"/>
        <v>2454</v>
      </c>
      <c r="B2455" s="983" t="s">
        <v>2711</v>
      </c>
      <c r="C2455" s="1000"/>
      <c r="G2455" s="983" t="s">
        <v>1109</v>
      </c>
    </row>
    <row r="2456" spans="1:9" x14ac:dyDescent="0.2">
      <c r="A2456" s="997">
        <f t="shared" si="38"/>
        <v>2455</v>
      </c>
      <c r="B2456" s="983" t="s">
        <v>2711</v>
      </c>
      <c r="C2456" s="1000"/>
      <c r="G2456" s="983" t="s">
        <v>1106</v>
      </c>
    </row>
    <row r="2457" spans="1:9" x14ac:dyDescent="0.2">
      <c r="A2457" s="997">
        <f t="shared" si="38"/>
        <v>2456</v>
      </c>
      <c r="B2457" s="983" t="s">
        <v>2711</v>
      </c>
      <c r="C2457" s="999"/>
      <c r="H2457" s="983" t="s">
        <v>1107</v>
      </c>
    </row>
    <row r="2458" spans="1:9" x14ac:dyDescent="0.2">
      <c r="A2458" s="997">
        <f t="shared" si="38"/>
        <v>2457</v>
      </c>
      <c r="B2458" s="983" t="s">
        <v>2711</v>
      </c>
      <c r="C2458" s="999"/>
      <c r="I2458" s="983" t="s">
        <v>1530</v>
      </c>
    </row>
    <row r="2459" spans="1:9" x14ac:dyDescent="0.2">
      <c r="A2459" s="997">
        <f t="shared" si="38"/>
        <v>2458</v>
      </c>
      <c r="B2459" s="983" t="s">
        <v>2711</v>
      </c>
      <c r="C2459" s="1000"/>
      <c r="H2459" s="983" t="s">
        <v>1108</v>
      </c>
    </row>
    <row r="2460" spans="1:9" x14ac:dyDescent="0.2">
      <c r="A2460" s="997">
        <f t="shared" si="38"/>
        <v>2459</v>
      </c>
      <c r="B2460" s="983" t="s">
        <v>2711</v>
      </c>
      <c r="C2460" s="1001"/>
      <c r="H2460" s="983" t="str">
        <f>CONCATENATE("&lt;valeur&gt;",Cellule_11334,"&lt;/valeur&gt;")</f>
        <v>&lt;valeur&gt;0&lt;/valeur&gt;</v>
      </c>
    </row>
    <row r="2461" spans="1:9" x14ac:dyDescent="0.2">
      <c r="A2461" s="997">
        <f t="shared" si="38"/>
        <v>2460</v>
      </c>
      <c r="B2461" s="983" t="s">
        <v>2711</v>
      </c>
      <c r="C2461" s="1000"/>
      <c r="G2461" s="983" t="s">
        <v>1109</v>
      </c>
    </row>
    <row r="2462" spans="1:9" x14ac:dyDescent="0.2">
      <c r="A2462" s="997">
        <f t="shared" si="38"/>
        <v>2461</v>
      </c>
      <c r="B2462" s="983" t="s">
        <v>2711</v>
      </c>
      <c r="C2462" s="1000"/>
      <c r="G2462" s="983" t="s">
        <v>1106</v>
      </c>
    </row>
    <row r="2463" spans="1:9" x14ac:dyDescent="0.2">
      <c r="A2463" s="997">
        <f t="shared" si="38"/>
        <v>2462</v>
      </c>
      <c r="B2463" s="983" t="s">
        <v>2711</v>
      </c>
      <c r="C2463" s="999"/>
      <c r="H2463" s="983" t="s">
        <v>1107</v>
      </c>
    </row>
    <row r="2464" spans="1:9" x14ac:dyDescent="0.2">
      <c r="A2464" s="997">
        <f t="shared" si="38"/>
        <v>2463</v>
      </c>
      <c r="B2464" s="983" t="s">
        <v>2711</v>
      </c>
      <c r="C2464" s="999"/>
      <c r="I2464" s="983" t="s">
        <v>1531</v>
      </c>
    </row>
    <row r="2465" spans="1:9" x14ac:dyDescent="0.2">
      <c r="A2465" s="997">
        <f t="shared" si="38"/>
        <v>2464</v>
      </c>
      <c r="B2465" s="983" t="s">
        <v>2711</v>
      </c>
      <c r="C2465" s="1000"/>
      <c r="H2465" s="983" t="s">
        <v>1108</v>
      </c>
    </row>
    <row r="2466" spans="1:9" x14ac:dyDescent="0.2">
      <c r="A2466" s="997">
        <f t="shared" si="38"/>
        <v>2465</v>
      </c>
      <c r="B2466" s="983" t="s">
        <v>2711</v>
      </c>
      <c r="C2466" s="1001"/>
      <c r="H2466" s="983" t="str">
        <f>CONCATENATE("&lt;valeur&gt;",Cellule_11299,"&lt;/valeur&gt;")</f>
        <v>&lt;valeur&gt;0&lt;/valeur&gt;</v>
      </c>
    </row>
    <row r="2467" spans="1:9" x14ac:dyDescent="0.2">
      <c r="A2467" s="997">
        <f t="shared" si="38"/>
        <v>2466</v>
      </c>
      <c r="B2467" s="983" t="s">
        <v>2711</v>
      </c>
      <c r="C2467" s="1000"/>
      <c r="G2467" s="983" t="s">
        <v>1109</v>
      </c>
    </row>
    <row r="2468" spans="1:9" x14ac:dyDescent="0.2">
      <c r="A2468" s="997">
        <f t="shared" si="38"/>
        <v>2467</v>
      </c>
      <c r="B2468" s="983" t="s">
        <v>2711</v>
      </c>
      <c r="C2468" s="1000"/>
      <c r="G2468" s="983" t="s">
        <v>1106</v>
      </c>
    </row>
    <row r="2469" spans="1:9" x14ac:dyDescent="0.2">
      <c r="A2469" s="997">
        <f t="shared" si="38"/>
        <v>2468</v>
      </c>
      <c r="B2469" s="983" t="s">
        <v>2711</v>
      </c>
      <c r="C2469" s="999"/>
      <c r="H2469" s="983" t="s">
        <v>1107</v>
      </c>
    </row>
    <row r="2470" spans="1:9" x14ac:dyDescent="0.2">
      <c r="A2470" s="997">
        <f t="shared" si="38"/>
        <v>2469</v>
      </c>
      <c r="B2470" s="983" t="s">
        <v>2711</v>
      </c>
      <c r="C2470" s="999"/>
      <c r="I2470" s="983" t="s">
        <v>1532</v>
      </c>
    </row>
    <row r="2471" spans="1:9" x14ac:dyDescent="0.2">
      <c r="A2471" s="997">
        <f t="shared" si="38"/>
        <v>2470</v>
      </c>
      <c r="B2471" s="983" t="s">
        <v>2711</v>
      </c>
      <c r="C2471" s="1000"/>
      <c r="H2471" s="983" t="s">
        <v>1108</v>
      </c>
    </row>
    <row r="2472" spans="1:9" x14ac:dyDescent="0.2">
      <c r="A2472" s="997">
        <f t="shared" si="38"/>
        <v>2471</v>
      </c>
      <c r="B2472" s="983" t="s">
        <v>2711</v>
      </c>
      <c r="C2472" s="1001"/>
      <c r="H2472" s="983" t="str">
        <f>CONCATENATE("&lt;valeur&gt;",Cellule_11304,"&lt;/valeur&gt;")</f>
        <v>&lt;valeur&gt;0&lt;/valeur&gt;</v>
      </c>
    </row>
    <row r="2473" spans="1:9" x14ac:dyDescent="0.2">
      <c r="A2473" s="997">
        <f t="shared" si="38"/>
        <v>2472</v>
      </c>
      <c r="B2473" s="983" t="s">
        <v>2711</v>
      </c>
      <c r="C2473" s="1000"/>
      <c r="G2473" s="983" t="s">
        <v>1109</v>
      </c>
    </row>
    <row r="2474" spans="1:9" x14ac:dyDescent="0.2">
      <c r="A2474" s="997">
        <f t="shared" si="38"/>
        <v>2473</v>
      </c>
      <c r="B2474" s="983" t="s">
        <v>2711</v>
      </c>
      <c r="C2474" s="1000"/>
      <c r="G2474" s="983" t="s">
        <v>1106</v>
      </c>
    </row>
    <row r="2475" spans="1:9" x14ac:dyDescent="0.2">
      <c r="A2475" s="997">
        <f t="shared" si="38"/>
        <v>2474</v>
      </c>
      <c r="B2475" s="983" t="s">
        <v>2711</v>
      </c>
      <c r="C2475" s="999"/>
      <c r="H2475" s="983" t="s">
        <v>1107</v>
      </c>
    </row>
    <row r="2476" spans="1:9" x14ac:dyDescent="0.2">
      <c r="A2476" s="997">
        <f t="shared" si="38"/>
        <v>2475</v>
      </c>
      <c r="B2476" s="983" t="s">
        <v>2711</v>
      </c>
      <c r="C2476" s="999"/>
      <c r="I2476" s="983" t="s">
        <v>1533</v>
      </c>
    </row>
    <row r="2477" spans="1:9" x14ac:dyDescent="0.2">
      <c r="A2477" s="997">
        <f t="shared" si="38"/>
        <v>2476</v>
      </c>
      <c r="B2477" s="983" t="s">
        <v>2711</v>
      </c>
      <c r="C2477" s="1000"/>
      <c r="H2477" s="983" t="s">
        <v>1108</v>
      </c>
    </row>
    <row r="2478" spans="1:9" x14ac:dyDescent="0.2">
      <c r="A2478" s="997">
        <f t="shared" si="38"/>
        <v>2477</v>
      </c>
      <c r="B2478" s="983" t="s">
        <v>2711</v>
      </c>
      <c r="C2478" s="1001"/>
      <c r="H2478" s="983" t="str">
        <f>CONCATENATE("&lt;valeur&gt;",Cellule_11309,"&lt;/valeur&gt;")</f>
        <v>&lt;valeur&gt;0&lt;/valeur&gt;</v>
      </c>
    </row>
    <row r="2479" spans="1:9" x14ac:dyDescent="0.2">
      <c r="A2479" s="997">
        <f t="shared" si="38"/>
        <v>2478</v>
      </c>
      <c r="B2479" s="983" t="s">
        <v>2711</v>
      </c>
      <c r="C2479" s="1000"/>
      <c r="G2479" s="983" t="s">
        <v>1109</v>
      </c>
    </row>
    <row r="2480" spans="1:9" x14ac:dyDescent="0.2">
      <c r="A2480" s="997">
        <f t="shared" si="38"/>
        <v>2479</v>
      </c>
      <c r="B2480" s="983" t="s">
        <v>2711</v>
      </c>
      <c r="C2480" s="1000"/>
      <c r="G2480" s="983" t="s">
        <v>1106</v>
      </c>
    </row>
    <row r="2481" spans="1:9" x14ac:dyDescent="0.2">
      <c r="A2481" s="997">
        <f t="shared" si="38"/>
        <v>2480</v>
      </c>
      <c r="B2481" s="983" t="s">
        <v>2711</v>
      </c>
      <c r="C2481" s="999"/>
      <c r="H2481" s="983" t="s">
        <v>1107</v>
      </c>
    </row>
    <row r="2482" spans="1:9" x14ac:dyDescent="0.2">
      <c r="A2482" s="997">
        <f t="shared" si="38"/>
        <v>2481</v>
      </c>
      <c r="B2482" s="983" t="s">
        <v>2711</v>
      </c>
      <c r="C2482" s="999"/>
      <c r="I2482" s="983" t="s">
        <v>1534</v>
      </c>
    </row>
    <row r="2483" spans="1:9" x14ac:dyDescent="0.2">
      <c r="A2483" s="997">
        <f t="shared" si="38"/>
        <v>2482</v>
      </c>
      <c r="B2483" s="983" t="s">
        <v>2711</v>
      </c>
      <c r="C2483" s="1000"/>
      <c r="H2483" s="983" t="s">
        <v>1108</v>
      </c>
    </row>
    <row r="2484" spans="1:9" x14ac:dyDescent="0.2">
      <c r="A2484" s="997">
        <f t="shared" si="38"/>
        <v>2483</v>
      </c>
      <c r="B2484" s="983" t="s">
        <v>2711</v>
      </c>
      <c r="C2484" s="1001"/>
      <c r="H2484" s="983" t="str">
        <f>CONCATENATE("&lt;valeur&gt;",Cellule_11314,"&lt;/valeur&gt;")</f>
        <v>&lt;valeur&gt;0&lt;/valeur&gt;</v>
      </c>
    </row>
    <row r="2485" spans="1:9" x14ac:dyDescent="0.2">
      <c r="A2485" s="997">
        <f t="shared" si="38"/>
        <v>2484</v>
      </c>
      <c r="B2485" s="983" t="s">
        <v>2711</v>
      </c>
      <c r="C2485" s="1000"/>
      <c r="G2485" s="983" t="s">
        <v>1109</v>
      </c>
    </row>
    <row r="2486" spans="1:9" x14ac:dyDescent="0.2">
      <c r="A2486" s="997">
        <f t="shared" si="38"/>
        <v>2485</v>
      </c>
      <c r="B2486" s="983" t="s">
        <v>2711</v>
      </c>
      <c r="C2486" s="1000"/>
      <c r="G2486" s="983" t="s">
        <v>1106</v>
      </c>
    </row>
    <row r="2487" spans="1:9" x14ac:dyDescent="0.2">
      <c r="A2487" s="997">
        <f t="shared" si="38"/>
        <v>2486</v>
      </c>
      <c r="B2487" s="983" t="s">
        <v>2711</v>
      </c>
      <c r="C2487" s="999"/>
      <c r="H2487" s="983" t="s">
        <v>1107</v>
      </c>
    </row>
    <row r="2488" spans="1:9" x14ac:dyDescent="0.2">
      <c r="A2488" s="997">
        <f t="shared" si="38"/>
        <v>2487</v>
      </c>
      <c r="B2488" s="983" t="s">
        <v>2711</v>
      </c>
      <c r="C2488" s="999"/>
      <c r="I2488" s="983" t="s">
        <v>1535</v>
      </c>
    </row>
    <row r="2489" spans="1:9" x14ac:dyDescent="0.2">
      <c r="A2489" s="997">
        <f t="shared" si="38"/>
        <v>2488</v>
      </c>
      <c r="B2489" s="983" t="s">
        <v>2711</v>
      </c>
      <c r="C2489" s="1000"/>
      <c r="H2489" s="983" t="s">
        <v>1108</v>
      </c>
    </row>
    <row r="2490" spans="1:9" x14ac:dyDescent="0.2">
      <c r="A2490" s="997">
        <f t="shared" si="38"/>
        <v>2489</v>
      </c>
      <c r="B2490" s="983" t="s">
        <v>2711</v>
      </c>
      <c r="C2490" s="1001"/>
      <c r="H2490" s="983" t="str">
        <f>CONCATENATE("&lt;valeur&gt;",Cellule_11319,"&lt;/valeur&gt;")</f>
        <v>&lt;valeur&gt;0&lt;/valeur&gt;</v>
      </c>
    </row>
    <row r="2491" spans="1:9" x14ac:dyDescent="0.2">
      <c r="A2491" s="997">
        <f t="shared" si="38"/>
        <v>2490</v>
      </c>
      <c r="B2491" s="983" t="s">
        <v>2711</v>
      </c>
      <c r="C2491" s="1000"/>
      <c r="G2491" s="983" t="s">
        <v>1109</v>
      </c>
    </row>
    <row r="2492" spans="1:9" x14ac:dyDescent="0.2">
      <c r="A2492" s="997">
        <f t="shared" si="38"/>
        <v>2491</v>
      </c>
      <c r="B2492" s="983" t="s">
        <v>2711</v>
      </c>
      <c r="C2492" s="1000"/>
      <c r="G2492" s="983" t="s">
        <v>1106</v>
      </c>
    </row>
    <row r="2493" spans="1:9" x14ac:dyDescent="0.2">
      <c r="A2493" s="997">
        <f t="shared" si="38"/>
        <v>2492</v>
      </c>
      <c r="B2493" s="983" t="s">
        <v>2711</v>
      </c>
      <c r="C2493" s="999"/>
      <c r="H2493" s="983" t="s">
        <v>1107</v>
      </c>
    </row>
    <row r="2494" spans="1:9" x14ac:dyDescent="0.2">
      <c r="A2494" s="997">
        <f t="shared" si="38"/>
        <v>2493</v>
      </c>
      <c r="B2494" s="983" t="s">
        <v>2711</v>
      </c>
      <c r="C2494" s="999"/>
      <c r="I2494" s="983" t="s">
        <v>1536</v>
      </c>
    </row>
    <row r="2495" spans="1:9" x14ac:dyDescent="0.2">
      <c r="A2495" s="997">
        <f t="shared" si="38"/>
        <v>2494</v>
      </c>
      <c r="B2495" s="983" t="s">
        <v>2711</v>
      </c>
      <c r="C2495" s="1000"/>
      <c r="H2495" s="983" t="s">
        <v>1108</v>
      </c>
    </row>
    <row r="2496" spans="1:9" x14ac:dyDescent="0.2">
      <c r="A2496" s="997">
        <f t="shared" si="38"/>
        <v>2495</v>
      </c>
      <c r="B2496" s="983" t="s">
        <v>2711</v>
      </c>
      <c r="C2496" s="1001"/>
      <c r="H2496" s="983" t="str">
        <f>CONCATENATE("&lt;valeur&gt;",Cellule_11324,"&lt;/valeur&gt;")</f>
        <v>&lt;valeur&gt;0&lt;/valeur&gt;</v>
      </c>
    </row>
    <row r="2497" spans="1:9" x14ac:dyDescent="0.2">
      <c r="A2497" s="997">
        <f t="shared" si="38"/>
        <v>2496</v>
      </c>
      <c r="B2497" s="983" t="s">
        <v>2711</v>
      </c>
      <c r="C2497" s="1000"/>
      <c r="G2497" s="983" t="s">
        <v>1109</v>
      </c>
    </row>
    <row r="2498" spans="1:9" x14ac:dyDescent="0.2">
      <c r="A2498" s="997">
        <f t="shared" si="38"/>
        <v>2497</v>
      </c>
      <c r="B2498" s="983" t="s">
        <v>2711</v>
      </c>
      <c r="C2498" s="1000"/>
      <c r="G2498" s="983" t="s">
        <v>1106</v>
      </c>
    </row>
    <row r="2499" spans="1:9" x14ac:dyDescent="0.2">
      <c r="A2499" s="997">
        <f t="shared" si="38"/>
        <v>2498</v>
      </c>
      <c r="B2499" s="983" t="s">
        <v>2711</v>
      </c>
      <c r="C2499" s="999"/>
      <c r="H2499" s="983" t="s">
        <v>1107</v>
      </c>
    </row>
    <row r="2500" spans="1:9" x14ac:dyDescent="0.2">
      <c r="A2500" s="997">
        <f t="shared" ref="A2500:A2563" si="39">+A2499+1</f>
        <v>2499</v>
      </c>
      <c r="B2500" s="983" t="s">
        <v>2711</v>
      </c>
      <c r="C2500" s="999"/>
      <c r="I2500" s="983" t="s">
        <v>1537</v>
      </c>
    </row>
    <row r="2501" spans="1:9" x14ac:dyDescent="0.2">
      <c r="A2501" s="997">
        <f t="shared" si="39"/>
        <v>2500</v>
      </c>
      <c r="B2501" s="983" t="s">
        <v>2711</v>
      </c>
      <c r="C2501" s="1000"/>
      <c r="H2501" s="983" t="s">
        <v>1108</v>
      </c>
    </row>
    <row r="2502" spans="1:9" x14ac:dyDescent="0.2">
      <c r="A2502" s="997">
        <f t="shared" si="39"/>
        <v>2501</v>
      </c>
      <c r="B2502" s="983" t="s">
        <v>2711</v>
      </c>
      <c r="C2502" s="1001"/>
      <c r="H2502" s="983" t="str">
        <f>CONCATENATE("&lt;valeur&gt;",Cellule_11336,"&lt;/valeur&gt;")</f>
        <v>&lt;valeur&gt;23836,44&lt;/valeur&gt;</v>
      </c>
    </row>
    <row r="2503" spans="1:9" x14ac:dyDescent="0.2">
      <c r="A2503" s="997">
        <f t="shared" si="39"/>
        <v>2502</v>
      </c>
      <c r="B2503" s="983" t="s">
        <v>2711</v>
      </c>
      <c r="C2503" s="1000"/>
      <c r="G2503" s="983" t="s">
        <v>1109</v>
      </c>
    </row>
    <row r="2504" spans="1:9" x14ac:dyDescent="0.2">
      <c r="A2504" s="997">
        <f t="shared" si="39"/>
        <v>2503</v>
      </c>
      <c r="B2504" s="983" t="s">
        <v>2711</v>
      </c>
      <c r="C2504" s="1000"/>
      <c r="G2504" s="983" t="s">
        <v>1106</v>
      </c>
    </row>
    <row r="2505" spans="1:9" x14ac:dyDescent="0.2">
      <c r="A2505" s="997">
        <f t="shared" si="39"/>
        <v>2504</v>
      </c>
      <c r="B2505" s="983" t="s">
        <v>2711</v>
      </c>
      <c r="C2505" s="999"/>
      <c r="H2505" s="983" t="s">
        <v>1107</v>
      </c>
    </row>
    <row r="2506" spans="1:9" x14ac:dyDescent="0.2">
      <c r="A2506" s="997">
        <f t="shared" si="39"/>
        <v>2505</v>
      </c>
      <c r="B2506" s="983" t="s">
        <v>2711</v>
      </c>
      <c r="C2506" s="999"/>
      <c r="I2506" s="983" t="s">
        <v>1538</v>
      </c>
    </row>
    <row r="2507" spans="1:9" x14ac:dyDescent="0.2">
      <c r="A2507" s="997">
        <f t="shared" si="39"/>
        <v>2506</v>
      </c>
      <c r="B2507" s="983" t="s">
        <v>2711</v>
      </c>
      <c r="C2507" s="1000"/>
      <c r="H2507" s="983" t="s">
        <v>1108</v>
      </c>
    </row>
    <row r="2508" spans="1:9" x14ac:dyDescent="0.2">
      <c r="A2508" s="997">
        <f t="shared" si="39"/>
        <v>2507</v>
      </c>
      <c r="B2508" s="983" t="s">
        <v>2711</v>
      </c>
      <c r="C2508" s="1001"/>
      <c r="H2508" s="983" t="str">
        <f>CONCATENATE("&lt;valeur&gt;",Cellule_11337,"&lt;/valeur&gt;")</f>
        <v>&lt;valeur&gt;0&lt;/valeur&gt;</v>
      </c>
    </row>
    <row r="2509" spans="1:9" x14ac:dyDescent="0.2">
      <c r="A2509" s="997">
        <f t="shared" si="39"/>
        <v>2508</v>
      </c>
      <c r="B2509" s="983" t="s">
        <v>2711</v>
      </c>
      <c r="C2509" s="1000"/>
      <c r="G2509" s="983" t="s">
        <v>1109</v>
      </c>
    </row>
    <row r="2510" spans="1:9" x14ac:dyDescent="0.2">
      <c r="A2510" s="997">
        <f t="shared" si="39"/>
        <v>2509</v>
      </c>
      <c r="B2510" s="983" t="s">
        <v>2711</v>
      </c>
      <c r="C2510" s="1000"/>
      <c r="G2510" s="983" t="s">
        <v>1106</v>
      </c>
    </row>
    <row r="2511" spans="1:9" x14ac:dyDescent="0.2">
      <c r="A2511" s="997">
        <f t="shared" si="39"/>
        <v>2510</v>
      </c>
      <c r="B2511" s="983" t="s">
        <v>2711</v>
      </c>
      <c r="C2511" s="999"/>
      <c r="H2511" s="983" t="s">
        <v>1107</v>
      </c>
    </row>
    <row r="2512" spans="1:9" x14ac:dyDescent="0.2">
      <c r="A2512" s="997">
        <f t="shared" si="39"/>
        <v>2511</v>
      </c>
      <c r="B2512" s="983" t="s">
        <v>2711</v>
      </c>
      <c r="C2512" s="999"/>
      <c r="I2512" s="983" t="s">
        <v>1539</v>
      </c>
    </row>
    <row r="2513" spans="1:9" x14ac:dyDescent="0.2">
      <c r="A2513" s="997">
        <f t="shared" si="39"/>
        <v>2512</v>
      </c>
      <c r="B2513" s="983" t="s">
        <v>2711</v>
      </c>
      <c r="C2513" s="1000"/>
      <c r="H2513" s="983" t="s">
        <v>1108</v>
      </c>
    </row>
    <row r="2514" spans="1:9" x14ac:dyDescent="0.2">
      <c r="A2514" s="997">
        <f t="shared" si="39"/>
        <v>2513</v>
      </c>
      <c r="B2514" s="983" t="s">
        <v>2711</v>
      </c>
      <c r="C2514" s="1001"/>
      <c r="H2514" s="983" t="str">
        <f>CONCATENATE("&lt;valeur&gt;",Cellule_11338,"&lt;/valeur&gt;")</f>
        <v>&lt;valeur&gt;23836,44&lt;/valeur&gt;</v>
      </c>
    </row>
    <row r="2515" spans="1:9" x14ac:dyDescent="0.2">
      <c r="A2515" s="997">
        <f t="shared" si="39"/>
        <v>2514</v>
      </c>
      <c r="B2515" s="983" t="s">
        <v>2711</v>
      </c>
      <c r="C2515" s="1000"/>
      <c r="G2515" s="983" t="s">
        <v>1109</v>
      </c>
    </row>
    <row r="2516" spans="1:9" x14ac:dyDescent="0.2">
      <c r="A2516" s="997">
        <f t="shared" si="39"/>
        <v>2515</v>
      </c>
      <c r="B2516" s="983" t="s">
        <v>2711</v>
      </c>
      <c r="C2516" s="1000"/>
      <c r="G2516" s="983" t="s">
        <v>1106</v>
      </c>
    </row>
    <row r="2517" spans="1:9" x14ac:dyDescent="0.2">
      <c r="A2517" s="997">
        <f t="shared" si="39"/>
        <v>2516</v>
      </c>
      <c r="B2517" s="983" t="s">
        <v>2711</v>
      </c>
      <c r="C2517" s="999"/>
      <c r="H2517" s="983" t="s">
        <v>1107</v>
      </c>
    </row>
    <row r="2518" spans="1:9" x14ac:dyDescent="0.2">
      <c r="A2518" s="997">
        <f t="shared" si="39"/>
        <v>2517</v>
      </c>
      <c r="B2518" s="983" t="s">
        <v>2711</v>
      </c>
      <c r="C2518" s="999"/>
      <c r="I2518" s="983" t="s">
        <v>1540</v>
      </c>
    </row>
    <row r="2519" spans="1:9" x14ac:dyDescent="0.2">
      <c r="A2519" s="997">
        <f t="shared" si="39"/>
        <v>2518</v>
      </c>
      <c r="B2519" s="983" t="s">
        <v>2711</v>
      </c>
      <c r="C2519" s="1000"/>
      <c r="H2519" s="983" t="s">
        <v>1108</v>
      </c>
    </row>
    <row r="2520" spans="1:9" x14ac:dyDescent="0.2">
      <c r="A2520" s="997">
        <f t="shared" si="39"/>
        <v>2519</v>
      </c>
      <c r="B2520" s="983" t="s">
        <v>2711</v>
      </c>
      <c r="C2520" s="1001"/>
      <c r="H2520" s="983" t="str">
        <f>CONCATENATE("&lt;valeur&gt;",Cellule_11339,"&lt;/valeur&gt;")</f>
        <v>&lt;valeur&gt;-18918,67&lt;/valeur&gt;</v>
      </c>
    </row>
    <row r="2521" spans="1:9" x14ac:dyDescent="0.2">
      <c r="A2521" s="997">
        <f t="shared" si="39"/>
        <v>2520</v>
      </c>
      <c r="B2521" s="983" t="s">
        <v>2711</v>
      </c>
      <c r="C2521" s="1000"/>
      <c r="G2521" s="983" t="s">
        <v>1109</v>
      </c>
    </row>
    <row r="2522" spans="1:9" x14ac:dyDescent="0.2">
      <c r="A2522" s="997">
        <f t="shared" si="39"/>
        <v>2521</v>
      </c>
      <c r="B2522" s="983" t="s">
        <v>2711</v>
      </c>
      <c r="C2522" s="1000"/>
      <c r="G2522" s="983" t="s">
        <v>1106</v>
      </c>
    </row>
    <row r="2523" spans="1:9" x14ac:dyDescent="0.2">
      <c r="A2523" s="997">
        <f t="shared" si="39"/>
        <v>2522</v>
      </c>
      <c r="B2523" s="983" t="s">
        <v>2711</v>
      </c>
      <c r="C2523" s="999"/>
      <c r="H2523" s="983" t="s">
        <v>1107</v>
      </c>
    </row>
    <row r="2524" spans="1:9" x14ac:dyDescent="0.2">
      <c r="A2524" s="997">
        <f t="shared" si="39"/>
        <v>2523</v>
      </c>
      <c r="B2524" s="983" t="s">
        <v>2711</v>
      </c>
      <c r="C2524" s="999"/>
      <c r="I2524" s="983" t="s">
        <v>1541</v>
      </c>
    </row>
    <row r="2525" spans="1:9" x14ac:dyDescent="0.2">
      <c r="A2525" s="997">
        <f t="shared" si="39"/>
        <v>2524</v>
      </c>
      <c r="B2525" s="983" t="s">
        <v>2711</v>
      </c>
      <c r="C2525" s="1000"/>
      <c r="H2525" s="983" t="s">
        <v>1108</v>
      </c>
    </row>
    <row r="2526" spans="1:9" x14ac:dyDescent="0.2">
      <c r="A2526" s="997">
        <f t="shared" si="39"/>
        <v>2525</v>
      </c>
      <c r="B2526" s="983" t="s">
        <v>2711</v>
      </c>
      <c r="C2526" s="1001"/>
      <c r="H2526" s="983" t="str">
        <f>CONCATENATE("&lt;valeur&gt;",Cellule_11341,"&lt;/valeur&gt;")</f>
        <v>&lt;valeur&gt;0&lt;/valeur&gt;</v>
      </c>
    </row>
    <row r="2527" spans="1:9" x14ac:dyDescent="0.2">
      <c r="A2527" s="997">
        <f t="shared" si="39"/>
        <v>2526</v>
      </c>
      <c r="B2527" s="983" t="s">
        <v>2711</v>
      </c>
      <c r="C2527" s="1000"/>
      <c r="G2527" s="983" t="s">
        <v>1109</v>
      </c>
    </row>
    <row r="2528" spans="1:9" x14ac:dyDescent="0.2">
      <c r="A2528" s="997">
        <f t="shared" si="39"/>
        <v>2527</v>
      </c>
      <c r="B2528" s="983" t="s">
        <v>2711</v>
      </c>
      <c r="C2528" s="1000"/>
      <c r="G2528" s="983" t="s">
        <v>1106</v>
      </c>
    </row>
    <row r="2529" spans="1:9" x14ac:dyDescent="0.2">
      <c r="A2529" s="997">
        <f t="shared" si="39"/>
        <v>2528</v>
      </c>
      <c r="B2529" s="983" t="s">
        <v>2711</v>
      </c>
      <c r="C2529" s="999"/>
      <c r="H2529" s="983" t="s">
        <v>1107</v>
      </c>
    </row>
    <row r="2530" spans="1:9" x14ac:dyDescent="0.2">
      <c r="A2530" s="997">
        <f t="shared" si="39"/>
        <v>2529</v>
      </c>
      <c r="B2530" s="983" t="s">
        <v>2711</v>
      </c>
      <c r="C2530" s="999"/>
      <c r="I2530" s="983" t="s">
        <v>1542</v>
      </c>
    </row>
    <row r="2531" spans="1:9" x14ac:dyDescent="0.2">
      <c r="A2531" s="997">
        <f t="shared" si="39"/>
        <v>2530</v>
      </c>
      <c r="B2531" s="983" t="s">
        <v>2711</v>
      </c>
      <c r="C2531" s="1000"/>
      <c r="H2531" s="983" t="s">
        <v>1108</v>
      </c>
    </row>
    <row r="2532" spans="1:9" x14ac:dyDescent="0.2">
      <c r="A2532" s="997">
        <f t="shared" si="39"/>
        <v>2531</v>
      </c>
      <c r="B2532" s="983" t="s">
        <v>2711</v>
      </c>
      <c r="C2532" s="1001"/>
      <c r="H2532" s="983" t="str">
        <f>CONCATENATE("&lt;valeur&gt;",Cellule_11346,"&lt;/valeur&gt;")</f>
        <v>&lt;valeur&gt;0&lt;/valeur&gt;</v>
      </c>
    </row>
    <row r="2533" spans="1:9" x14ac:dyDescent="0.2">
      <c r="A2533" s="997">
        <f t="shared" si="39"/>
        <v>2532</v>
      </c>
      <c r="B2533" s="983" t="s">
        <v>2711</v>
      </c>
      <c r="C2533" s="1000"/>
      <c r="G2533" s="983" t="s">
        <v>1109</v>
      </c>
    </row>
    <row r="2534" spans="1:9" x14ac:dyDescent="0.2">
      <c r="A2534" s="997">
        <f t="shared" si="39"/>
        <v>2533</v>
      </c>
      <c r="B2534" s="983" t="s">
        <v>2711</v>
      </c>
      <c r="C2534" s="1000"/>
      <c r="G2534" s="983" t="s">
        <v>1106</v>
      </c>
    </row>
    <row r="2535" spans="1:9" x14ac:dyDescent="0.2">
      <c r="A2535" s="997">
        <f t="shared" si="39"/>
        <v>2534</v>
      </c>
      <c r="B2535" s="983" t="s">
        <v>2711</v>
      </c>
      <c r="C2535" s="999"/>
      <c r="H2535" s="983" t="s">
        <v>1107</v>
      </c>
    </row>
    <row r="2536" spans="1:9" x14ac:dyDescent="0.2">
      <c r="A2536" s="997">
        <f t="shared" si="39"/>
        <v>2535</v>
      </c>
      <c r="B2536" s="983" t="s">
        <v>2711</v>
      </c>
      <c r="C2536" s="999"/>
      <c r="I2536" s="983" t="s">
        <v>1543</v>
      </c>
    </row>
    <row r="2537" spans="1:9" x14ac:dyDescent="0.2">
      <c r="A2537" s="997">
        <f t="shared" si="39"/>
        <v>2536</v>
      </c>
      <c r="B2537" s="983" t="s">
        <v>2711</v>
      </c>
      <c r="C2537" s="1000"/>
      <c r="H2537" s="983" t="s">
        <v>1108</v>
      </c>
    </row>
    <row r="2538" spans="1:9" x14ac:dyDescent="0.2">
      <c r="A2538" s="997">
        <f t="shared" si="39"/>
        <v>2537</v>
      </c>
      <c r="B2538" s="983" t="s">
        <v>2711</v>
      </c>
      <c r="C2538" s="1001"/>
      <c r="H2538" s="983" t="str">
        <f>CONCATENATE("&lt;valeur&gt;",Cellule_11351,"&lt;/valeur&gt;")</f>
        <v>&lt;valeur&gt;0&lt;/valeur&gt;</v>
      </c>
    </row>
    <row r="2539" spans="1:9" x14ac:dyDescent="0.2">
      <c r="A2539" s="997">
        <f t="shared" si="39"/>
        <v>2538</v>
      </c>
      <c r="B2539" s="983" t="s">
        <v>2711</v>
      </c>
      <c r="C2539" s="1000"/>
      <c r="G2539" s="983" t="s">
        <v>1109</v>
      </c>
    </row>
    <row r="2540" spans="1:9" x14ac:dyDescent="0.2">
      <c r="A2540" s="997">
        <f t="shared" si="39"/>
        <v>2539</v>
      </c>
      <c r="B2540" s="983" t="s">
        <v>2711</v>
      </c>
      <c r="C2540" s="1000"/>
      <c r="G2540" s="983" t="s">
        <v>1106</v>
      </c>
    </row>
    <row r="2541" spans="1:9" x14ac:dyDescent="0.2">
      <c r="A2541" s="997">
        <f t="shared" si="39"/>
        <v>2540</v>
      </c>
      <c r="B2541" s="983" t="s">
        <v>2711</v>
      </c>
      <c r="C2541" s="999"/>
      <c r="H2541" s="983" t="s">
        <v>1107</v>
      </c>
    </row>
    <row r="2542" spans="1:9" x14ac:dyDescent="0.2">
      <c r="A2542" s="997">
        <f t="shared" si="39"/>
        <v>2541</v>
      </c>
      <c r="B2542" s="983" t="s">
        <v>2711</v>
      </c>
      <c r="C2542" s="999"/>
      <c r="I2542" s="983" t="s">
        <v>1544</v>
      </c>
    </row>
    <row r="2543" spans="1:9" x14ac:dyDescent="0.2">
      <c r="A2543" s="997">
        <f t="shared" si="39"/>
        <v>2542</v>
      </c>
      <c r="B2543" s="983" t="s">
        <v>2711</v>
      </c>
      <c r="C2543" s="1000"/>
      <c r="H2543" s="983" t="s">
        <v>1108</v>
      </c>
    </row>
    <row r="2544" spans="1:9" x14ac:dyDescent="0.2">
      <c r="A2544" s="997">
        <f t="shared" si="39"/>
        <v>2543</v>
      </c>
      <c r="B2544" s="983" t="s">
        <v>2711</v>
      </c>
      <c r="C2544" s="1001"/>
      <c r="H2544" s="983" t="str">
        <f>CONCATENATE("&lt;valeur&gt;",Cellule_11396,"&lt;/valeur&gt;")</f>
        <v>&lt;valeur&gt;0&lt;/valeur&gt;</v>
      </c>
    </row>
    <row r="2545" spans="1:9" x14ac:dyDescent="0.2">
      <c r="A2545" s="997">
        <f t="shared" si="39"/>
        <v>2544</v>
      </c>
      <c r="B2545" s="983" t="s">
        <v>2711</v>
      </c>
      <c r="C2545" s="1000"/>
      <c r="G2545" s="983" t="s">
        <v>1109</v>
      </c>
    </row>
    <row r="2546" spans="1:9" x14ac:dyDescent="0.2">
      <c r="A2546" s="997">
        <f t="shared" si="39"/>
        <v>2545</v>
      </c>
      <c r="B2546" s="983" t="s">
        <v>2711</v>
      </c>
      <c r="C2546" s="1000"/>
      <c r="G2546" s="983" t="s">
        <v>1106</v>
      </c>
    </row>
    <row r="2547" spans="1:9" x14ac:dyDescent="0.2">
      <c r="A2547" s="997">
        <f t="shared" si="39"/>
        <v>2546</v>
      </c>
      <c r="B2547" s="983" t="s">
        <v>2711</v>
      </c>
      <c r="C2547" s="999"/>
      <c r="H2547" s="983" t="s">
        <v>1107</v>
      </c>
    </row>
    <row r="2548" spans="1:9" x14ac:dyDescent="0.2">
      <c r="A2548" s="997">
        <f t="shared" si="39"/>
        <v>2547</v>
      </c>
      <c r="B2548" s="983" t="s">
        <v>2711</v>
      </c>
      <c r="C2548" s="999"/>
      <c r="I2548" s="983" t="s">
        <v>1545</v>
      </c>
    </row>
    <row r="2549" spans="1:9" x14ac:dyDescent="0.2">
      <c r="A2549" s="997">
        <f t="shared" si="39"/>
        <v>2548</v>
      </c>
      <c r="B2549" s="983" t="s">
        <v>2711</v>
      </c>
      <c r="C2549" s="1000"/>
      <c r="H2549" s="983" t="s">
        <v>1108</v>
      </c>
    </row>
    <row r="2550" spans="1:9" x14ac:dyDescent="0.2">
      <c r="A2550" s="997">
        <f t="shared" si="39"/>
        <v>2549</v>
      </c>
      <c r="B2550" s="983" t="s">
        <v>2711</v>
      </c>
      <c r="C2550" s="1001"/>
      <c r="H2550" s="983" t="str">
        <f>CONCATENATE("&lt;valeur&gt;",Cellule_11401,"&lt;/valeur&gt;")</f>
        <v>&lt;valeur&gt;0&lt;/valeur&gt;</v>
      </c>
    </row>
    <row r="2551" spans="1:9" x14ac:dyDescent="0.2">
      <c r="A2551" s="997">
        <f t="shared" si="39"/>
        <v>2550</v>
      </c>
      <c r="B2551" s="983" t="s">
        <v>2711</v>
      </c>
      <c r="C2551" s="1000"/>
      <c r="G2551" s="983" t="s">
        <v>1109</v>
      </c>
    </row>
    <row r="2552" spans="1:9" x14ac:dyDescent="0.2">
      <c r="A2552" s="997">
        <f t="shared" si="39"/>
        <v>2551</v>
      </c>
      <c r="B2552" s="983" t="s">
        <v>2711</v>
      </c>
      <c r="C2552" s="1000"/>
      <c r="G2552" s="983" t="s">
        <v>1106</v>
      </c>
    </row>
    <row r="2553" spans="1:9" x14ac:dyDescent="0.2">
      <c r="A2553" s="997">
        <f t="shared" si="39"/>
        <v>2552</v>
      </c>
      <c r="B2553" s="983" t="s">
        <v>2711</v>
      </c>
      <c r="C2553" s="999"/>
      <c r="H2553" s="983" t="s">
        <v>1107</v>
      </c>
    </row>
    <row r="2554" spans="1:9" x14ac:dyDescent="0.2">
      <c r="A2554" s="997">
        <f t="shared" si="39"/>
        <v>2553</v>
      </c>
      <c r="B2554" s="983" t="s">
        <v>2711</v>
      </c>
      <c r="C2554" s="999"/>
      <c r="I2554" s="983" t="s">
        <v>1546</v>
      </c>
    </row>
    <row r="2555" spans="1:9" x14ac:dyDescent="0.2">
      <c r="A2555" s="997">
        <f t="shared" si="39"/>
        <v>2554</v>
      </c>
      <c r="B2555" s="983" t="s">
        <v>2711</v>
      </c>
      <c r="C2555" s="1000"/>
      <c r="H2555" s="983" t="s">
        <v>1108</v>
      </c>
    </row>
    <row r="2556" spans="1:9" x14ac:dyDescent="0.2">
      <c r="A2556" s="997">
        <f t="shared" si="39"/>
        <v>2555</v>
      </c>
      <c r="B2556" s="983" t="s">
        <v>2711</v>
      </c>
      <c r="C2556" s="1001"/>
      <c r="H2556" s="983" t="str">
        <f>CONCATENATE("&lt;valeur&gt;",Cellule_11406,"&lt;/valeur&gt;")</f>
        <v>&lt;valeur&gt;0&lt;/valeur&gt;</v>
      </c>
    </row>
    <row r="2557" spans="1:9" x14ac:dyDescent="0.2">
      <c r="A2557" s="997">
        <f t="shared" si="39"/>
        <v>2556</v>
      </c>
      <c r="B2557" s="983" t="s">
        <v>2711</v>
      </c>
      <c r="C2557" s="1000"/>
      <c r="G2557" s="983" t="s">
        <v>1109</v>
      </c>
    </row>
    <row r="2558" spans="1:9" x14ac:dyDescent="0.2">
      <c r="A2558" s="997">
        <f t="shared" si="39"/>
        <v>2557</v>
      </c>
      <c r="B2558" s="983" t="s">
        <v>2711</v>
      </c>
      <c r="C2558" s="1000"/>
      <c r="G2558" s="983" t="s">
        <v>1106</v>
      </c>
    </row>
    <row r="2559" spans="1:9" x14ac:dyDescent="0.2">
      <c r="A2559" s="997">
        <f t="shared" si="39"/>
        <v>2558</v>
      </c>
      <c r="B2559" s="983" t="s">
        <v>2711</v>
      </c>
      <c r="C2559" s="999"/>
      <c r="H2559" s="983" t="s">
        <v>1107</v>
      </c>
    </row>
    <row r="2560" spans="1:9" x14ac:dyDescent="0.2">
      <c r="A2560" s="997">
        <f t="shared" si="39"/>
        <v>2559</v>
      </c>
      <c r="B2560" s="983" t="s">
        <v>2711</v>
      </c>
      <c r="C2560" s="999"/>
      <c r="I2560" s="983" t="s">
        <v>1547</v>
      </c>
    </row>
    <row r="2561" spans="1:9" x14ac:dyDescent="0.2">
      <c r="A2561" s="997">
        <f t="shared" si="39"/>
        <v>2560</v>
      </c>
      <c r="B2561" s="983" t="s">
        <v>2711</v>
      </c>
      <c r="C2561" s="1000"/>
      <c r="H2561" s="983" t="s">
        <v>1108</v>
      </c>
    </row>
    <row r="2562" spans="1:9" x14ac:dyDescent="0.2">
      <c r="A2562" s="997">
        <f t="shared" si="39"/>
        <v>2561</v>
      </c>
      <c r="B2562" s="983" t="s">
        <v>2711</v>
      </c>
      <c r="C2562" s="1001"/>
      <c r="H2562" s="983" t="str">
        <f>CONCATENATE("&lt;valeur&gt;",Cellule_11356,"&lt;/valeur&gt;")</f>
        <v>&lt;valeur&gt;0&lt;/valeur&gt;</v>
      </c>
    </row>
    <row r="2563" spans="1:9" x14ac:dyDescent="0.2">
      <c r="A2563" s="997">
        <f t="shared" si="39"/>
        <v>2562</v>
      </c>
      <c r="B2563" s="983" t="s">
        <v>2711</v>
      </c>
      <c r="C2563" s="1000"/>
      <c r="G2563" s="983" t="s">
        <v>1109</v>
      </c>
    </row>
    <row r="2564" spans="1:9" x14ac:dyDescent="0.2">
      <c r="A2564" s="997">
        <f t="shared" ref="A2564:A2627" si="40">+A2563+1</f>
        <v>2563</v>
      </c>
      <c r="B2564" s="983" t="s">
        <v>2711</v>
      </c>
      <c r="C2564" s="1000"/>
      <c r="G2564" s="983" t="s">
        <v>1106</v>
      </c>
    </row>
    <row r="2565" spans="1:9" x14ac:dyDescent="0.2">
      <c r="A2565" s="997">
        <f t="shared" si="40"/>
        <v>2564</v>
      </c>
      <c r="B2565" s="983" t="s">
        <v>2711</v>
      </c>
      <c r="C2565" s="999"/>
      <c r="H2565" s="983" t="s">
        <v>1107</v>
      </c>
    </row>
    <row r="2566" spans="1:9" x14ac:dyDescent="0.2">
      <c r="A2566" s="997">
        <f t="shared" si="40"/>
        <v>2565</v>
      </c>
      <c r="B2566" s="983" t="s">
        <v>2711</v>
      </c>
      <c r="C2566" s="999"/>
      <c r="I2566" s="983" t="s">
        <v>1548</v>
      </c>
    </row>
    <row r="2567" spans="1:9" x14ac:dyDescent="0.2">
      <c r="A2567" s="997">
        <f t="shared" si="40"/>
        <v>2566</v>
      </c>
      <c r="B2567" s="983" t="s">
        <v>2711</v>
      </c>
      <c r="C2567" s="1000"/>
      <c r="H2567" s="983" t="s">
        <v>1108</v>
      </c>
    </row>
    <row r="2568" spans="1:9" x14ac:dyDescent="0.2">
      <c r="A2568" s="997">
        <f t="shared" si="40"/>
        <v>2567</v>
      </c>
      <c r="B2568" s="983" t="s">
        <v>2711</v>
      </c>
      <c r="C2568" s="1001"/>
      <c r="H2568" s="983" t="str">
        <f>CONCATENATE("&lt;valeur&gt;",Cellule_11361,"&lt;/valeur&gt;")</f>
        <v>&lt;valeur&gt;0&lt;/valeur&gt;</v>
      </c>
    </row>
    <row r="2569" spans="1:9" x14ac:dyDescent="0.2">
      <c r="A2569" s="997">
        <f t="shared" si="40"/>
        <v>2568</v>
      </c>
      <c r="B2569" s="983" t="s">
        <v>2711</v>
      </c>
      <c r="C2569" s="1000"/>
      <c r="G2569" s="983" t="s">
        <v>1109</v>
      </c>
    </row>
    <row r="2570" spans="1:9" x14ac:dyDescent="0.2">
      <c r="A2570" s="997">
        <f t="shared" si="40"/>
        <v>2569</v>
      </c>
      <c r="B2570" s="983" t="s">
        <v>2711</v>
      </c>
      <c r="C2570" s="1000"/>
      <c r="G2570" s="983" t="s">
        <v>1106</v>
      </c>
    </row>
    <row r="2571" spans="1:9" x14ac:dyDescent="0.2">
      <c r="A2571" s="997">
        <f t="shared" si="40"/>
        <v>2570</v>
      </c>
      <c r="B2571" s="983" t="s">
        <v>2711</v>
      </c>
      <c r="C2571" s="999"/>
      <c r="H2571" s="983" t="s">
        <v>1107</v>
      </c>
    </row>
    <row r="2572" spans="1:9" x14ac:dyDescent="0.2">
      <c r="A2572" s="997">
        <f t="shared" si="40"/>
        <v>2571</v>
      </c>
      <c r="B2572" s="983" t="s">
        <v>2711</v>
      </c>
      <c r="C2572" s="999"/>
      <c r="I2572" s="983" t="s">
        <v>1549</v>
      </c>
    </row>
    <row r="2573" spans="1:9" x14ac:dyDescent="0.2">
      <c r="A2573" s="997">
        <f t="shared" si="40"/>
        <v>2572</v>
      </c>
      <c r="B2573" s="983" t="s">
        <v>2711</v>
      </c>
      <c r="C2573" s="1000"/>
      <c r="H2573" s="983" t="s">
        <v>1108</v>
      </c>
    </row>
    <row r="2574" spans="1:9" x14ac:dyDescent="0.2">
      <c r="A2574" s="997">
        <f t="shared" si="40"/>
        <v>2573</v>
      </c>
      <c r="B2574" s="983" t="s">
        <v>2711</v>
      </c>
      <c r="C2574" s="1001"/>
      <c r="H2574" s="983" t="str">
        <f>CONCATENATE("&lt;valeur&gt;",Cellule_11366,"&lt;/valeur&gt;")</f>
        <v>&lt;valeur&gt;0&lt;/valeur&gt;</v>
      </c>
    </row>
    <row r="2575" spans="1:9" x14ac:dyDescent="0.2">
      <c r="A2575" s="997">
        <f t="shared" si="40"/>
        <v>2574</v>
      </c>
      <c r="B2575" s="983" t="s">
        <v>2711</v>
      </c>
      <c r="C2575" s="1000"/>
      <c r="G2575" s="983" t="s">
        <v>1109</v>
      </c>
    </row>
    <row r="2576" spans="1:9" x14ac:dyDescent="0.2">
      <c r="A2576" s="997">
        <f t="shared" si="40"/>
        <v>2575</v>
      </c>
      <c r="B2576" s="983" t="s">
        <v>2711</v>
      </c>
      <c r="C2576" s="1000"/>
      <c r="G2576" s="983" t="s">
        <v>1106</v>
      </c>
    </row>
    <row r="2577" spans="1:9" x14ac:dyDescent="0.2">
      <c r="A2577" s="997">
        <f t="shared" si="40"/>
        <v>2576</v>
      </c>
      <c r="B2577" s="983" t="s">
        <v>2711</v>
      </c>
      <c r="C2577" s="999"/>
      <c r="H2577" s="983" t="s">
        <v>1107</v>
      </c>
    </row>
    <row r="2578" spans="1:9" x14ac:dyDescent="0.2">
      <c r="A2578" s="997">
        <f t="shared" si="40"/>
        <v>2577</v>
      </c>
      <c r="B2578" s="983" t="s">
        <v>2711</v>
      </c>
      <c r="C2578" s="999"/>
      <c r="I2578" s="983" t="s">
        <v>1550</v>
      </c>
    </row>
    <row r="2579" spans="1:9" x14ac:dyDescent="0.2">
      <c r="A2579" s="997">
        <f t="shared" si="40"/>
        <v>2578</v>
      </c>
      <c r="B2579" s="983" t="s">
        <v>2711</v>
      </c>
      <c r="C2579" s="1000"/>
      <c r="H2579" s="983" t="s">
        <v>1108</v>
      </c>
    </row>
    <row r="2580" spans="1:9" x14ac:dyDescent="0.2">
      <c r="A2580" s="997">
        <f t="shared" si="40"/>
        <v>2579</v>
      </c>
      <c r="B2580" s="983" t="s">
        <v>2711</v>
      </c>
      <c r="C2580" s="1001"/>
      <c r="H2580" s="983" t="str">
        <f>CONCATENATE("&lt;valeur&gt;",Cellule_11371,"&lt;/valeur&gt;")</f>
        <v>&lt;valeur&gt;0&lt;/valeur&gt;</v>
      </c>
    </row>
    <row r="2581" spans="1:9" x14ac:dyDescent="0.2">
      <c r="A2581" s="997">
        <f t="shared" si="40"/>
        <v>2580</v>
      </c>
      <c r="B2581" s="983" t="s">
        <v>2711</v>
      </c>
      <c r="C2581" s="1000"/>
      <c r="G2581" s="983" t="s">
        <v>1109</v>
      </c>
    </row>
    <row r="2582" spans="1:9" x14ac:dyDescent="0.2">
      <c r="A2582" s="997">
        <f t="shared" si="40"/>
        <v>2581</v>
      </c>
      <c r="B2582" s="983" t="s">
        <v>2711</v>
      </c>
      <c r="C2582" s="1000"/>
      <c r="G2582" s="983" t="s">
        <v>1106</v>
      </c>
    </row>
    <row r="2583" spans="1:9" x14ac:dyDescent="0.2">
      <c r="A2583" s="997">
        <f t="shared" si="40"/>
        <v>2582</v>
      </c>
      <c r="B2583" s="983" t="s">
        <v>2711</v>
      </c>
      <c r="C2583" s="999"/>
      <c r="H2583" s="983" t="s">
        <v>1107</v>
      </c>
    </row>
    <row r="2584" spans="1:9" x14ac:dyDescent="0.2">
      <c r="A2584" s="997">
        <f t="shared" si="40"/>
        <v>2583</v>
      </c>
      <c r="B2584" s="983" t="s">
        <v>2711</v>
      </c>
      <c r="C2584" s="999"/>
      <c r="I2584" s="983" t="s">
        <v>1551</v>
      </c>
    </row>
    <row r="2585" spans="1:9" x14ac:dyDescent="0.2">
      <c r="A2585" s="997">
        <f t="shared" si="40"/>
        <v>2584</v>
      </c>
      <c r="B2585" s="983" t="s">
        <v>2711</v>
      </c>
      <c r="C2585" s="1000"/>
      <c r="H2585" s="983" t="s">
        <v>1108</v>
      </c>
    </row>
    <row r="2586" spans="1:9" x14ac:dyDescent="0.2">
      <c r="A2586" s="997">
        <f t="shared" si="40"/>
        <v>2585</v>
      </c>
      <c r="B2586" s="983" t="s">
        <v>2711</v>
      </c>
      <c r="C2586" s="1001"/>
      <c r="H2586" s="983" t="str">
        <f>CONCATENATE("&lt;valeur&gt;",Cellule_11376,"&lt;/valeur&gt;")</f>
        <v>&lt;valeur&gt;0&lt;/valeur&gt;</v>
      </c>
    </row>
    <row r="2587" spans="1:9" x14ac:dyDescent="0.2">
      <c r="A2587" s="997">
        <f t="shared" si="40"/>
        <v>2586</v>
      </c>
      <c r="B2587" s="983" t="s">
        <v>2711</v>
      </c>
      <c r="C2587" s="1000"/>
      <c r="G2587" s="983" t="s">
        <v>1109</v>
      </c>
    </row>
    <row r="2588" spans="1:9" x14ac:dyDescent="0.2">
      <c r="A2588" s="997">
        <f t="shared" si="40"/>
        <v>2587</v>
      </c>
      <c r="B2588" s="983" t="s">
        <v>2711</v>
      </c>
      <c r="C2588" s="1000"/>
      <c r="G2588" s="983" t="s">
        <v>1106</v>
      </c>
    </row>
    <row r="2589" spans="1:9" x14ac:dyDescent="0.2">
      <c r="A2589" s="997">
        <f t="shared" si="40"/>
        <v>2588</v>
      </c>
      <c r="B2589" s="983" t="s">
        <v>2711</v>
      </c>
      <c r="C2589" s="999"/>
      <c r="H2589" s="983" t="s">
        <v>1107</v>
      </c>
    </row>
    <row r="2590" spans="1:9" x14ac:dyDescent="0.2">
      <c r="A2590" s="997">
        <f t="shared" si="40"/>
        <v>2589</v>
      </c>
      <c r="B2590" s="983" t="s">
        <v>2711</v>
      </c>
      <c r="C2590" s="999"/>
      <c r="I2590" s="983" t="s">
        <v>1552</v>
      </c>
    </row>
    <row r="2591" spans="1:9" x14ac:dyDescent="0.2">
      <c r="A2591" s="997">
        <f t="shared" si="40"/>
        <v>2590</v>
      </c>
      <c r="B2591" s="983" t="s">
        <v>2711</v>
      </c>
      <c r="C2591" s="1000"/>
      <c r="H2591" s="983" t="s">
        <v>1108</v>
      </c>
    </row>
    <row r="2592" spans="1:9" x14ac:dyDescent="0.2">
      <c r="A2592" s="997">
        <f t="shared" si="40"/>
        <v>2591</v>
      </c>
      <c r="B2592" s="983" t="s">
        <v>2711</v>
      </c>
      <c r="C2592" s="1001"/>
      <c r="H2592" s="983" t="str">
        <f>CONCATENATE("&lt;valeur&gt;",Cellule_11381,"&lt;/valeur&gt;")</f>
        <v>&lt;valeur&gt;0&lt;/valeur&gt;</v>
      </c>
    </row>
    <row r="2593" spans="1:9" x14ac:dyDescent="0.2">
      <c r="A2593" s="997">
        <f t="shared" si="40"/>
        <v>2592</v>
      </c>
      <c r="B2593" s="983" t="s">
        <v>2711</v>
      </c>
      <c r="C2593" s="1000"/>
      <c r="G2593" s="983" t="s">
        <v>1109</v>
      </c>
    </row>
    <row r="2594" spans="1:9" x14ac:dyDescent="0.2">
      <c r="A2594" s="997">
        <f t="shared" si="40"/>
        <v>2593</v>
      </c>
      <c r="B2594" s="983" t="s">
        <v>2711</v>
      </c>
      <c r="C2594" s="1000"/>
      <c r="G2594" s="983" t="s">
        <v>1106</v>
      </c>
    </row>
    <row r="2595" spans="1:9" x14ac:dyDescent="0.2">
      <c r="A2595" s="997">
        <f t="shared" si="40"/>
        <v>2594</v>
      </c>
      <c r="B2595" s="983" t="s">
        <v>2711</v>
      </c>
      <c r="C2595" s="999"/>
      <c r="H2595" s="983" t="s">
        <v>1107</v>
      </c>
    </row>
    <row r="2596" spans="1:9" x14ac:dyDescent="0.2">
      <c r="A2596" s="997">
        <f t="shared" si="40"/>
        <v>2595</v>
      </c>
      <c r="B2596" s="983" t="s">
        <v>2711</v>
      </c>
      <c r="C2596" s="999"/>
      <c r="I2596" s="983" t="s">
        <v>1553</v>
      </c>
    </row>
    <row r="2597" spans="1:9" x14ac:dyDescent="0.2">
      <c r="A2597" s="997">
        <f t="shared" si="40"/>
        <v>2596</v>
      </c>
      <c r="B2597" s="983" t="s">
        <v>2711</v>
      </c>
      <c r="C2597" s="1000"/>
      <c r="H2597" s="983" t="s">
        <v>1108</v>
      </c>
    </row>
    <row r="2598" spans="1:9" x14ac:dyDescent="0.2">
      <c r="A2598" s="997">
        <f t="shared" si="40"/>
        <v>2597</v>
      </c>
      <c r="B2598" s="983" t="s">
        <v>2711</v>
      </c>
      <c r="C2598" s="1001"/>
      <c r="H2598" s="983" t="str">
        <f>CONCATENATE("&lt;valeur&gt;",Cellule_11386,"&lt;/valeur&gt;")</f>
        <v>&lt;valeur&gt;0&lt;/valeur&gt;</v>
      </c>
    </row>
    <row r="2599" spans="1:9" x14ac:dyDescent="0.2">
      <c r="A2599" s="997">
        <f t="shared" si="40"/>
        <v>2598</v>
      </c>
      <c r="B2599" s="983" t="s">
        <v>2711</v>
      </c>
      <c r="C2599" s="1000"/>
      <c r="G2599" s="983" t="s">
        <v>1109</v>
      </c>
    </row>
    <row r="2600" spans="1:9" x14ac:dyDescent="0.2">
      <c r="A2600" s="997">
        <f t="shared" si="40"/>
        <v>2599</v>
      </c>
      <c r="B2600" s="983" t="s">
        <v>2711</v>
      </c>
      <c r="C2600" s="1000"/>
      <c r="G2600" s="983" t="s">
        <v>1106</v>
      </c>
    </row>
    <row r="2601" spans="1:9" x14ac:dyDescent="0.2">
      <c r="A2601" s="997">
        <f t="shared" si="40"/>
        <v>2600</v>
      </c>
      <c r="B2601" s="983" t="s">
        <v>2711</v>
      </c>
      <c r="C2601" s="999"/>
      <c r="H2601" s="983" t="s">
        <v>1107</v>
      </c>
    </row>
    <row r="2602" spans="1:9" x14ac:dyDescent="0.2">
      <c r="A2602" s="997">
        <f t="shared" si="40"/>
        <v>2601</v>
      </c>
      <c r="B2602" s="983" t="s">
        <v>2711</v>
      </c>
      <c r="C2602" s="999"/>
      <c r="I2602" s="983" t="s">
        <v>1554</v>
      </c>
    </row>
    <row r="2603" spans="1:9" x14ac:dyDescent="0.2">
      <c r="A2603" s="997">
        <f t="shared" si="40"/>
        <v>2602</v>
      </c>
      <c r="B2603" s="983" t="s">
        <v>2711</v>
      </c>
      <c r="C2603" s="1000"/>
      <c r="H2603" s="983" t="s">
        <v>1108</v>
      </c>
    </row>
    <row r="2604" spans="1:9" x14ac:dyDescent="0.2">
      <c r="A2604" s="997">
        <f t="shared" si="40"/>
        <v>2603</v>
      </c>
      <c r="B2604" s="983" t="s">
        <v>2711</v>
      </c>
      <c r="C2604" s="1001"/>
      <c r="H2604" s="983" t="str">
        <f>CONCATENATE("&lt;valeur&gt;",Cellule_11391,"&lt;/valeur&gt;")</f>
        <v>&lt;valeur&gt;0&lt;/valeur&gt;</v>
      </c>
    </row>
    <row r="2605" spans="1:9" x14ac:dyDescent="0.2">
      <c r="A2605" s="997">
        <f t="shared" si="40"/>
        <v>2604</v>
      </c>
      <c r="B2605" s="983" t="s">
        <v>2711</v>
      </c>
      <c r="C2605" s="1000"/>
      <c r="G2605" s="983" t="s">
        <v>1109</v>
      </c>
    </row>
    <row r="2606" spans="1:9" x14ac:dyDescent="0.2">
      <c r="A2606" s="997">
        <f t="shared" si="40"/>
        <v>2605</v>
      </c>
      <c r="B2606" s="983" t="s">
        <v>2711</v>
      </c>
      <c r="C2606" s="1000"/>
      <c r="G2606" s="983" t="s">
        <v>1106</v>
      </c>
    </row>
    <row r="2607" spans="1:9" x14ac:dyDescent="0.2">
      <c r="A2607" s="997">
        <f t="shared" si="40"/>
        <v>2606</v>
      </c>
      <c r="B2607" s="983" t="s">
        <v>2711</v>
      </c>
      <c r="C2607" s="999"/>
      <c r="H2607" s="983" t="s">
        <v>1107</v>
      </c>
    </row>
    <row r="2608" spans="1:9" x14ac:dyDescent="0.2">
      <c r="A2608" s="997">
        <f t="shared" si="40"/>
        <v>2607</v>
      </c>
      <c r="B2608" s="983" t="s">
        <v>2711</v>
      </c>
      <c r="C2608" s="999"/>
      <c r="I2608" s="983" t="s">
        <v>1555</v>
      </c>
    </row>
    <row r="2609" spans="1:9" x14ac:dyDescent="0.2">
      <c r="A2609" s="997">
        <f t="shared" si="40"/>
        <v>2608</v>
      </c>
      <c r="B2609" s="983" t="s">
        <v>2711</v>
      </c>
      <c r="C2609" s="1000"/>
      <c r="H2609" s="983" t="s">
        <v>1108</v>
      </c>
    </row>
    <row r="2610" spans="1:9" x14ac:dyDescent="0.2">
      <c r="A2610" s="997">
        <f t="shared" si="40"/>
        <v>2609</v>
      </c>
      <c r="B2610" s="983" t="s">
        <v>2711</v>
      </c>
      <c r="C2610" s="1001"/>
      <c r="H2610" s="983" t="str">
        <f>CONCATENATE("&lt;valeur&gt;",Cellule_11342,"&lt;/valeur&gt;")</f>
        <v>&lt;valeur&gt;0&lt;/valeur&gt;</v>
      </c>
    </row>
    <row r="2611" spans="1:9" x14ac:dyDescent="0.2">
      <c r="A2611" s="997">
        <f t="shared" si="40"/>
        <v>2610</v>
      </c>
      <c r="B2611" s="983" t="s">
        <v>2711</v>
      </c>
      <c r="C2611" s="1000"/>
      <c r="G2611" s="983" t="s">
        <v>1109</v>
      </c>
    </row>
    <row r="2612" spans="1:9" x14ac:dyDescent="0.2">
      <c r="A2612" s="997">
        <f t="shared" si="40"/>
        <v>2611</v>
      </c>
      <c r="B2612" s="983" t="s">
        <v>2711</v>
      </c>
      <c r="C2612" s="1000"/>
      <c r="G2612" s="983" t="s">
        <v>1106</v>
      </c>
    </row>
    <row r="2613" spans="1:9" x14ac:dyDescent="0.2">
      <c r="A2613" s="997">
        <f t="shared" si="40"/>
        <v>2612</v>
      </c>
      <c r="B2613" s="983" t="s">
        <v>2711</v>
      </c>
      <c r="C2613" s="999"/>
      <c r="H2613" s="983" t="s">
        <v>1107</v>
      </c>
    </row>
    <row r="2614" spans="1:9" x14ac:dyDescent="0.2">
      <c r="A2614" s="997">
        <f t="shared" si="40"/>
        <v>2613</v>
      </c>
      <c r="B2614" s="983" t="s">
        <v>2711</v>
      </c>
      <c r="C2614" s="999"/>
      <c r="I2614" s="983" t="s">
        <v>1556</v>
      </c>
    </row>
    <row r="2615" spans="1:9" x14ac:dyDescent="0.2">
      <c r="A2615" s="997">
        <f t="shared" si="40"/>
        <v>2614</v>
      </c>
      <c r="B2615" s="983" t="s">
        <v>2711</v>
      </c>
      <c r="C2615" s="1000"/>
      <c r="H2615" s="983" t="s">
        <v>1108</v>
      </c>
    </row>
    <row r="2616" spans="1:9" x14ac:dyDescent="0.2">
      <c r="A2616" s="997">
        <f t="shared" si="40"/>
        <v>2615</v>
      </c>
      <c r="B2616" s="983" t="s">
        <v>2711</v>
      </c>
      <c r="C2616" s="1001"/>
      <c r="H2616" s="983" t="str">
        <f>CONCATENATE("&lt;valeur&gt;",Cellule_11347,"&lt;/valeur&gt;")</f>
        <v>&lt;valeur&gt;0&lt;/valeur&gt;</v>
      </c>
    </row>
    <row r="2617" spans="1:9" x14ac:dyDescent="0.2">
      <c r="A2617" s="997">
        <f t="shared" si="40"/>
        <v>2616</v>
      </c>
      <c r="B2617" s="983" t="s">
        <v>2711</v>
      </c>
      <c r="C2617" s="1000"/>
      <c r="G2617" s="983" t="s">
        <v>1109</v>
      </c>
    </row>
    <row r="2618" spans="1:9" x14ac:dyDescent="0.2">
      <c r="A2618" s="997">
        <f t="shared" si="40"/>
        <v>2617</v>
      </c>
      <c r="B2618" s="983" t="s">
        <v>2711</v>
      </c>
      <c r="C2618" s="1000"/>
      <c r="G2618" s="983" t="s">
        <v>1106</v>
      </c>
    </row>
    <row r="2619" spans="1:9" x14ac:dyDescent="0.2">
      <c r="A2619" s="997">
        <f t="shared" si="40"/>
        <v>2618</v>
      </c>
      <c r="B2619" s="983" t="s">
        <v>2711</v>
      </c>
      <c r="C2619" s="999"/>
      <c r="H2619" s="983" t="s">
        <v>1107</v>
      </c>
    </row>
    <row r="2620" spans="1:9" x14ac:dyDescent="0.2">
      <c r="A2620" s="997">
        <f t="shared" si="40"/>
        <v>2619</v>
      </c>
      <c r="B2620" s="983" t="s">
        <v>2711</v>
      </c>
      <c r="C2620" s="999"/>
      <c r="I2620" s="983" t="s">
        <v>1557</v>
      </c>
    </row>
    <row r="2621" spans="1:9" x14ac:dyDescent="0.2">
      <c r="A2621" s="997">
        <f t="shared" si="40"/>
        <v>2620</v>
      </c>
      <c r="B2621" s="983" t="s">
        <v>2711</v>
      </c>
      <c r="C2621" s="1000"/>
      <c r="H2621" s="983" t="s">
        <v>1108</v>
      </c>
    </row>
    <row r="2622" spans="1:9" x14ac:dyDescent="0.2">
      <c r="A2622" s="997">
        <f t="shared" si="40"/>
        <v>2621</v>
      </c>
      <c r="B2622" s="983" t="s">
        <v>2711</v>
      </c>
      <c r="C2622" s="1001"/>
      <c r="H2622" s="983" t="str">
        <f>CONCATENATE("&lt;valeur&gt;",Cellule_11352,"&lt;/valeur&gt;")</f>
        <v>&lt;valeur&gt;0&lt;/valeur&gt;</v>
      </c>
    </row>
    <row r="2623" spans="1:9" x14ac:dyDescent="0.2">
      <c r="A2623" s="997">
        <f t="shared" si="40"/>
        <v>2622</v>
      </c>
      <c r="B2623" s="983" t="s">
        <v>2711</v>
      </c>
      <c r="C2623" s="1000"/>
      <c r="G2623" s="983" t="s">
        <v>1109</v>
      </c>
    </row>
    <row r="2624" spans="1:9" x14ac:dyDescent="0.2">
      <c r="A2624" s="997">
        <f t="shared" si="40"/>
        <v>2623</v>
      </c>
      <c r="B2624" s="983" t="s">
        <v>2711</v>
      </c>
      <c r="C2624" s="1000"/>
      <c r="G2624" s="983" t="s">
        <v>1106</v>
      </c>
    </row>
    <row r="2625" spans="1:9" x14ac:dyDescent="0.2">
      <c r="A2625" s="997">
        <f t="shared" si="40"/>
        <v>2624</v>
      </c>
      <c r="B2625" s="983" t="s">
        <v>2711</v>
      </c>
      <c r="C2625" s="999"/>
      <c r="H2625" s="983" t="s">
        <v>1107</v>
      </c>
    </row>
    <row r="2626" spans="1:9" x14ac:dyDescent="0.2">
      <c r="A2626" s="997">
        <f t="shared" si="40"/>
        <v>2625</v>
      </c>
      <c r="B2626" s="983" t="s">
        <v>2711</v>
      </c>
      <c r="C2626" s="999"/>
      <c r="I2626" s="983" t="s">
        <v>1558</v>
      </c>
    </row>
    <row r="2627" spans="1:9" x14ac:dyDescent="0.2">
      <c r="A2627" s="997">
        <f t="shared" si="40"/>
        <v>2626</v>
      </c>
      <c r="B2627" s="983" t="s">
        <v>2711</v>
      </c>
      <c r="C2627" s="1000"/>
      <c r="H2627" s="983" t="s">
        <v>1108</v>
      </c>
    </row>
    <row r="2628" spans="1:9" x14ac:dyDescent="0.2">
      <c r="A2628" s="997">
        <f t="shared" ref="A2628:A2691" si="41">+A2627+1</f>
        <v>2627</v>
      </c>
      <c r="B2628" s="983" t="s">
        <v>2711</v>
      </c>
      <c r="C2628" s="1001"/>
      <c r="H2628" s="983" t="str">
        <f>CONCATENATE("&lt;valeur&gt;",Cellule_11392,"&lt;/valeur&gt;")</f>
        <v>&lt;valeur&gt;0&lt;/valeur&gt;</v>
      </c>
    </row>
    <row r="2629" spans="1:9" x14ac:dyDescent="0.2">
      <c r="A2629" s="997">
        <f t="shared" si="41"/>
        <v>2628</v>
      </c>
      <c r="B2629" s="983" t="s">
        <v>2711</v>
      </c>
      <c r="C2629" s="1000"/>
      <c r="G2629" s="983" t="s">
        <v>1109</v>
      </c>
    </row>
    <row r="2630" spans="1:9" x14ac:dyDescent="0.2">
      <c r="A2630" s="997">
        <f t="shared" si="41"/>
        <v>2629</v>
      </c>
      <c r="B2630" s="983" t="s">
        <v>2711</v>
      </c>
      <c r="C2630" s="1000"/>
      <c r="G2630" s="983" t="s">
        <v>1106</v>
      </c>
    </row>
    <row r="2631" spans="1:9" x14ac:dyDescent="0.2">
      <c r="A2631" s="997">
        <f t="shared" si="41"/>
        <v>2630</v>
      </c>
      <c r="B2631" s="983" t="s">
        <v>2711</v>
      </c>
      <c r="C2631" s="999"/>
      <c r="H2631" s="983" t="s">
        <v>1107</v>
      </c>
    </row>
    <row r="2632" spans="1:9" x14ac:dyDescent="0.2">
      <c r="A2632" s="997">
        <f t="shared" si="41"/>
        <v>2631</v>
      </c>
      <c r="B2632" s="983" t="s">
        <v>2711</v>
      </c>
      <c r="C2632" s="999"/>
      <c r="I2632" s="983" t="s">
        <v>1559</v>
      </c>
    </row>
    <row r="2633" spans="1:9" x14ac:dyDescent="0.2">
      <c r="A2633" s="997">
        <f t="shared" si="41"/>
        <v>2632</v>
      </c>
      <c r="B2633" s="983" t="s">
        <v>2711</v>
      </c>
      <c r="C2633" s="1000"/>
      <c r="H2633" s="983" t="s">
        <v>1108</v>
      </c>
    </row>
    <row r="2634" spans="1:9" x14ac:dyDescent="0.2">
      <c r="A2634" s="997">
        <f t="shared" si="41"/>
        <v>2633</v>
      </c>
      <c r="B2634" s="983" t="s">
        <v>2711</v>
      </c>
      <c r="C2634" s="1001"/>
      <c r="H2634" s="983" t="str">
        <f>CONCATENATE("&lt;valeur&gt;",Cellule_11397,"&lt;/valeur&gt;")</f>
        <v>&lt;valeur&gt;0&lt;/valeur&gt;</v>
      </c>
    </row>
    <row r="2635" spans="1:9" x14ac:dyDescent="0.2">
      <c r="A2635" s="997">
        <f t="shared" si="41"/>
        <v>2634</v>
      </c>
      <c r="B2635" s="983" t="s">
        <v>2711</v>
      </c>
      <c r="C2635" s="1000"/>
      <c r="G2635" s="983" t="s">
        <v>1109</v>
      </c>
    </row>
    <row r="2636" spans="1:9" x14ac:dyDescent="0.2">
      <c r="A2636" s="997">
        <f t="shared" si="41"/>
        <v>2635</v>
      </c>
      <c r="B2636" s="983" t="s">
        <v>2711</v>
      </c>
      <c r="C2636" s="1000"/>
      <c r="G2636" s="983" t="s">
        <v>1106</v>
      </c>
    </row>
    <row r="2637" spans="1:9" x14ac:dyDescent="0.2">
      <c r="A2637" s="997">
        <f t="shared" si="41"/>
        <v>2636</v>
      </c>
      <c r="B2637" s="983" t="s">
        <v>2711</v>
      </c>
      <c r="C2637" s="999"/>
      <c r="H2637" s="983" t="s">
        <v>1107</v>
      </c>
    </row>
    <row r="2638" spans="1:9" x14ac:dyDescent="0.2">
      <c r="A2638" s="997">
        <f t="shared" si="41"/>
        <v>2637</v>
      </c>
      <c r="B2638" s="983" t="s">
        <v>2711</v>
      </c>
      <c r="C2638" s="999"/>
      <c r="I2638" s="983" t="s">
        <v>1560</v>
      </c>
    </row>
    <row r="2639" spans="1:9" x14ac:dyDescent="0.2">
      <c r="A2639" s="997">
        <f t="shared" si="41"/>
        <v>2638</v>
      </c>
      <c r="B2639" s="983" t="s">
        <v>2711</v>
      </c>
      <c r="C2639" s="1000"/>
      <c r="H2639" s="983" t="s">
        <v>1108</v>
      </c>
    </row>
    <row r="2640" spans="1:9" x14ac:dyDescent="0.2">
      <c r="A2640" s="997">
        <f t="shared" si="41"/>
        <v>2639</v>
      </c>
      <c r="B2640" s="983" t="s">
        <v>2711</v>
      </c>
      <c r="C2640" s="1001"/>
      <c r="H2640" s="983" t="str">
        <f>CONCATENATE("&lt;valeur&gt;",Cellule_11402,"&lt;/valeur&gt;")</f>
        <v>&lt;valeur&gt;0&lt;/valeur&gt;</v>
      </c>
    </row>
    <row r="2641" spans="1:9" x14ac:dyDescent="0.2">
      <c r="A2641" s="997">
        <f t="shared" si="41"/>
        <v>2640</v>
      </c>
      <c r="B2641" s="983" t="s">
        <v>2711</v>
      </c>
      <c r="C2641" s="1000"/>
      <c r="G2641" s="983" t="s">
        <v>1109</v>
      </c>
    </row>
    <row r="2642" spans="1:9" x14ac:dyDescent="0.2">
      <c r="A2642" s="997">
        <f t="shared" si="41"/>
        <v>2641</v>
      </c>
      <c r="B2642" s="983" t="s">
        <v>2711</v>
      </c>
      <c r="C2642" s="1000"/>
      <c r="G2642" s="983" t="s">
        <v>1106</v>
      </c>
    </row>
    <row r="2643" spans="1:9" x14ac:dyDescent="0.2">
      <c r="A2643" s="997">
        <f t="shared" si="41"/>
        <v>2642</v>
      </c>
      <c r="B2643" s="983" t="s">
        <v>2711</v>
      </c>
      <c r="C2643" s="999"/>
      <c r="H2643" s="983" t="s">
        <v>1107</v>
      </c>
    </row>
    <row r="2644" spans="1:9" x14ac:dyDescent="0.2">
      <c r="A2644" s="997">
        <f t="shared" si="41"/>
        <v>2643</v>
      </c>
      <c r="B2644" s="983" t="s">
        <v>2711</v>
      </c>
      <c r="C2644" s="999"/>
      <c r="I2644" s="983" t="s">
        <v>1561</v>
      </c>
    </row>
    <row r="2645" spans="1:9" x14ac:dyDescent="0.2">
      <c r="A2645" s="997">
        <f t="shared" si="41"/>
        <v>2644</v>
      </c>
      <c r="B2645" s="983" t="s">
        <v>2711</v>
      </c>
      <c r="C2645" s="1000"/>
      <c r="H2645" s="983" t="s">
        <v>1108</v>
      </c>
    </row>
    <row r="2646" spans="1:9" x14ac:dyDescent="0.2">
      <c r="A2646" s="997">
        <f t="shared" si="41"/>
        <v>2645</v>
      </c>
      <c r="B2646" s="983" t="s">
        <v>2711</v>
      </c>
      <c r="C2646" s="1001"/>
      <c r="H2646" s="983" t="str">
        <f>CONCATENATE("&lt;valeur&gt;",Cellule_11407,"&lt;/valeur&gt;")</f>
        <v>&lt;valeur&gt;0&lt;/valeur&gt;</v>
      </c>
    </row>
    <row r="2647" spans="1:9" x14ac:dyDescent="0.2">
      <c r="A2647" s="997">
        <f t="shared" si="41"/>
        <v>2646</v>
      </c>
      <c r="B2647" s="983" t="s">
        <v>2711</v>
      </c>
      <c r="C2647" s="1000"/>
      <c r="G2647" s="983" t="s">
        <v>1109</v>
      </c>
    </row>
    <row r="2648" spans="1:9" x14ac:dyDescent="0.2">
      <c r="A2648" s="997">
        <f t="shared" si="41"/>
        <v>2647</v>
      </c>
      <c r="B2648" s="983" t="s">
        <v>2711</v>
      </c>
      <c r="C2648" s="1000"/>
      <c r="G2648" s="983" t="s">
        <v>1106</v>
      </c>
    </row>
    <row r="2649" spans="1:9" x14ac:dyDescent="0.2">
      <c r="A2649" s="997">
        <f t="shared" si="41"/>
        <v>2648</v>
      </c>
      <c r="B2649" s="983" t="s">
        <v>2711</v>
      </c>
      <c r="C2649" s="999"/>
      <c r="H2649" s="983" t="s">
        <v>1107</v>
      </c>
    </row>
    <row r="2650" spans="1:9" x14ac:dyDescent="0.2">
      <c r="A2650" s="997">
        <f t="shared" si="41"/>
        <v>2649</v>
      </c>
      <c r="B2650" s="983" t="s">
        <v>2711</v>
      </c>
      <c r="C2650" s="999"/>
      <c r="I2650" s="983" t="s">
        <v>1562</v>
      </c>
    </row>
    <row r="2651" spans="1:9" x14ac:dyDescent="0.2">
      <c r="A2651" s="997">
        <f t="shared" si="41"/>
        <v>2650</v>
      </c>
      <c r="B2651" s="983" t="s">
        <v>2711</v>
      </c>
      <c r="C2651" s="1000"/>
      <c r="H2651" s="983" t="s">
        <v>1108</v>
      </c>
    </row>
    <row r="2652" spans="1:9" x14ac:dyDescent="0.2">
      <c r="A2652" s="997">
        <f t="shared" si="41"/>
        <v>2651</v>
      </c>
      <c r="B2652" s="983" t="s">
        <v>2711</v>
      </c>
      <c r="C2652" s="1001"/>
      <c r="H2652" s="983" t="str">
        <f>CONCATENATE("&lt;valeur&gt;",Cellule_11357,"&lt;/valeur&gt;")</f>
        <v>&lt;valeur&gt;0&lt;/valeur&gt;</v>
      </c>
    </row>
    <row r="2653" spans="1:9" x14ac:dyDescent="0.2">
      <c r="A2653" s="997">
        <f t="shared" si="41"/>
        <v>2652</v>
      </c>
      <c r="B2653" s="983" t="s">
        <v>2711</v>
      </c>
      <c r="C2653" s="1000"/>
      <c r="G2653" s="983" t="s">
        <v>1109</v>
      </c>
    </row>
    <row r="2654" spans="1:9" x14ac:dyDescent="0.2">
      <c r="A2654" s="997">
        <f t="shared" si="41"/>
        <v>2653</v>
      </c>
      <c r="B2654" s="983" t="s">
        <v>2711</v>
      </c>
      <c r="C2654" s="1000"/>
      <c r="G2654" s="983" t="s">
        <v>1106</v>
      </c>
    </row>
    <row r="2655" spans="1:9" x14ac:dyDescent="0.2">
      <c r="A2655" s="997">
        <f t="shared" si="41"/>
        <v>2654</v>
      </c>
      <c r="B2655" s="983" t="s">
        <v>2711</v>
      </c>
      <c r="C2655" s="999"/>
      <c r="H2655" s="983" t="s">
        <v>1107</v>
      </c>
    </row>
    <row r="2656" spans="1:9" x14ac:dyDescent="0.2">
      <c r="A2656" s="997">
        <f t="shared" si="41"/>
        <v>2655</v>
      </c>
      <c r="B2656" s="983" t="s">
        <v>2711</v>
      </c>
      <c r="C2656" s="999"/>
      <c r="I2656" s="983" t="s">
        <v>1563</v>
      </c>
    </row>
    <row r="2657" spans="1:9" x14ac:dyDescent="0.2">
      <c r="A2657" s="997">
        <f t="shared" si="41"/>
        <v>2656</v>
      </c>
      <c r="B2657" s="983" t="s">
        <v>2711</v>
      </c>
      <c r="C2657" s="1000"/>
      <c r="H2657" s="983" t="s">
        <v>1108</v>
      </c>
    </row>
    <row r="2658" spans="1:9" x14ac:dyDescent="0.2">
      <c r="A2658" s="997">
        <f t="shared" si="41"/>
        <v>2657</v>
      </c>
      <c r="B2658" s="983" t="s">
        <v>2711</v>
      </c>
      <c r="C2658" s="1001"/>
      <c r="H2658" s="983" t="str">
        <f>CONCATENATE("&lt;valeur&gt;",Cellule_11362,"&lt;/valeur&gt;")</f>
        <v>&lt;valeur&gt;0&lt;/valeur&gt;</v>
      </c>
    </row>
    <row r="2659" spans="1:9" x14ac:dyDescent="0.2">
      <c r="A2659" s="997">
        <f t="shared" si="41"/>
        <v>2658</v>
      </c>
      <c r="B2659" s="983" t="s">
        <v>2711</v>
      </c>
      <c r="C2659" s="1000"/>
      <c r="G2659" s="983" t="s">
        <v>1109</v>
      </c>
    </row>
    <row r="2660" spans="1:9" x14ac:dyDescent="0.2">
      <c r="A2660" s="997">
        <f t="shared" si="41"/>
        <v>2659</v>
      </c>
      <c r="B2660" s="983" t="s">
        <v>2711</v>
      </c>
      <c r="C2660" s="1000"/>
      <c r="G2660" s="983" t="s">
        <v>1106</v>
      </c>
    </row>
    <row r="2661" spans="1:9" x14ac:dyDescent="0.2">
      <c r="A2661" s="997">
        <f t="shared" si="41"/>
        <v>2660</v>
      </c>
      <c r="B2661" s="983" t="s">
        <v>2711</v>
      </c>
      <c r="C2661" s="999"/>
      <c r="H2661" s="983" t="s">
        <v>1107</v>
      </c>
    </row>
    <row r="2662" spans="1:9" x14ac:dyDescent="0.2">
      <c r="A2662" s="997">
        <f t="shared" si="41"/>
        <v>2661</v>
      </c>
      <c r="B2662" s="983" t="s">
        <v>2711</v>
      </c>
      <c r="C2662" s="999"/>
      <c r="I2662" s="983" t="s">
        <v>1564</v>
      </c>
    </row>
    <row r="2663" spans="1:9" x14ac:dyDescent="0.2">
      <c r="A2663" s="997">
        <f t="shared" si="41"/>
        <v>2662</v>
      </c>
      <c r="B2663" s="983" t="s">
        <v>2711</v>
      </c>
      <c r="C2663" s="1000"/>
      <c r="H2663" s="983" t="s">
        <v>1108</v>
      </c>
    </row>
    <row r="2664" spans="1:9" x14ac:dyDescent="0.2">
      <c r="A2664" s="997">
        <f t="shared" si="41"/>
        <v>2663</v>
      </c>
      <c r="B2664" s="983" t="s">
        <v>2711</v>
      </c>
      <c r="C2664" s="1001"/>
      <c r="H2664" s="983" t="str">
        <f>CONCATENATE("&lt;valeur&gt;",Cellule_11367,"&lt;/valeur&gt;")</f>
        <v>&lt;valeur&gt;0&lt;/valeur&gt;</v>
      </c>
    </row>
    <row r="2665" spans="1:9" x14ac:dyDescent="0.2">
      <c r="A2665" s="997">
        <f t="shared" si="41"/>
        <v>2664</v>
      </c>
      <c r="B2665" s="983" t="s">
        <v>2711</v>
      </c>
      <c r="C2665" s="1000"/>
      <c r="G2665" s="983" t="s">
        <v>1109</v>
      </c>
    </row>
    <row r="2666" spans="1:9" x14ac:dyDescent="0.2">
      <c r="A2666" s="997">
        <f t="shared" si="41"/>
        <v>2665</v>
      </c>
      <c r="B2666" s="983" t="s">
        <v>2711</v>
      </c>
      <c r="C2666" s="1000"/>
      <c r="G2666" s="983" t="s">
        <v>1106</v>
      </c>
    </row>
    <row r="2667" spans="1:9" x14ac:dyDescent="0.2">
      <c r="A2667" s="997">
        <f t="shared" si="41"/>
        <v>2666</v>
      </c>
      <c r="B2667" s="983" t="s">
        <v>2711</v>
      </c>
      <c r="C2667" s="999"/>
      <c r="H2667" s="983" t="s">
        <v>1107</v>
      </c>
    </row>
    <row r="2668" spans="1:9" x14ac:dyDescent="0.2">
      <c r="A2668" s="997">
        <f t="shared" si="41"/>
        <v>2667</v>
      </c>
      <c r="B2668" s="983" t="s">
        <v>2711</v>
      </c>
      <c r="C2668" s="999"/>
      <c r="I2668" s="983" t="s">
        <v>1565</v>
      </c>
    </row>
    <row r="2669" spans="1:9" x14ac:dyDescent="0.2">
      <c r="A2669" s="997">
        <f t="shared" si="41"/>
        <v>2668</v>
      </c>
      <c r="B2669" s="983" t="s">
        <v>2711</v>
      </c>
      <c r="C2669" s="1000"/>
      <c r="H2669" s="983" t="s">
        <v>1108</v>
      </c>
    </row>
    <row r="2670" spans="1:9" x14ac:dyDescent="0.2">
      <c r="A2670" s="997">
        <f t="shared" si="41"/>
        <v>2669</v>
      </c>
      <c r="B2670" s="983" t="s">
        <v>2711</v>
      </c>
      <c r="C2670" s="1001"/>
      <c r="H2670" s="983" t="str">
        <f>CONCATENATE("&lt;valeur&gt;",Cellule_11372,"&lt;/valeur&gt;")</f>
        <v>&lt;valeur&gt;0&lt;/valeur&gt;</v>
      </c>
    </row>
    <row r="2671" spans="1:9" x14ac:dyDescent="0.2">
      <c r="A2671" s="997">
        <f t="shared" si="41"/>
        <v>2670</v>
      </c>
      <c r="B2671" s="983" t="s">
        <v>2711</v>
      </c>
      <c r="C2671" s="1000"/>
      <c r="G2671" s="983" t="s">
        <v>1109</v>
      </c>
    </row>
    <row r="2672" spans="1:9" x14ac:dyDescent="0.2">
      <c r="A2672" s="997">
        <f t="shared" si="41"/>
        <v>2671</v>
      </c>
      <c r="B2672" s="983" t="s">
        <v>2711</v>
      </c>
      <c r="C2672" s="1000"/>
      <c r="G2672" s="983" t="s">
        <v>1106</v>
      </c>
    </row>
    <row r="2673" spans="1:9" x14ac:dyDescent="0.2">
      <c r="A2673" s="997">
        <f t="shared" si="41"/>
        <v>2672</v>
      </c>
      <c r="B2673" s="983" t="s">
        <v>2711</v>
      </c>
      <c r="C2673" s="999"/>
      <c r="H2673" s="983" t="s">
        <v>1107</v>
      </c>
    </row>
    <row r="2674" spans="1:9" x14ac:dyDescent="0.2">
      <c r="A2674" s="997">
        <f t="shared" si="41"/>
        <v>2673</v>
      </c>
      <c r="B2674" s="983" t="s">
        <v>2711</v>
      </c>
      <c r="C2674" s="999"/>
      <c r="I2674" s="983" t="s">
        <v>1566</v>
      </c>
    </row>
    <row r="2675" spans="1:9" x14ac:dyDescent="0.2">
      <c r="A2675" s="997">
        <f t="shared" si="41"/>
        <v>2674</v>
      </c>
      <c r="B2675" s="983" t="s">
        <v>2711</v>
      </c>
      <c r="C2675" s="1000"/>
      <c r="H2675" s="983" t="s">
        <v>1108</v>
      </c>
    </row>
    <row r="2676" spans="1:9" x14ac:dyDescent="0.2">
      <c r="A2676" s="997">
        <f t="shared" si="41"/>
        <v>2675</v>
      </c>
      <c r="B2676" s="983" t="s">
        <v>2711</v>
      </c>
      <c r="C2676" s="1001"/>
      <c r="H2676" s="983" t="str">
        <f>CONCATENATE("&lt;valeur&gt;",Cellule_11377,"&lt;/valeur&gt;")</f>
        <v>&lt;valeur&gt;0&lt;/valeur&gt;</v>
      </c>
    </row>
    <row r="2677" spans="1:9" x14ac:dyDescent="0.2">
      <c r="A2677" s="997">
        <f t="shared" si="41"/>
        <v>2676</v>
      </c>
      <c r="B2677" s="983" t="s">
        <v>2711</v>
      </c>
      <c r="C2677" s="1000"/>
      <c r="G2677" s="983" t="s">
        <v>1109</v>
      </c>
    </row>
    <row r="2678" spans="1:9" x14ac:dyDescent="0.2">
      <c r="A2678" s="997">
        <f t="shared" si="41"/>
        <v>2677</v>
      </c>
      <c r="B2678" s="983" t="s">
        <v>2711</v>
      </c>
      <c r="C2678" s="1000"/>
      <c r="G2678" s="983" t="s">
        <v>1106</v>
      </c>
    </row>
    <row r="2679" spans="1:9" x14ac:dyDescent="0.2">
      <c r="A2679" s="997">
        <f t="shared" si="41"/>
        <v>2678</v>
      </c>
      <c r="B2679" s="983" t="s">
        <v>2711</v>
      </c>
      <c r="C2679" s="999"/>
      <c r="H2679" s="983" t="s">
        <v>1107</v>
      </c>
    </row>
    <row r="2680" spans="1:9" x14ac:dyDescent="0.2">
      <c r="A2680" s="997">
        <f t="shared" si="41"/>
        <v>2679</v>
      </c>
      <c r="B2680" s="983" t="s">
        <v>2711</v>
      </c>
      <c r="C2680" s="999"/>
      <c r="I2680" s="983" t="s">
        <v>1567</v>
      </c>
    </row>
    <row r="2681" spans="1:9" x14ac:dyDescent="0.2">
      <c r="A2681" s="997">
        <f t="shared" si="41"/>
        <v>2680</v>
      </c>
      <c r="B2681" s="983" t="s">
        <v>2711</v>
      </c>
      <c r="C2681" s="1000"/>
      <c r="H2681" s="983" t="s">
        <v>1108</v>
      </c>
    </row>
    <row r="2682" spans="1:9" x14ac:dyDescent="0.2">
      <c r="A2682" s="997">
        <f t="shared" si="41"/>
        <v>2681</v>
      </c>
      <c r="B2682" s="983" t="s">
        <v>2711</v>
      </c>
      <c r="C2682" s="1001"/>
      <c r="H2682" s="983" t="str">
        <f>CONCATENATE("&lt;valeur&gt;",Cellule_11382,"&lt;/valeur&gt;")</f>
        <v>&lt;valeur&gt;0&lt;/valeur&gt;</v>
      </c>
    </row>
    <row r="2683" spans="1:9" x14ac:dyDescent="0.2">
      <c r="A2683" s="997">
        <f t="shared" si="41"/>
        <v>2682</v>
      </c>
      <c r="B2683" s="983" t="s">
        <v>2711</v>
      </c>
      <c r="C2683" s="1000"/>
      <c r="G2683" s="983" t="s">
        <v>1109</v>
      </c>
    </row>
    <row r="2684" spans="1:9" x14ac:dyDescent="0.2">
      <c r="A2684" s="997">
        <f t="shared" si="41"/>
        <v>2683</v>
      </c>
      <c r="B2684" s="983" t="s">
        <v>2711</v>
      </c>
      <c r="C2684" s="1000"/>
      <c r="G2684" s="983" t="s">
        <v>1106</v>
      </c>
    </row>
    <row r="2685" spans="1:9" x14ac:dyDescent="0.2">
      <c r="A2685" s="997">
        <f t="shared" si="41"/>
        <v>2684</v>
      </c>
      <c r="B2685" s="983" t="s">
        <v>2711</v>
      </c>
      <c r="C2685" s="999"/>
      <c r="H2685" s="983" t="s">
        <v>1107</v>
      </c>
    </row>
    <row r="2686" spans="1:9" x14ac:dyDescent="0.2">
      <c r="A2686" s="997">
        <f t="shared" si="41"/>
        <v>2685</v>
      </c>
      <c r="B2686" s="983" t="s">
        <v>2711</v>
      </c>
      <c r="C2686" s="999"/>
      <c r="I2686" s="983" t="s">
        <v>1568</v>
      </c>
    </row>
    <row r="2687" spans="1:9" x14ac:dyDescent="0.2">
      <c r="A2687" s="997">
        <f t="shared" si="41"/>
        <v>2686</v>
      </c>
      <c r="B2687" s="983" t="s">
        <v>2711</v>
      </c>
      <c r="C2687" s="1000"/>
      <c r="H2687" s="983" t="s">
        <v>1108</v>
      </c>
    </row>
    <row r="2688" spans="1:9" x14ac:dyDescent="0.2">
      <c r="A2688" s="997">
        <f t="shared" si="41"/>
        <v>2687</v>
      </c>
      <c r="B2688" s="983" t="s">
        <v>2711</v>
      </c>
      <c r="C2688" s="1001"/>
      <c r="H2688" s="983" t="str">
        <f>CONCATENATE("&lt;valeur&gt;",Cellule_11387,"&lt;/valeur&gt;")</f>
        <v>&lt;valeur&gt;0&lt;/valeur&gt;</v>
      </c>
    </row>
    <row r="2689" spans="1:9" x14ac:dyDescent="0.2">
      <c r="A2689" s="997">
        <f t="shared" si="41"/>
        <v>2688</v>
      </c>
      <c r="B2689" s="983" t="s">
        <v>2711</v>
      </c>
      <c r="C2689" s="1000"/>
      <c r="G2689" s="983" t="s">
        <v>1109</v>
      </c>
    </row>
    <row r="2690" spans="1:9" x14ac:dyDescent="0.2">
      <c r="A2690" s="997">
        <f t="shared" si="41"/>
        <v>2689</v>
      </c>
      <c r="B2690" s="983" t="s">
        <v>2711</v>
      </c>
      <c r="C2690" s="1000"/>
      <c r="G2690" s="983" t="s">
        <v>1106</v>
      </c>
    </row>
    <row r="2691" spans="1:9" x14ac:dyDescent="0.2">
      <c r="A2691" s="997">
        <f t="shared" si="41"/>
        <v>2690</v>
      </c>
      <c r="B2691" s="983" t="s">
        <v>2711</v>
      </c>
      <c r="C2691" s="999"/>
      <c r="H2691" s="983" t="s">
        <v>1107</v>
      </c>
    </row>
    <row r="2692" spans="1:9" x14ac:dyDescent="0.2">
      <c r="A2692" s="997">
        <f t="shared" ref="A2692:A2755" si="42">+A2691+1</f>
        <v>2691</v>
      </c>
      <c r="B2692" s="983" t="s">
        <v>2711</v>
      </c>
      <c r="C2692" s="999"/>
      <c r="I2692" s="983" t="s">
        <v>1569</v>
      </c>
    </row>
    <row r="2693" spans="1:9" x14ac:dyDescent="0.2">
      <c r="A2693" s="997">
        <f t="shared" si="42"/>
        <v>2692</v>
      </c>
      <c r="B2693" s="983" t="s">
        <v>2711</v>
      </c>
      <c r="C2693" s="1000"/>
      <c r="H2693" s="983" t="s">
        <v>1108</v>
      </c>
    </row>
    <row r="2694" spans="1:9" x14ac:dyDescent="0.2">
      <c r="A2694" s="997">
        <f t="shared" si="42"/>
        <v>2693</v>
      </c>
      <c r="B2694" s="983" t="s">
        <v>2711</v>
      </c>
      <c r="C2694" s="1001"/>
      <c r="H2694" s="983" t="str">
        <f>CONCATENATE("&lt;valeur&gt;",Cellule_11343,"&lt;/valeur&gt;")</f>
        <v>&lt;valeur&gt;0&lt;/valeur&gt;</v>
      </c>
    </row>
    <row r="2695" spans="1:9" x14ac:dyDescent="0.2">
      <c r="A2695" s="997">
        <f t="shared" si="42"/>
        <v>2694</v>
      </c>
      <c r="B2695" s="983" t="s">
        <v>2711</v>
      </c>
      <c r="C2695" s="1000"/>
      <c r="G2695" s="983" t="s">
        <v>1109</v>
      </c>
    </row>
    <row r="2696" spans="1:9" x14ac:dyDescent="0.2">
      <c r="A2696" s="997">
        <f t="shared" si="42"/>
        <v>2695</v>
      </c>
      <c r="B2696" s="983" t="s">
        <v>2711</v>
      </c>
      <c r="C2696" s="1000"/>
      <c r="G2696" s="983" t="s">
        <v>1106</v>
      </c>
    </row>
    <row r="2697" spans="1:9" x14ac:dyDescent="0.2">
      <c r="A2697" s="997">
        <f t="shared" si="42"/>
        <v>2696</v>
      </c>
      <c r="B2697" s="983" t="s">
        <v>2711</v>
      </c>
      <c r="C2697" s="999"/>
      <c r="H2697" s="983" t="s">
        <v>1107</v>
      </c>
    </row>
    <row r="2698" spans="1:9" x14ac:dyDescent="0.2">
      <c r="A2698" s="997">
        <f t="shared" si="42"/>
        <v>2697</v>
      </c>
      <c r="B2698" s="983" t="s">
        <v>2711</v>
      </c>
      <c r="C2698" s="999"/>
      <c r="I2698" s="983" t="s">
        <v>1570</v>
      </c>
    </row>
    <row r="2699" spans="1:9" x14ac:dyDescent="0.2">
      <c r="A2699" s="997">
        <f t="shared" si="42"/>
        <v>2698</v>
      </c>
      <c r="B2699" s="983" t="s">
        <v>2711</v>
      </c>
      <c r="C2699" s="1000"/>
      <c r="H2699" s="983" t="s">
        <v>1108</v>
      </c>
    </row>
    <row r="2700" spans="1:9" x14ac:dyDescent="0.2">
      <c r="A2700" s="997">
        <f t="shared" si="42"/>
        <v>2699</v>
      </c>
      <c r="B2700" s="983" t="s">
        <v>2711</v>
      </c>
      <c r="C2700" s="1001"/>
      <c r="H2700" s="983" t="str">
        <f>CONCATENATE("&lt;valeur&gt;",Cellule_11348,"&lt;/valeur&gt;")</f>
        <v>&lt;valeur&gt;0&lt;/valeur&gt;</v>
      </c>
    </row>
    <row r="2701" spans="1:9" x14ac:dyDescent="0.2">
      <c r="A2701" s="997">
        <f t="shared" si="42"/>
        <v>2700</v>
      </c>
      <c r="B2701" s="983" t="s">
        <v>2711</v>
      </c>
      <c r="C2701" s="1000"/>
      <c r="G2701" s="983" t="s">
        <v>1109</v>
      </c>
    </row>
    <row r="2702" spans="1:9" x14ac:dyDescent="0.2">
      <c r="A2702" s="997">
        <f t="shared" si="42"/>
        <v>2701</v>
      </c>
      <c r="B2702" s="983" t="s">
        <v>2711</v>
      </c>
      <c r="C2702" s="1000"/>
      <c r="G2702" s="983" t="s">
        <v>1106</v>
      </c>
    </row>
    <row r="2703" spans="1:9" x14ac:dyDescent="0.2">
      <c r="A2703" s="997">
        <f t="shared" si="42"/>
        <v>2702</v>
      </c>
      <c r="B2703" s="983" t="s">
        <v>2711</v>
      </c>
      <c r="C2703" s="999"/>
      <c r="H2703" s="983" t="s">
        <v>1107</v>
      </c>
    </row>
    <row r="2704" spans="1:9" x14ac:dyDescent="0.2">
      <c r="A2704" s="997">
        <f t="shared" si="42"/>
        <v>2703</v>
      </c>
      <c r="B2704" s="983" t="s">
        <v>2711</v>
      </c>
      <c r="C2704" s="999"/>
      <c r="I2704" s="983" t="s">
        <v>1571</v>
      </c>
    </row>
    <row r="2705" spans="1:9" x14ac:dyDescent="0.2">
      <c r="A2705" s="997">
        <f t="shared" si="42"/>
        <v>2704</v>
      </c>
      <c r="B2705" s="983" t="s">
        <v>2711</v>
      </c>
      <c r="C2705" s="1000"/>
      <c r="H2705" s="983" t="s">
        <v>1108</v>
      </c>
    </row>
    <row r="2706" spans="1:9" x14ac:dyDescent="0.2">
      <c r="A2706" s="997">
        <f t="shared" si="42"/>
        <v>2705</v>
      </c>
      <c r="B2706" s="983" t="s">
        <v>2711</v>
      </c>
      <c r="C2706" s="1001"/>
      <c r="H2706" s="983" t="str">
        <f>CONCATENATE("&lt;valeur&gt;",Cellule_11353,"&lt;/valeur&gt;")</f>
        <v>&lt;valeur&gt;0&lt;/valeur&gt;</v>
      </c>
    </row>
    <row r="2707" spans="1:9" x14ac:dyDescent="0.2">
      <c r="A2707" s="997">
        <f t="shared" si="42"/>
        <v>2706</v>
      </c>
      <c r="B2707" s="983" t="s">
        <v>2711</v>
      </c>
      <c r="C2707" s="1000"/>
      <c r="G2707" s="983" t="s">
        <v>1109</v>
      </c>
    </row>
    <row r="2708" spans="1:9" x14ac:dyDescent="0.2">
      <c r="A2708" s="997">
        <f t="shared" si="42"/>
        <v>2707</v>
      </c>
      <c r="B2708" s="983" t="s">
        <v>2711</v>
      </c>
      <c r="C2708" s="1000"/>
      <c r="G2708" s="983" t="s">
        <v>1106</v>
      </c>
    </row>
    <row r="2709" spans="1:9" x14ac:dyDescent="0.2">
      <c r="A2709" s="997">
        <f t="shared" si="42"/>
        <v>2708</v>
      </c>
      <c r="B2709" s="983" t="s">
        <v>2711</v>
      </c>
      <c r="C2709" s="999"/>
      <c r="H2709" s="983" t="s">
        <v>1107</v>
      </c>
    </row>
    <row r="2710" spans="1:9" x14ac:dyDescent="0.2">
      <c r="A2710" s="997">
        <f t="shared" si="42"/>
        <v>2709</v>
      </c>
      <c r="B2710" s="983" t="s">
        <v>2711</v>
      </c>
      <c r="C2710" s="999"/>
      <c r="I2710" s="983" t="s">
        <v>1572</v>
      </c>
    </row>
    <row r="2711" spans="1:9" x14ac:dyDescent="0.2">
      <c r="A2711" s="997">
        <f t="shared" si="42"/>
        <v>2710</v>
      </c>
      <c r="B2711" s="983" t="s">
        <v>2711</v>
      </c>
      <c r="C2711" s="1000"/>
      <c r="H2711" s="983" t="s">
        <v>1108</v>
      </c>
    </row>
    <row r="2712" spans="1:9" x14ac:dyDescent="0.2">
      <c r="A2712" s="997">
        <f t="shared" si="42"/>
        <v>2711</v>
      </c>
      <c r="B2712" s="983" t="s">
        <v>2711</v>
      </c>
      <c r="C2712" s="1001"/>
      <c r="H2712" s="983" t="str">
        <f>CONCATENATE("&lt;valeur&gt;",Cellule_11393,"&lt;/valeur&gt;")</f>
        <v>&lt;valeur&gt;0&lt;/valeur&gt;</v>
      </c>
    </row>
    <row r="2713" spans="1:9" x14ac:dyDescent="0.2">
      <c r="A2713" s="997">
        <f t="shared" si="42"/>
        <v>2712</v>
      </c>
      <c r="B2713" s="983" t="s">
        <v>2711</v>
      </c>
      <c r="C2713" s="1000"/>
      <c r="G2713" s="983" t="s">
        <v>1109</v>
      </c>
    </row>
    <row r="2714" spans="1:9" x14ac:dyDescent="0.2">
      <c r="A2714" s="997">
        <f t="shared" si="42"/>
        <v>2713</v>
      </c>
      <c r="B2714" s="983" t="s">
        <v>2711</v>
      </c>
      <c r="C2714" s="1000"/>
      <c r="G2714" s="983" t="s">
        <v>1106</v>
      </c>
    </row>
    <row r="2715" spans="1:9" x14ac:dyDescent="0.2">
      <c r="A2715" s="997">
        <f t="shared" si="42"/>
        <v>2714</v>
      </c>
      <c r="B2715" s="983" t="s">
        <v>2711</v>
      </c>
      <c r="C2715" s="999"/>
      <c r="H2715" s="983" t="s">
        <v>1107</v>
      </c>
    </row>
    <row r="2716" spans="1:9" x14ac:dyDescent="0.2">
      <c r="A2716" s="997">
        <f t="shared" si="42"/>
        <v>2715</v>
      </c>
      <c r="B2716" s="983" t="s">
        <v>2711</v>
      </c>
      <c r="C2716" s="999"/>
      <c r="I2716" s="983" t="s">
        <v>1573</v>
      </c>
    </row>
    <row r="2717" spans="1:9" x14ac:dyDescent="0.2">
      <c r="A2717" s="997">
        <f t="shared" si="42"/>
        <v>2716</v>
      </c>
      <c r="B2717" s="983" t="s">
        <v>2711</v>
      </c>
      <c r="C2717" s="1000"/>
      <c r="H2717" s="983" t="s">
        <v>1108</v>
      </c>
    </row>
    <row r="2718" spans="1:9" x14ac:dyDescent="0.2">
      <c r="A2718" s="997">
        <f t="shared" si="42"/>
        <v>2717</v>
      </c>
      <c r="B2718" s="983" t="s">
        <v>2711</v>
      </c>
      <c r="C2718" s="1001"/>
      <c r="H2718" s="983" t="str">
        <f>CONCATENATE("&lt;valeur&gt;",Cellule_11398,"&lt;/valeur&gt;")</f>
        <v>&lt;valeur&gt;0&lt;/valeur&gt;</v>
      </c>
    </row>
    <row r="2719" spans="1:9" x14ac:dyDescent="0.2">
      <c r="A2719" s="997">
        <f t="shared" si="42"/>
        <v>2718</v>
      </c>
      <c r="B2719" s="983" t="s">
        <v>2711</v>
      </c>
      <c r="C2719" s="1000"/>
      <c r="G2719" s="983" t="s">
        <v>1109</v>
      </c>
    </row>
    <row r="2720" spans="1:9" x14ac:dyDescent="0.2">
      <c r="A2720" s="997">
        <f t="shared" si="42"/>
        <v>2719</v>
      </c>
      <c r="B2720" s="983" t="s">
        <v>2711</v>
      </c>
      <c r="C2720" s="1000"/>
      <c r="G2720" s="983" t="s">
        <v>1106</v>
      </c>
    </row>
    <row r="2721" spans="1:9" x14ac:dyDescent="0.2">
      <c r="A2721" s="997">
        <f t="shared" si="42"/>
        <v>2720</v>
      </c>
      <c r="B2721" s="983" t="s">
        <v>2711</v>
      </c>
      <c r="C2721" s="999"/>
      <c r="H2721" s="983" t="s">
        <v>1107</v>
      </c>
    </row>
    <row r="2722" spans="1:9" x14ac:dyDescent="0.2">
      <c r="A2722" s="997">
        <f t="shared" si="42"/>
        <v>2721</v>
      </c>
      <c r="B2722" s="983" t="s">
        <v>2711</v>
      </c>
      <c r="C2722" s="999"/>
      <c r="I2722" s="983" t="s">
        <v>1574</v>
      </c>
    </row>
    <row r="2723" spans="1:9" x14ac:dyDescent="0.2">
      <c r="A2723" s="997">
        <f t="shared" si="42"/>
        <v>2722</v>
      </c>
      <c r="B2723" s="983" t="s">
        <v>2711</v>
      </c>
      <c r="C2723" s="1000"/>
      <c r="H2723" s="983" t="s">
        <v>1108</v>
      </c>
    </row>
    <row r="2724" spans="1:9" x14ac:dyDescent="0.2">
      <c r="A2724" s="997">
        <f t="shared" si="42"/>
        <v>2723</v>
      </c>
      <c r="B2724" s="983" t="s">
        <v>2711</v>
      </c>
      <c r="C2724" s="1001"/>
      <c r="H2724" s="983" t="str">
        <f>CONCATENATE("&lt;valeur&gt;",Cellule_11403,"&lt;/valeur&gt;")</f>
        <v>&lt;valeur&gt;0&lt;/valeur&gt;</v>
      </c>
    </row>
    <row r="2725" spans="1:9" x14ac:dyDescent="0.2">
      <c r="A2725" s="997">
        <f t="shared" si="42"/>
        <v>2724</v>
      </c>
      <c r="B2725" s="983" t="s">
        <v>2711</v>
      </c>
      <c r="C2725" s="1000"/>
      <c r="G2725" s="983" t="s">
        <v>1109</v>
      </c>
    </row>
    <row r="2726" spans="1:9" x14ac:dyDescent="0.2">
      <c r="A2726" s="997">
        <f t="shared" si="42"/>
        <v>2725</v>
      </c>
      <c r="B2726" s="983" t="s">
        <v>2711</v>
      </c>
      <c r="C2726" s="1000"/>
      <c r="G2726" s="983" t="s">
        <v>1106</v>
      </c>
    </row>
    <row r="2727" spans="1:9" x14ac:dyDescent="0.2">
      <c r="A2727" s="997">
        <f t="shared" si="42"/>
        <v>2726</v>
      </c>
      <c r="B2727" s="983" t="s">
        <v>2711</v>
      </c>
      <c r="C2727" s="999"/>
      <c r="H2727" s="983" t="s">
        <v>1107</v>
      </c>
    </row>
    <row r="2728" spans="1:9" x14ac:dyDescent="0.2">
      <c r="A2728" s="997">
        <f t="shared" si="42"/>
        <v>2727</v>
      </c>
      <c r="B2728" s="983" t="s">
        <v>2711</v>
      </c>
      <c r="C2728" s="999"/>
      <c r="I2728" s="983" t="s">
        <v>1575</v>
      </c>
    </row>
    <row r="2729" spans="1:9" x14ac:dyDescent="0.2">
      <c r="A2729" s="997">
        <f t="shared" si="42"/>
        <v>2728</v>
      </c>
      <c r="B2729" s="983" t="s">
        <v>2711</v>
      </c>
      <c r="C2729" s="1000"/>
      <c r="H2729" s="983" t="s">
        <v>1108</v>
      </c>
    </row>
    <row r="2730" spans="1:9" x14ac:dyDescent="0.2">
      <c r="A2730" s="997">
        <f t="shared" si="42"/>
        <v>2729</v>
      </c>
      <c r="B2730" s="983" t="s">
        <v>2711</v>
      </c>
      <c r="C2730" s="1001"/>
      <c r="H2730" s="983" t="str">
        <f>CONCATENATE("&lt;valeur&gt;",Cellule_11408,"&lt;/valeur&gt;")</f>
        <v>&lt;valeur&gt;0&lt;/valeur&gt;</v>
      </c>
    </row>
    <row r="2731" spans="1:9" x14ac:dyDescent="0.2">
      <c r="A2731" s="997">
        <f t="shared" si="42"/>
        <v>2730</v>
      </c>
      <c r="B2731" s="983" t="s">
        <v>2711</v>
      </c>
      <c r="C2731" s="1000"/>
      <c r="G2731" s="983" t="s">
        <v>1109</v>
      </c>
    </row>
    <row r="2732" spans="1:9" x14ac:dyDescent="0.2">
      <c r="A2732" s="997">
        <f t="shared" si="42"/>
        <v>2731</v>
      </c>
      <c r="B2732" s="983" t="s">
        <v>2711</v>
      </c>
      <c r="C2732" s="1000"/>
      <c r="G2732" s="983" t="s">
        <v>1106</v>
      </c>
    </row>
    <row r="2733" spans="1:9" x14ac:dyDescent="0.2">
      <c r="A2733" s="997">
        <f t="shared" si="42"/>
        <v>2732</v>
      </c>
      <c r="B2733" s="983" t="s">
        <v>2711</v>
      </c>
      <c r="C2733" s="999"/>
      <c r="H2733" s="983" t="s">
        <v>1107</v>
      </c>
    </row>
    <row r="2734" spans="1:9" x14ac:dyDescent="0.2">
      <c r="A2734" s="997">
        <f t="shared" si="42"/>
        <v>2733</v>
      </c>
      <c r="B2734" s="983" t="s">
        <v>2711</v>
      </c>
      <c r="C2734" s="999"/>
      <c r="I2734" s="983" t="s">
        <v>1576</v>
      </c>
    </row>
    <row r="2735" spans="1:9" x14ac:dyDescent="0.2">
      <c r="A2735" s="997">
        <f t="shared" si="42"/>
        <v>2734</v>
      </c>
      <c r="B2735" s="983" t="s">
        <v>2711</v>
      </c>
      <c r="C2735" s="1000"/>
      <c r="H2735" s="983" t="s">
        <v>1108</v>
      </c>
    </row>
    <row r="2736" spans="1:9" x14ac:dyDescent="0.2">
      <c r="A2736" s="997">
        <f t="shared" si="42"/>
        <v>2735</v>
      </c>
      <c r="B2736" s="983" t="s">
        <v>2711</v>
      </c>
      <c r="C2736" s="1001"/>
      <c r="H2736" s="983" t="str">
        <f>CONCATENATE("&lt;valeur&gt;",Cellule_11358,"&lt;/valeur&gt;")</f>
        <v>&lt;valeur&gt;0&lt;/valeur&gt;</v>
      </c>
    </row>
    <row r="2737" spans="1:9" x14ac:dyDescent="0.2">
      <c r="A2737" s="997">
        <f t="shared" si="42"/>
        <v>2736</v>
      </c>
      <c r="B2737" s="983" t="s">
        <v>2711</v>
      </c>
      <c r="C2737" s="1000"/>
      <c r="G2737" s="983" t="s">
        <v>1109</v>
      </c>
    </row>
    <row r="2738" spans="1:9" x14ac:dyDescent="0.2">
      <c r="A2738" s="997">
        <f t="shared" si="42"/>
        <v>2737</v>
      </c>
      <c r="B2738" s="983" t="s">
        <v>2711</v>
      </c>
      <c r="C2738" s="1000"/>
      <c r="G2738" s="983" t="s">
        <v>1106</v>
      </c>
    </row>
    <row r="2739" spans="1:9" x14ac:dyDescent="0.2">
      <c r="A2739" s="997">
        <f t="shared" si="42"/>
        <v>2738</v>
      </c>
      <c r="B2739" s="983" t="s">
        <v>2711</v>
      </c>
      <c r="C2739" s="999"/>
      <c r="H2739" s="983" t="s">
        <v>1107</v>
      </c>
    </row>
    <row r="2740" spans="1:9" x14ac:dyDescent="0.2">
      <c r="A2740" s="997">
        <f t="shared" si="42"/>
        <v>2739</v>
      </c>
      <c r="B2740" s="983" t="s">
        <v>2711</v>
      </c>
      <c r="C2740" s="999"/>
      <c r="I2740" s="983" t="s">
        <v>1577</v>
      </c>
    </row>
    <row r="2741" spans="1:9" x14ac:dyDescent="0.2">
      <c r="A2741" s="997">
        <f t="shared" si="42"/>
        <v>2740</v>
      </c>
      <c r="B2741" s="983" t="s">
        <v>2711</v>
      </c>
      <c r="C2741" s="1000"/>
      <c r="H2741" s="983" t="s">
        <v>1108</v>
      </c>
    </row>
    <row r="2742" spans="1:9" x14ac:dyDescent="0.2">
      <c r="A2742" s="997">
        <f t="shared" si="42"/>
        <v>2741</v>
      </c>
      <c r="B2742" s="983" t="s">
        <v>2711</v>
      </c>
      <c r="C2742" s="1001"/>
      <c r="H2742" s="983" t="str">
        <f>CONCATENATE("&lt;valeur&gt;",Cellule_11363,"&lt;/valeur&gt;")</f>
        <v>&lt;valeur&gt;0&lt;/valeur&gt;</v>
      </c>
    </row>
    <row r="2743" spans="1:9" x14ac:dyDescent="0.2">
      <c r="A2743" s="997">
        <f t="shared" si="42"/>
        <v>2742</v>
      </c>
      <c r="B2743" s="983" t="s">
        <v>2711</v>
      </c>
      <c r="C2743" s="1000"/>
      <c r="G2743" s="983" t="s">
        <v>1109</v>
      </c>
    </row>
    <row r="2744" spans="1:9" x14ac:dyDescent="0.2">
      <c r="A2744" s="997">
        <f t="shared" si="42"/>
        <v>2743</v>
      </c>
      <c r="B2744" s="983" t="s">
        <v>2711</v>
      </c>
      <c r="C2744" s="1000"/>
      <c r="G2744" s="983" t="s">
        <v>1106</v>
      </c>
    </row>
    <row r="2745" spans="1:9" x14ac:dyDescent="0.2">
      <c r="A2745" s="997">
        <f t="shared" si="42"/>
        <v>2744</v>
      </c>
      <c r="B2745" s="983" t="s">
        <v>2711</v>
      </c>
      <c r="C2745" s="999"/>
      <c r="H2745" s="983" t="s">
        <v>1107</v>
      </c>
    </row>
    <row r="2746" spans="1:9" x14ac:dyDescent="0.2">
      <c r="A2746" s="997">
        <f t="shared" si="42"/>
        <v>2745</v>
      </c>
      <c r="B2746" s="983" t="s">
        <v>2711</v>
      </c>
      <c r="C2746" s="999"/>
      <c r="I2746" s="983" t="s">
        <v>1578</v>
      </c>
    </row>
    <row r="2747" spans="1:9" x14ac:dyDescent="0.2">
      <c r="A2747" s="997">
        <f t="shared" si="42"/>
        <v>2746</v>
      </c>
      <c r="B2747" s="983" t="s">
        <v>2711</v>
      </c>
      <c r="C2747" s="1000"/>
      <c r="H2747" s="983" t="s">
        <v>1108</v>
      </c>
    </row>
    <row r="2748" spans="1:9" x14ac:dyDescent="0.2">
      <c r="A2748" s="997">
        <f t="shared" si="42"/>
        <v>2747</v>
      </c>
      <c r="B2748" s="983" t="s">
        <v>2711</v>
      </c>
      <c r="C2748" s="1001"/>
      <c r="H2748" s="983" t="str">
        <f>CONCATENATE("&lt;valeur&gt;",Cellule_11368,"&lt;/valeur&gt;")</f>
        <v>&lt;valeur&gt;0&lt;/valeur&gt;</v>
      </c>
    </row>
    <row r="2749" spans="1:9" x14ac:dyDescent="0.2">
      <c r="A2749" s="997">
        <f t="shared" si="42"/>
        <v>2748</v>
      </c>
      <c r="B2749" s="983" t="s">
        <v>2711</v>
      </c>
      <c r="C2749" s="1000"/>
      <c r="G2749" s="983" t="s">
        <v>1109</v>
      </c>
    </row>
    <row r="2750" spans="1:9" x14ac:dyDescent="0.2">
      <c r="A2750" s="997">
        <f t="shared" si="42"/>
        <v>2749</v>
      </c>
      <c r="B2750" s="983" t="s">
        <v>2711</v>
      </c>
      <c r="C2750" s="1000"/>
      <c r="G2750" s="983" t="s">
        <v>1106</v>
      </c>
    </row>
    <row r="2751" spans="1:9" x14ac:dyDescent="0.2">
      <c r="A2751" s="997">
        <f t="shared" si="42"/>
        <v>2750</v>
      </c>
      <c r="B2751" s="983" t="s">
        <v>2711</v>
      </c>
      <c r="C2751" s="999"/>
      <c r="H2751" s="983" t="s">
        <v>1107</v>
      </c>
    </row>
    <row r="2752" spans="1:9" x14ac:dyDescent="0.2">
      <c r="A2752" s="997">
        <f t="shared" si="42"/>
        <v>2751</v>
      </c>
      <c r="B2752" s="983" t="s">
        <v>2711</v>
      </c>
      <c r="C2752" s="999"/>
      <c r="I2752" s="983" t="s">
        <v>1579</v>
      </c>
    </row>
    <row r="2753" spans="1:9" x14ac:dyDescent="0.2">
      <c r="A2753" s="997">
        <f t="shared" si="42"/>
        <v>2752</v>
      </c>
      <c r="B2753" s="983" t="s">
        <v>2711</v>
      </c>
      <c r="C2753" s="1000"/>
      <c r="H2753" s="983" t="s">
        <v>1108</v>
      </c>
    </row>
    <row r="2754" spans="1:9" x14ac:dyDescent="0.2">
      <c r="A2754" s="997">
        <f t="shared" si="42"/>
        <v>2753</v>
      </c>
      <c r="B2754" s="983" t="s">
        <v>2711</v>
      </c>
      <c r="C2754" s="1001"/>
      <c r="H2754" s="983" t="str">
        <f>CONCATENATE("&lt;valeur&gt;",Cellule_11373,"&lt;/valeur&gt;")</f>
        <v>&lt;valeur&gt;0&lt;/valeur&gt;</v>
      </c>
    </row>
    <row r="2755" spans="1:9" x14ac:dyDescent="0.2">
      <c r="A2755" s="997">
        <f t="shared" si="42"/>
        <v>2754</v>
      </c>
      <c r="B2755" s="983" t="s">
        <v>2711</v>
      </c>
      <c r="C2755" s="1000"/>
      <c r="G2755" s="983" t="s">
        <v>1109</v>
      </c>
    </row>
    <row r="2756" spans="1:9" x14ac:dyDescent="0.2">
      <c r="A2756" s="997">
        <f t="shared" ref="A2756:A2819" si="43">+A2755+1</f>
        <v>2755</v>
      </c>
      <c r="B2756" s="983" t="s">
        <v>2711</v>
      </c>
      <c r="C2756" s="1000"/>
      <c r="G2756" s="983" t="s">
        <v>1106</v>
      </c>
    </row>
    <row r="2757" spans="1:9" x14ac:dyDescent="0.2">
      <c r="A2757" s="997">
        <f t="shared" si="43"/>
        <v>2756</v>
      </c>
      <c r="B2757" s="983" t="s">
        <v>2711</v>
      </c>
      <c r="C2757" s="999"/>
      <c r="H2757" s="983" t="s">
        <v>1107</v>
      </c>
    </row>
    <row r="2758" spans="1:9" x14ac:dyDescent="0.2">
      <c r="A2758" s="997">
        <f t="shared" si="43"/>
        <v>2757</v>
      </c>
      <c r="B2758" s="983" t="s">
        <v>2711</v>
      </c>
      <c r="C2758" s="999"/>
      <c r="I2758" s="983" t="s">
        <v>1580</v>
      </c>
    </row>
    <row r="2759" spans="1:9" x14ac:dyDescent="0.2">
      <c r="A2759" s="997">
        <f t="shared" si="43"/>
        <v>2758</v>
      </c>
      <c r="B2759" s="983" t="s">
        <v>2711</v>
      </c>
      <c r="C2759" s="1000"/>
      <c r="H2759" s="983" t="s">
        <v>1108</v>
      </c>
    </row>
    <row r="2760" spans="1:9" x14ac:dyDescent="0.2">
      <c r="A2760" s="997">
        <f t="shared" si="43"/>
        <v>2759</v>
      </c>
      <c r="B2760" s="983" t="s">
        <v>2711</v>
      </c>
      <c r="C2760" s="1001"/>
      <c r="H2760" s="983" t="str">
        <f>CONCATENATE("&lt;valeur&gt;",Cellule_11378,"&lt;/valeur&gt;")</f>
        <v>&lt;valeur&gt;0&lt;/valeur&gt;</v>
      </c>
    </row>
    <row r="2761" spans="1:9" x14ac:dyDescent="0.2">
      <c r="A2761" s="997">
        <f t="shared" si="43"/>
        <v>2760</v>
      </c>
      <c r="B2761" s="983" t="s">
        <v>2711</v>
      </c>
      <c r="C2761" s="1000"/>
      <c r="G2761" s="983" t="s">
        <v>1109</v>
      </c>
    </row>
    <row r="2762" spans="1:9" x14ac:dyDescent="0.2">
      <c r="A2762" s="997">
        <f t="shared" si="43"/>
        <v>2761</v>
      </c>
      <c r="B2762" s="983" t="s">
        <v>2711</v>
      </c>
      <c r="C2762" s="1000"/>
      <c r="G2762" s="983" t="s">
        <v>1106</v>
      </c>
    </row>
    <row r="2763" spans="1:9" x14ac:dyDescent="0.2">
      <c r="A2763" s="997">
        <f t="shared" si="43"/>
        <v>2762</v>
      </c>
      <c r="B2763" s="983" t="s">
        <v>2711</v>
      </c>
      <c r="C2763" s="999"/>
      <c r="H2763" s="983" t="s">
        <v>1107</v>
      </c>
    </row>
    <row r="2764" spans="1:9" x14ac:dyDescent="0.2">
      <c r="A2764" s="997">
        <f t="shared" si="43"/>
        <v>2763</v>
      </c>
      <c r="B2764" s="983" t="s">
        <v>2711</v>
      </c>
      <c r="C2764" s="999"/>
      <c r="I2764" s="983" t="s">
        <v>1581</v>
      </c>
    </row>
    <row r="2765" spans="1:9" x14ac:dyDescent="0.2">
      <c r="A2765" s="997">
        <f t="shared" si="43"/>
        <v>2764</v>
      </c>
      <c r="B2765" s="983" t="s">
        <v>2711</v>
      </c>
      <c r="C2765" s="1000"/>
      <c r="H2765" s="983" t="s">
        <v>1108</v>
      </c>
    </row>
    <row r="2766" spans="1:9" x14ac:dyDescent="0.2">
      <c r="A2766" s="997">
        <f t="shared" si="43"/>
        <v>2765</v>
      </c>
      <c r="B2766" s="983" t="s">
        <v>2711</v>
      </c>
      <c r="C2766" s="1001"/>
      <c r="H2766" s="983" t="str">
        <f>CONCATENATE("&lt;valeur&gt;",Cellule_11383,"&lt;/valeur&gt;")</f>
        <v>&lt;valeur&gt;0&lt;/valeur&gt;</v>
      </c>
    </row>
    <row r="2767" spans="1:9" x14ac:dyDescent="0.2">
      <c r="A2767" s="997">
        <f t="shared" si="43"/>
        <v>2766</v>
      </c>
      <c r="B2767" s="983" t="s">
        <v>2711</v>
      </c>
      <c r="C2767" s="1000"/>
      <c r="G2767" s="983" t="s">
        <v>1109</v>
      </c>
    </row>
    <row r="2768" spans="1:9" x14ac:dyDescent="0.2">
      <c r="A2768" s="997">
        <f t="shared" si="43"/>
        <v>2767</v>
      </c>
      <c r="B2768" s="983" t="s">
        <v>2711</v>
      </c>
      <c r="C2768" s="1000"/>
      <c r="G2768" s="983" t="s">
        <v>1106</v>
      </c>
    </row>
    <row r="2769" spans="1:9" x14ac:dyDescent="0.2">
      <c r="A2769" s="997">
        <f t="shared" si="43"/>
        <v>2768</v>
      </c>
      <c r="B2769" s="983" t="s">
        <v>2711</v>
      </c>
      <c r="C2769" s="999"/>
      <c r="H2769" s="983" t="s">
        <v>1107</v>
      </c>
    </row>
    <row r="2770" spans="1:9" x14ac:dyDescent="0.2">
      <c r="A2770" s="997">
        <f t="shared" si="43"/>
        <v>2769</v>
      </c>
      <c r="B2770" s="983" t="s">
        <v>2711</v>
      </c>
      <c r="C2770" s="999"/>
      <c r="I2770" s="983" t="s">
        <v>1582</v>
      </c>
    </row>
    <row r="2771" spans="1:9" x14ac:dyDescent="0.2">
      <c r="A2771" s="997">
        <f t="shared" si="43"/>
        <v>2770</v>
      </c>
      <c r="B2771" s="983" t="s">
        <v>2711</v>
      </c>
      <c r="C2771" s="1000"/>
      <c r="H2771" s="983" t="s">
        <v>1108</v>
      </c>
    </row>
    <row r="2772" spans="1:9" x14ac:dyDescent="0.2">
      <c r="A2772" s="997">
        <f t="shared" si="43"/>
        <v>2771</v>
      </c>
      <c r="B2772" s="983" t="s">
        <v>2711</v>
      </c>
      <c r="C2772" s="1001"/>
      <c r="H2772" s="983" t="str">
        <f>CONCATENATE("&lt;valeur&gt;",Cellule_11388,"&lt;/valeur&gt;")</f>
        <v>&lt;valeur&gt;0&lt;/valeur&gt;</v>
      </c>
    </row>
    <row r="2773" spans="1:9" x14ac:dyDescent="0.2">
      <c r="A2773" s="997">
        <f t="shared" si="43"/>
        <v>2772</v>
      </c>
      <c r="B2773" s="983" t="s">
        <v>2711</v>
      </c>
      <c r="C2773" s="1000"/>
      <c r="G2773" s="983" t="s">
        <v>1109</v>
      </c>
    </row>
    <row r="2774" spans="1:9" x14ac:dyDescent="0.2">
      <c r="A2774" s="997">
        <f t="shared" si="43"/>
        <v>2773</v>
      </c>
      <c r="B2774" s="983" t="s">
        <v>2711</v>
      </c>
      <c r="C2774" s="1000"/>
      <c r="G2774" s="983" t="s">
        <v>1106</v>
      </c>
    </row>
    <row r="2775" spans="1:9" x14ac:dyDescent="0.2">
      <c r="A2775" s="997">
        <f t="shared" si="43"/>
        <v>2774</v>
      </c>
      <c r="B2775" s="983" t="s">
        <v>2711</v>
      </c>
      <c r="C2775" s="999"/>
      <c r="H2775" s="983" t="s">
        <v>1107</v>
      </c>
    </row>
    <row r="2776" spans="1:9" x14ac:dyDescent="0.2">
      <c r="A2776" s="997">
        <f t="shared" si="43"/>
        <v>2775</v>
      </c>
      <c r="B2776" s="983" t="s">
        <v>2711</v>
      </c>
      <c r="C2776" s="999"/>
      <c r="I2776" s="983" t="s">
        <v>1583</v>
      </c>
    </row>
    <row r="2777" spans="1:9" x14ac:dyDescent="0.2">
      <c r="A2777" s="997">
        <f t="shared" si="43"/>
        <v>2776</v>
      </c>
      <c r="B2777" s="983" t="s">
        <v>2711</v>
      </c>
      <c r="C2777" s="1000"/>
      <c r="H2777" s="983" t="s">
        <v>1108</v>
      </c>
    </row>
    <row r="2778" spans="1:9" x14ac:dyDescent="0.2">
      <c r="A2778" s="997">
        <f t="shared" si="43"/>
        <v>2777</v>
      </c>
      <c r="B2778" s="983" t="s">
        <v>2711</v>
      </c>
      <c r="C2778" s="1001"/>
      <c r="H2778" s="983" t="str">
        <f>CONCATENATE("&lt;valeur&gt;",Cellule_11344,"&lt;/valeur&gt;")</f>
        <v>&lt;valeur&gt;0&lt;/valeur&gt;</v>
      </c>
    </row>
    <row r="2779" spans="1:9" x14ac:dyDescent="0.2">
      <c r="A2779" s="997">
        <f t="shared" si="43"/>
        <v>2778</v>
      </c>
      <c r="B2779" s="983" t="s">
        <v>2711</v>
      </c>
      <c r="C2779" s="1000"/>
      <c r="G2779" s="983" t="s">
        <v>1109</v>
      </c>
    </row>
    <row r="2780" spans="1:9" x14ac:dyDescent="0.2">
      <c r="A2780" s="997">
        <f t="shared" si="43"/>
        <v>2779</v>
      </c>
      <c r="B2780" s="983" t="s">
        <v>2711</v>
      </c>
      <c r="C2780" s="1000"/>
      <c r="G2780" s="983" t="s">
        <v>1106</v>
      </c>
    </row>
    <row r="2781" spans="1:9" x14ac:dyDescent="0.2">
      <c r="A2781" s="997">
        <f t="shared" si="43"/>
        <v>2780</v>
      </c>
      <c r="B2781" s="983" t="s">
        <v>2711</v>
      </c>
      <c r="C2781" s="999"/>
      <c r="H2781" s="983" t="s">
        <v>1107</v>
      </c>
    </row>
    <row r="2782" spans="1:9" x14ac:dyDescent="0.2">
      <c r="A2782" s="997">
        <f t="shared" si="43"/>
        <v>2781</v>
      </c>
      <c r="B2782" s="983" t="s">
        <v>2711</v>
      </c>
      <c r="C2782" s="999"/>
      <c r="I2782" s="983" t="s">
        <v>1584</v>
      </c>
    </row>
    <row r="2783" spans="1:9" x14ac:dyDescent="0.2">
      <c r="A2783" s="997">
        <f t="shared" si="43"/>
        <v>2782</v>
      </c>
      <c r="B2783" s="983" t="s">
        <v>2711</v>
      </c>
      <c r="C2783" s="1000"/>
      <c r="H2783" s="983" t="s">
        <v>1108</v>
      </c>
    </row>
    <row r="2784" spans="1:9" x14ac:dyDescent="0.2">
      <c r="A2784" s="997">
        <f t="shared" si="43"/>
        <v>2783</v>
      </c>
      <c r="B2784" s="983" t="s">
        <v>2711</v>
      </c>
      <c r="C2784" s="1001"/>
      <c r="H2784" s="983" t="str">
        <f>CONCATENATE("&lt;valeur&gt;",Cellule_11349,"&lt;/valeur&gt;")</f>
        <v>&lt;valeur&gt;0&lt;/valeur&gt;</v>
      </c>
    </row>
    <row r="2785" spans="1:9" x14ac:dyDescent="0.2">
      <c r="A2785" s="997">
        <f t="shared" si="43"/>
        <v>2784</v>
      </c>
      <c r="B2785" s="983" t="s">
        <v>2711</v>
      </c>
      <c r="C2785" s="1000"/>
      <c r="G2785" s="983" t="s">
        <v>1109</v>
      </c>
    </row>
    <row r="2786" spans="1:9" x14ac:dyDescent="0.2">
      <c r="A2786" s="997">
        <f t="shared" si="43"/>
        <v>2785</v>
      </c>
      <c r="B2786" s="983" t="s">
        <v>2711</v>
      </c>
      <c r="C2786" s="1000"/>
      <c r="G2786" s="983" t="s">
        <v>1106</v>
      </c>
    </row>
    <row r="2787" spans="1:9" x14ac:dyDescent="0.2">
      <c r="A2787" s="997">
        <f t="shared" si="43"/>
        <v>2786</v>
      </c>
      <c r="B2787" s="983" t="s">
        <v>2711</v>
      </c>
      <c r="C2787" s="999"/>
      <c r="H2787" s="983" t="s">
        <v>1107</v>
      </c>
    </row>
    <row r="2788" spans="1:9" x14ac:dyDescent="0.2">
      <c r="A2788" s="997">
        <f t="shared" si="43"/>
        <v>2787</v>
      </c>
      <c r="B2788" s="983" t="s">
        <v>2711</v>
      </c>
      <c r="C2788" s="999"/>
      <c r="I2788" s="983" t="s">
        <v>1585</v>
      </c>
    </row>
    <row r="2789" spans="1:9" x14ac:dyDescent="0.2">
      <c r="A2789" s="997">
        <f t="shared" si="43"/>
        <v>2788</v>
      </c>
      <c r="B2789" s="983" t="s">
        <v>2711</v>
      </c>
      <c r="C2789" s="1000"/>
      <c r="H2789" s="983" t="s">
        <v>1108</v>
      </c>
    </row>
    <row r="2790" spans="1:9" x14ac:dyDescent="0.2">
      <c r="A2790" s="997">
        <f t="shared" si="43"/>
        <v>2789</v>
      </c>
      <c r="B2790" s="983" t="s">
        <v>2711</v>
      </c>
      <c r="C2790" s="1001"/>
      <c r="H2790" s="983" t="str">
        <f>CONCATENATE("&lt;valeur&gt;",Cellule_11354,"&lt;/valeur&gt;")</f>
        <v>&lt;valeur&gt;0&lt;/valeur&gt;</v>
      </c>
    </row>
    <row r="2791" spans="1:9" x14ac:dyDescent="0.2">
      <c r="A2791" s="997">
        <f t="shared" si="43"/>
        <v>2790</v>
      </c>
      <c r="B2791" s="983" t="s">
        <v>2711</v>
      </c>
      <c r="C2791" s="1000"/>
      <c r="G2791" s="983" t="s">
        <v>1109</v>
      </c>
    </row>
    <row r="2792" spans="1:9" x14ac:dyDescent="0.2">
      <c r="A2792" s="997">
        <f t="shared" si="43"/>
        <v>2791</v>
      </c>
      <c r="B2792" s="983" t="s">
        <v>2711</v>
      </c>
      <c r="C2792" s="1000"/>
      <c r="G2792" s="983" t="s">
        <v>1106</v>
      </c>
    </row>
    <row r="2793" spans="1:9" x14ac:dyDescent="0.2">
      <c r="A2793" s="997">
        <f t="shared" si="43"/>
        <v>2792</v>
      </c>
      <c r="B2793" s="983" t="s">
        <v>2711</v>
      </c>
      <c r="C2793" s="999"/>
      <c r="H2793" s="983" t="s">
        <v>1107</v>
      </c>
    </row>
    <row r="2794" spans="1:9" x14ac:dyDescent="0.2">
      <c r="A2794" s="997">
        <f t="shared" si="43"/>
        <v>2793</v>
      </c>
      <c r="B2794" s="983" t="s">
        <v>2711</v>
      </c>
      <c r="C2794" s="999"/>
      <c r="I2794" s="983" t="s">
        <v>1586</v>
      </c>
    </row>
    <row r="2795" spans="1:9" x14ac:dyDescent="0.2">
      <c r="A2795" s="997">
        <f t="shared" si="43"/>
        <v>2794</v>
      </c>
      <c r="B2795" s="983" t="s">
        <v>2711</v>
      </c>
      <c r="C2795" s="1000"/>
      <c r="H2795" s="983" t="s">
        <v>1108</v>
      </c>
    </row>
    <row r="2796" spans="1:9" x14ac:dyDescent="0.2">
      <c r="A2796" s="997">
        <f t="shared" si="43"/>
        <v>2795</v>
      </c>
      <c r="B2796" s="983" t="s">
        <v>2711</v>
      </c>
      <c r="C2796" s="1001"/>
      <c r="H2796" s="983" t="str">
        <f>CONCATENATE("&lt;valeur&gt;",Cellule_11394,"&lt;/valeur&gt;")</f>
        <v>&lt;valeur&gt;0&lt;/valeur&gt;</v>
      </c>
    </row>
    <row r="2797" spans="1:9" x14ac:dyDescent="0.2">
      <c r="A2797" s="997">
        <f t="shared" si="43"/>
        <v>2796</v>
      </c>
      <c r="B2797" s="983" t="s">
        <v>2711</v>
      </c>
      <c r="C2797" s="1000"/>
      <c r="G2797" s="983" t="s">
        <v>1109</v>
      </c>
    </row>
    <row r="2798" spans="1:9" x14ac:dyDescent="0.2">
      <c r="A2798" s="997">
        <f t="shared" si="43"/>
        <v>2797</v>
      </c>
      <c r="B2798" s="983" t="s">
        <v>2711</v>
      </c>
      <c r="C2798" s="1000"/>
      <c r="G2798" s="983" t="s">
        <v>1106</v>
      </c>
    </row>
    <row r="2799" spans="1:9" x14ac:dyDescent="0.2">
      <c r="A2799" s="997">
        <f t="shared" si="43"/>
        <v>2798</v>
      </c>
      <c r="B2799" s="983" t="s">
        <v>2711</v>
      </c>
      <c r="C2799" s="999"/>
      <c r="H2799" s="983" t="s">
        <v>1107</v>
      </c>
    </row>
    <row r="2800" spans="1:9" x14ac:dyDescent="0.2">
      <c r="A2800" s="997">
        <f t="shared" si="43"/>
        <v>2799</v>
      </c>
      <c r="B2800" s="983" t="s">
        <v>2711</v>
      </c>
      <c r="C2800" s="999"/>
      <c r="I2800" s="983" t="s">
        <v>1587</v>
      </c>
    </row>
    <row r="2801" spans="1:9" x14ac:dyDescent="0.2">
      <c r="A2801" s="997">
        <f t="shared" si="43"/>
        <v>2800</v>
      </c>
      <c r="B2801" s="983" t="s">
        <v>2711</v>
      </c>
      <c r="C2801" s="1000"/>
      <c r="H2801" s="983" t="s">
        <v>1108</v>
      </c>
    </row>
    <row r="2802" spans="1:9" x14ac:dyDescent="0.2">
      <c r="A2802" s="997">
        <f t="shared" si="43"/>
        <v>2801</v>
      </c>
      <c r="B2802" s="983" t="s">
        <v>2711</v>
      </c>
      <c r="C2802" s="1001"/>
      <c r="H2802" s="983" t="str">
        <f>CONCATENATE("&lt;valeur&gt;",Cellule_11399,"&lt;/valeur&gt;")</f>
        <v>&lt;valeur&gt;0&lt;/valeur&gt;</v>
      </c>
    </row>
    <row r="2803" spans="1:9" x14ac:dyDescent="0.2">
      <c r="A2803" s="997">
        <f t="shared" si="43"/>
        <v>2802</v>
      </c>
      <c r="B2803" s="983" t="s">
        <v>2711</v>
      </c>
      <c r="C2803" s="1000"/>
      <c r="G2803" s="983" t="s">
        <v>1109</v>
      </c>
    </row>
    <row r="2804" spans="1:9" x14ac:dyDescent="0.2">
      <c r="A2804" s="997">
        <f t="shared" si="43"/>
        <v>2803</v>
      </c>
      <c r="B2804" s="983" t="s">
        <v>2711</v>
      </c>
      <c r="C2804" s="1000"/>
      <c r="G2804" s="983" t="s">
        <v>1106</v>
      </c>
    </row>
    <row r="2805" spans="1:9" x14ac:dyDescent="0.2">
      <c r="A2805" s="997">
        <f t="shared" si="43"/>
        <v>2804</v>
      </c>
      <c r="B2805" s="983" t="s">
        <v>2711</v>
      </c>
      <c r="C2805" s="999"/>
      <c r="H2805" s="983" t="s">
        <v>1107</v>
      </c>
    </row>
    <row r="2806" spans="1:9" x14ac:dyDescent="0.2">
      <c r="A2806" s="997">
        <f t="shared" si="43"/>
        <v>2805</v>
      </c>
      <c r="B2806" s="983" t="s">
        <v>2711</v>
      </c>
      <c r="C2806" s="999"/>
      <c r="I2806" s="983" t="s">
        <v>1588</v>
      </c>
    </row>
    <row r="2807" spans="1:9" x14ac:dyDescent="0.2">
      <c r="A2807" s="997">
        <f t="shared" si="43"/>
        <v>2806</v>
      </c>
      <c r="B2807" s="983" t="s">
        <v>2711</v>
      </c>
      <c r="C2807" s="1000"/>
      <c r="H2807" s="983" t="s">
        <v>1108</v>
      </c>
    </row>
    <row r="2808" spans="1:9" x14ac:dyDescent="0.2">
      <c r="A2808" s="997">
        <f t="shared" si="43"/>
        <v>2807</v>
      </c>
      <c r="B2808" s="983" t="s">
        <v>2711</v>
      </c>
      <c r="C2808" s="1001"/>
      <c r="H2808" s="983" t="str">
        <f>CONCATENATE("&lt;valeur&gt;",Cellule_11404,"&lt;/valeur&gt;")</f>
        <v>&lt;valeur&gt;0&lt;/valeur&gt;</v>
      </c>
    </row>
    <row r="2809" spans="1:9" x14ac:dyDescent="0.2">
      <c r="A2809" s="997">
        <f t="shared" si="43"/>
        <v>2808</v>
      </c>
      <c r="B2809" s="983" t="s">
        <v>2711</v>
      </c>
      <c r="C2809" s="1000"/>
      <c r="G2809" s="983" t="s">
        <v>1109</v>
      </c>
    </row>
    <row r="2810" spans="1:9" x14ac:dyDescent="0.2">
      <c r="A2810" s="997">
        <f t="shared" si="43"/>
        <v>2809</v>
      </c>
      <c r="B2810" s="983" t="s">
        <v>2711</v>
      </c>
      <c r="C2810" s="1000"/>
      <c r="G2810" s="983" t="s">
        <v>1106</v>
      </c>
    </row>
    <row r="2811" spans="1:9" x14ac:dyDescent="0.2">
      <c r="A2811" s="997">
        <f t="shared" si="43"/>
        <v>2810</v>
      </c>
      <c r="B2811" s="983" t="s">
        <v>2711</v>
      </c>
      <c r="C2811" s="999"/>
      <c r="H2811" s="983" t="s">
        <v>1107</v>
      </c>
    </row>
    <row r="2812" spans="1:9" x14ac:dyDescent="0.2">
      <c r="A2812" s="997">
        <f t="shared" si="43"/>
        <v>2811</v>
      </c>
      <c r="B2812" s="983" t="s">
        <v>2711</v>
      </c>
      <c r="C2812" s="999"/>
      <c r="I2812" s="983" t="s">
        <v>1589</v>
      </c>
    </row>
    <row r="2813" spans="1:9" x14ac:dyDescent="0.2">
      <c r="A2813" s="997">
        <f t="shared" si="43"/>
        <v>2812</v>
      </c>
      <c r="B2813" s="983" t="s">
        <v>2711</v>
      </c>
      <c r="C2813" s="1000"/>
      <c r="H2813" s="983" t="s">
        <v>1108</v>
      </c>
    </row>
    <row r="2814" spans="1:9" x14ac:dyDescent="0.2">
      <c r="A2814" s="997">
        <f t="shared" si="43"/>
        <v>2813</v>
      </c>
      <c r="B2814" s="983" t="s">
        <v>2711</v>
      </c>
      <c r="C2814" s="1001"/>
      <c r="H2814" s="983" t="str">
        <f>CONCATENATE("&lt;valeur&gt;",Cellule_11409,"&lt;/valeur&gt;")</f>
        <v>&lt;valeur&gt;0&lt;/valeur&gt;</v>
      </c>
    </row>
    <row r="2815" spans="1:9" x14ac:dyDescent="0.2">
      <c r="A2815" s="997">
        <f t="shared" si="43"/>
        <v>2814</v>
      </c>
      <c r="B2815" s="983" t="s">
        <v>2711</v>
      </c>
      <c r="C2815" s="1000"/>
      <c r="G2815" s="983" t="s">
        <v>1109</v>
      </c>
    </row>
    <row r="2816" spans="1:9" x14ac:dyDescent="0.2">
      <c r="A2816" s="997">
        <f t="shared" si="43"/>
        <v>2815</v>
      </c>
      <c r="B2816" s="983" t="s">
        <v>2711</v>
      </c>
      <c r="C2816" s="1000"/>
      <c r="G2816" s="983" t="s">
        <v>1106</v>
      </c>
    </row>
    <row r="2817" spans="1:9" x14ac:dyDescent="0.2">
      <c r="A2817" s="997">
        <f t="shared" si="43"/>
        <v>2816</v>
      </c>
      <c r="B2817" s="983" t="s">
        <v>2711</v>
      </c>
      <c r="C2817" s="999"/>
      <c r="H2817" s="983" t="s">
        <v>1107</v>
      </c>
    </row>
    <row r="2818" spans="1:9" x14ac:dyDescent="0.2">
      <c r="A2818" s="997">
        <f t="shared" si="43"/>
        <v>2817</v>
      </c>
      <c r="B2818" s="983" t="s">
        <v>2711</v>
      </c>
      <c r="C2818" s="999"/>
      <c r="I2818" s="983" t="s">
        <v>1590</v>
      </c>
    </row>
    <row r="2819" spans="1:9" x14ac:dyDescent="0.2">
      <c r="A2819" s="997">
        <f t="shared" si="43"/>
        <v>2818</v>
      </c>
      <c r="B2819" s="983" t="s">
        <v>2711</v>
      </c>
      <c r="C2819" s="1000"/>
      <c r="H2819" s="983" t="s">
        <v>1108</v>
      </c>
    </row>
    <row r="2820" spans="1:9" x14ac:dyDescent="0.2">
      <c r="A2820" s="997">
        <f t="shared" ref="A2820:A2883" si="44">+A2819+1</f>
        <v>2819</v>
      </c>
      <c r="B2820" s="983" t="s">
        <v>2711</v>
      </c>
      <c r="C2820" s="1001"/>
      <c r="H2820" s="983" t="str">
        <f>CONCATENATE("&lt;valeur&gt;",Cellule_11359,"&lt;/valeur&gt;")</f>
        <v>&lt;valeur&gt;0&lt;/valeur&gt;</v>
      </c>
    </row>
    <row r="2821" spans="1:9" x14ac:dyDescent="0.2">
      <c r="A2821" s="997">
        <f t="shared" si="44"/>
        <v>2820</v>
      </c>
      <c r="B2821" s="983" t="s">
        <v>2711</v>
      </c>
      <c r="C2821" s="1000"/>
      <c r="G2821" s="983" t="s">
        <v>1109</v>
      </c>
    </row>
    <row r="2822" spans="1:9" x14ac:dyDescent="0.2">
      <c r="A2822" s="997">
        <f t="shared" si="44"/>
        <v>2821</v>
      </c>
      <c r="B2822" s="983" t="s">
        <v>2711</v>
      </c>
      <c r="C2822" s="1000"/>
      <c r="G2822" s="983" t="s">
        <v>1106</v>
      </c>
    </row>
    <row r="2823" spans="1:9" x14ac:dyDescent="0.2">
      <c r="A2823" s="997">
        <f t="shared" si="44"/>
        <v>2822</v>
      </c>
      <c r="B2823" s="983" t="s">
        <v>2711</v>
      </c>
      <c r="C2823" s="999"/>
      <c r="H2823" s="983" t="s">
        <v>1107</v>
      </c>
    </row>
    <row r="2824" spans="1:9" x14ac:dyDescent="0.2">
      <c r="A2824" s="997">
        <f t="shared" si="44"/>
        <v>2823</v>
      </c>
      <c r="B2824" s="983" t="s">
        <v>2711</v>
      </c>
      <c r="C2824" s="999"/>
      <c r="I2824" s="983" t="s">
        <v>1591</v>
      </c>
    </row>
    <row r="2825" spans="1:9" x14ac:dyDescent="0.2">
      <c r="A2825" s="997">
        <f t="shared" si="44"/>
        <v>2824</v>
      </c>
      <c r="B2825" s="983" t="s">
        <v>2711</v>
      </c>
      <c r="C2825" s="1000"/>
      <c r="H2825" s="983" t="s">
        <v>1108</v>
      </c>
    </row>
    <row r="2826" spans="1:9" x14ac:dyDescent="0.2">
      <c r="A2826" s="997">
        <f t="shared" si="44"/>
        <v>2825</v>
      </c>
      <c r="B2826" s="983" t="s">
        <v>2711</v>
      </c>
      <c r="C2826" s="1001"/>
      <c r="H2826" s="983" t="str">
        <f>CONCATENATE("&lt;valeur&gt;",Cellule_11364,"&lt;/valeur&gt;")</f>
        <v>&lt;valeur&gt;0&lt;/valeur&gt;</v>
      </c>
    </row>
    <row r="2827" spans="1:9" x14ac:dyDescent="0.2">
      <c r="A2827" s="997">
        <f t="shared" si="44"/>
        <v>2826</v>
      </c>
      <c r="B2827" s="983" t="s">
        <v>2711</v>
      </c>
      <c r="C2827" s="1000"/>
      <c r="G2827" s="983" t="s">
        <v>1109</v>
      </c>
    </row>
    <row r="2828" spans="1:9" x14ac:dyDescent="0.2">
      <c r="A2828" s="997">
        <f t="shared" si="44"/>
        <v>2827</v>
      </c>
      <c r="B2828" s="983" t="s">
        <v>2711</v>
      </c>
      <c r="C2828" s="1000"/>
      <c r="G2828" s="983" t="s">
        <v>1106</v>
      </c>
    </row>
    <row r="2829" spans="1:9" x14ac:dyDescent="0.2">
      <c r="A2829" s="997">
        <f t="shared" si="44"/>
        <v>2828</v>
      </c>
      <c r="B2829" s="983" t="s">
        <v>2711</v>
      </c>
      <c r="C2829" s="999"/>
      <c r="H2829" s="983" t="s">
        <v>1107</v>
      </c>
    </row>
    <row r="2830" spans="1:9" x14ac:dyDescent="0.2">
      <c r="A2830" s="997">
        <f t="shared" si="44"/>
        <v>2829</v>
      </c>
      <c r="B2830" s="983" t="s">
        <v>2711</v>
      </c>
      <c r="C2830" s="999"/>
      <c r="I2830" s="983" t="s">
        <v>1592</v>
      </c>
    </row>
    <row r="2831" spans="1:9" x14ac:dyDescent="0.2">
      <c r="A2831" s="997">
        <f t="shared" si="44"/>
        <v>2830</v>
      </c>
      <c r="B2831" s="983" t="s">
        <v>2711</v>
      </c>
      <c r="C2831" s="1000"/>
      <c r="H2831" s="983" t="s">
        <v>1108</v>
      </c>
    </row>
    <row r="2832" spans="1:9" x14ac:dyDescent="0.2">
      <c r="A2832" s="997">
        <f t="shared" si="44"/>
        <v>2831</v>
      </c>
      <c r="B2832" s="983" t="s">
        <v>2711</v>
      </c>
      <c r="C2832" s="1001"/>
      <c r="H2832" s="983" t="str">
        <f>CONCATENATE("&lt;valeur&gt;",Cellule_11369,"&lt;/valeur&gt;")</f>
        <v>&lt;valeur&gt;0&lt;/valeur&gt;</v>
      </c>
    </row>
    <row r="2833" spans="1:9" x14ac:dyDescent="0.2">
      <c r="A2833" s="997">
        <f t="shared" si="44"/>
        <v>2832</v>
      </c>
      <c r="B2833" s="983" t="s">
        <v>2711</v>
      </c>
      <c r="C2833" s="1000"/>
      <c r="G2833" s="983" t="s">
        <v>1109</v>
      </c>
    </row>
    <row r="2834" spans="1:9" x14ac:dyDescent="0.2">
      <c r="A2834" s="997">
        <f t="shared" si="44"/>
        <v>2833</v>
      </c>
      <c r="B2834" s="983" t="s">
        <v>2711</v>
      </c>
      <c r="C2834" s="1000"/>
      <c r="G2834" s="983" t="s">
        <v>1106</v>
      </c>
    </row>
    <row r="2835" spans="1:9" x14ac:dyDescent="0.2">
      <c r="A2835" s="997">
        <f t="shared" si="44"/>
        <v>2834</v>
      </c>
      <c r="B2835" s="983" t="s">
        <v>2711</v>
      </c>
      <c r="C2835" s="999"/>
      <c r="H2835" s="983" t="s">
        <v>1107</v>
      </c>
    </row>
    <row r="2836" spans="1:9" x14ac:dyDescent="0.2">
      <c r="A2836" s="997">
        <f t="shared" si="44"/>
        <v>2835</v>
      </c>
      <c r="B2836" s="983" t="s">
        <v>2711</v>
      </c>
      <c r="C2836" s="999"/>
      <c r="I2836" s="983" t="s">
        <v>1593</v>
      </c>
    </row>
    <row r="2837" spans="1:9" x14ac:dyDescent="0.2">
      <c r="A2837" s="997">
        <f t="shared" si="44"/>
        <v>2836</v>
      </c>
      <c r="B2837" s="983" t="s">
        <v>2711</v>
      </c>
      <c r="C2837" s="1000"/>
      <c r="H2837" s="983" t="s">
        <v>1108</v>
      </c>
    </row>
    <row r="2838" spans="1:9" x14ac:dyDescent="0.2">
      <c r="A2838" s="997">
        <f t="shared" si="44"/>
        <v>2837</v>
      </c>
      <c r="B2838" s="983" t="s">
        <v>2711</v>
      </c>
      <c r="C2838" s="1001"/>
      <c r="H2838" s="983" t="str">
        <f>CONCATENATE("&lt;valeur&gt;",Cellule_11374,"&lt;/valeur&gt;")</f>
        <v>&lt;valeur&gt;0&lt;/valeur&gt;</v>
      </c>
    </row>
    <row r="2839" spans="1:9" x14ac:dyDescent="0.2">
      <c r="A2839" s="997">
        <f t="shared" si="44"/>
        <v>2838</v>
      </c>
      <c r="B2839" s="983" t="s">
        <v>2711</v>
      </c>
      <c r="C2839" s="1000"/>
      <c r="G2839" s="983" t="s">
        <v>1109</v>
      </c>
    </row>
    <row r="2840" spans="1:9" x14ac:dyDescent="0.2">
      <c r="A2840" s="997">
        <f t="shared" si="44"/>
        <v>2839</v>
      </c>
      <c r="B2840" s="983" t="s">
        <v>2711</v>
      </c>
      <c r="C2840" s="1000"/>
      <c r="G2840" s="983" t="s">
        <v>1106</v>
      </c>
    </row>
    <row r="2841" spans="1:9" x14ac:dyDescent="0.2">
      <c r="A2841" s="997">
        <f t="shared" si="44"/>
        <v>2840</v>
      </c>
      <c r="B2841" s="983" t="s">
        <v>2711</v>
      </c>
      <c r="C2841" s="999"/>
      <c r="H2841" s="983" t="s">
        <v>1107</v>
      </c>
    </row>
    <row r="2842" spans="1:9" x14ac:dyDescent="0.2">
      <c r="A2842" s="997">
        <f t="shared" si="44"/>
        <v>2841</v>
      </c>
      <c r="B2842" s="983" t="s">
        <v>2711</v>
      </c>
      <c r="C2842" s="999"/>
      <c r="I2842" s="983" t="s">
        <v>1594</v>
      </c>
    </row>
    <row r="2843" spans="1:9" x14ac:dyDescent="0.2">
      <c r="A2843" s="997">
        <f t="shared" si="44"/>
        <v>2842</v>
      </c>
      <c r="B2843" s="983" t="s">
        <v>2711</v>
      </c>
      <c r="C2843" s="1000"/>
      <c r="H2843" s="983" t="s">
        <v>1108</v>
      </c>
    </row>
    <row r="2844" spans="1:9" x14ac:dyDescent="0.2">
      <c r="A2844" s="997">
        <f t="shared" si="44"/>
        <v>2843</v>
      </c>
      <c r="B2844" s="983" t="s">
        <v>2711</v>
      </c>
      <c r="C2844" s="1001"/>
      <c r="H2844" s="983" t="str">
        <f>CONCATENATE("&lt;valeur&gt;",Cellule_11379,"&lt;/valeur&gt;")</f>
        <v>&lt;valeur&gt;0&lt;/valeur&gt;</v>
      </c>
    </row>
    <row r="2845" spans="1:9" x14ac:dyDescent="0.2">
      <c r="A2845" s="997">
        <f t="shared" si="44"/>
        <v>2844</v>
      </c>
      <c r="B2845" s="983" t="s">
        <v>2711</v>
      </c>
      <c r="C2845" s="1000"/>
      <c r="G2845" s="983" t="s">
        <v>1109</v>
      </c>
    </row>
    <row r="2846" spans="1:9" x14ac:dyDescent="0.2">
      <c r="A2846" s="997">
        <f t="shared" si="44"/>
        <v>2845</v>
      </c>
      <c r="B2846" s="983" t="s">
        <v>2711</v>
      </c>
      <c r="C2846" s="1000"/>
      <c r="G2846" s="983" t="s">
        <v>1106</v>
      </c>
    </row>
    <row r="2847" spans="1:9" x14ac:dyDescent="0.2">
      <c r="A2847" s="997">
        <f t="shared" si="44"/>
        <v>2846</v>
      </c>
      <c r="B2847" s="983" t="s">
        <v>2711</v>
      </c>
      <c r="C2847" s="999"/>
      <c r="H2847" s="983" t="s">
        <v>1107</v>
      </c>
    </row>
    <row r="2848" spans="1:9" x14ac:dyDescent="0.2">
      <c r="A2848" s="997">
        <f t="shared" si="44"/>
        <v>2847</v>
      </c>
      <c r="B2848" s="983" t="s">
        <v>2711</v>
      </c>
      <c r="C2848" s="999"/>
      <c r="I2848" s="983" t="s">
        <v>1595</v>
      </c>
    </row>
    <row r="2849" spans="1:9" x14ac:dyDescent="0.2">
      <c r="A2849" s="997">
        <f t="shared" si="44"/>
        <v>2848</v>
      </c>
      <c r="B2849" s="983" t="s">
        <v>2711</v>
      </c>
      <c r="C2849" s="1000"/>
      <c r="H2849" s="983" t="s">
        <v>1108</v>
      </c>
    </row>
    <row r="2850" spans="1:9" x14ac:dyDescent="0.2">
      <c r="A2850" s="997">
        <f t="shared" si="44"/>
        <v>2849</v>
      </c>
      <c r="B2850" s="983" t="s">
        <v>2711</v>
      </c>
      <c r="C2850" s="1001"/>
      <c r="H2850" s="983" t="str">
        <f>CONCATENATE("&lt;valeur&gt;",Cellule_11384,"&lt;/valeur&gt;")</f>
        <v>&lt;valeur&gt;0&lt;/valeur&gt;</v>
      </c>
    </row>
    <row r="2851" spans="1:9" x14ac:dyDescent="0.2">
      <c r="A2851" s="997">
        <f t="shared" si="44"/>
        <v>2850</v>
      </c>
      <c r="B2851" s="983" t="s">
        <v>2711</v>
      </c>
      <c r="C2851" s="1000"/>
      <c r="G2851" s="983" t="s">
        <v>1109</v>
      </c>
    </row>
    <row r="2852" spans="1:9" x14ac:dyDescent="0.2">
      <c r="A2852" s="997">
        <f t="shared" si="44"/>
        <v>2851</v>
      </c>
      <c r="B2852" s="983" t="s">
        <v>2711</v>
      </c>
      <c r="C2852" s="1000"/>
      <c r="G2852" s="983" t="s">
        <v>1106</v>
      </c>
    </row>
    <row r="2853" spans="1:9" x14ac:dyDescent="0.2">
      <c r="A2853" s="997">
        <f t="shared" si="44"/>
        <v>2852</v>
      </c>
      <c r="B2853" s="983" t="s">
        <v>2711</v>
      </c>
      <c r="C2853" s="999"/>
      <c r="H2853" s="983" t="s">
        <v>1107</v>
      </c>
    </row>
    <row r="2854" spans="1:9" x14ac:dyDescent="0.2">
      <c r="A2854" s="997">
        <f t="shared" si="44"/>
        <v>2853</v>
      </c>
      <c r="B2854" s="983" t="s">
        <v>2711</v>
      </c>
      <c r="C2854" s="999"/>
      <c r="I2854" s="983" t="s">
        <v>1596</v>
      </c>
    </row>
    <row r="2855" spans="1:9" x14ac:dyDescent="0.2">
      <c r="A2855" s="997">
        <f t="shared" si="44"/>
        <v>2854</v>
      </c>
      <c r="B2855" s="983" t="s">
        <v>2711</v>
      </c>
      <c r="C2855" s="1000"/>
      <c r="H2855" s="983" t="s">
        <v>1108</v>
      </c>
    </row>
    <row r="2856" spans="1:9" x14ac:dyDescent="0.2">
      <c r="A2856" s="997">
        <f t="shared" si="44"/>
        <v>2855</v>
      </c>
      <c r="B2856" s="983" t="s">
        <v>2711</v>
      </c>
      <c r="C2856" s="1001"/>
      <c r="H2856" s="983" t="str">
        <f>CONCATENATE("&lt;valeur&gt;",Cellule_11389,"&lt;/valeur&gt;")</f>
        <v>&lt;valeur&gt;0&lt;/valeur&gt;</v>
      </c>
    </row>
    <row r="2857" spans="1:9" x14ac:dyDescent="0.2">
      <c r="A2857" s="997">
        <f t="shared" si="44"/>
        <v>2856</v>
      </c>
      <c r="B2857" s="983" t="s">
        <v>2711</v>
      </c>
      <c r="C2857" s="1000"/>
      <c r="G2857" s="983" t="s">
        <v>1109</v>
      </c>
    </row>
    <row r="2858" spans="1:9" x14ac:dyDescent="0.2">
      <c r="A2858" s="997">
        <f t="shared" si="44"/>
        <v>2857</v>
      </c>
      <c r="B2858" s="983" t="s">
        <v>2711</v>
      </c>
      <c r="C2858" s="1000"/>
      <c r="G2858" s="983" t="s">
        <v>1106</v>
      </c>
    </row>
    <row r="2859" spans="1:9" x14ac:dyDescent="0.2">
      <c r="A2859" s="997">
        <f t="shared" si="44"/>
        <v>2858</v>
      </c>
      <c r="B2859" s="983" t="s">
        <v>2711</v>
      </c>
      <c r="C2859" s="999"/>
      <c r="H2859" s="983" t="s">
        <v>1107</v>
      </c>
    </row>
    <row r="2860" spans="1:9" x14ac:dyDescent="0.2">
      <c r="A2860" s="997">
        <f t="shared" si="44"/>
        <v>2859</v>
      </c>
      <c r="B2860" s="983" t="s">
        <v>2711</v>
      </c>
      <c r="C2860" s="999"/>
      <c r="I2860" s="983" t="s">
        <v>1597</v>
      </c>
    </row>
    <row r="2861" spans="1:9" x14ac:dyDescent="0.2">
      <c r="A2861" s="997">
        <f t="shared" si="44"/>
        <v>2860</v>
      </c>
      <c r="B2861" s="983" t="s">
        <v>2711</v>
      </c>
      <c r="C2861" s="1000"/>
      <c r="H2861" s="983" t="s">
        <v>1108</v>
      </c>
    </row>
    <row r="2862" spans="1:9" x14ac:dyDescent="0.2">
      <c r="A2862" s="997">
        <f t="shared" si="44"/>
        <v>2861</v>
      </c>
      <c r="B2862" s="983" t="s">
        <v>2711</v>
      </c>
      <c r="C2862" s="1001"/>
      <c r="H2862" s="983" t="str">
        <f>CONCATENATE("&lt;valeur&gt;",Cellule_11411,"&lt;/valeur&gt;")</f>
        <v>&lt;valeur&gt;23836,44&lt;/valeur&gt;</v>
      </c>
    </row>
    <row r="2863" spans="1:9" x14ac:dyDescent="0.2">
      <c r="A2863" s="997">
        <f t="shared" si="44"/>
        <v>2862</v>
      </c>
      <c r="B2863" s="983" t="s">
        <v>2711</v>
      </c>
      <c r="C2863" s="1000"/>
      <c r="G2863" s="983" t="s">
        <v>1109</v>
      </c>
    </row>
    <row r="2864" spans="1:9" x14ac:dyDescent="0.2">
      <c r="A2864" s="997">
        <f t="shared" si="44"/>
        <v>2863</v>
      </c>
      <c r="B2864" s="983" t="s">
        <v>2711</v>
      </c>
      <c r="C2864" s="1000"/>
      <c r="G2864" s="983" t="s">
        <v>1106</v>
      </c>
    </row>
    <row r="2865" spans="1:9" x14ac:dyDescent="0.2">
      <c r="A2865" s="997">
        <f t="shared" si="44"/>
        <v>2864</v>
      </c>
      <c r="B2865" s="983" t="s">
        <v>2711</v>
      </c>
      <c r="C2865" s="999"/>
      <c r="H2865" s="983" t="s">
        <v>1107</v>
      </c>
    </row>
    <row r="2866" spans="1:9" x14ac:dyDescent="0.2">
      <c r="A2866" s="997">
        <f t="shared" si="44"/>
        <v>2865</v>
      </c>
      <c r="B2866" s="983" t="s">
        <v>2711</v>
      </c>
      <c r="C2866" s="999"/>
      <c r="I2866" s="983" t="s">
        <v>1598</v>
      </c>
    </row>
    <row r="2867" spans="1:9" x14ac:dyDescent="0.2">
      <c r="A2867" s="997">
        <f t="shared" si="44"/>
        <v>2866</v>
      </c>
      <c r="B2867" s="983" t="s">
        <v>2711</v>
      </c>
      <c r="C2867" s="1000"/>
      <c r="H2867" s="983" t="s">
        <v>1108</v>
      </c>
    </row>
    <row r="2868" spans="1:9" x14ac:dyDescent="0.2">
      <c r="A2868" s="997">
        <f t="shared" si="44"/>
        <v>2867</v>
      </c>
      <c r="B2868" s="983" t="s">
        <v>2711</v>
      </c>
      <c r="C2868" s="1001"/>
      <c r="H2868" s="983" t="str">
        <f>CONCATENATE("&lt;valeur&gt;",Cellule_11412,"&lt;/valeur&gt;")</f>
        <v>&lt;valeur&gt;0&lt;/valeur&gt;</v>
      </c>
    </row>
    <row r="2869" spans="1:9" x14ac:dyDescent="0.2">
      <c r="A2869" s="997">
        <f t="shared" si="44"/>
        <v>2868</v>
      </c>
      <c r="B2869" s="983" t="s">
        <v>2711</v>
      </c>
      <c r="C2869" s="1000"/>
      <c r="G2869" s="983" t="s">
        <v>1109</v>
      </c>
    </row>
    <row r="2870" spans="1:9" x14ac:dyDescent="0.2">
      <c r="A2870" s="997">
        <f t="shared" si="44"/>
        <v>2869</v>
      </c>
      <c r="B2870" s="983" t="s">
        <v>2711</v>
      </c>
      <c r="C2870" s="1000"/>
      <c r="G2870" s="983" t="s">
        <v>1106</v>
      </c>
    </row>
    <row r="2871" spans="1:9" x14ac:dyDescent="0.2">
      <c r="A2871" s="997">
        <f t="shared" si="44"/>
        <v>2870</v>
      </c>
      <c r="B2871" s="983" t="s">
        <v>2711</v>
      </c>
      <c r="C2871" s="999"/>
      <c r="H2871" s="983" t="s">
        <v>1107</v>
      </c>
    </row>
    <row r="2872" spans="1:9" x14ac:dyDescent="0.2">
      <c r="A2872" s="997">
        <f t="shared" si="44"/>
        <v>2871</v>
      </c>
      <c r="B2872" s="983" t="s">
        <v>2711</v>
      </c>
      <c r="C2872" s="999"/>
      <c r="I2872" s="983" t="s">
        <v>1599</v>
      </c>
    </row>
    <row r="2873" spans="1:9" x14ac:dyDescent="0.2">
      <c r="A2873" s="997">
        <f t="shared" si="44"/>
        <v>2872</v>
      </c>
      <c r="B2873" s="983" t="s">
        <v>2711</v>
      </c>
      <c r="C2873" s="1000"/>
      <c r="H2873" s="983" t="s">
        <v>1108</v>
      </c>
    </row>
    <row r="2874" spans="1:9" x14ac:dyDescent="0.2">
      <c r="A2874" s="997">
        <f t="shared" si="44"/>
        <v>2873</v>
      </c>
      <c r="B2874" s="983" t="s">
        <v>2711</v>
      </c>
      <c r="C2874" s="1001"/>
      <c r="H2874" s="983" t="str">
        <f>CONCATENATE("&lt;valeur&gt;",Cellule_11413,"&lt;/valeur&gt;")</f>
        <v>&lt;valeur&gt;23836,44&lt;/valeur&gt;</v>
      </c>
    </row>
    <row r="2875" spans="1:9" x14ac:dyDescent="0.2">
      <c r="A2875" s="997">
        <f t="shared" si="44"/>
        <v>2874</v>
      </c>
      <c r="B2875" s="983" t="s">
        <v>2711</v>
      </c>
      <c r="C2875" s="1000"/>
      <c r="G2875" s="983" t="s">
        <v>1109</v>
      </c>
    </row>
    <row r="2876" spans="1:9" x14ac:dyDescent="0.2">
      <c r="A2876" s="997">
        <f t="shared" si="44"/>
        <v>2875</v>
      </c>
      <c r="B2876" s="983" t="s">
        <v>2711</v>
      </c>
      <c r="C2876" s="1000"/>
      <c r="G2876" s="983" t="s">
        <v>1106</v>
      </c>
    </row>
    <row r="2877" spans="1:9" x14ac:dyDescent="0.2">
      <c r="A2877" s="997">
        <f t="shared" si="44"/>
        <v>2876</v>
      </c>
      <c r="B2877" s="983" t="s">
        <v>2711</v>
      </c>
      <c r="C2877" s="999"/>
      <c r="H2877" s="983" t="s">
        <v>1107</v>
      </c>
    </row>
    <row r="2878" spans="1:9" x14ac:dyDescent="0.2">
      <c r="A2878" s="997">
        <f t="shared" si="44"/>
        <v>2877</v>
      </c>
      <c r="B2878" s="983" t="s">
        <v>2711</v>
      </c>
      <c r="C2878" s="999"/>
      <c r="I2878" s="983" t="s">
        <v>1600</v>
      </c>
    </row>
    <row r="2879" spans="1:9" x14ac:dyDescent="0.2">
      <c r="A2879" s="997">
        <f t="shared" si="44"/>
        <v>2878</v>
      </c>
      <c r="B2879" s="983" t="s">
        <v>2711</v>
      </c>
      <c r="C2879" s="1000"/>
      <c r="H2879" s="983" t="s">
        <v>1108</v>
      </c>
    </row>
    <row r="2880" spans="1:9" x14ac:dyDescent="0.2">
      <c r="A2880" s="997">
        <f t="shared" si="44"/>
        <v>2879</v>
      </c>
      <c r="B2880" s="983" t="s">
        <v>2711</v>
      </c>
      <c r="C2880" s="1001"/>
      <c r="H2880" s="983" t="str">
        <f>CONCATENATE("&lt;valeur&gt;",Cellule_11414,"&lt;/valeur&gt;")</f>
        <v>&lt;valeur&gt;-18918,67&lt;/valeur&gt;</v>
      </c>
    </row>
    <row r="2881" spans="1:9" x14ac:dyDescent="0.2">
      <c r="A2881" s="997">
        <f t="shared" si="44"/>
        <v>2880</v>
      </c>
      <c r="B2881" s="983" t="s">
        <v>2711</v>
      </c>
      <c r="C2881" s="1000"/>
      <c r="G2881" s="983" t="s">
        <v>1109</v>
      </c>
    </row>
    <row r="2882" spans="1:9" x14ac:dyDescent="0.2">
      <c r="A2882" s="997">
        <f t="shared" si="44"/>
        <v>2881</v>
      </c>
      <c r="B2882" s="983" t="s">
        <v>2711</v>
      </c>
      <c r="C2882" s="1000"/>
      <c r="G2882" s="983" t="s">
        <v>1106</v>
      </c>
    </row>
    <row r="2883" spans="1:9" x14ac:dyDescent="0.2">
      <c r="A2883" s="997">
        <f t="shared" si="44"/>
        <v>2882</v>
      </c>
      <c r="B2883" s="983" t="s">
        <v>2711</v>
      </c>
      <c r="C2883" s="999"/>
      <c r="H2883" s="983" t="s">
        <v>1107</v>
      </c>
    </row>
    <row r="2884" spans="1:9" x14ac:dyDescent="0.2">
      <c r="A2884" s="997">
        <f t="shared" ref="A2884:A2947" si="45">+A2883+1</f>
        <v>2883</v>
      </c>
      <c r="B2884" s="983" t="s">
        <v>2711</v>
      </c>
      <c r="C2884" s="999"/>
      <c r="I2884" s="983" t="s">
        <v>1601</v>
      </c>
    </row>
    <row r="2885" spans="1:9" x14ac:dyDescent="0.2">
      <c r="A2885" s="997">
        <f t="shared" si="45"/>
        <v>2884</v>
      </c>
      <c r="B2885" s="983" t="s">
        <v>2711</v>
      </c>
      <c r="C2885" s="1000"/>
      <c r="H2885" s="983" t="s">
        <v>1108</v>
      </c>
    </row>
    <row r="2886" spans="1:9" x14ac:dyDescent="0.2">
      <c r="A2886" s="997">
        <f t="shared" si="45"/>
        <v>2885</v>
      </c>
      <c r="B2886" s="983" t="s">
        <v>2711</v>
      </c>
      <c r="C2886" s="1001"/>
      <c r="H2886" s="983" t="str">
        <f>CONCATENATE("&lt;valeur&gt;",Cellule_11416,"&lt;/valeur&gt;")</f>
        <v>&lt;valeur&gt;2384&lt;/valeur&gt;</v>
      </c>
    </row>
    <row r="2887" spans="1:9" x14ac:dyDescent="0.2">
      <c r="A2887" s="997">
        <f t="shared" si="45"/>
        <v>2886</v>
      </c>
      <c r="B2887" s="983" t="s">
        <v>2711</v>
      </c>
      <c r="C2887" s="1000"/>
      <c r="G2887" s="983" t="s">
        <v>1109</v>
      </c>
    </row>
    <row r="2888" spans="1:9" x14ac:dyDescent="0.2">
      <c r="A2888" s="997">
        <f t="shared" si="45"/>
        <v>2887</v>
      </c>
      <c r="B2888" s="983" t="s">
        <v>2711</v>
      </c>
      <c r="C2888" s="1000"/>
      <c r="G2888" s="983" t="s">
        <v>1106</v>
      </c>
    </row>
    <row r="2889" spans="1:9" x14ac:dyDescent="0.2">
      <c r="A2889" s="997">
        <f t="shared" si="45"/>
        <v>2888</v>
      </c>
      <c r="B2889" s="983" t="s">
        <v>2711</v>
      </c>
      <c r="C2889" s="999"/>
      <c r="H2889" s="983" t="s">
        <v>1107</v>
      </c>
    </row>
    <row r="2890" spans="1:9" x14ac:dyDescent="0.2">
      <c r="A2890" s="997">
        <f t="shared" si="45"/>
        <v>2889</v>
      </c>
      <c r="B2890" s="983" t="s">
        <v>2711</v>
      </c>
      <c r="C2890" s="999"/>
      <c r="I2890" s="983" t="s">
        <v>1602</v>
      </c>
    </row>
    <row r="2891" spans="1:9" x14ac:dyDescent="0.2">
      <c r="A2891" s="997">
        <f t="shared" si="45"/>
        <v>2890</v>
      </c>
      <c r="B2891" s="983" t="s">
        <v>2711</v>
      </c>
      <c r="C2891" s="1000"/>
      <c r="H2891" s="983" t="s">
        <v>1108</v>
      </c>
    </row>
    <row r="2892" spans="1:9" x14ac:dyDescent="0.2">
      <c r="A2892" s="997">
        <f t="shared" si="45"/>
        <v>2891</v>
      </c>
      <c r="B2892" s="983" t="s">
        <v>2711</v>
      </c>
      <c r="C2892" s="1001"/>
      <c r="H2892" s="983" t="str">
        <f>CONCATENATE("&lt;valeur&gt;",Cellule_11417,"&lt;/valeur&gt;")</f>
        <v>&lt;valeur&gt;0&lt;/valeur&gt;</v>
      </c>
    </row>
    <row r="2893" spans="1:9" x14ac:dyDescent="0.2">
      <c r="A2893" s="997">
        <f t="shared" si="45"/>
        <v>2892</v>
      </c>
      <c r="B2893" s="983" t="s">
        <v>2711</v>
      </c>
      <c r="C2893" s="1000"/>
      <c r="G2893" s="983" t="s">
        <v>1109</v>
      </c>
    </row>
    <row r="2894" spans="1:9" x14ac:dyDescent="0.2">
      <c r="A2894" s="997">
        <f t="shared" si="45"/>
        <v>2893</v>
      </c>
      <c r="B2894" s="983" t="s">
        <v>2711</v>
      </c>
      <c r="C2894" s="1000"/>
      <c r="G2894" s="983" t="s">
        <v>1106</v>
      </c>
    </row>
    <row r="2895" spans="1:9" x14ac:dyDescent="0.2">
      <c r="A2895" s="997">
        <f t="shared" si="45"/>
        <v>2894</v>
      </c>
      <c r="B2895" s="983" t="s">
        <v>2711</v>
      </c>
      <c r="C2895" s="999"/>
      <c r="H2895" s="983" t="s">
        <v>1107</v>
      </c>
    </row>
    <row r="2896" spans="1:9" x14ac:dyDescent="0.2">
      <c r="A2896" s="997">
        <f t="shared" si="45"/>
        <v>2895</v>
      </c>
      <c r="B2896" s="983" t="s">
        <v>2711</v>
      </c>
      <c r="C2896" s="999"/>
      <c r="I2896" s="983" t="s">
        <v>1603</v>
      </c>
    </row>
    <row r="2897" spans="1:9" x14ac:dyDescent="0.2">
      <c r="A2897" s="997">
        <f t="shared" si="45"/>
        <v>2896</v>
      </c>
      <c r="B2897" s="983" t="s">
        <v>2711</v>
      </c>
      <c r="C2897" s="1000"/>
      <c r="H2897" s="983" t="s">
        <v>1108</v>
      </c>
    </row>
    <row r="2898" spans="1:9" x14ac:dyDescent="0.2">
      <c r="A2898" s="997">
        <f t="shared" si="45"/>
        <v>2897</v>
      </c>
      <c r="B2898" s="983" t="s">
        <v>2711</v>
      </c>
      <c r="C2898" s="1001"/>
      <c r="H2898" s="983" t="str">
        <f>CONCATENATE("&lt;valeur&gt;",Cellule_11418,"&lt;/valeur&gt;")</f>
        <v>&lt;valeur&gt;2384&lt;/valeur&gt;</v>
      </c>
    </row>
    <row r="2899" spans="1:9" x14ac:dyDescent="0.2">
      <c r="A2899" s="997">
        <f t="shared" si="45"/>
        <v>2898</v>
      </c>
      <c r="B2899" s="983" t="s">
        <v>2711</v>
      </c>
      <c r="C2899" s="1000"/>
      <c r="G2899" s="983" t="s">
        <v>1109</v>
      </c>
    </row>
    <row r="2900" spans="1:9" x14ac:dyDescent="0.2">
      <c r="A2900" s="997">
        <f t="shared" si="45"/>
        <v>2899</v>
      </c>
      <c r="B2900" s="983" t="s">
        <v>2711</v>
      </c>
      <c r="C2900" s="1000"/>
      <c r="G2900" s="983" t="s">
        <v>1106</v>
      </c>
    </row>
    <row r="2901" spans="1:9" x14ac:dyDescent="0.2">
      <c r="A2901" s="997">
        <f t="shared" si="45"/>
        <v>2900</v>
      </c>
      <c r="B2901" s="983" t="s">
        <v>2711</v>
      </c>
      <c r="C2901" s="999"/>
      <c r="H2901" s="983" t="s">
        <v>1107</v>
      </c>
    </row>
    <row r="2902" spans="1:9" x14ac:dyDescent="0.2">
      <c r="A2902" s="997">
        <f t="shared" si="45"/>
        <v>2901</v>
      </c>
      <c r="B2902" s="983" t="s">
        <v>2711</v>
      </c>
      <c r="C2902" s="999"/>
      <c r="I2902" s="983" t="s">
        <v>1604</v>
      </c>
    </row>
    <row r="2903" spans="1:9" x14ac:dyDescent="0.2">
      <c r="A2903" s="997">
        <f t="shared" si="45"/>
        <v>2902</v>
      </c>
      <c r="B2903" s="983" t="s">
        <v>2711</v>
      </c>
      <c r="C2903" s="1000"/>
      <c r="H2903" s="983" t="s">
        <v>1108</v>
      </c>
    </row>
    <row r="2904" spans="1:9" x14ac:dyDescent="0.2">
      <c r="A2904" s="997">
        <f t="shared" si="45"/>
        <v>2903</v>
      </c>
      <c r="B2904" s="983" t="s">
        <v>2711</v>
      </c>
      <c r="C2904" s="1001"/>
      <c r="H2904" s="983" t="str">
        <f>CONCATENATE("&lt;valeur&gt;",Cellule_11419,"&lt;/valeur&gt;")</f>
        <v>&lt;valeur&gt;0&lt;/valeur&gt;</v>
      </c>
    </row>
    <row r="2905" spans="1:9" x14ac:dyDescent="0.2">
      <c r="A2905" s="997">
        <f t="shared" si="45"/>
        <v>2904</v>
      </c>
      <c r="B2905" s="983" t="s">
        <v>2711</v>
      </c>
      <c r="C2905" s="1000"/>
      <c r="G2905" s="983" t="s">
        <v>1109</v>
      </c>
    </row>
    <row r="2906" spans="1:9" x14ac:dyDescent="0.2">
      <c r="A2906" s="997">
        <f t="shared" si="45"/>
        <v>2905</v>
      </c>
      <c r="B2906" s="983" t="s">
        <v>2711</v>
      </c>
      <c r="C2906" s="1000"/>
      <c r="G2906" s="983" t="s">
        <v>1106</v>
      </c>
    </row>
    <row r="2907" spans="1:9" x14ac:dyDescent="0.2">
      <c r="A2907" s="997">
        <f t="shared" si="45"/>
        <v>2906</v>
      </c>
      <c r="B2907" s="983" t="s">
        <v>2711</v>
      </c>
      <c r="C2907" s="999"/>
      <c r="H2907" s="983" t="s">
        <v>1107</v>
      </c>
    </row>
    <row r="2908" spans="1:9" x14ac:dyDescent="0.2">
      <c r="A2908" s="997">
        <f t="shared" si="45"/>
        <v>2907</v>
      </c>
      <c r="B2908" s="983" t="s">
        <v>2711</v>
      </c>
      <c r="C2908" s="999"/>
      <c r="I2908" s="983" t="s">
        <v>1605</v>
      </c>
    </row>
    <row r="2909" spans="1:9" x14ac:dyDescent="0.2">
      <c r="A2909" s="997">
        <f t="shared" si="45"/>
        <v>2908</v>
      </c>
      <c r="B2909" s="983" t="s">
        <v>2711</v>
      </c>
      <c r="C2909" s="1000"/>
      <c r="H2909" s="983" t="s">
        <v>1108</v>
      </c>
    </row>
    <row r="2910" spans="1:9" x14ac:dyDescent="0.2">
      <c r="A2910" s="997">
        <f t="shared" si="45"/>
        <v>2909</v>
      </c>
      <c r="B2910" s="983" t="s">
        <v>2711</v>
      </c>
      <c r="C2910" s="1001"/>
      <c r="H2910" s="983" t="str">
        <f>CONCATENATE("&lt;valeur&gt;",Cellule_11421,"&lt;/valeur&gt;")</f>
        <v>&lt;valeur&gt;21452,44&lt;/valeur&gt;</v>
      </c>
    </row>
    <row r="2911" spans="1:9" x14ac:dyDescent="0.2">
      <c r="A2911" s="997">
        <f t="shared" si="45"/>
        <v>2910</v>
      </c>
      <c r="B2911" s="983" t="s">
        <v>2711</v>
      </c>
      <c r="C2911" s="1000"/>
      <c r="G2911" s="983" t="s">
        <v>1109</v>
      </c>
    </row>
    <row r="2912" spans="1:9" x14ac:dyDescent="0.2">
      <c r="A2912" s="997">
        <f t="shared" si="45"/>
        <v>2911</v>
      </c>
      <c r="B2912" s="983" t="s">
        <v>2711</v>
      </c>
      <c r="C2912" s="1000"/>
      <c r="G2912" s="983" t="s">
        <v>1106</v>
      </c>
    </row>
    <row r="2913" spans="1:9" x14ac:dyDescent="0.2">
      <c r="A2913" s="997">
        <f t="shared" si="45"/>
        <v>2912</v>
      </c>
      <c r="B2913" s="983" t="s">
        <v>2711</v>
      </c>
      <c r="C2913" s="999"/>
      <c r="H2913" s="983" t="s">
        <v>1107</v>
      </c>
    </row>
    <row r="2914" spans="1:9" x14ac:dyDescent="0.2">
      <c r="A2914" s="997">
        <f t="shared" si="45"/>
        <v>2913</v>
      </c>
      <c r="B2914" s="983" t="s">
        <v>2711</v>
      </c>
      <c r="C2914" s="999"/>
      <c r="I2914" s="983" t="s">
        <v>1606</v>
      </c>
    </row>
    <row r="2915" spans="1:9" x14ac:dyDescent="0.2">
      <c r="A2915" s="997">
        <f t="shared" si="45"/>
        <v>2914</v>
      </c>
      <c r="B2915" s="983" t="s">
        <v>2711</v>
      </c>
      <c r="C2915" s="1000"/>
      <c r="H2915" s="983" t="s">
        <v>1108</v>
      </c>
    </row>
    <row r="2916" spans="1:9" x14ac:dyDescent="0.2">
      <c r="A2916" s="997">
        <f t="shared" si="45"/>
        <v>2915</v>
      </c>
      <c r="B2916" s="983" t="s">
        <v>2711</v>
      </c>
      <c r="C2916" s="1001"/>
      <c r="H2916" s="983" t="str">
        <f>CONCATENATE("&lt;valeur&gt;",Cellule_11422,"&lt;/valeur&gt;")</f>
        <v>&lt;valeur&gt;0&lt;/valeur&gt;</v>
      </c>
    </row>
    <row r="2917" spans="1:9" x14ac:dyDescent="0.2">
      <c r="A2917" s="997">
        <f t="shared" si="45"/>
        <v>2916</v>
      </c>
      <c r="B2917" s="983" t="s">
        <v>2711</v>
      </c>
      <c r="C2917" s="1000"/>
      <c r="G2917" s="983" t="s">
        <v>1109</v>
      </c>
    </row>
    <row r="2918" spans="1:9" x14ac:dyDescent="0.2">
      <c r="A2918" s="997">
        <f t="shared" si="45"/>
        <v>2917</v>
      </c>
      <c r="B2918" s="983" t="s">
        <v>2711</v>
      </c>
      <c r="C2918" s="1000"/>
      <c r="G2918" s="983" t="s">
        <v>1106</v>
      </c>
    </row>
    <row r="2919" spans="1:9" x14ac:dyDescent="0.2">
      <c r="A2919" s="997">
        <f t="shared" si="45"/>
        <v>2918</v>
      </c>
      <c r="B2919" s="983" t="s">
        <v>2711</v>
      </c>
      <c r="C2919" s="999"/>
      <c r="H2919" s="983" t="s">
        <v>1107</v>
      </c>
    </row>
    <row r="2920" spans="1:9" x14ac:dyDescent="0.2">
      <c r="A2920" s="997">
        <f t="shared" si="45"/>
        <v>2919</v>
      </c>
      <c r="B2920" s="983" t="s">
        <v>2711</v>
      </c>
      <c r="C2920" s="999"/>
      <c r="I2920" s="983" t="s">
        <v>1607</v>
      </c>
    </row>
    <row r="2921" spans="1:9" x14ac:dyDescent="0.2">
      <c r="A2921" s="997">
        <f t="shared" si="45"/>
        <v>2920</v>
      </c>
      <c r="B2921" s="983" t="s">
        <v>2711</v>
      </c>
      <c r="C2921" s="1000"/>
      <c r="H2921" s="983" t="s">
        <v>1108</v>
      </c>
    </row>
    <row r="2922" spans="1:9" x14ac:dyDescent="0.2">
      <c r="A2922" s="997">
        <f t="shared" si="45"/>
        <v>2921</v>
      </c>
      <c r="B2922" s="983" t="s">
        <v>2711</v>
      </c>
      <c r="C2922" s="1001"/>
      <c r="H2922" s="983" t="str">
        <f>CONCATENATE("&lt;valeur&gt;",Cellule_11423,"&lt;/valeur&gt;")</f>
        <v>&lt;valeur&gt;21452,44&lt;/valeur&gt;</v>
      </c>
    </row>
    <row r="2923" spans="1:9" x14ac:dyDescent="0.2">
      <c r="A2923" s="997">
        <f t="shared" si="45"/>
        <v>2922</v>
      </c>
      <c r="B2923" s="983" t="s">
        <v>2711</v>
      </c>
      <c r="C2923" s="1000"/>
      <c r="G2923" s="983" t="s">
        <v>1109</v>
      </c>
    </row>
    <row r="2924" spans="1:9" x14ac:dyDescent="0.2">
      <c r="A2924" s="997">
        <f t="shared" si="45"/>
        <v>2923</v>
      </c>
      <c r="B2924" s="983" t="s">
        <v>2711</v>
      </c>
      <c r="C2924" s="1000"/>
      <c r="G2924" s="983" t="s">
        <v>1106</v>
      </c>
    </row>
    <row r="2925" spans="1:9" x14ac:dyDescent="0.2">
      <c r="A2925" s="997">
        <f t="shared" si="45"/>
        <v>2924</v>
      </c>
      <c r="B2925" s="983" t="s">
        <v>2711</v>
      </c>
      <c r="C2925" s="999"/>
      <c r="H2925" s="983" t="s">
        <v>1107</v>
      </c>
    </row>
    <row r="2926" spans="1:9" x14ac:dyDescent="0.2">
      <c r="A2926" s="997">
        <f t="shared" si="45"/>
        <v>2925</v>
      </c>
      <c r="B2926" s="983" t="s">
        <v>2711</v>
      </c>
      <c r="C2926" s="999"/>
      <c r="I2926" s="983" t="s">
        <v>1608</v>
      </c>
    </row>
    <row r="2927" spans="1:9" x14ac:dyDescent="0.2">
      <c r="A2927" s="997">
        <f t="shared" si="45"/>
        <v>2926</v>
      </c>
      <c r="B2927" s="983" t="s">
        <v>2711</v>
      </c>
      <c r="C2927" s="1000"/>
      <c r="H2927" s="983" t="s">
        <v>1108</v>
      </c>
    </row>
    <row r="2928" spans="1:9" x14ac:dyDescent="0.2">
      <c r="A2928" s="997">
        <f t="shared" si="45"/>
        <v>2927</v>
      </c>
      <c r="B2928" s="983" t="s">
        <v>2711</v>
      </c>
      <c r="C2928" s="1001"/>
      <c r="H2928" s="983" t="str">
        <f>CONCATENATE("&lt;valeur&gt;",Cellule_11424,"&lt;/valeur&gt;")</f>
        <v>&lt;valeur&gt;-18918,67&lt;/valeur&gt;</v>
      </c>
    </row>
    <row r="2929" spans="1:9" x14ac:dyDescent="0.2">
      <c r="A2929" s="997">
        <f t="shared" si="45"/>
        <v>2928</v>
      </c>
      <c r="B2929" s="983" t="s">
        <v>2711</v>
      </c>
      <c r="C2929" s="1000"/>
      <c r="G2929" s="983" t="s">
        <v>1109</v>
      </c>
    </row>
    <row r="2930" spans="1:9" x14ac:dyDescent="0.2">
      <c r="A2930" s="997">
        <f t="shared" si="45"/>
        <v>2929</v>
      </c>
      <c r="B2930" s="983" t="s">
        <v>2711</v>
      </c>
      <c r="C2930" s="1000"/>
      <c r="G2930" s="983" t="s">
        <v>1106</v>
      </c>
    </row>
    <row r="2931" spans="1:9" x14ac:dyDescent="0.2">
      <c r="A2931" s="997">
        <f t="shared" si="45"/>
        <v>2930</v>
      </c>
      <c r="B2931" s="983" t="s">
        <v>2711</v>
      </c>
      <c r="C2931" s="999"/>
      <c r="H2931" s="983" t="s">
        <v>1107</v>
      </c>
    </row>
    <row r="2932" spans="1:9" x14ac:dyDescent="0.2">
      <c r="A2932" s="997">
        <f t="shared" si="45"/>
        <v>2931</v>
      </c>
      <c r="B2932" s="983" t="s">
        <v>2711</v>
      </c>
      <c r="C2932" s="999"/>
      <c r="I2932" s="983" t="s">
        <v>1609</v>
      </c>
    </row>
    <row r="2933" spans="1:9" x14ac:dyDescent="0.2">
      <c r="A2933" s="997">
        <f t="shared" si="45"/>
        <v>2932</v>
      </c>
      <c r="B2933" s="983" t="s">
        <v>2711</v>
      </c>
      <c r="C2933" s="1000"/>
      <c r="H2933" s="983" t="s">
        <v>1108</v>
      </c>
    </row>
    <row r="2934" spans="1:9" x14ac:dyDescent="0.2">
      <c r="A2934" s="997">
        <f t="shared" si="45"/>
        <v>2933</v>
      </c>
      <c r="B2934" s="983" t="s">
        <v>2711</v>
      </c>
      <c r="C2934" s="1001"/>
      <c r="H2934" s="983" t="str">
        <f>CONCATENATE("&lt;valeur&gt;",Cellule_11426,"&lt;/valeur&gt;")</f>
        <v>&lt;valeur&gt;381666,67&lt;/valeur&gt;</v>
      </c>
    </row>
    <row r="2935" spans="1:9" x14ac:dyDescent="0.2">
      <c r="A2935" s="997">
        <f t="shared" si="45"/>
        <v>2934</v>
      </c>
      <c r="B2935" s="983" t="s">
        <v>2711</v>
      </c>
      <c r="C2935" s="1000"/>
      <c r="G2935" s="983" t="s">
        <v>1109</v>
      </c>
    </row>
    <row r="2936" spans="1:9" x14ac:dyDescent="0.2">
      <c r="A2936" s="997">
        <f t="shared" si="45"/>
        <v>2935</v>
      </c>
      <c r="B2936" s="983" t="s">
        <v>2711</v>
      </c>
      <c r="C2936" s="1000"/>
      <c r="G2936" s="983" t="s">
        <v>1106</v>
      </c>
    </row>
    <row r="2937" spans="1:9" x14ac:dyDescent="0.2">
      <c r="A2937" s="997">
        <f t="shared" si="45"/>
        <v>2936</v>
      </c>
      <c r="B2937" s="983" t="s">
        <v>2711</v>
      </c>
      <c r="C2937" s="999"/>
      <c r="H2937" s="983" t="s">
        <v>1107</v>
      </c>
    </row>
    <row r="2938" spans="1:9" x14ac:dyDescent="0.2">
      <c r="A2938" s="997">
        <f t="shared" si="45"/>
        <v>2937</v>
      </c>
      <c r="B2938" s="983" t="s">
        <v>2711</v>
      </c>
      <c r="C2938" s="999"/>
      <c r="I2938" s="983" t="s">
        <v>1610</v>
      </c>
    </row>
    <row r="2939" spans="1:9" x14ac:dyDescent="0.2">
      <c r="A2939" s="997">
        <f t="shared" si="45"/>
        <v>2938</v>
      </c>
      <c r="B2939" s="983" t="s">
        <v>2711</v>
      </c>
      <c r="C2939" s="1000"/>
      <c r="H2939" s="983" t="s">
        <v>1108</v>
      </c>
    </row>
    <row r="2940" spans="1:9" x14ac:dyDescent="0.2">
      <c r="A2940" s="997">
        <f t="shared" si="45"/>
        <v>2939</v>
      </c>
      <c r="B2940" s="983" t="s">
        <v>2711</v>
      </c>
      <c r="C2940" s="1001"/>
      <c r="H2940" s="983" t="str">
        <f>CONCATENATE("&lt;valeur&gt;",Cellule_11427,"&lt;/valeur&gt;")</f>
        <v>&lt;valeur&gt;0&lt;/valeur&gt;</v>
      </c>
    </row>
    <row r="2941" spans="1:9" x14ac:dyDescent="0.2">
      <c r="A2941" s="997">
        <f t="shared" si="45"/>
        <v>2940</v>
      </c>
      <c r="B2941" s="983" t="s">
        <v>2711</v>
      </c>
      <c r="C2941" s="1000"/>
      <c r="G2941" s="983" t="s">
        <v>1109</v>
      </c>
    </row>
    <row r="2942" spans="1:9" x14ac:dyDescent="0.2">
      <c r="A2942" s="997">
        <f t="shared" si="45"/>
        <v>2941</v>
      </c>
      <c r="B2942" s="983" t="s">
        <v>2711</v>
      </c>
      <c r="C2942" s="1000"/>
      <c r="G2942" s="983" t="s">
        <v>1106</v>
      </c>
    </row>
    <row r="2943" spans="1:9" x14ac:dyDescent="0.2">
      <c r="A2943" s="997">
        <f t="shared" si="45"/>
        <v>2942</v>
      </c>
      <c r="B2943" s="983" t="s">
        <v>2711</v>
      </c>
      <c r="C2943" s="999"/>
      <c r="H2943" s="983" t="s">
        <v>1107</v>
      </c>
    </row>
    <row r="2944" spans="1:9" x14ac:dyDescent="0.2">
      <c r="A2944" s="997">
        <f t="shared" si="45"/>
        <v>2943</v>
      </c>
      <c r="B2944" s="983" t="s">
        <v>2711</v>
      </c>
      <c r="C2944" s="999"/>
      <c r="I2944" s="983" t="s">
        <v>1611</v>
      </c>
    </row>
    <row r="2945" spans="1:9" x14ac:dyDescent="0.2">
      <c r="A2945" s="997">
        <f t="shared" si="45"/>
        <v>2944</v>
      </c>
      <c r="B2945" s="983" t="s">
        <v>2711</v>
      </c>
      <c r="C2945" s="1000"/>
      <c r="H2945" s="983" t="s">
        <v>1108</v>
      </c>
    </row>
    <row r="2946" spans="1:9" x14ac:dyDescent="0.2">
      <c r="A2946" s="997">
        <f t="shared" si="45"/>
        <v>2945</v>
      </c>
      <c r="B2946" s="983" t="s">
        <v>2711</v>
      </c>
      <c r="C2946" s="1001"/>
      <c r="H2946" s="983" t="str">
        <f>CONCATENATE("&lt;valeur&gt;",Cellule_11428,"&lt;/valeur&gt;")</f>
        <v>&lt;valeur&gt;381666,67&lt;/valeur&gt;</v>
      </c>
    </row>
    <row r="2947" spans="1:9" x14ac:dyDescent="0.2">
      <c r="A2947" s="997">
        <f t="shared" si="45"/>
        <v>2946</v>
      </c>
      <c r="B2947" s="983" t="s">
        <v>2711</v>
      </c>
      <c r="C2947" s="1000"/>
      <c r="G2947" s="983" t="s">
        <v>1109</v>
      </c>
    </row>
    <row r="2948" spans="1:9" x14ac:dyDescent="0.2">
      <c r="A2948" s="997">
        <f t="shared" ref="A2948:A3011" si="46">+A2947+1</f>
        <v>2947</v>
      </c>
      <c r="B2948" s="983" t="s">
        <v>2711</v>
      </c>
      <c r="C2948" s="1000"/>
      <c r="G2948" s="983" t="s">
        <v>1106</v>
      </c>
    </row>
    <row r="2949" spans="1:9" x14ac:dyDescent="0.2">
      <c r="A2949" s="997">
        <f t="shared" si="46"/>
        <v>2948</v>
      </c>
      <c r="B2949" s="983" t="s">
        <v>2711</v>
      </c>
      <c r="C2949" s="999"/>
      <c r="H2949" s="983" t="s">
        <v>1107</v>
      </c>
    </row>
    <row r="2950" spans="1:9" x14ac:dyDescent="0.2">
      <c r="A2950" s="997">
        <f t="shared" si="46"/>
        <v>2949</v>
      </c>
      <c r="B2950" s="983" t="s">
        <v>2711</v>
      </c>
      <c r="C2950" s="999"/>
      <c r="I2950" s="983" t="s">
        <v>1612</v>
      </c>
    </row>
    <row r="2951" spans="1:9" x14ac:dyDescent="0.2">
      <c r="A2951" s="997">
        <f t="shared" si="46"/>
        <v>2950</v>
      </c>
      <c r="B2951" s="983" t="s">
        <v>2711</v>
      </c>
      <c r="C2951" s="1000"/>
      <c r="H2951" s="983" t="s">
        <v>1108</v>
      </c>
    </row>
    <row r="2952" spans="1:9" x14ac:dyDescent="0.2">
      <c r="A2952" s="997">
        <f t="shared" si="46"/>
        <v>2951</v>
      </c>
      <c r="B2952" s="983" t="s">
        <v>2711</v>
      </c>
      <c r="C2952" s="1001"/>
      <c r="H2952" s="983" t="str">
        <f>CONCATENATE("&lt;valeur&gt;",Cellule_11429,"&lt;/valeur&gt;")</f>
        <v>&lt;valeur&gt;0&lt;/valeur&gt;</v>
      </c>
    </row>
    <row r="2953" spans="1:9" x14ac:dyDescent="0.2">
      <c r="A2953" s="997">
        <f t="shared" si="46"/>
        <v>2952</v>
      </c>
      <c r="B2953" s="983" t="s">
        <v>2711</v>
      </c>
      <c r="C2953" s="1000"/>
      <c r="G2953" s="983" t="s">
        <v>1109</v>
      </c>
    </row>
    <row r="2954" spans="1:9" x14ac:dyDescent="0.2">
      <c r="A2954" s="997">
        <f t="shared" si="46"/>
        <v>2953</v>
      </c>
      <c r="B2954" s="983" t="s">
        <v>2711</v>
      </c>
      <c r="C2954" s="1000"/>
      <c r="G2954" s="983" t="s">
        <v>1106</v>
      </c>
    </row>
    <row r="2955" spans="1:9" x14ac:dyDescent="0.2">
      <c r="A2955" s="997">
        <f t="shared" si="46"/>
        <v>2954</v>
      </c>
      <c r="B2955" s="983" t="s">
        <v>2711</v>
      </c>
      <c r="C2955" s="999"/>
      <c r="H2955" s="983" t="s">
        <v>1107</v>
      </c>
    </row>
    <row r="2956" spans="1:9" x14ac:dyDescent="0.2">
      <c r="A2956" s="997">
        <f t="shared" si="46"/>
        <v>2955</v>
      </c>
      <c r="B2956" s="983" t="s">
        <v>2711</v>
      </c>
      <c r="C2956" s="999"/>
      <c r="I2956" s="983" t="s">
        <v>1613</v>
      </c>
    </row>
    <row r="2957" spans="1:9" x14ac:dyDescent="0.2">
      <c r="A2957" s="997">
        <f t="shared" si="46"/>
        <v>2956</v>
      </c>
      <c r="B2957" s="983" t="s">
        <v>2711</v>
      </c>
      <c r="C2957" s="1000"/>
      <c r="H2957" s="983" t="s">
        <v>1108</v>
      </c>
    </row>
    <row r="2958" spans="1:9" x14ac:dyDescent="0.2">
      <c r="A2958" s="997">
        <f t="shared" si="46"/>
        <v>2957</v>
      </c>
      <c r="B2958" s="983" t="s">
        <v>2711</v>
      </c>
      <c r="C2958" s="1001"/>
      <c r="H2958" s="983" t="str">
        <f>CONCATENATE("&lt;valeur&gt;",Cellule_11431,"&lt;/valeur&gt;")</f>
        <v>&lt;valeur&gt;360214,23&lt;/valeur&gt;</v>
      </c>
    </row>
    <row r="2959" spans="1:9" x14ac:dyDescent="0.2">
      <c r="A2959" s="997">
        <f t="shared" si="46"/>
        <v>2958</v>
      </c>
      <c r="B2959" s="983" t="s">
        <v>2711</v>
      </c>
      <c r="C2959" s="1000"/>
      <c r="G2959" s="983" t="s">
        <v>1109</v>
      </c>
    </row>
    <row r="2960" spans="1:9" x14ac:dyDescent="0.2">
      <c r="A2960" s="997">
        <f t="shared" si="46"/>
        <v>2959</v>
      </c>
      <c r="B2960" s="983" t="s">
        <v>2711</v>
      </c>
      <c r="C2960" s="1000"/>
      <c r="G2960" s="983" t="s">
        <v>1106</v>
      </c>
    </row>
    <row r="2961" spans="1:9" x14ac:dyDescent="0.2">
      <c r="A2961" s="997">
        <f t="shared" si="46"/>
        <v>2960</v>
      </c>
      <c r="B2961" s="983" t="s">
        <v>2711</v>
      </c>
      <c r="C2961" s="999"/>
      <c r="H2961" s="983" t="s">
        <v>1107</v>
      </c>
    </row>
    <row r="2962" spans="1:9" x14ac:dyDescent="0.2">
      <c r="A2962" s="997">
        <f t="shared" si="46"/>
        <v>2961</v>
      </c>
      <c r="B2962" s="983" t="s">
        <v>2711</v>
      </c>
      <c r="C2962" s="999"/>
      <c r="I2962" s="983" t="s">
        <v>1614</v>
      </c>
    </row>
    <row r="2963" spans="1:9" x14ac:dyDescent="0.2">
      <c r="A2963" s="997">
        <f t="shared" si="46"/>
        <v>2962</v>
      </c>
      <c r="B2963" s="983" t="s">
        <v>2711</v>
      </c>
      <c r="C2963" s="1000"/>
      <c r="H2963" s="983" t="s">
        <v>1108</v>
      </c>
    </row>
    <row r="2964" spans="1:9" x14ac:dyDescent="0.2">
      <c r="A2964" s="997">
        <f t="shared" si="46"/>
        <v>2963</v>
      </c>
      <c r="B2964" s="983" t="s">
        <v>2711</v>
      </c>
      <c r="C2964" s="1001"/>
      <c r="H2964" s="983" t="str">
        <f>CONCATENATE("&lt;valeur&gt;",Cellule_11432,"&lt;/valeur&gt;")</f>
        <v>&lt;valeur&gt;0&lt;/valeur&gt;</v>
      </c>
    </row>
    <row r="2965" spans="1:9" x14ac:dyDescent="0.2">
      <c r="A2965" s="997">
        <f t="shared" si="46"/>
        <v>2964</v>
      </c>
      <c r="B2965" s="983" t="s">
        <v>2711</v>
      </c>
      <c r="C2965" s="1000"/>
      <c r="G2965" s="983" t="s">
        <v>1109</v>
      </c>
    </row>
    <row r="2966" spans="1:9" x14ac:dyDescent="0.2">
      <c r="A2966" s="997">
        <f t="shared" si="46"/>
        <v>2965</v>
      </c>
      <c r="B2966" s="983" t="s">
        <v>2711</v>
      </c>
      <c r="C2966" s="1000"/>
      <c r="G2966" s="983" t="s">
        <v>1106</v>
      </c>
    </row>
    <row r="2967" spans="1:9" x14ac:dyDescent="0.2">
      <c r="A2967" s="997">
        <f t="shared" si="46"/>
        <v>2966</v>
      </c>
      <c r="B2967" s="983" t="s">
        <v>2711</v>
      </c>
      <c r="C2967" s="999"/>
      <c r="H2967" s="983" t="s">
        <v>1107</v>
      </c>
    </row>
    <row r="2968" spans="1:9" x14ac:dyDescent="0.2">
      <c r="A2968" s="997">
        <f t="shared" si="46"/>
        <v>2967</v>
      </c>
      <c r="B2968" s="983" t="s">
        <v>2711</v>
      </c>
      <c r="C2968" s="999"/>
      <c r="I2968" s="983" t="s">
        <v>1615</v>
      </c>
    </row>
    <row r="2969" spans="1:9" x14ac:dyDescent="0.2">
      <c r="A2969" s="997">
        <f t="shared" si="46"/>
        <v>2968</v>
      </c>
      <c r="B2969" s="983" t="s">
        <v>2711</v>
      </c>
      <c r="C2969" s="1000"/>
      <c r="H2969" s="983" t="s">
        <v>1108</v>
      </c>
    </row>
    <row r="2970" spans="1:9" x14ac:dyDescent="0.2">
      <c r="A2970" s="997">
        <f t="shared" si="46"/>
        <v>2969</v>
      </c>
      <c r="B2970" s="983" t="s">
        <v>2711</v>
      </c>
      <c r="C2970" s="1001"/>
      <c r="H2970" s="983" t="str">
        <f>CONCATENATE("&lt;valeur&gt;",Cellule_11433,"&lt;/valeur&gt;")</f>
        <v>&lt;valeur&gt;360214,23&lt;/valeur&gt;</v>
      </c>
    </row>
    <row r="2971" spans="1:9" x14ac:dyDescent="0.2">
      <c r="A2971" s="997">
        <f t="shared" si="46"/>
        <v>2970</v>
      </c>
      <c r="B2971" s="983" t="s">
        <v>2711</v>
      </c>
      <c r="C2971" s="1000"/>
      <c r="G2971" s="983" t="s">
        <v>1109</v>
      </c>
    </row>
    <row r="2972" spans="1:9" x14ac:dyDescent="0.2">
      <c r="A2972" s="997">
        <f t="shared" si="46"/>
        <v>2971</v>
      </c>
      <c r="B2972" s="983" t="s">
        <v>2711</v>
      </c>
      <c r="C2972" s="1000"/>
      <c r="G2972" s="983" t="s">
        <v>1106</v>
      </c>
    </row>
    <row r="2973" spans="1:9" x14ac:dyDescent="0.2">
      <c r="A2973" s="997">
        <f t="shared" si="46"/>
        <v>2972</v>
      </c>
      <c r="B2973" s="983" t="s">
        <v>2711</v>
      </c>
      <c r="C2973" s="999"/>
      <c r="H2973" s="983" t="s">
        <v>1107</v>
      </c>
    </row>
    <row r="2974" spans="1:9" x14ac:dyDescent="0.2">
      <c r="A2974" s="997">
        <f t="shared" si="46"/>
        <v>2973</v>
      </c>
      <c r="B2974" s="983" t="s">
        <v>2711</v>
      </c>
      <c r="C2974" s="999"/>
      <c r="I2974" s="983" t="s">
        <v>1616</v>
      </c>
    </row>
    <row r="2975" spans="1:9" x14ac:dyDescent="0.2">
      <c r="A2975" s="997">
        <f t="shared" si="46"/>
        <v>2974</v>
      </c>
      <c r="B2975" s="983" t="s">
        <v>2711</v>
      </c>
      <c r="C2975" s="1000"/>
      <c r="H2975" s="983" t="s">
        <v>1108</v>
      </c>
    </row>
    <row r="2976" spans="1:9" x14ac:dyDescent="0.2">
      <c r="A2976" s="997">
        <f t="shared" si="46"/>
        <v>2975</v>
      </c>
      <c r="B2976" s="983" t="s">
        <v>2711</v>
      </c>
      <c r="C2976" s="1001"/>
      <c r="H2976" s="983" t="str">
        <f>CONCATENATE("&lt;valeur&gt;",Cellule_11434,"&lt;/valeur&gt;")</f>
        <v>&lt;valeur&gt;18918,67&lt;/valeur&gt;</v>
      </c>
    </row>
    <row r="2977" spans="1:9" x14ac:dyDescent="0.2">
      <c r="A2977" s="997">
        <f t="shared" si="46"/>
        <v>2976</v>
      </c>
      <c r="B2977" s="983" t="s">
        <v>2711</v>
      </c>
      <c r="C2977" s="1000"/>
      <c r="G2977" s="983" t="s">
        <v>1109</v>
      </c>
    </row>
    <row r="2978" spans="1:9" x14ac:dyDescent="0.2">
      <c r="A2978" s="997">
        <f t="shared" si="46"/>
        <v>2977</v>
      </c>
      <c r="B2978" s="983" t="s">
        <v>2711</v>
      </c>
      <c r="C2978" s="1000"/>
      <c r="G2978" s="983" t="s">
        <v>1106</v>
      </c>
    </row>
    <row r="2979" spans="1:9" x14ac:dyDescent="0.2">
      <c r="A2979" s="997">
        <f t="shared" si="46"/>
        <v>2978</v>
      </c>
      <c r="B2979" s="983" t="s">
        <v>2711</v>
      </c>
      <c r="C2979" s="999"/>
      <c r="H2979" s="983" t="s">
        <v>1107</v>
      </c>
    </row>
    <row r="2980" spans="1:9" x14ac:dyDescent="0.2">
      <c r="A2980" s="997">
        <f t="shared" si="46"/>
        <v>2979</v>
      </c>
      <c r="B2980" s="983" t="s">
        <v>2711</v>
      </c>
      <c r="C2980" s="999"/>
      <c r="I2980" s="983" t="s">
        <v>1617</v>
      </c>
    </row>
    <row r="2981" spans="1:9" x14ac:dyDescent="0.2">
      <c r="A2981" s="997">
        <f t="shared" si="46"/>
        <v>2980</v>
      </c>
      <c r="B2981" s="983" t="s">
        <v>2711</v>
      </c>
      <c r="C2981" s="1000"/>
      <c r="H2981" s="983" t="s">
        <v>1108</v>
      </c>
    </row>
    <row r="2982" spans="1:9" x14ac:dyDescent="0.2">
      <c r="A2982" s="997">
        <f t="shared" si="46"/>
        <v>2981</v>
      </c>
      <c r="B2982" s="983" t="s">
        <v>2711</v>
      </c>
      <c r="C2982" s="1001"/>
      <c r="H2982" s="983" t="str">
        <f>CONCATENATE("&lt;valeur&gt;",Cellule_11436,"&lt;/valeur&gt;")</f>
        <v>&lt;valeur&gt;21452,44&lt;/valeur&gt;</v>
      </c>
    </row>
    <row r="2983" spans="1:9" x14ac:dyDescent="0.2">
      <c r="A2983" s="997">
        <f t="shared" si="46"/>
        <v>2982</v>
      </c>
      <c r="B2983" s="983" t="s">
        <v>2711</v>
      </c>
      <c r="C2983" s="1000"/>
      <c r="G2983" s="983" t="s">
        <v>1109</v>
      </c>
    </row>
    <row r="2984" spans="1:9" x14ac:dyDescent="0.2">
      <c r="A2984" s="997">
        <f t="shared" si="46"/>
        <v>2983</v>
      </c>
      <c r="B2984" s="983" t="s">
        <v>2711</v>
      </c>
      <c r="C2984" s="1000"/>
      <c r="G2984" s="983" t="s">
        <v>1106</v>
      </c>
    </row>
    <row r="2985" spans="1:9" x14ac:dyDescent="0.2">
      <c r="A2985" s="997">
        <f t="shared" si="46"/>
        <v>2984</v>
      </c>
      <c r="B2985" s="983" t="s">
        <v>2711</v>
      </c>
      <c r="C2985" s="999"/>
      <c r="H2985" s="983" t="s">
        <v>1107</v>
      </c>
    </row>
    <row r="2986" spans="1:9" x14ac:dyDescent="0.2">
      <c r="A2986" s="997">
        <f t="shared" si="46"/>
        <v>2985</v>
      </c>
      <c r="B2986" s="983" t="s">
        <v>2711</v>
      </c>
      <c r="C2986" s="999"/>
      <c r="I2986" s="983" t="s">
        <v>1618</v>
      </c>
    </row>
    <row r="2987" spans="1:9" x14ac:dyDescent="0.2">
      <c r="A2987" s="997">
        <f t="shared" si="46"/>
        <v>2986</v>
      </c>
      <c r="B2987" s="983" t="s">
        <v>2711</v>
      </c>
      <c r="C2987" s="1000"/>
      <c r="H2987" s="983" t="s">
        <v>1108</v>
      </c>
    </row>
    <row r="2988" spans="1:9" x14ac:dyDescent="0.2">
      <c r="A2988" s="997">
        <f t="shared" si="46"/>
        <v>2987</v>
      </c>
      <c r="B2988" s="983" t="s">
        <v>2711</v>
      </c>
      <c r="C2988" s="1001"/>
      <c r="H2988" s="983" t="str">
        <f>CONCATENATE("&lt;valeur&gt;",Cellule_11437,"&lt;/valeur&gt;")</f>
        <v>&lt;valeur&gt;0&lt;/valeur&gt;</v>
      </c>
    </row>
    <row r="2989" spans="1:9" x14ac:dyDescent="0.2">
      <c r="A2989" s="997">
        <f t="shared" si="46"/>
        <v>2988</v>
      </c>
      <c r="B2989" s="983" t="s">
        <v>2711</v>
      </c>
      <c r="C2989" s="1000"/>
      <c r="G2989" s="983" t="s">
        <v>1109</v>
      </c>
    </row>
    <row r="2990" spans="1:9" x14ac:dyDescent="0.2">
      <c r="A2990" s="997">
        <f t="shared" si="46"/>
        <v>2989</v>
      </c>
      <c r="B2990" s="983" t="s">
        <v>2711</v>
      </c>
      <c r="C2990" s="1000"/>
      <c r="G2990" s="983" t="s">
        <v>1106</v>
      </c>
    </row>
    <row r="2991" spans="1:9" x14ac:dyDescent="0.2">
      <c r="A2991" s="997">
        <f t="shared" si="46"/>
        <v>2990</v>
      </c>
      <c r="B2991" s="983" t="s">
        <v>2711</v>
      </c>
      <c r="C2991" s="999"/>
      <c r="H2991" s="983" t="s">
        <v>1107</v>
      </c>
    </row>
    <row r="2992" spans="1:9" x14ac:dyDescent="0.2">
      <c r="A2992" s="997">
        <f t="shared" si="46"/>
        <v>2991</v>
      </c>
      <c r="B2992" s="983" t="s">
        <v>2711</v>
      </c>
      <c r="C2992" s="999"/>
      <c r="I2992" s="983" t="s">
        <v>1619</v>
      </c>
    </row>
    <row r="2993" spans="1:9" x14ac:dyDescent="0.2">
      <c r="A2993" s="997">
        <f t="shared" si="46"/>
        <v>2992</v>
      </c>
      <c r="B2993" s="983" t="s">
        <v>2711</v>
      </c>
      <c r="C2993" s="1000"/>
      <c r="H2993" s="983" t="s">
        <v>1108</v>
      </c>
    </row>
    <row r="2994" spans="1:9" x14ac:dyDescent="0.2">
      <c r="A2994" s="997">
        <f t="shared" si="46"/>
        <v>2993</v>
      </c>
      <c r="B2994" s="983" t="s">
        <v>2711</v>
      </c>
      <c r="C2994" s="1001"/>
      <c r="H2994" s="983" t="str">
        <f>CONCATENATE("&lt;valeur&gt;",Cellule_11438,"&lt;/valeur&gt;")</f>
        <v>&lt;valeur&gt;21452,44&lt;/valeur&gt;</v>
      </c>
    </row>
    <row r="2995" spans="1:9" x14ac:dyDescent="0.2">
      <c r="A2995" s="997">
        <f t="shared" si="46"/>
        <v>2994</v>
      </c>
      <c r="B2995" s="983" t="s">
        <v>2711</v>
      </c>
      <c r="C2995" s="1000"/>
      <c r="G2995" s="983" t="s">
        <v>1109</v>
      </c>
    </row>
    <row r="2996" spans="1:9" x14ac:dyDescent="0.2">
      <c r="A2996" s="997">
        <f t="shared" si="46"/>
        <v>2995</v>
      </c>
      <c r="B2996" s="983" t="s">
        <v>2711</v>
      </c>
      <c r="C2996" s="1000"/>
      <c r="G2996" s="983" t="s">
        <v>1106</v>
      </c>
    </row>
    <row r="2997" spans="1:9" x14ac:dyDescent="0.2">
      <c r="A2997" s="997">
        <f t="shared" si="46"/>
        <v>2996</v>
      </c>
      <c r="B2997" s="983" t="s">
        <v>2711</v>
      </c>
      <c r="C2997" s="999"/>
      <c r="H2997" s="983" t="s">
        <v>1107</v>
      </c>
    </row>
    <row r="2998" spans="1:9" x14ac:dyDescent="0.2">
      <c r="A2998" s="997">
        <f t="shared" si="46"/>
        <v>2997</v>
      </c>
      <c r="B2998" s="983" t="s">
        <v>2711</v>
      </c>
      <c r="C2998" s="999"/>
      <c r="I2998" s="983" t="s">
        <v>1620</v>
      </c>
    </row>
    <row r="2999" spans="1:9" x14ac:dyDescent="0.2">
      <c r="A2999" s="997">
        <f t="shared" si="46"/>
        <v>2998</v>
      </c>
      <c r="B2999" s="983" t="s">
        <v>2711</v>
      </c>
      <c r="C2999" s="1000"/>
      <c r="H2999" s="983" t="s">
        <v>1108</v>
      </c>
    </row>
    <row r="3000" spans="1:9" x14ac:dyDescent="0.2">
      <c r="A3000" s="997">
        <f t="shared" si="46"/>
        <v>2999</v>
      </c>
      <c r="B3000" s="983" t="s">
        <v>2711</v>
      </c>
      <c r="C3000" s="1001"/>
      <c r="H3000" s="983" t="str">
        <f>CONCATENATE("&lt;valeur&gt;",Cellule_11439,"&lt;/valeur&gt;")</f>
        <v>&lt;valeur&gt;-18918,67&lt;/valeur&gt;</v>
      </c>
    </row>
    <row r="3001" spans="1:9" x14ac:dyDescent="0.2">
      <c r="A3001" s="997">
        <f t="shared" si="46"/>
        <v>3000</v>
      </c>
      <c r="B3001" s="983" t="s">
        <v>2711</v>
      </c>
      <c r="C3001" s="1000"/>
      <c r="G3001" s="983" t="s">
        <v>1109</v>
      </c>
    </row>
    <row r="3002" spans="1:9" x14ac:dyDescent="0.2">
      <c r="A3002" s="997">
        <f t="shared" si="46"/>
        <v>3001</v>
      </c>
      <c r="B3002" s="983" t="s">
        <v>2711</v>
      </c>
      <c r="C3002" s="1000"/>
      <c r="F3002" s="983" t="s">
        <v>1110</v>
      </c>
    </row>
    <row r="3003" spans="1:9" x14ac:dyDescent="0.2">
      <c r="A3003" s="997">
        <f t="shared" si="46"/>
        <v>3002</v>
      </c>
      <c r="B3003" s="983" t="s">
        <v>2711</v>
      </c>
      <c r="C3003" s="999"/>
      <c r="F3003" s="983" t="s">
        <v>1111</v>
      </c>
    </row>
    <row r="3004" spans="1:9" x14ac:dyDescent="0.2">
      <c r="A3004" s="997">
        <f t="shared" si="46"/>
        <v>3003</v>
      </c>
      <c r="B3004" s="983" t="s">
        <v>2711</v>
      </c>
      <c r="C3004" s="1000"/>
      <c r="F3004" s="983" t="s">
        <v>1112</v>
      </c>
    </row>
    <row r="3005" spans="1:9" x14ac:dyDescent="0.2">
      <c r="A3005" s="997">
        <f t="shared" si="46"/>
        <v>3004</v>
      </c>
      <c r="B3005" s="983" t="s">
        <v>2711</v>
      </c>
      <c r="C3005" s="1001"/>
      <c r="E3005" s="983" t="s">
        <v>1113</v>
      </c>
    </row>
    <row r="3006" spans="1:9" x14ac:dyDescent="0.2">
      <c r="A3006" s="997">
        <f t="shared" si="46"/>
        <v>3005</v>
      </c>
      <c r="B3006" s="983" t="s">
        <v>2712</v>
      </c>
      <c r="C3006" s="1000"/>
      <c r="E3006" s="983" t="s">
        <v>1104</v>
      </c>
    </row>
    <row r="3007" spans="1:9" x14ac:dyDescent="0.2">
      <c r="A3007" s="997">
        <f t="shared" si="46"/>
        <v>3006</v>
      </c>
      <c r="B3007" s="983" t="s">
        <v>2712</v>
      </c>
      <c r="C3007" s="1000"/>
      <c r="F3007" s="983" t="s">
        <v>1621</v>
      </c>
    </row>
    <row r="3008" spans="1:9" x14ac:dyDescent="0.2">
      <c r="A3008" s="997">
        <f t="shared" si="46"/>
        <v>3007</v>
      </c>
      <c r="B3008" s="983" t="s">
        <v>2712</v>
      </c>
      <c r="C3008" s="999"/>
      <c r="F3008" s="983" t="s">
        <v>1105</v>
      </c>
    </row>
    <row r="3009" spans="1:9" x14ac:dyDescent="0.2">
      <c r="A3009" s="997">
        <f t="shared" si="46"/>
        <v>3008</v>
      </c>
      <c r="B3009" s="983" t="s">
        <v>2712</v>
      </c>
      <c r="C3009" s="998"/>
      <c r="G3009" s="983" t="s">
        <v>1106</v>
      </c>
    </row>
    <row r="3010" spans="1:9" x14ac:dyDescent="0.2">
      <c r="A3010" s="997">
        <f t="shared" si="46"/>
        <v>3009</v>
      </c>
      <c r="B3010" s="983" t="s">
        <v>2712</v>
      </c>
      <c r="C3010" s="998"/>
      <c r="H3010" s="983" t="s">
        <v>1107</v>
      </c>
    </row>
    <row r="3011" spans="1:9" x14ac:dyDescent="0.2">
      <c r="A3011" s="997">
        <f t="shared" si="46"/>
        <v>3010</v>
      </c>
      <c r="B3011" s="983" t="s">
        <v>2712</v>
      </c>
      <c r="C3011" s="995"/>
      <c r="I3011" s="983" t="s">
        <v>1622</v>
      </c>
    </row>
    <row r="3012" spans="1:9" x14ac:dyDescent="0.2">
      <c r="A3012" s="997">
        <f t="shared" ref="A3012:A3075" si="47">+A3011+1</f>
        <v>3011</v>
      </c>
      <c r="B3012" s="983" t="s">
        <v>2712</v>
      </c>
      <c r="C3012" s="995"/>
      <c r="H3012" s="983" t="s">
        <v>1108</v>
      </c>
    </row>
    <row r="3013" spans="1:9" x14ac:dyDescent="0.2">
      <c r="A3013" s="997">
        <f t="shared" si="47"/>
        <v>3012</v>
      </c>
      <c r="B3013" s="983" t="s">
        <v>2712</v>
      </c>
      <c r="C3013" s="998"/>
      <c r="H3013" s="983" t="str">
        <f>CONCATENATE("&lt;valeur&gt;",Cellule_817,"&lt;/valeur&gt;")</f>
        <v>&lt;valeur&gt;21452,44&lt;/valeur&gt;</v>
      </c>
    </row>
    <row r="3014" spans="1:9" x14ac:dyDescent="0.2">
      <c r="A3014" s="997">
        <f t="shared" si="47"/>
        <v>3013</v>
      </c>
      <c r="B3014" s="983" t="s">
        <v>2712</v>
      </c>
      <c r="C3014" s="999"/>
      <c r="G3014" s="983" t="s">
        <v>1109</v>
      </c>
    </row>
    <row r="3015" spans="1:9" x14ac:dyDescent="0.2">
      <c r="A3015" s="997">
        <f t="shared" si="47"/>
        <v>3014</v>
      </c>
      <c r="B3015" s="983" t="s">
        <v>2712</v>
      </c>
      <c r="C3015" s="998"/>
      <c r="G3015" s="983" t="s">
        <v>1106</v>
      </c>
    </row>
    <row r="3016" spans="1:9" x14ac:dyDescent="0.2">
      <c r="A3016" s="997">
        <f t="shared" si="47"/>
        <v>3015</v>
      </c>
      <c r="B3016" s="983" t="s">
        <v>2712</v>
      </c>
      <c r="C3016" s="998"/>
      <c r="H3016" s="983" t="s">
        <v>1107</v>
      </c>
    </row>
    <row r="3017" spans="1:9" x14ac:dyDescent="0.2">
      <c r="A3017" s="997">
        <f t="shared" si="47"/>
        <v>3016</v>
      </c>
      <c r="B3017" s="983" t="s">
        <v>2712</v>
      </c>
      <c r="C3017" s="999"/>
      <c r="I3017" s="983" t="s">
        <v>1623</v>
      </c>
    </row>
    <row r="3018" spans="1:9" x14ac:dyDescent="0.2">
      <c r="A3018" s="997">
        <f t="shared" si="47"/>
        <v>3017</v>
      </c>
      <c r="B3018" s="983" t="s">
        <v>2712</v>
      </c>
      <c r="C3018" s="1000"/>
      <c r="H3018" s="983" t="s">
        <v>1108</v>
      </c>
    </row>
    <row r="3019" spans="1:9" x14ac:dyDescent="0.2">
      <c r="A3019" s="997">
        <f t="shared" si="47"/>
        <v>3018</v>
      </c>
      <c r="B3019" s="983" t="s">
        <v>2712</v>
      </c>
      <c r="C3019" s="1001"/>
      <c r="H3019" s="983" t="str">
        <f>CONCATENATE("&lt;valeur&gt;",Cellule_818,"&lt;/valeur&gt;")</f>
        <v>&lt;valeur&gt;&lt;/valeur&gt;</v>
      </c>
    </row>
    <row r="3020" spans="1:9" x14ac:dyDescent="0.2">
      <c r="A3020" s="997">
        <f t="shared" si="47"/>
        <v>3019</v>
      </c>
      <c r="B3020" s="983" t="s">
        <v>2712</v>
      </c>
      <c r="C3020" s="1000"/>
      <c r="G3020" s="983" t="s">
        <v>1109</v>
      </c>
    </row>
    <row r="3021" spans="1:9" x14ac:dyDescent="0.2">
      <c r="A3021" s="997">
        <f t="shared" si="47"/>
        <v>3020</v>
      </c>
      <c r="B3021" s="983" t="s">
        <v>2712</v>
      </c>
      <c r="C3021" s="1000"/>
      <c r="G3021" s="983" t="s">
        <v>1106</v>
      </c>
    </row>
    <row r="3022" spans="1:9" x14ac:dyDescent="0.2">
      <c r="A3022" s="997">
        <f t="shared" si="47"/>
        <v>3021</v>
      </c>
      <c r="B3022" s="983" t="s">
        <v>2712</v>
      </c>
      <c r="C3022" s="999"/>
      <c r="H3022" s="983" t="s">
        <v>1107</v>
      </c>
    </row>
    <row r="3023" spans="1:9" x14ac:dyDescent="0.2">
      <c r="A3023" s="997">
        <f t="shared" si="47"/>
        <v>3022</v>
      </c>
      <c r="B3023" s="983" t="s">
        <v>2712</v>
      </c>
      <c r="C3023" s="999"/>
      <c r="I3023" s="983" t="s">
        <v>1624</v>
      </c>
    </row>
    <row r="3024" spans="1:9" x14ac:dyDescent="0.2">
      <c r="A3024" s="997">
        <f t="shared" si="47"/>
        <v>3023</v>
      </c>
      <c r="B3024" s="983" t="s">
        <v>2712</v>
      </c>
      <c r="C3024" s="1000"/>
      <c r="H3024" s="983" t="s">
        <v>1108</v>
      </c>
    </row>
    <row r="3025" spans="1:9" x14ac:dyDescent="0.2">
      <c r="A3025" s="997">
        <f t="shared" si="47"/>
        <v>3024</v>
      </c>
      <c r="B3025" s="983" t="s">
        <v>2712</v>
      </c>
      <c r="C3025" s="1001"/>
      <c r="H3025" s="983" t="str">
        <f>CONCATENATE("&lt;valeur&gt;",Cellule_819,"&lt;/valeur&gt;")</f>
        <v>&lt;valeur&gt;&lt;/valeur&gt;</v>
      </c>
    </row>
    <row r="3026" spans="1:9" x14ac:dyDescent="0.2">
      <c r="A3026" s="997">
        <f t="shared" si="47"/>
        <v>3025</v>
      </c>
      <c r="B3026" s="983" t="s">
        <v>2712</v>
      </c>
      <c r="C3026" s="1000"/>
      <c r="G3026" s="983" t="s">
        <v>1109</v>
      </c>
    </row>
    <row r="3027" spans="1:9" x14ac:dyDescent="0.2">
      <c r="A3027" s="997">
        <f t="shared" si="47"/>
        <v>3026</v>
      </c>
      <c r="B3027" s="983" t="s">
        <v>2712</v>
      </c>
      <c r="C3027" s="1000"/>
      <c r="G3027" s="983" t="s">
        <v>1106</v>
      </c>
    </row>
    <row r="3028" spans="1:9" x14ac:dyDescent="0.2">
      <c r="A3028" s="997">
        <f t="shared" si="47"/>
        <v>3027</v>
      </c>
      <c r="B3028" s="983" t="s">
        <v>2712</v>
      </c>
      <c r="C3028" s="999"/>
      <c r="H3028" s="983" t="s">
        <v>1107</v>
      </c>
    </row>
    <row r="3029" spans="1:9" x14ac:dyDescent="0.2">
      <c r="A3029" s="997">
        <f t="shared" si="47"/>
        <v>3028</v>
      </c>
      <c r="B3029" s="983" t="s">
        <v>2712</v>
      </c>
      <c r="C3029" s="999"/>
      <c r="I3029" s="983" t="s">
        <v>1625</v>
      </c>
    </row>
    <row r="3030" spans="1:9" x14ac:dyDescent="0.2">
      <c r="A3030" s="997">
        <f t="shared" si="47"/>
        <v>3029</v>
      </c>
      <c r="B3030" s="983" t="s">
        <v>2712</v>
      </c>
      <c r="C3030" s="1000"/>
      <c r="H3030" s="983" t="s">
        <v>1108</v>
      </c>
    </row>
    <row r="3031" spans="1:9" x14ac:dyDescent="0.2">
      <c r="A3031" s="997">
        <f t="shared" si="47"/>
        <v>3030</v>
      </c>
      <c r="B3031" s="983" t="s">
        <v>2712</v>
      </c>
      <c r="C3031" s="1001"/>
      <c r="H3031" s="983" t="str">
        <f>CONCATENATE("&lt;valeur&gt;",Cellule_820,"&lt;/valeur&gt;")</f>
        <v>&lt;valeur&gt;0&lt;/valeur&gt;</v>
      </c>
    </row>
    <row r="3032" spans="1:9" x14ac:dyDescent="0.2">
      <c r="A3032" s="997">
        <f t="shared" si="47"/>
        <v>3031</v>
      </c>
      <c r="B3032" s="983" t="s">
        <v>2712</v>
      </c>
      <c r="C3032" s="1000"/>
      <c r="G3032" s="983" t="s">
        <v>1109</v>
      </c>
    </row>
    <row r="3033" spans="1:9" x14ac:dyDescent="0.2">
      <c r="A3033" s="997">
        <f t="shared" si="47"/>
        <v>3032</v>
      </c>
      <c r="B3033" s="983" t="s">
        <v>2712</v>
      </c>
      <c r="C3033" s="1000"/>
      <c r="G3033" s="983" t="s">
        <v>1106</v>
      </c>
    </row>
    <row r="3034" spans="1:9" x14ac:dyDescent="0.2">
      <c r="A3034" s="997">
        <f t="shared" si="47"/>
        <v>3033</v>
      </c>
      <c r="B3034" s="983" t="s">
        <v>2712</v>
      </c>
      <c r="C3034" s="999"/>
      <c r="H3034" s="983" t="s">
        <v>1626</v>
      </c>
    </row>
    <row r="3035" spans="1:9" x14ac:dyDescent="0.2">
      <c r="A3035" s="997">
        <f t="shared" si="47"/>
        <v>3034</v>
      </c>
      <c r="B3035" s="983" t="s">
        <v>2712</v>
      </c>
      <c r="C3035" s="999"/>
      <c r="H3035" s="983" t="str">
        <f>CONCATENATE("&lt;valeur&gt;",Cellule_821_1,"&lt;/valeur&gt;")</f>
        <v>&lt;valeur&gt;Excédent voiture de tourisme&lt;/valeur&gt;</v>
      </c>
    </row>
    <row r="3036" spans="1:9" x14ac:dyDescent="0.2">
      <c r="A3036" s="997">
        <f t="shared" si="47"/>
        <v>3035</v>
      </c>
      <c r="B3036" s="983" t="s">
        <v>2712</v>
      </c>
      <c r="C3036" s="1000"/>
      <c r="H3036" s="983" t="s">
        <v>1348</v>
      </c>
    </row>
    <row r="3037" spans="1:9" x14ac:dyDescent="0.2">
      <c r="A3037" s="997">
        <f t="shared" si="47"/>
        <v>3036</v>
      </c>
      <c r="B3037" s="983" t="s">
        <v>2712</v>
      </c>
      <c r="C3037" s="1001"/>
      <c r="G3037" s="983" t="s">
        <v>1109</v>
      </c>
    </row>
    <row r="3038" spans="1:9" x14ac:dyDescent="0.2">
      <c r="A3038" s="997">
        <f t="shared" si="47"/>
        <v>3037</v>
      </c>
      <c r="B3038" s="983" t="s">
        <v>2712</v>
      </c>
      <c r="C3038" s="1000"/>
      <c r="G3038" s="983" t="s">
        <v>1106</v>
      </c>
    </row>
    <row r="3039" spans="1:9" x14ac:dyDescent="0.2">
      <c r="A3039" s="997">
        <f t="shared" si="47"/>
        <v>3038</v>
      </c>
      <c r="B3039" s="983" t="s">
        <v>2712</v>
      </c>
      <c r="C3039" s="1000"/>
      <c r="H3039" s="983" t="s">
        <v>1627</v>
      </c>
    </row>
    <row r="3040" spans="1:9" x14ac:dyDescent="0.2">
      <c r="A3040" s="997">
        <f t="shared" si="47"/>
        <v>3039</v>
      </c>
      <c r="B3040" s="983" t="s">
        <v>2712</v>
      </c>
      <c r="C3040" s="999"/>
      <c r="H3040" s="983" t="str">
        <f>CONCATENATE("&lt;valeur&gt;",Cellule_822_1,"&lt;/valeur&gt;")</f>
        <v>&lt;valeur&gt;0&lt;/valeur&gt;</v>
      </c>
    </row>
    <row r="3041" spans="1:8" x14ac:dyDescent="0.2">
      <c r="A3041" s="997">
        <f t="shared" si="47"/>
        <v>3040</v>
      </c>
      <c r="B3041" s="983" t="s">
        <v>2712</v>
      </c>
      <c r="C3041" s="999"/>
      <c r="H3041" s="983" t="s">
        <v>1348</v>
      </c>
    </row>
    <row r="3042" spans="1:8" x14ac:dyDescent="0.2">
      <c r="A3042" s="997">
        <f t="shared" si="47"/>
        <v>3041</v>
      </c>
      <c r="B3042" s="983" t="s">
        <v>2712</v>
      </c>
      <c r="C3042" s="1000"/>
      <c r="G3042" s="983" t="s">
        <v>1109</v>
      </c>
    </row>
    <row r="3043" spans="1:8" x14ac:dyDescent="0.2">
      <c r="A3043" s="997">
        <f t="shared" si="47"/>
        <v>3042</v>
      </c>
      <c r="B3043" s="983" t="s">
        <v>2712</v>
      </c>
      <c r="C3043" s="1001"/>
      <c r="G3043" s="983" t="s">
        <v>1106</v>
      </c>
    </row>
    <row r="3044" spans="1:8" x14ac:dyDescent="0.2">
      <c r="A3044" s="997">
        <f t="shared" si="47"/>
        <v>3043</v>
      </c>
      <c r="B3044" s="983" t="s">
        <v>2712</v>
      </c>
      <c r="C3044" s="1000"/>
      <c r="H3044" s="983" t="s">
        <v>1628</v>
      </c>
    </row>
    <row r="3045" spans="1:8" x14ac:dyDescent="0.2">
      <c r="A3045" s="997">
        <f t="shared" si="47"/>
        <v>3044</v>
      </c>
      <c r="B3045" s="983" t="s">
        <v>2712</v>
      </c>
      <c r="C3045" s="1000"/>
      <c r="H3045" s="983" t="str">
        <f>CONCATENATE("&lt;valeur&gt;",Cellule_823_1,"&lt;/valeur&gt;")</f>
        <v>&lt;valeur&gt;0&lt;/valeur&gt;</v>
      </c>
    </row>
    <row r="3046" spans="1:8" x14ac:dyDescent="0.2">
      <c r="A3046" s="997">
        <f t="shared" si="47"/>
        <v>3045</v>
      </c>
      <c r="B3046" s="983" t="s">
        <v>2712</v>
      </c>
      <c r="C3046" s="1000"/>
      <c r="H3046" s="983" t="s">
        <v>1348</v>
      </c>
    </row>
    <row r="3047" spans="1:8" x14ac:dyDescent="0.2">
      <c r="A3047" s="997">
        <f t="shared" si="47"/>
        <v>3046</v>
      </c>
      <c r="B3047" s="983" t="s">
        <v>2712</v>
      </c>
      <c r="C3047" s="999"/>
      <c r="G3047" s="983" t="s">
        <v>1109</v>
      </c>
    </row>
    <row r="3048" spans="1:8" x14ac:dyDescent="0.2">
      <c r="A3048" s="997">
        <f t="shared" si="47"/>
        <v>3047</v>
      </c>
      <c r="B3048" s="983" t="s">
        <v>2712</v>
      </c>
      <c r="C3048" s="1000"/>
      <c r="G3048" s="983" t="s">
        <v>1106</v>
      </c>
    </row>
    <row r="3049" spans="1:8" x14ac:dyDescent="0.2">
      <c r="A3049" s="997">
        <f t="shared" si="47"/>
        <v>3048</v>
      </c>
      <c r="B3049" s="983" t="s">
        <v>2712</v>
      </c>
      <c r="C3049" s="999"/>
      <c r="H3049" s="983" t="s">
        <v>1626</v>
      </c>
    </row>
    <row r="3050" spans="1:8" x14ac:dyDescent="0.2">
      <c r="A3050" s="997">
        <f t="shared" si="47"/>
        <v>3049</v>
      </c>
      <c r="B3050" s="983" t="s">
        <v>2712</v>
      </c>
      <c r="C3050" s="999"/>
      <c r="H3050" s="983" t="str">
        <f>CONCATENATE("&lt;valeur&gt;",Cellule_821_2,"&lt;/valeur&gt;")</f>
        <v>&lt;valeur&gt;&lt;/valeur&gt;</v>
      </c>
    </row>
    <row r="3051" spans="1:8" x14ac:dyDescent="0.2">
      <c r="A3051" s="997">
        <f t="shared" si="47"/>
        <v>3050</v>
      </c>
      <c r="B3051" s="983" t="s">
        <v>2712</v>
      </c>
      <c r="C3051" s="1000"/>
      <c r="H3051" s="983" t="s">
        <v>2735</v>
      </c>
    </row>
    <row r="3052" spans="1:8" x14ac:dyDescent="0.2">
      <c r="A3052" s="997">
        <f t="shared" si="47"/>
        <v>3051</v>
      </c>
      <c r="B3052" s="983" t="s">
        <v>2712</v>
      </c>
      <c r="C3052" s="1001"/>
      <c r="G3052" s="983" t="s">
        <v>1109</v>
      </c>
    </row>
    <row r="3053" spans="1:8" x14ac:dyDescent="0.2">
      <c r="A3053" s="997">
        <f t="shared" si="47"/>
        <v>3052</v>
      </c>
      <c r="B3053" s="983" t="s">
        <v>2712</v>
      </c>
      <c r="C3053" s="1000"/>
      <c r="G3053" s="983" t="s">
        <v>1106</v>
      </c>
    </row>
    <row r="3054" spans="1:8" x14ac:dyDescent="0.2">
      <c r="A3054" s="997">
        <f t="shared" si="47"/>
        <v>3053</v>
      </c>
      <c r="B3054" s="983" t="s">
        <v>2712</v>
      </c>
      <c r="C3054" s="1000"/>
      <c r="H3054" s="983" t="s">
        <v>1627</v>
      </c>
    </row>
    <row r="3055" spans="1:8" x14ac:dyDescent="0.2">
      <c r="A3055" s="997">
        <f t="shared" si="47"/>
        <v>3054</v>
      </c>
      <c r="B3055" s="983" t="s">
        <v>2712</v>
      </c>
      <c r="C3055" s="999"/>
      <c r="H3055" s="983" t="str">
        <f>CONCATENATE("&lt;valeur&gt;",Cellule_822_2,"&lt;/valeur&gt;")</f>
        <v>&lt;valeur&gt;0&lt;/valeur&gt;</v>
      </c>
    </row>
    <row r="3056" spans="1:8" x14ac:dyDescent="0.2">
      <c r="A3056" s="997">
        <f t="shared" si="47"/>
        <v>3055</v>
      </c>
      <c r="B3056" s="983" t="s">
        <v>2712</v>
      </c>
      <c r="C3056" s="999"/>
      <c r="H3056" s="983" t="s">
        <v>2735</v>
      </c>
    </row>
    <row r="3057" spans="1:8" x14ac:dyDescent="0.2">
      <c r="A3057" s="997">
        <f t="shared" si="47"/>
        <v>3056</v>
      </c>
      <c r="B3057" s="983" t="s">
        <v>2712</v>
      </c>
      <c r="C3057" s="1000"/>
      <c r="G3057" s="983" t="s">
        <v>1109</v>
      </c>
    </row>
    <row r="3058" spans="1:8" x14ac:dyDescent="0.2">
      <c r="A3058" s="997">
        <f t="shared" si="47"/>
        <v>3057</v>
      </c>
      <c r="B3058" s="983" t="s">
        <v>2712</v>
      </c>
      <c r="C3058" s="1001"/>
      <c r="G3058" s="983" t="s">
        <v>1106</v>
      </c>
    </row>
    <row r="3059" spans="1:8" x14ac:dyDescent="0.2">
      <c r="A3059" s="997">
        <f t="shared" si="47"/>
        <v>3058</v>
      </c>
      <c r="B3059" s="983" t="s">
        <v>2712</v>
      </c>
      <c r="C3059" s="1000"/>
      <c r="H3059" s="983" t="s">
        <v>1628</v>
      </c>
    </row>
    <row r="3060" spans="1:8" x14ac:dyDescent="0.2">
      <c r="A3060" s="997">
        <f t="shared" si="47"/>
        <v>3059</v>
      </c>
      <c r="B3060" s="983" t="s">
        <v>2712</v>
      </c>
      <c r="C3060" s="1000"/>
      <c r="H3060" s="983" t="str">
        <f>CONCATENATE("&lt;valeur&gt;",Cellule_823_2,"&lt;/valeur&gt;")</f>
        <v>&lt;valeur&gt;0&lt;/valeur&gt;</v>
      </c>
    </row>
    <row r="3061" spans="1:8" x14ac:dyDescent="0.2">
      <c r="A3061" s="997">
        <f t="shared" si="47"/>
        <v>3060</v>
      </c>
      <c r="B3061" s="983" t="s">
        <v>2712</v>
      </c>
      <c r="C3061" s="1000"/>
      <c r="H3061" s="983" t="s">
        <v>2735</v>
      </c>
    </row>
    <row r="3062" spans="1:8" x14ac:dyDescent="0.2">
      <c r="A3062" s="997">
        <f t="shared" si="47"/>
        <v>3061</v>
      </c>
      <c r="B3062" s="983" t="s">
        <v>2712</v>
      </c>
      <c r="C3062" s="999"/>
      <c r="G3062" s="983" t="s">
        <v>1109</v>
      </c>
    </row>
    <row r="3063" spans="1:8" x14ac:dyDescent="0.2">
      <c r="A3063" s="997">
        <f t="shared" si="47"/>
        <v>3062</v>
      </c>
      <c r="B3063" s="983" t="s">
        <v>2712</v>
      </c>
      <c r="C3063" s="1000"/>
      <c r="G3063" s="983" t="s">
        <v>1106</v>
      </c>
    </row>
    <row r="3064" spans="1:8" x14ac:dyDescent="0.2">
      <c r="A3064" s="997">
        <f t="shared" si="47"/>
        <v>3063</v>
      </c>
      <c r="B3064" s="983" t="s">
        <v>2712</v>
      </c>
      <c r="C3064" s="999"/>
      <c r="H3064" s="983" t="s">
        <v>1626</v>
      </c>
    </row>
    <row r="3065" spans="1:8" x14ac:dyDescent="0.2">
      <c r="A3065" s="997">
        <f t="shared" si="47"/>
        <v>3064</v>
      </c>
      <c r="B3065" s="983" t="s">
        <v>2712</v>
      </c>
      <c r="C3065" s="999"/>
      <c r="H3065" s="983" t="str">
        <f>CONCATENATE("&lt;valeur&gt;",Cellule_821_3,"&lt;/valeur&gt;")</f>
        <v>&lt;valeur&gt;&lt;/valeur&gt;</v>
      </c>
    </row>
    <row r="3066" spans="1:8" x14ac:dyDescent="0.2">
      <c r="A3066" s="997">
        <f t="shared" si="47"/>
        <v>3065</v>
      </c>
      <c r="B3066" s="983" t="s">
        <v>2712</v>
      </c>
      <c r="C3066" s="1000"/>
      <c r="H3066" s="983" t="s">
        <v>2736</v>
      </c>
    </row>
    <row r="3067" spans="1:8" x14ac:dyDescent="0.2">
      <c r="A3067" s="997">
        <f t="shared" si="47"/>
        <v>3066</v>
      </c>
      <c r="B3067" s="983" t="s">
        <v>2712</v>
      </c>
      <c r="C3067" s="1001"/>
      <c r="G3067" s="983" t="s">
        <v>1109</v>
      </c>
    </row>
    <row r="3068" spans="1:8" x14ac:dyDescent="0.2">
      <c r="A3068" s="997">
        <f t="shared" si="47"/>
        <v>3067</v>
      </c>
      <c r="B3068" s="983" t="s">
        <v>2712</v>
      </c>
      <c r="C3068" s="1000"/>
      <c r="G3068" s="983" t="s">
        <v>1106</v>
      </c>
    </row>
    <row r="3069" spans="1:8" x14ac:dyDescent="0.2">
      <c r="A3069" s="997">
        <f t="shared" si="47"/>
        <v>3068</v>
      </c>
      <c r="B3069" s="983" t="s">
        <v>2712</v>
      </c>
      <c r="C3069" s="1000"/>
      <c r="H3069" s="983" t="s">
        <v>1627</v>
      </c>
    </row>
    <row r="3070" spans="1:8" x14ac:dyDescent="0.2">
      <c r="A3070" s="997">
        <f t="shared" si="47"/>
        <v>3069</v>
      </c>
      <c r="B3070" s="983" t="s">
        <v>2712</v>
      </c>
      <c r="C3070" s="999"/>
      <c r="H3070" s="983" t="str">
        <f>CONCATENATE("&lt;valeur&gt;",Cellule_822_3,"&lt;/valeur&gt;")</f>
        <v>&lt;valeur&gt;0&lt;/valeur&gt;</v>
      </c>
    </row>
    <row r="3071" spans="1:8" x14ac:dyDescent="0.2">
      <c r="A3071" s="997">
        <f t="shared" si="47"/>
        <v>3070</v>
      </c>
      <c r="B3071" s="983" t="s">
        <v>2712</v>
      </c>
      <c r="C3071" s="999"/>
      <c r="H3071" s="983" t="s">
        <v>2736</v>
      </c>
    </row>
    <row r="3072" spans="1:8" x14ac:dyDescent="0.2">
      <c r="A3072" s="997">
        <f t="shared" si="47"/>
        <v>3071</v>
      </c>
      <c r="B3072" s="983" t="s">
        <v>2712</v>
      </c>
      <c r="C3072" s="1000"/>
      <c r="G3072" s="983" t="s">
        <v>1109</v>
      </c>
    </row>
    <row r="3073" spans="1:8" x14ac:dyDescent="0.2">
      <c r="A3073" s="997">
        <f t="shared" si="47"/>
        <v>3072</v>
      </c>
      <c r="B3073" s="983" t="s">
        <v>2712</v>
      </c>
      <c r="C3073" s="1001"/>
      <c r="G3073" s="983" t="s">
        <v>1106</v>
      </c>
    </row>
    <row r="3074" spans="1:8" x14ac:dyDescent="0.2">
      <c r="A3074" s="997">
        <f t="shared" si="47"/>
        <v>3073</v>
      </c>
      <c r="B3074" s="983" t="s">
        <v>2712</v>
      </c>
      <c r="C3074" s="1000"/>
      <c r="H3074" s="983" t="s">
        <v>1628</v>
      </c>
    </row>
    <row r="3075" spans="1:8" x14ac:dyDescent="0.2">
      <c r="A3075" s="997">
        <f t="shared" si="47"/>
        <v>3074</v>
      </c>
      <c r="B3075" s="983" t="s">
        <v>2712</v>
      </c>
      <c r="C3075" s="1000"/>
      <c r="H3075" s="983" t="str">
        <f>CONCATENATE("&lt;valeur&gt;",Cellule_823_3,"&lt;/valeur&gt;")</f>
        <v>&lt;valeur&gt;0&lt;/valeur&gt;</v>
      </c>
    </row>
    <row r="3076" spans="1:8" x14ac:dyDescent="0.2">
      <c r="A3076" s="997">
        <f t="shared" ref="A3076:A3139" si="48">+A3075+1</f>
        <v>3075</v>
      </c>
      <c r="B3076" s="983" t="s">
        <v>2712</v>
      </c>
      <c r="C3076" s="1000"/>
      <c r="H3076" s="983" t="s">
        <v>2736</v>
      </c>
    </row>
    <row r="3077" spans="1:8" x14ac:dyDescent="0.2">
      <c r="A3077" s="997">
        <f t="shared" si="48"/>
        <v>3076</v>
      </c>
      <c r="B3077" s="983" t="s">
        <v>2712</v>
      </c>
      <c r="C3077" s="999"/>
      <c r="G3077" s="983" t="s">
        <v>1109</v>
      </c>
    </row>
    <row r="3078" spans="1:8" x14ac:dyDescent="0.2">
      <c r="A3078" s="997">
        <f t="shared" si="48"/>
        <v>3077</v>
      </c>
      <c r="B3078" s="983" t="s">
        <v>2712</v>
      </c>
      <c r="C3078" s="1000"/>
      <c r="G3078" s="983" t="s">
        <v>1106</v>
      </c>
    </row>
    <row r="3079" spans="1:8" x14ac:dyDescent="0.2">
      <c r="A3079" s="997">
        <f t="shared" si="48"/>
        <v>3078</v>
      </c>
      <c r="B3079" s="983" t="s">
        <v>2712</v>
      </c>
      <c r="C3079" s="999"/>
      <c r="H3079" s="983" t="s">
        <v>1626</v>
      </c>
    </row>
    <row r="3080" spans="1:8" x14ac:dyDescent="0.2">
      <c r="A3080" s="997">
        <f t="shared" si="48"/>
        <v>3079</v>
      </c>
      <c r="B3080" s="983" t="s">
        <v>2712</v>
      </c>
      <c r="C3080" s="999"/>
      <c r="H3080" s="983" t="str">
        <f>CONCATENATE("&lt;valeur&gt;",Cellule_821_4,"&lt;/valeur&gt;")</f>
        <v>&lt;valeur&gt;&lt;/valeur&gt;</v>
      </c>
    </row>
    <row r="3081" spans="1:8" x14ac:dyDescent="0.2">
      <c r="A3081" s="997">
        <f t="shared" si="48"/>
        <v>3080</v>
      </c>
      <c r="B3081" s="983" t="s">
        <v>2712</v>
      </c>
      <c r="C3081" s="1000"/>
      <c r="H3081" s="983" t="s">
        <v>2737</v>
      </c>
    </row>
    <row r="3082" spans="1:8" x14ac:dyDescent="0.2">
      <c r="A3082" s="997">
        <f t="shared" si="48"/>
        <v>3081</v>
      </c>
      <c r="B3082" s="983" t="s">
        <v>2712</v>
      </c>
      <c r="C3082" s="1001"/>
      <c r="G3082" s="983" t="s">
        <v>1109</v>
      </c>
    </row>
    <row r="3083" spans="1:8" x14ac:dyDescent="0.2">
      <c r="A3083" s="997">
        <f t="shared" si="48"/>
        <v>3082</v>
      </c>
      <c r="B3083" s="983" t="s">
        <v>2712</v>
      </c>
      <c r="C3083" s="1000"/>
      <c r="G3083" s="983" t="s">
        <v>1106</v>
      </c>
    </row>
    <row r="3084" spans="1:8" x14ac:dyDescent="0.2">
      <c r="A3084" s="997">
        <f t="shared" si="48"/>
        <v>3083</v>
      </c>
      <c r="B3084" s="983" t="s">
        <v>2712</v>
      </c>
      <c r="C3084" s="1000"/>
      <c r="H3084" s="983" t="s">
        <v>1627</v>
      </c>
    </row>
    <row r="3085" spans="1:8" x14ac:dyDescent="0.2">
      <c r="A3085" s="997">
        <f t="shared" si="48"/>
        <v>3084</v>
      </c>
      <c r="B3085" s="983" t="s">
        <v>2712</v>
      </c>
      <c r="C3085" s="999"/>
      <c r="H3085" s="983" t="str">
        <f>CONCATENATE("&lt;valeur&gt;",Cellule_822_4,"&lt;/valeur&gt;")</f>
        <v>&lt;valeur&gt;0&lt;/valeur&gt;</v>
      </c>
    </row>
    <row r="3086" spans="1:8" x14ac:dyDescent="0.2">
      <c r="A3086" s="997">
        <f t="shared" si="48"/>
        <v>3085</v>
      </c>
      <c r="B3086" s="983" t="s">
        <v>2712</v>
      </c>
      <c r="C3086" s="999"/>
      <c r="H3086" s="983" t="s">
        <v>2737</v>
      </c>
    </row>
    <row r="3087" spans="1:8" x14ac:dyDescent="0.2">
      <c r="A3087" s="997">
        <f t="shared" si="48"/>
        <v>3086</v>
      </c>
      <c r="B3087" s="983" t="s">
        <v>2712</v>
      </c>
      <c r="C3087" s="1000"/>
      <c r="G3087" s="983" t="s">
        <v>1109</v>
      </c>
    </row>
    <row r="3088" spans="1:8" x14ac:dyDescent="0.2">
      <c r="A3088" s="997">
        <f t="shared" si="48"/>
        <v>3087</v>
      </c>
      <c r="B3088" s="983" t="s">
        <v>2712</v>
      </c>
      <c r="C3088" s="1001"/>
      <c r="G3088" s="983" t="s">
        <v>1106</v>
      </c>
    </row>
    <row r="3089" spans="1:8" x14ac:dyDescent="0.2">
      <c r="A3089" s="997">
        <f t="shared" si="48"/>
        <v>3088</v>
      </c>
      <c r="B3089" s="983" t="s">
        <v>2712</v>
      </c>
      <c r="C3089" s="1000"/>
      <c r="H3089" s="983" t="s">
        <v>1628</v>
      </c>
    </row>
    <row r="3090" spans="1:8" x14ac:dyDescent="0.2">
      <c r="A3090" s="997">
        <f t="shared" si="48"/>
        <v>3089</v>
      </c>
      <c r="B3090" s="983" t="s">
        <v>2712</v>
      </c>
      <c r="C3090" s="1000"/>
      <c r="H3090" s="983" t="str">
        <f>CONCATENATE("&lt;valeur&gt;",Cellule_823_4,"&lt;/valeur&gt;")</f>
        <v>&lt;valeur&gt;0&lt;/valeur&gt;</v>
      </c>
    </row>
    <row r="3091" spans="1:8" x14ac:dyDescent="0.2">
      <c r="A3091" s="997">
        <f t="shared" si="48"/>
        <v>3090</v>
      </c>
      <c r="B3091" s="983" t="s">
        <v>2712</v>
      </c>
      <c r="C3091" s="1000"/>
      <c r="H3091" s="983" t="s">
        <v>2737</v>
      </c>
    </row>
    <row r="3092" spans="1:8" x14ac:dyDescent="0.2">
      <c r="A3092" s="997">
        <f t="shared" si="48"/>
        <v>3091</v>
      </c>
      <c r="B3092" s="983" t="s">
        <v>2712</v>
      </c>
      <c r="C3092" s="999"/>
      <c r="G3092" s="983" t="s">
        <v>1109</v>
      </c>
    </row>
    <row r="3093" spans="1:8" x14ac:dyDescent="0.2">
      <c r="A3093" s="997">
        <f t="shared" si="48"/>
        <v>3092</v>
      </c>
      <c r="B3093" s="983" t="s">
        <v>2712</v>
      </c>
      <c r="C3093" s="1000"/>
      <c r="G3093" s="983" t="s">
        <v>1106</v>
      </c>
    </row>
    <row r="3094" spans="1:8" x14ac:dyDescent="0.2">
      <c r="A3094" s="997">
        <f t="shared" si="48"/>
        <v>3093</v>
      </c>
      <c r="B3094" s="983" t="s">
        <v>2712</v>
      </c>
      <c r="C3094" s="999"/>
      <c r="H3094" s="983" t="s">
        <v>1626</v>
      </c>
    </row>
    <row r="3095" spans="1:8" x14ac:dyDescent="0.2">
      <c r="A3095" s="997">
        <f t="shared" si="48"/>
        <v>3094</v>
      </c>
      <c r="B3095" s="983" t="s">
        <v>2712</v>
      </c>
      <c r="C3095" s="999"/>
      <c r="H3095" s="983" t="str">
        <f>CONCATENATE("&lt;valeur&gt;",Cellule_821_5,"&lt;/valeur&gt;")</f>
        <v>&lt;valeur&gt;&lt;/valeur&gt;</v>
      </c>
    </row>
    <row r="3096" spans="1:8" x14ac:dyDescent="0.2">
      <c r="A3096" s="997">
        <f t="shared" si="48"/>
        <v>3095</v>
      </c>
      <c r="B3096" s="983" t="s">
        <v>2712</v>
      </c>
      <c r="C3096" s="1000"/>
      <c r="H3096" s="983" t="s">
        <v>2738</v>
      </c>
    </row>
    <row r="3097" spans="1:8" x14ac:dyDescent="0.2">
      <c r="A3097" s="997">
        <f t="shared" si="48"/>
        <v>3096</v>
      </c>
      <c r="B3097" s="983" t="s">
        <v>2712</v>
      </c>
      <c r="C3097" s="1001"/>
      <c r="G3097" s="983" t="s">
        <v>1109</v>
      </c>
    </row>
    <row r="3098" spans="1:8" x14ac:dyDescent="0.2">
      <c r="A3098" s="997">
        <f t="shared" si="48"/>
        <v>3097</v>
      </c>
      <c r="B3098" s="983" t="s">
        <v>2712</v>
      </c>
      <c r="C3098" s="1000"/>
      <c r="G3098" s="983" t="s">
        <v>1106</v>
      </c>
    </row>
    <row r="3099" spans="1:8" x14ac:dyDescent="0.2">
      <c r="A3099" s="997">
        <f t="shared" si="48"/>
        <v>3098</v>
      </c>
      <c r="B3099" s="983" t="s">
        <v>2712</v>
      </c>
      <c r="C3099" s="1000"/>
      <c r="H3099" s="983" t="s">
        <v>1627</v>
      </c>
    </row>
    <row r="3100" spans="1:8" x14ac:dyDescent="0.2">
      <c r="A3100" s="997">
        <f t="shared" si="48"/>
        <v>3099</v>
      </c>
      <c r="B3100" s="983" t="s">
        <v>2712</v>
      </c>
      <c r="C3100" s="999"/>
      <c r="H3100" s="983" t="str">
        <f>CONCATENATE("&lt;valeur&gt;",Cellule_822_5,"&lt;/valeur&gt;")</f>
        <v>&lt;valeur&gt;0&lt;/valeur&gt;</v>
      </c>
    </row>
    <row r="3101" spans="1:8" x14ac:dyDescent="0.2">
      <c r="A3101" s="997">
        <f t="shared" si="48"/>
        <v>3100</v>
      </c>
      <c r="B3101" s="983" t="s">
        <v>2712</v>
      </c>
      <c r="C3101" s="999"/>
      <c r="H3101" s="983" t="s">
        <v>2738</v>
      </c>
    </row>
    <row r="3102" spans="1:8" x14ac:dyDescent="0.2">
      <c r="A3102" s="997">
        <f t="shared" si="48"/>
        <v>3101</v>
      </c>
      <c r="B3102" s="983" t="s">
        <v>2712</v>
      </c>
      <c r="C3102" s="1000"/>
      <c r="G3102" s="983" t="s">
        <v>1109</v>
      </c>
    </row>
    <row r="3103" spans="1:8" x14ac:dyDescent="0.2">
      <c r="A3103" s="997">
        <f t="shared" si="48"/>
        <v>3102</v>
      </c>
      <c r="B3103" s="983" t="s">
        <v>2712</v>
      </c>
      <c r="C3103" s="1001"/>
      <c r="G3103" s="983" t="s">
        <v>1106</v>
      </c>
    </row>
    <row r="3104" spans="1:8" x14ac:dyDescent="0.2">
      <c r="A3104" s="997">
        <f t="shared" si="48"/>
        <v>3103</v>
      </c>
      <c r="B3104" s="983" t="s">
        <v>2712</v>
      </c>
      <c r="C3104" s="1000"/>
      <c r="H3104" s="983" t="s">
        <v>1628</v>
      </c>
    </row>
    <row r="3105" spans="1:8" x14ac:dyDescent="0.2">
      <c r="A3105" s="997">
        <f t="shared" si="48"/>
        <v>3104</v>
      </c>
      <c r="B3105" s="983" t="s">
        <v>2712</v>
      </c>
      <c r="C3105" s="1000"/>
      <c r="H3105" s="983" t="str">
        <f>CONCATENATE("&lt;valeur&gt;",Cellule_823_5,"&lt;/valeur&gt;")</f>
        <v>&lt;valeur&gt;0&lt;/valeur&gt;</v>
      </c>
    </row>
    <row r="3106" spans="1:8" x14ac:dyDescent="0.2">
      <c r="A3106" s="997">
        <f t="shared" si="48"/>
        <v>3105</v>
      </c>
      <c r="B3106" s="983" t="s">
        <v>2712</v>
      </c>
      <c r="C3106" s="1000"/>
      <c r="H3106" s="983" t="s">
        <v>2738</v>
      </c>
    </row>
    <row r="3107" spans="1:8" x14ac:dyDescent="0.2">
      <c r="A3107" s="997">
        <f t="shared" si="48"/>
        <v>3106</v>
      </c>
      <c r="B3107" s="983" t="s">
        <v>2712</v>
      </c>
      <c r="C3107" s="999"/>
      <c r="G3107" s="983" t="s">
        <v>1109</v>
      </c>
    </row>
    <row r="3108" spans="1:8" x14ac:dyDescent="0.2">
      <c r="A3108" s="997">
        <f t="shared" si="48"/>
        <v>3107</v>
      </c>
      <c r="B3108" s="983" t="s">
        <v>2712</v>
      </c>
      <c r="C3108" s="1000"/>
      <c r="G3108" s="983" t="s">
        <v>1106</v>
      </c>
    </row>
    <row r="3109" spans="1:8" x14ac:dyDescent="0.2">
      <c r="A3109" s="997">
        <f t="shared" si="48"/>
        <v>3108</v>
      </c>
      <c r="B3109" s="983" t="s">
        <v>2712</v>
      </c>
      <c r="C3109" s="999"/>
      <c r="H3109" s="983" t="s">
        <v>1626</v>
      </c>
    </row>
    <row r="3110" spans="1:8" x14ac:dyDescent="0.2">
      <c r="A3110" s="997">
        <f t="shared" si="48"/>
        <v>3109</v>
      </c>
      <c r="B3110" s="983" t="s">
        <v>2712</v>
      </c>
      <c r="C3110" s="999"/>
      <c r="H3110" s="983" t="str">
        <f>CONCATENATE("&lt;valeur&gt;",Cellule_821_6,"&lt;/valeur&gt;")</f>
        <v>&lt;valeur&gt;&lt;/valeur&gt;</v>
      </c>
    </row>
    <row r="3111" spans="1:8" x14ac:dyDescent="0.2">
      <c r="A3111" s="997">
        <f t="shared" si="48"/>
        <v>3110</v>
      </c>
      <c r="B3111" s="983" t="s">
        <v>2712</v>
      </c>
      <c r="C3111" s="1000"/>
      <c r="H3111" s="983" t="s">
        <v>2739</v>
      </c>
    </row>
    <row r="3112" spans="1:8" x14ac:dyDescent="0.2">
      <c r="A3112" s="997">
        <f t="shared" si="48"/>
        <v>3111</v>
      </c>
      <c r="B3112" s="983" t="s">
        <v>2712</v>
      </c>
      <c r="C3112" s="1001"/>
      <c r="G3112" s="983" t="s">
        <v>1109</v>
      </c>
    </row>
    <row r="3113" spans="1:8" x14ac:dyDescent="0.2">
      <c r="A3113" s="997">
        <f t="shared" si="48"/>
        <v>3112</v>
      </c>
      <c r="B3113" s="983" t="s">
        <v>2712</v>
      </c>
      <c r="C3113" s="1000"/>
      <c r="G3113" s="983" t="s">
        <v>1106</v>
      </c>
    </row>
    <row r="3114" spans="1:8" x14ac:dyDescent="0.2">
      <c r="A3114" s="997">
        <f t="shared" si="48"/>
        <v>3113</v>
      </c>
      <c r="B3114" s="983" t="s">
        <v>2712</v>
      </c>
      <c r="C3114" s="1000"/>
      <c r="H3114" s="983" t="s">
        <v>1627</v>
      </c>
    </row>
    <row r="3115" spans="1:8" x14ac:dyDescent="0.2">
      <c r="A3115" s="997">
        <f t="shared" si="48"/>
        <v>3114</v>
      </c>
      <c r="B3115" s="983" t="s">
        <v>2712</v>
      </c>
      <c r="C3115" s="999"/>
      <c r="H3115" s="983" t="str">
        <f>CONCATENATE("&lt;valeur&gt;",Cellule_822_6,"&lt;/valeur&gt;")</f>
        <v>&lt;valeur&gt;0&lt;/valeur&gt;</v>
      </c>
    </row>
    <row r="3116" spans="1:8" x14ac:dyDescent="0.2">
      <c r="A3116" s="997">
        <f t="shared" si="48"/>
        <v>3115</v>
      </c>
      <c r="B3116" s="983" t="s">
        <v>2712</v>
      </c>
      <c r="C3116" s="999"/>
      <c r="H3116" s="983" t="s">
        <v>2739</v>
      </c>
    </row>
    <row r="3117" spans="1:8" x14ac:dyDescent="0.2">
      <c r="A3117" s="997">
        <f t="shared" si="48"/>
        <v>3116</v>
      </c>
      <c r="B3117" s="983" t="s">
        <v>2712</v>
      </c>
      <c r="C3117" s="1000"/>
      <c r="G3117" s="983" t="s">
        <v>1109</v>
      </c>
    </row>
    <row r="3118" spans="1:8" x14ac:dyDescent="0.2">
      <c r="A3118" s="997">
        <f t="shared" si="48"/>
        <v>3117</v>
      </c>
      <c r="B3118" s="983" t="s">
        <v>2712</v>
      </c>
      <c r="C3118" s="1001"/>
      <c r="G3118" s="983" t="s">
        <v>1106</v>
      </c>
    </row>
    <row r="3119" spans="1:8" x14ac:dyDescent="0.2">
      <c r="A3119" s="997">
        <f t="shared" si="48"/>
        <v>3118</v>
      </c>
      <c r="B3119" s="983" t="s">
        <v>2712</v>
      </c>
      <c r="C3119" s="1000"/>
      <c r="H3119" s="983" t="s">
        <v>1628</v>
      </c>
    </row>
    <row r="3120" spans="1:8" x14ac:dyDescent="0.2">
      <c r="A3120" s="997">
        <f t="shared" si="48"/>
        <v>3119</v>
      </c>
      <c r="B3120" s="983" t="s">
        <v>2712</v>
      </c>
      <c r="C3120" s="1000"/>
      <c r="H3120" s="983" t="str">
        <f>CONCATENATE("&lt;valeur&gt;",Cellule_823_6,"&lt;/valeur&gt;")</f>
        <v>&lt;valeur&gt;0&lt;/valeur&gt;</v>
      </c>
    </row>
    <row r="3121" spans="1:8" x14ac:dyDescent="0.2">
      <c r="A3121" s="997">
        <f t="shared" si="48"/>
        <v>3120</v>
      </c>
      <c r="B3121" s="983" t="s">
        <v>2712</v>
      </c>
      <c r="C3121" s="1000"/>
      <c r="H3121" s="983" t="s">
        <v>2739</v>
      </c>
    </row>
    <row r="3122" spans="1:8" x14ac:dyDescent="0.2">
      <c r="A3122" s="997">
        <f t="shared" si="48"/>
        <v>3121</v>
      </c>
      <c r="B3122" s="983" t="s">
        <v>2712</v>
      </c>
      <c r="C3122" s="999"/>
      <c r="G3122" s="983" t="s">
        <v>1109</v>
      </c>
    </row>
    <row r="3123" spans="1:8" x14ac:dyDescent="0.2">
      <c r="A3123" s="997">
        <f t="shared" si="48"/>
        <v>3122</v>
      </c>
      <c r="B3123" s="983" t="s">
        <v>2712</v>
      </c>
      <c r="C3123" s="999"/>
      <c r="G3123" s="983" t="s">
        <v>1106</v>
      </c>
    </row>
    <row r="3124" spans="1:8" x14ac:dyDescent="0.2">
      <c r="A3124" s="997">
        <f t="shared" si="48"/>
        <v>3123</v>
      </c>
      <c r="B3124" s="983" t="s">
        <v>2712</v>
      </c>
      <c r="C3124" s="1000"/>
      <c r="H3124" s="983" t="s">
        <v>1629</v>
      </c>
    </row>
    <row r="3125" spans="1:8" x14ac:dyDescent="0.2">
      <c r="A3125" s="997">
        <f t="shared" si="48"/>
        <v>3124</v>
      </c>
      <c r="B3125" s="983" t="s">
        <v>2712</v>
      </c>
      <c r="C3125" s="1001"/>
      <c r="H3125" s="983" t="str">
        <f>CONCATENATE("&lt;valeur&gt;",Cellule_824_1,"&lt;/valeur&gt;")</f>
        <v>&lt;valeur&gt;Impôt sur les sociétés&lt;/valeur&gt;</v>
      </c>
    </row>
    <row r="3126" spans="1:8" x14ac:dyDescent="0.2">
      <c r="A3126" s="997">
        <f t="shared" si="48"/>
        <v>3125</v>
      </c>
      <c r="B3126" s="983" t="s">
        <v>2712</v>
      </c>
      <c r="C3126" s="1000"/>
      <c r="H3126" s="983" t="s">
        <v>1348</v>
      </c>
    </row>
    <row r="3127" spans="1:8" x14ac:dyDescent="0.2">
      <c r="A3127" s="997">
        <f t="shared" si="48"/>
        <v>3126</v>
      </c>
      <c r="B3127" s="983" t="s">
        <v>2712</v>
      </c>
      <c r="C3127" s="1000"/>
      <c r="G3127" s="983" t="s">
        <v>1109</v>
      </c>
    </row>
    <row r="3128" spans="1:8" x14ac:dyDescent="0.2">
      <c r="A3128" s="997">
        <f t="shared" si="48"/>
        <v>3127</v>
      </c>
      <c r="B3128" s="983" t="s">
        <v>2712</v>
      </c>
      <c r="C3128" s="1000"/>
      <c r="G3128" s="983" t="s">
        <v>1106</v>
      </c>
    </row>
    <row r="3129" spans="1:8" x14ac:dyDescent="0.2">
      <c r="A3129" s="997">
        <f t="shared" si="48"/>
        <v>3128</v>
      </c>
      <c r="B3129" s="983" t="s">
        <v>2712</v>
      </c>
      <c r="C3129" s="999"/>
      <c r="H3129" s="983" t="s">
        <v>1630</v>
      </c>
    </row>
    <row r="3130" spans="1:8" x14ac:dyDescent="0.2">
      <c r="A3130" s="997">
        <f t="shared" si="48"/>
        <v>3129</v>
      </c>
      <c r="B3130" s="983" t="s">
        <v>2712</v>
      </c>
      <c r="C3130" s="999"/>
      <c r="H3130" s="983" t="str">
        <f>CONCATENATE("&lt;valeur&gt;",Cellule_825_1,"&lt;/valeur&gt;")</f>
        <v>&lt;valeur&gt;2384&lt;/valeur&gt;</v>
      </c>
    </row>
    <row r="3131" spans="1:8" x14ac:dyDescent="0.2">
      <c r="A3131" s="997">
        <f t="shared" si="48"/>
        <v>3130</v>
      </c>
      <c r="B3131" s="983" t="s">
        <v>2712</v>
      </c>
      <c r="C3131" s="1000"/>
      <c r="H3131" s="983" t="s">
        <v>1348</v>
      </c>
    </row>
    <row r="3132" spans="1:8" x14ac:dyDescent="0.2">
      <c r="A3132" s="997">
        <f t="shared" si="48"/>
        <v>3131</v>
      </c>
      <c r="B3132" s="983" t="s">
        <v>2712</v>
      </c>
      <c r="C3132" s="1001"/>
      <c r="G3132" s="983" t="s">
        <v>1109</v>
      </c>
    </row>
    <row r="3133" spans="1:8" x14ac:dyDescent="0.2">
      <c r="A3133" s="997">
        <f t="shared" si="48"/>
        <v>3132</v>
      </c>
      <c r="B3133" s="983" t="s">
        <v>2712</v>
      </c>
      <c r="C3133" s="1000"/>
      <c r="G3133" s="983" t="s">
        <v>1106</v>
      </c>
    </row>
    <row r="3134" spans="1:8" x14ac:dyDescent="0.2">
      <c r="A3134" s="997">
        <f t="shared" si="48"/>
        <v>3133</v>
      </c>
      <c r="B3134" s="983" t="s">
        <v>2712</v>
      </c>
      <c r="C3134" s="1000"/>
      <c r="H3134" s="983" t="s">
        <v>1631</v>
      </c>
    </row>
    <row r="3135" spans="1:8" x14ac:dyDescent="0.2">
      <c r="A3135" s="997">
        <f t="shared" si="48"/>
        <v>3134</v>
      </c>
      <c r="B3135" s="983" t="s">
        <v>2712</v>
      </c>
      <c r="C3135" s="1000"/>
      <c r="H3135" s="983" t="str">
        <f>CONCATENATE("&lt;valeur&gt;",Cellule_826_1,"&lt;/valeur&gt;")</f>
        <v>&lt;valeur&gt;0&lt;/valeur&gt;</v>
      </c>
    </row>
    <row r="3136" spans="1:8" x14ac:dyDescent="0.2">
      <c r="A3136" s="997">
        <f t="shared" si="48"/>
        <v>3135</v>
      </c>
      <c r="B3136" s="983" t="s">
        <v>2712</v>
      </c>
      <c r="C3136" s="999"/>
      <c r="H3136" s="983" t="s">
        <v>1348</v>
      </c>
    </row>
    <row r="3137" spans="1:8" x14ac:dyDescent="0.2">
      <c r="A3137" s="997">
        <f t="shared" si="48"/>
        <v>3136</v>
      </c>
      <c r="B3137" s="983" t="s">
        <v>2712</v>
      </c>
      <c r="C3137" s="999"/>
      <c r="G3137" s="983" t="s">
        <v>1109</v>
      </c>
    </row>
    <row r="3138" spans="1:8" x14ac:dyDescent="0.2">
      <c r="A3138" s="997">
        <f t="shared" si="48"/>
        <v>3137</v>
      </c>
      <c r="B3138" s="983" t="s">
        <v>2712</v>
      </c>
      <c r="C3138" s="999"/>
      <c r="G3138" s="983" t="s">
        <v>1106</v>
      </c>
    </row>
    <row r="3139" spans="1:8" x14ac:dyDescent="0.2">
      <c r="A3139" s="997">
        <f t="shared" si="48"/>
        <v>3138</v>
      </c>
      <c r="B3139" s="983" t="s">
        <v>2712</v>
      </c>
      <c r="C3139" s="1000"/>
      <c r="H3139" s="983" t="s">
        <v>1629</v>
      </c>
    </row>
    <row r="3140" spans="1:8" x14ac:dyDescent="0.2">
      <c r="A3140" s="997">
        <f t="shared" ref="A3140:A3203" si="49">+A3139+1</f>
        <v>3139</v>
      </c>
      <c r="B3140" s="983" t="s">
        <v>2712</v>
      </c>
      <c r="C3140" s="1001"/>
      <c r="H3140" s="983" t="str">
        <f>CONCATENATE("&lt;valeur&gt;",Cellule_824_2,"&lt;/valeur&gt;")</f>
        <v>&lt;valeur&gt;Pénalités&lt;/valeur&gt;</v>
      </c>
    </row>
    <row r="3141" spans="1:8" x14ac:dyDescent="0.2">
      <c r="A3141" s="997">
        <f t="shared" si="49"/>
        <v>3140</v>
      </c>
      <c r="B3141" s="983" t="s">
        <v>2712</v>
      </c>
      <c r="C3141" s="1000"/>
      <c r="H3141" s="983" t="s">
        <v>2735</v>
      </c>
    </row>
    <row r="3142" spans="1:8" x14ac:dyDescent="0.2">
      <c r="A3142" s="997">
        <f t="shared" si="49"/>
        <v>3141</v>
      </c>
      <c r="B3142" s="983" t="s">
        <v>2712</v>
      </c>
      <c r="C3142" s="1000"/>
      <c r="G3142" s="983" t="s">
        <v>1109</v>
      </c>
    </row>
    <row r="3143" spans="1:8" x14ac:dyDescent="0.2">
      <c r="A3143" s="997">
        <f t="shared" si="49"/>
        <v>3142</v>
      </c>
      <c r="B3143" s="983" t="s">
        <v>2712</v>
      </c>
      <c r="C3143" s="1000"/>
      <c r="G3143" s="983" t="s">
        <v>1106</v>
      </c>
    </row>
    <row r="3144" spans="1:8" x14ac:dyDescent="0.2">
      <c r="A3144" s="997">
        <f t="shared" si="49"/>
        <v>3143</v>
      </c>
      <c r="B3144" s="983" t="s">
        <v>2712</v>
      </c>
      <c r="C3144" s="999"/>
      <c r="H3144" s="983" t="s">
        <v>1630</v>
      </c>
    </row>
    <row r="3145" spans="1:8" x14ac:dyDescent="0.2">
      <c r="A3145" s="997">
        <f t="shared" si="49"/>
        <v>3144</v>
      </c>
      <c r="B3145" s="983" t="s">
        <v>2712</v>
      </c>
      <c r="C3145" s="999"/>
      <c r="H3145" s="983" t="str">
        <f>CONCATENATE("&lt;valeur&gt;",Cellule_825_2,"&lt;/valeur&gt;")</f>
        <v>&lt;valeur&gt;0&lt;/valeur&gt;</v>
      </c>
    </row>
    <row r="3146" spans="1:8" x14ac:dyDescent="0.2">
      <c r="A3146" s="997">
        <f t="shared" si="49"/>
        <v>3145</v>
      </c>
      <c r="B3146" s="983" t="s">
        <v>2712</v>
      </c>
      <c r="C3146" s="1000"/>
      <c r="H3146" s="983" t="s">
        <v>2735</v>
      </c>
    </row>
    <row r="3147" spans="1:8" x14ac:dyDescent="0.2">
      <c r="A3147" s="997">
        <f t="shared" si="49"/>
        <v>3146</v>
      </c>
      <c r="B3147" s="983" t="s">
        <v>2712</v>
      </c>
      <c r="C3147" s="1001"/>
      <c r="G3147" s="983" t="s">
        <v>1109</v>
      </c>
    </row>
    <row r="3148" spans="1:8" x14ac:dyDescent="0.2">
      <c r="A3148" s="997">
        <f t="shared" si="49"/>
        <v>3147</v>
      </c>
      <c r="B3148" s="983" t="s">
        <v>2712</v>
      </c>
      <c r="C3148" s="1000"/>
      <c r="G3148" s="983" t="s">
        <v>1106</v>
      </c>
    </row>
    <row r="3149" spans="1:8" x14ac:dyDescent="0.2">
      <c r="A3149" s="997">
        <f t="shared" si="49"/>
        <v>3148</v>
      </c>
      <c r="B3149" s="983" t="s">
        <v>2712</v>
      </c>
      <c r="C3149" s="1000"/>
      <c r="H3149" s="983" t="s">
        <v>1631</v>
      </c>
    </row>
    <row r="3150" spans="1:8" x14ac:dyDescent="0.2">
      <c r="A3150" s="997">
        <f t="shared" si="49"/>
        <v>3149</v>
      </c>
      <c r="B3150" s="983" t="s">
        <v>2712</v>
      </c>
      <c r="C3150" s="1000"/>
      <c r="H3150" s="983" t="str">
        <f>CONCATENATE("&lt;valeur&gt;",Cellule_826_2,"&lt;/valeur&gt;")</f>
        <v>&lt;valeur&gt;0&lt;/valeur&gt;</v>
      </c>
    </row>
    <row r="3151" spans="1:8" x14ac:dyDescent="0.2">
      <c r="A3151" s="997">
        <f t="shared" si="49"/>
        <v>3150</v>
      </c>
      <c r="B3151" s="983" t="s">
        <v>2712</v>
      </c>
      <c r="C3151" s="999"/>
      <c r="H3151" s="983" t="s">
        <v>2735</v>
      </c>
    </row>
    <row r="3152" spans="1:8" x14ac:dyDescent="0.2">
      <c r="A3152" s="997">
        <f t="shared" si="49"/>
        <v>3151</v>
      </c>
      <c r="B3152" s="983" t="s">
        <v>2712</v>
      </c>
      <c r="C3152" s="999"/>
      <c r="G3152" s="983" t="s">
        <v>1109</v>
      </c>
    </row>
    <row r="3153" spans="1:8" x14ac:dyDescent="0.2">
      <c r="A3153" s="997">
        <f t="shared" si="49"/>
        <v>3152</v>
      </c>
      <c r="B3153" s="983" t="s">
        <v>2712</v>
      </c>
      <c r="C3153" s="999"/>
      <c r="G3153" s="983" t="s">
        <v>1106</v>
      </c>
    </row>
    <row r="3154" spans="1:8" x14ac:dyDescent="0.2">
      <c r="A3154" s="997">
        <f t="shared" si="49"/>
        <v>3153</v>
      </c>
      <c r="B3154" s="983" t="s">
        <v>2712</v>
      </c>
      <c r="C3154" s="1000"/>
      <c r="H3154" s="983" t="s">
        <v>1629</v>
      </c>
    </row>
    <row r="3155" spans="1:8" x14ac:dyDescent="0.2">
      <c r="A3155" s="997">
        <f t="shared" si="49"/>
        <v>3154</v>
      </c>
      <c r="B3155" s="983" t="s">
        <v>2712</v>
      </c>
      <c r="C3155" s="1001"/>
      <c r="H3155" s="983" t="str">
        <f>CONCATENATE("&lt;valeur&gt;",Cellule_824_3,"&lt;/valeur&gt;")</f>
        <v>&lt;valeur&gt;Autres charges non courantes&lt;/valeur&gt;</v>
      </c>
    </row>
    <row r="3156" spans="1:8" x14ac:dyDescent="0.2">
      <c r="A3156" s="997">
        <f t="shared" si="49"/>
        <v>3155</v>
      </c>
      <c r="B3156" s="983" t="s">
        <v>2712</v>
      </c>
      <c r="C3156" s="1000"/>
      <c r="H3156" s="983" t="s">
        <v>2736</v>
      </c>
    </row>
    <row r="3157" spans="1:8" x14ac:dyDescent="0.2">
      <c r="A3157" s="997">
        <f t="shared" si="49"/>
        <v>3156</v>
      </c>
      <c r="B3157" s="983" t="s">
        <v>2712</v>
      </c>
      <c r="C3157" s="1000"/>
      <c r="G3157" s="983" t="s">
        <v>1109</v>
      </c>
    </row>
    <row r="3158" spans="1:8" x14ac:dyDescent="0.2">
      <c r="A3158" s="997">
        <f t="shared" si="49"/>
        <v>3157</v>
      </c>
      <c r="B3158" s="983" t="s">
        <v>2712</v>
      </c>
      <c r="C3158" s="1000"/>
      <c r="G3158" s="983" t="s">
        <v>1106</v>
      </c>
    </row>
    <row r="3159" spans="1:8" x14ac:dyDescent="0.2">
      <c r="A3159" s="997">
        <f t="shared" si="49"/>
        <v>3158</v>
      </c>
      <c r="B3159" s="983" t="s">
        <v>2712</v>
      </c>
      <c r="C3159" s="999"/>
      <c r="H3159" s="983" t="s">
        <v>1630</v>
      </c>
    </row>
    <row r="3160" spans="1:8" x14ac:dyDescent="0.2">
      <c r="A3160" s="997">
        <f t="shared" si="49"/>
        <v>3159</v>
      </c>
      <c r="B3160" s="983" t="s">
        <v>2712</v>
      </c>
      <c r="C3160" s="999"/>
      <c r="H3160" s="983" t="str">
        <f>CONCATENATE("&lt;valeur&gt;",Cellule_825_3,"&lt;/valeur&gt;")</f>
        <v>&lt;valeur&gt;0&lt;/valeur&gt;</v>
      </c>
    </row>
    <row r="3161" spans="1:8" x14ac:dyDescent="0.2">
      <c r="A3161" s="997">
        <f t="shared" si="49"/>
        <v>3160</v>
      </c>
      <c r="B3161" s="983" t="s">
        <v>2712</v>
      </c>
      <c r="C3161" s="1000"/>
      <c r="H3161" s="983" t="s">
        <v>2736</v>
      </c>
    </row>
    <row r="3162" spans="1:8" x14ac:dyDescent="0.2">
      <c r="A3162" s="997">
        <f t="shared" si="49"/>
        <v>3161</v>
      </c>
      <c r="B3162" s="983" t="s">
        <v>2712</v>
      </c>
      <c r="C3162" s="1001"/>
      <c r="G3162" s="983" t="s">
        <v>1109</v>
      </c>
    </row>
    <row r="3163" spans="1:8" x14ac:dyDescent="0.2">
      <c r="A3163" s="997">
        <f t="shared" si="49"/>
        <v>3162</v>
      </c>
      <c r="B3163" s="983" t="s">
        <v>2712</v>
      </c>
      <c r="C3163" s="1000"/>
      <c r="G3163" s="983" t="s">
        <v>1106</v>
      </c>
    </row>
    <row r="3164" spans="1:8" x14ac:dyDescent="0.2">
      <c r="A3164" s="997">
        <f t="shared" si="49"/>
        <v>3163</v>
      </c>
      <c r="B3164" s="983" t="s">
        <v>2712</v>
      </c>
      <c r="C3164" s="1000"/>
      <c r="H3164" s="983" t="s">
        <v>1631</v>
      </c>
    </row>
    <row r="3165" spans="1:8" x14ac:dyDescent="0.2">
      <c r="A3165" s="997">
        <f t="shared" si="49"/>
        <v>3164</v>
      </c>
      <c r="B3165" s="983" t="s">
        <v>2712</v>
      </c>
      <c r="C3165" s="1000"/>
      <c r="H3165" s="983" t="str">
        <f>CONCATENATE("&lt;valeur&gt;",Cellule_826_3,"&lt;/valeur&gt;")</f>
        <v>&lt;valeur&gt;0&lt;/valeur&gt;</v>
      </c>
    </row>
    <row r="3166" spans="1:8" x14ac:dyDescent="0.2">
      <c r="A3166" s="997">
        <f t="shared" si="49"/>
        <v>3165</v>
      </c>
      <c r="B3166" s="983" t="s">
        <v>2712</v>
      </c>
      <c r="C3166" s="999"/>
      <c r="H3166" s="983" t="s">
        <v>2736</v>
      </c>
    </row>
    <row r="3167" spans="1:8" x14ac:dyDescent="0.2">
      <c r="A3167" s="997">
        <f t="shared" si="49"/>
        <v>3166</v>
      </c>
      <c r="B3167" s="983" t="s">
        <v>2712</v>
      </c>
      <c r="C3167" s="999"/>
      <c r="G3167" s="983" t="s">
        <v>1109</v>
      </c>
    </row>
    <row r="3168" spans="1:8" x14ac:dyDescent="0.2">
      <c r="A3168" s="997">
        <f t="shared" si="49"/>
        <v>3167</v>
      </c>
      <c r="B3168" s="983" t="s">
        <v>2712</v>
      </c>
      <c r="C3168" s="999"/>
      <c r="G3168" s="983" t="s">
        <v>1106</v>
      </c>
    </row>
    <row r="3169" spans="1:8" x14ac:dyDescent="0.2">
      <c r="A3169" s="997">
        <f t="shared" si="49"/>
        <v>3168</v>
      </c>
      <c r="B3169" s="983" t="s">
        <v>2712</v>
      </c>
      <c r="C3169" s="1000"/>
      <c r="H3169" s="983" t="s">
        <v>1629</v>
      </c>
    </row>
    <row r="3170" spans="1:8" x14ac:dyDescent="0.2">
      <c r="A3170" s="997">
        <f t="shared" si="49"/>
        <v>3169</v>
      </c>
      <c r="B3170" s="983" t="s">
        <v>2712</v>
      </c>
      <c r="C3170" s="1001"/>
      <c r="H3170" s="983" t="str">
        <f>CONCATENATE("&lt;valeur&gt;",Cellule_824_4,"&lt;/valeur&gt;")</f>
        <v>&lt;valeur&gt;&lt;/valeur&gt;</v>
      </c>
    </row>
    <row r="3171" spans="1:8" x14ac:dyDescent="0.2">
      <c r="A3171" s="997">
        <f t="shared" si="49"/>
        <v>3170</v>
      </c>
      <c r="B3171" s="983" t="s">
        <v>2712</v>
      </c>
      <c r="C3171" s="1000"/>
      <c r="H3171" s="983" t="s">
        <v>2737</v>
      </c>
    </row>
    <row r="3172" spans="1:8" x14ac:dyDescent="0.2">
      <c r="A3172" s="997">
        <f t="shared" si="49"/>
        <v>3171</v>
      </c>
      <c r="B3172" s="983" t="s">
        <v>2712</v>
      </c>
      <c r="C3172" s="1000"/>
      <c r="G3172" s="983" t="s">
        <v>1109</v>
      </c>
    </row>
    <row r="3173" spans="1:8" x14ac:dyDescent="0.2">
      <c r="A3173" s="997">
        <f t="shared" si="49"/>
        <v>3172</v>
      </c>
      <c r="B3173" s="983" t="s">
        <v>2712</v>
      </c>
      <c r="C3173" s="1000"/>
      <c r="G3173" s="983" t="s">
        <v>1106</v>
      </c>
    </row>
    <row r="3174" spans="1:8" x14ac:dyDescent="0.2">
      <c r="A3174" s="997">
        <f t="shared" si="49"/>
        <v>3173</v>
      </c>
      <c r="B3174" s="983" t="s">
        <v>2712</v>
      </c>
      <c r="C3174" s="999"/>
      <c r="H3174" s="983" t="s">
        <v>1630</v>
      </c>
    </row>
    <row r="3175" spans="1:8" x14ac:dyDescent="0.2">
      <c r="A3175" s="997">
        <f t="shared" si="49"/>
        <v>3174</v>
      </c>
      <c r="B3175" s="983" t="s">
        <v>2712</v>
      </c>
      <c r="C3175" s="999"/>
      <c r="H3175" s="983" t="str">
        <f>CONCATENATE("&lt;valeur&gt;",Cellule_825_4,"&lt;/valeur&gt;")</f>
        <v>&lt;valeur&gt;0&lt;/valeur&gt;</v>
      </c>
    </row>
    <row r="3176" spans="1:8" x14ac:dyDescent="0.2">
      <c r="A3176" s="997">
        <f t="shared" si="49"/>
        <v>3175</v>
      </c>
      <c r="B3176" s="983" t="s">
        <v>2712</v>
      </c>
      <c r="C3176" s="1000"/>
      <c r="H3176" s="983" t="s">
        <v>2737</v>
      </c>
    </row>
    <row r="3177" spans="1:8" x14ac:dyDescent="0.2">
      <c r="A3177" s="997">
        <f t="shared" si="49"/>
        <v>3176</v>
      </c>
      <c r="B3177" s="983" t="s">
        <v>2712</v>
      </c>
      <c r="C3177" s="1001"/>
      <c r="G3177" s="983" t="s">
        <v>1109</v>
      </c>
    </row>
    <row r="3178" spans="1:8" x14ac:dyDescent="0.2">
      <c r="A3178" s="997">
        <f t="shared" si="49"/>
        <v>3177</v>
      </c>
      <c r="B3178" s="983" t="s">
        <v>2712</v>
      </c>
      <c r="C3178" s="1000"/>
      <c r="G3178" s="983" t="s">
        <v>1106</v>
      </c>
    </row>
    <row r="3179" spans="1:8" x14ac:dyDescent="0.2">
      <c r="A3179" s="997">
        <f t="shared" si="49"/>
        <v>3178</v>
      </c>
      <c r="B3179" s="983" t="s">
        <v>2712</v>
      </c>
      <c r="C3179" s="1000"/>
      <c r="H3179" s="983" t="s">
        <v>1631</v>
      </c>
    </row>
    <row r="3180" spans="1:8" x14ac:dyDescent="0.2">
      <c r="A3180" s="997">
        <f t="shared" si="49"/>
        <v>3179</v>
      </c>
      <c r="B3180" s="983" t="s">
        <v>2712</v>
      </c>
      <c r="C3180" s="1000"/>
      <c r="H3180" s="983" t="str">
        <f>CONCATENATE("&lt;valeur&gt;",Cellule_826_4,"&lt;/valeur&gt;")</f>
        <v>&lt;valeur&gt;0&lt;/valeur&gt;</v>
      </c>
    </row>
    <row r="3181" spans="1:8" x14ac:dyDescent="0.2">
      <c r="A3181" s="997">
        <f t="shared" si="49"/>
        <v>3180</v>
      </c>
      <c r="B3181" s="983" t="s">
        <v>2712</v>
      </c>
      <c r="C3181" s="999"/>
      <c r="H3181" s="983" t="s">
        <v>2737</v>
      </c>
    </row>
    <row r="3182" spans="1:8" x14ac:dyDescent="0.2">
      <c r="A3182" s="997">
        <f t="shared" si="49"/>
        <v>3181</v>
      </c>
      <c r="B3182" s="983" t="s">
        <v>2712</v>
      </c>
      <c r="C3182" s="999"/>
      <c r="G3182" s="983" t="s">
        <v>1109</v>
      </c>
    </row>
    <row r="3183" spans="1:8" x14ac:dyDescent="0.2">
      <c r="A3183" s="997">
        <f t="shared" si="49"/>
        <v>3182</v>
      </c>
      <c r="B3183" s="983" t="s">
        <v>2712</v>
      </c>
      <c r="C3183" s="999"/>
      <c r="G3183" s="983" t="s">
        <v>1106</v>
      </c>
    </row>
    <row r="3184" spans="1:8" x14ac:dyDescent="0.2">
      <c r="A3184" s="997">
        <f t="shared" si="49"/>
        <v>3183</v>
      </c>
      <c r="B3184" s="983" t="s">
        <v>2712</v>
      </c>
      <c r="C3184" s="1000"/>
      <c r="H3184" s="983" t="s">
        <v>1629</v>
      </c>
    </row>
    <row r="3185" spans="1:8" x14ac:dyDescent="0.2">
      <c r="A3185" s="997">
        <f t="shared" si="49"/>
        <v>3184</v>
      </c>
      <c r="B3185" s="983" t="s">
        <v>2712</v>
      </c>
      <c r="C3185" s="1001"/>
      <c r="H3185" s="983" t="str">
        <f>CONCATENATE("&lt;valeur&gt;",Cellule_824_5,"&lt;/valeur&gt;")</f>
        <v>&lt;valeur&gt;&lt;/valeur&gt;</v>
      </c>
    </row>
    <row r="3186" spans="1:8" x14ac:dyDescent="0.2">
      <c r="A3186" s="997">
        <f t="shared" si="49"/>
        <v>3185</v>
      </c>
      <c r="B3186" s="983" t="s">
        <v>2712</v>
      </c>
      <c r="C3186" s="1000"/>
      <c r="H3186" s="983" t="s">
        <v>2738</v>
      </c>
    </row>
    <row r="3187" spans="1:8" x14ac:dyDescent="0.2">
      <c r="A3187" s="997">
        <f t="shared" si="49"/>
        <v>3186</v>
      </c>
      <c r="B3187" s="983" t="s">
        <v>2712</v>
      </c>
      <c r="C3187" s="1000"/>
      <c r="G3187" s="983" t="s">
        <v>1109</v>
      </c>
    </row>
    <row r="3188" spans="1:8" x14ac:dyDescent="0.2">
      <c r="A3188" s="997">
        <f t="shared" si="49"/>
        <v>3187</v>
      </c>
      <c r="B3188" s="983" t="s">
        <v>2712</v>
      </c>
      <c r="C3188" s="1000"/>
      <c r="G3188" s="983" t="s">
        <v>1106</v>
      </c>
    </row>
    <row r="3189" spans="1:8" x14ac:dyDescent="0.2">
      <c r="A3189" s="997">
        <f t="shared" si="49"/>
        <v>3188</v>
      </c>
      <c r="B3189" s="983" t="s">
        <v>2712</v>
      </c>
      <c r="C3189" s="999"/>
      <c r="H3189" s="983" t="s">
        <v>1630</v>
      </c>
    </row>
    <row r="3190" spans="1:8" x14ac:dyDescent="0.2">
      <c r="A3190" s="997">
        <f t="shared" si="49"/>
        <v>3189</v>
      </c>
      <c r="B3190" s="983" t="s">
        <v>2712</v>
      </c>
      <c r="C3190" s="999"/>
      <c r="H3190" s="983" t="str">
        <f>CONCATENATE("&lt;valeur&gt;",Cellule_825_5,"&lt;/valeur&gt;")</f>
        <v>&lt;valeur&gt;0&lt;/valeur&gt;</v>
      </c>
    </row>
    <row r="3191" spans="1:8" x14ac:dyDescent="0.2">
      <c r="A3191" s="997">
        <f t="shared" si="49"/>
        <v>3190</v>
      </c>
      <c r="B3191" s="983" t="s">
        <v>2712</v>
      </c>
      <c r="C3191" s="1000"/>
      <c r="H3191" s="983" t="s">
        <v>2738</v>
      </c>
    </row>
    <row r="3192" spans="1:8" x14ac:dyDescent="0.2">
      <c r="A3192" s="997">
        <f t="shared" si="49"/>
        <v>3191</v>
      </c>
      <c r="B3192" s="983" t="s">
        <v>2712</v>
      </c>
      <c r="C3192" s="1001"/>
      <c r="G3192" s="983" t="s">
        <v>1109</v>
      </c>
    </row>
    <row r="3193" spans="1:8" x14ac:dyDescent="0.2">
      <c r="A3193" s="997">
        <f t="shared" si="49"/>
        <v>3192</v>
      </c>
      <c r="B3193" s="983" t="s">
        <v>2712</v>
      </c>
      <c r="C3193" s="1000"/>
      <c r="G3193" s="983" t="s">
        <v>1106</v>
      </c>
    </row>
    <row r="3194" spans="1:8" x14ac:dyDescent="0.2">
      <c r="A3194" s="997">
        <f t="shared" si="49"/>
        <v>3193</v>
      </c>
      <c r="B3194" s="983" t="s">
        <v>2712</v>
      </c>
      <c r="C3194" s="1000"/>
      <c r="H3194" s="983" t="s">
        <v>1631</v>
      </c>
    </row>
    <row r="3195" spans="1:8" x14ac:dyDescent="0.2">
      <c r="A3195" s="997">
        <f t="shared" si="49"/>
        <v>3194</v>
      </c>
      <c r="B3195" s="983" t="s">
        <v>2712</v>
      </c>
      <c r="C3195" s="1000"/>
      <c r="H3195" s="983" t="str">
        <f>CONCATENATE("&lt;valeur&gt;",Cellule_826_5,"&lt;/valeur&gt;")</f>
        <v>&lt;valeur&gt;0&lt;/valeur&gt;</v>
      </c>
    </row>
    <row r="3196" spans="1:8" x14ac:dyDescent="0.2">
      <c r="A3196" s="997">
        <f t="shared" si="49"/>
        <v>3195</v>
      </c>
      <c r="B3196" s="983" t="s">
        <v>2712</v>
      </c>
      <c r="C3196" s="999"/>
      <c r="H3196" s="983" t="s">
        <v>2738</v>
      </c>
    </row>
    <row r="3197" spans="1:8" x14ac:dyDescent="0.2">
      <c r="A3197" s="997">
        <f t="shared" si="49"/>
        <v>3196</v>
      </c>
      <c r="B3197" s="983" t="s">
        <v>2712</v>
      </c>
      <c r="C3197" s="999"/>
      <c r="G3197" s="983" t="s">
        <v>1109</v>
      </c>
    </row>
    <row r="3198" spans="1:8" x14ac:dyDescent="0.2">
      <c r="A3198" s="997">
        <f t="shared" si="49"/>
        <v>3197</v>
      </c>
      <c r="B3198" s="983" t="s">
        <v>2712</v>
      </c>
      <c r="C3198" s="999"/>
      <c r="G3198" s="983" t="s">
        <v>1106</v>
      </c>
    </row>
    <row r="3199" spans="1:8" x14ac:dyDescent="0.2">
      <c r="A3199" s="997">
        <f t="shared" si="49"/>
        <v>3198</v>
      </c>
      <c r="B3199" s="983" t="s">
        <v>2712</v>
      </c>
      <c r="C3199" s="1000"/>
      <c r="H3199" s="983" t="s">
        <v>1629</v>
      </c>
    </row>
    <row r="3200" spans="1:8" x14ac:dyDescent="0.2">
      <c r="A3200" s="997">
        <f t="shared" si="49"/>
        <v>3199</v>
      </c>
      <c r="B3200" s="983" t="s">
        <v>2712</v>
      </c>
      <c r="C3200" s="1001"/>
      <c r="H3200" s="983" t="str">
        <f>CONCATENATE("&lt;valeur&gt;",Cellule_824_6,"&lt;/valeur&gt;")</f>
        <v>&lt;valeur&gt;&lt;/valeur&gt;</v>
      </c>
    </row>
    <row r="3201" spans="1:8" x14ac:dyDescent="0.2">
      <c r="A3201" s="997">
        <f t="shared" si="49"/>
        <v>3200</v>
      </c>
      <c r="B3201" s="983" t="s">
        <v>2712</v>
      </c>
      <c r="C3201" s="1000"/>
      <c r="H3201" s="983" t="s">
        <v>2739</v>
      </c>
    </row>
    <row r="3202" spans="1:8" x14ac:dyDescent="0.2">
      <c r="A3202" s="997">
        <f t="shared" si="49"/>
        <v>3201</v>
      </c>
      <c r="B3202" s="983" t="s">
        <v>2712</v>
      </c>
      <c r="C3202" s="1000"/>
      <c r="G3202" s="983" t="s">
        <v>1109</v>
      </c>
    </row>
    <row r="3203" spans="1:8" x14ac:dyDescent="0.2">
      <c r="A3203" s="997">
        <f t="shared" si="49"/>
        <v>3202</v>
      </c>
      <c r="B3203" s="983" t="s">
        <v>2712</v>
      </c>
      <c r="C3203" s="1000"/>
      <c r="G3203" s="983" t="s">
        <v>1106</v>
      </c>
    </row>
    <row r="3204" spans="1:8" x14ac:dyDescent="0.2">
      <c r="A3204" s="997">
        <f t="shared" ref="A3204:A3267" si="50">+A3203+1</f>
        <v>3203</v>
      </c>
      <c r="B3204" s="983" t="s">
        <v>2712</v>
      </c>
      <c r="C3204" s="999"/>
      <c r="H3204" s="983" t="s">
        <v>1630</v>
      </c>
    </row>
    <row r="3205" spans="1:8" x14ac:dyDescent="0.2">
      <c r="A3205" s="997">
        <f t="shared" si="50"/>
        <v>3204</v>
      </c>
      <c r="B3205" s="983" t="s">
        <v>2712</v>
      </c>
      <c r="C3205" s="999"/>
      <c r="H3205" s="983" t="str">
        <f>CONCATENATE("&lt;valeur&gt;",Cellule_825_6,"&lt;/valeur&gt;")</f>
        <v>&lt;valeur&gt;0&lt;/valeur&gt;</v>
      </c>
    </row>
    <row r="3206" spans="1:8" x14ac:dyDescent="0.2">
      <c r="A3206" s="997">
        <f t="shared" si="50"/>
        <v>3205</v>
      </c>
      <c r="B3206" s="983" t="s">
        <v>2712</v>
      </c>
      <c r="C3206" s="1000"/>
      <c r="H3206" s="983" t="s">
        <v>2739</v>
      </c>
    </row>
    <row r="3207" spans="1:8" x14ac:dyDescent="0.2">
      <c r="A3207" s="997">
        <f t="shared" si="50"/>
        <v>3206</v>
      </c>
      <c r="B3207" s="983" t="s">
        <v>2712</v>
      </c>
      <c r="C3207" s="1001"/>
      <c r="G3207" s="983" t="s">
        <v>1109</v>
      </c>
    </row>
    <row r="3208" spans="1:8" x14ac:dyDescent="0.2">
      <c r="A3208" s="997">
        <f t="shared" si="50"/>
        <v>3207</v>
      </c>
      <c r="B3208" s="983" t="s">
        <v>2712</v>
      </c>
      <c r="C3208" s="1000"/>
      <c r="G3208" s="983" t="s">
        <v>1106</v>
      </c>
    </row>
    <row r="3209" spans="1:8" x14ac:dyDescent="0.2">
      <c r="A3209" s="997">
        <f t="shared" si="50"/>
        <v>3208</v>
      </c>
      <c r="B3209" s="983" t="s">
        <v>2712</v>
      </c>
      <c r="C3209" s="1000"/>
      <c r="H3209" s="983" t="s">
        <v>1631</v>
      </c>
    </row>
    <row r="3210" spans="1:8" x14ac:dyDescent="0.2">
      <c r="A3210" s="997">
        <f t="shared" si="50"/>
        <v>3209</v>
      </c>
      <c r="B3210" s="983" t="s">
        <v>2712</v>
      </c>
      <c r="C3210" s="1000"/>
      <c r="H3210" s="983" t="str">
        <f>CONCATENATE("&lt;valeur&gt;",Cellule_826_6,"&lt;/valeur&gt;")</f>
        <v>&lt;valeur&gt;0&lt;/valeur&gt;</v>
      </c>
    </row>
    <row r="3211" spans="1:8" x14ac:dyDescent="0.2">
      <c r="A3211" s="997">
        <f t="shared" si="50"/>
        <v>3210</v>
      </c>
      <c r="B3211" s="983" t="s">
        <v>2712</v>
      </c>
      <c r="C3211" s="999"/>
      <c r="H3211" s="983" t="s">
        <v>2739</v>
      </c>
    </row>
    <row r="3212" spans="1:8" x14ac:dyDescent="0.2">
      <c r="A3212" s="997">
        <f t="shared" si="50"/>
        <v>3211</v>
      </c>
      <c r="B3212" s="983" t="s">
        <v>2712</v>
      </c>
      <c r="C3212" s="999"/>
      <c r="G3212" s="983" t="s">
        <v>1109</v>
      </c>
    </row>
    <row r="3213" spans="1:8" x14ac:dyDescent="0.2">
      <c r="A3213" s="997">
        <f t="shared" si="50"/>
        <v>3212</v>
      </c>
      <c r="B3213" s="983" t="s">
        <v>2712</v>
      </c>
      <c r="C3213" s="1000"/>
      <c r="G3213" s="983" t="s">
        <v>1106</v>
      </c>
    </row>
    <row r="3214" spans="1:8" x14ac:dyDescent="0.2">
      <c r="A3214" s="997">
        <f t="shared" si="50"/>
        <v>3213</v>
      </c>
      <c r="B3214" s="983" t="s">
        <v>2712</v>
      </c>
      <c r="C3214" s="1001"/>
      <c r="H3214" s="983" t="s">
        <v>1632</v>
      </c>
    </row>
    <row r="3215" spans="1:8" x14ac:dyDescent="0.2">
      <c r="A3215" s="997">
        <f t="shared" si="50"/>
        <v>3214</v>
      </c>
      <c r="B3215" s="983" t="s">
        <v>2712</v>
      </c>
      <c r="C3215" s="1000"/>
      <c r="H3215" s="983" t="str">
        <f>CONCATENATE("&lt;valeur&gt;",Cellule_827_1,"&lt;/valeur&gt;")</f>
        <v>&lt;valeur&gt;Abattement sur dividendes&lt;/valeur&gt;</v>
      </c>
    </row>
    <row r="3216" spans="1:8" x14ac:dyDescent="0.2">
      <c r="A3216" s="997">
        <f t="shared" si="50"/>
        <v>3215</v>
      </c>
      <c r="B3216" s="983" t="s">
        <v>2712</v>
      </c>
      <c r="C3216" s="1000"/>
      <c r="H3216" s="983" t="s">
        <v>1348</v>
      </c>
    </row>
    <row r="3217" spans="1:8" x14ac:dyDescent="0.2">
      <c r="A3217" s="997">
        <f t="shared" si="50"/>
        <v>3216</v>
      </c>
      <c r="B3217" s="983" t="s">
        <v>2712</v>
      </c>
      <c r="C3217" s="1000"/>
      <c r="G3217" s="983" t="s">
        <v>1109</v>
      </c>
    </row>
    <row r="3218" spans="1:8" x14ac:dyDescent="0.2">
      <c r="A3218" s="997">
        <f t="shared" si="50"/>
        <v>3217</v>
      </c>
      <c r="B3218" s="983" t="s">
        <v>2712</v>
      </c>
      <c r="C3218" s="999"/>
      <c r="G3218" s="983" t="s">
        <v>1106</v>
      </c>
    </row>
    <row r="3219" spans="1:8" x14ac:dyDescent="0.2">
      <c r="A3219" s="997">
        <f t="shared" si="50"/>
        <v>3218</v>
      </c>
      <c r="B3219" s="983" t="s">
        <v>2712</v>
      </c>
      <c r="C3219" s="999"/>
      <c r="H3219" s="983" t="s">
        <v>1633</v>
      </c>
    </row>
    <row r="3220" spans="1:8" x14ac:dyDescent="0.2">
      <c r="A3220" s="997">
        <f t="shared" si="50"/>
        <v>3219</v>
      </c>
      <c r="B3220" s="983" t="s">
        <v>2712</v>
      </c>
      <c r="C3220" s="1000"/>
      <c r="H3220" s="983" t="str">
        <f>CONCATENATE("&lt;valeur&gt;",Cellule_828_1,"&lt;/valeur&gt;")</f>
        <v>&lt;valeur&gt;0&lt;/valeur&gt;</v>
      </c>
    </row>
    <row r="3221" spans="1:8" x14ac:dyDescent="0.2">
      <c r="A3221" s="997">
        <f t="shared" si="50"/>
        <v>3220</v>
      </c>
      <c r="B3221" s="983" t="s">
        <v>2712</v>
      </c>
      <c r="C3221" s="1001"/>
      <c r="H3221" s="983" t="s">
        <v>1348</v>
      </c>
    </row>
    <row r="3222" spans="1:8" x14ac:dyDescent="0.2">
      <c r="A3222" s="997">
        <f t="shared" si="50"/>
        <v>3221</v>
      </c>
      <c r="B3222" s="983" t="s">
        <v>2712</v>
      </c>
      <c r="C3222" s="1000"/>
      <c r="G3222" s="983" t="s">
        <v>1109</v>
      </c>
    </row>
    <row r="3223" spans="1:8" x14ac:dyDescent="0.2">
      <c r="A3223" s="997">
        <f t="shared" si="50"/>
        <v>3222</v>
      </c>
      <c r="B3223" s="983" t="s">
        <v>2712</v>
      </c>
      <c r="C3223" s="1000"/>
      <c r="G3223" s="983" t="s">
        <v>1106</v>
      </c>
    </row>
    <row r="3224" spans="1:8" x14ac:dyDescent="0.2">
      <c r="A3224" s="997">
        <f t="shared" si="50"/>
        <v>3223</v>
      </c>
      <c r="B3224" s="983" t="s">
        <v>2712</v>
      </c>
      <c r="C3224" s="1000"/>
      <c r="H3224" s="983" t="s">
        <v>1634</v>
      </c>
    </row>
    <row r="3225" spans="1:8" x14ac:dyDescent="0.2">
      <c r="A3225" s="997">
        <f t="shared" si="50"/>
        <v>3224</v>
      </c>
      <c r="B3225" s="983" t="s">
        <v>2712</v>
      </c>
      <c r="C3225" s="999"/>
      <c r="H3225" s="983" t="str">
        <f>CONCATENATE("&lt;valeur&gt;",Cellule_830_1,"&lt;/valeur&gt;")</f>
        <v>&lt;valeur&gt;0&lt;/valeur&gt;</v>
      </c>
    </row>
    <row r="3226" spans="1:8" x14ac:dyDescent="0.2">
      <c r="A3226" s="997">
        <f t="shared" si="50"/>
        <v>3225</v>
      </c>
      <c r="B3226" s="983" t="s">
        <v>2712</v>
      </c>
      <c r="C3226" s="999"/>
      <c r="H3226" s="983" t="s">
        <v>1348</v>
      </c>
    </row>
    <row r="3227" spans="1:8" x14ac:dyDescent="0.2">
      <c r="A3227" s="997">
        <f t="shared" si="50"/>
        <v>3226</v>
      </c>
      <c r="B3227" s="983" t="s">
        <v>2712</v>
      </c>
      <c r="C3227" s="1000"/>
      <c r="G3227" s="983" t="s">
        <v>1109</v>
      </c>
    </row>
    <row r="3228" spans="1:8" x14ac:dyDescent="0.2">
      <c r="A3228" s="997">
        <f t="shared" si="50"/>
        <v>3227</v>
      </c>
      <c r="B3228" s="983" t="s">
        <v>2712</v>
      </c>
      <c r="C3228" s="1000"/>
      <c r="G3228" s="983" t="s">
        <v>1106</v>
      </c>
    </row>
    <row r="3229" spans="1:8" x14ac:dyDescent="0.2">
      <c r="A3229" s="997">
        <f t="shared" si="50"/>
        <v>3228</v>
      </c>
      <c r="B3229" s="983" t="s">
        <v>2712</v>
      </c>
      <c r="C3229" s="1001"/>
      <c r="H3229" s="983" t="s">
        <v>1632</v>
      </c>
    </row>
    <row r="3230" spans="1:8" x14ac:dyDescent="0.2">
      <c r="A3230" s="997">
        <f t="shared" si="50"/>
        <v>3229</v>
      </c>
      <c r="B3230" s="983" t="s">
        <v>2712</v>
      </c>
      <c r="C3230" s="1000"/>
      <c r="H3230" s="983" t="str">
        <f>CONCATENATE("&lt;valeur&gt;",Cellule_827_2,"&lt;/valeur&gt;")</f>
        <v>&lt;valeur&gt;Abattement sur cession de titres&lt;/valeur&gt;</v>
      </c>
    </row>
    <row r="3231" spans="1:8" x14ac:dyDescent="0.2">
      <c r="A3231" s="997">
        <f t="shared" si="50"/>
        <v>3230</v>
      </c>
      <c r="B3231" s="983" t="s">
        <v>2712</v>
      </c>
      <c r="C3231" s="1000"/>
      <c r="H3231" s="983" t="s">
        <v>2735</v>
      </c>
    </row>
    <row r="3232" spans="1:8" x14ac:dyDescent="0.2">
      <c r="A3232" s="997">
        <f t="shared" si="50"/>
        <v>3231</v>
      </c>
      <c r="B3232" s="983" t="s">
        <v>2712</v>
      </c>
      <c r="C3232" s="1000"/>
      <c r="G3232" s="983" t="s">
        <v>1109</v>
      </c>
    </row>
    <row r="3233" spans="1:8" x14ac:dyDescent="0.2">
      <c r="A3233" s="997">
        <f t="shared" si="50"/>
        <v>3232</v>
      </c>
      <c r="B3233" s="983" t="s">
        <v>2712</v>
      </c>
      <c r="C3233" s="999"/>
      <c r="G3233" s="983" t="s">
        <v>1106</v>
      </c>
    </row>
    <row r="3234" spans="1:8" x14ac:dyDescent="0.2">
      <c r="A3234" s="997">
        <f t="shared" si="50"/>
        <v>3233</v>
      </c>
      <c r="B3234" s="983" t="s">
        <v>2712</v>
      </c>
      <c r="C3234" s="999"/>
      <c r="H3234" s="983" t="s">
        <v>1633</v>
      </c>
    </row>
    <row r="3235" spans="1:8" x14ac:dyDescent="0.2">
      <c r="A3235" s="997">
        <f t="shared" si="50"/>
        <v>3234</v>
      </c>
      <c r="B3235" s="983" t="s">
        <v>2712</v>
      </c>
      <c r="C3235" s="1000"/>
      <c r="H3235" s="983" t="str">
        <f>CONCATENATE("&lt;valeur&gt;",Cellule_828_2,"&lt;/valeur&gt;")</f>
        <v>&lt;valeur&gt;0&lt;/valeur&gt;</v>
      </c>
    </row>
    <row r="3236" spans="1:8" x14ac:dyDescent="0.2">
      <c r="A3236" s="997">
        <f t="shared" si="50"/>
        <v>3235</v>
      </c>
      <c r="B3236" s="983" t="s">
        <v>2712</v>
      </c>
      <c r="C3236" s="1001"/>
      <c r="H3236" s="983" t="s">
        <v>2735</v>
      </c>
    </row>
    <row r="3237" spans="1:8" x14ac:dyDescent="0.2">
      <c r="A3237" s="997">
        <f t="shared" si="50"/>
        <v>3236</v>
      </c>
      <c r="B3237" s="983" t="s">
        <v>2712</v>
      </c>
      <c r="C3237" s="1000"/>
      <c r="G3237" s="983" t="s">
        <v>1109</v>
      </c>
    </row>
    <row r="3238" spans="1:8" x14ac:dyDescent="0.2">
      <c r="A3238" s="997">
        <f t="shared" si="50"/>
        <v>3237</v>
      </c>
      <c r="B3238" s="983" t="s">
        <v>2712</v>
      </c>
      <c r="C3238" s="1000"/>
      <c r="G3238" s="983" t="s">
        <v>1106</v>
      </c>
    </row>
    <row r="3239" spans="1:8" x14ac:dyDescent="0.2">
      <c r="A3239" s="997">
        <f t="shared" si="50"/>
        <v>3238</v>
      </c>
      <c r="B3239" s="983" t="s">
        <v>2712</v>
      </c>
      <c r="C3239" s="1000"/>
      <c r="H3239" s="983" t="s">
        <v>1634</v>
      </c>
    </row>
    <row r="3240" spans="1:8" x14ac:dyDescent="0.2">
      <c r="A3240" s="997">
        <f t="shared" si="50"/>
        <v>3239</v>
      </c>
      <c r="B3240" s="983" t="s">
        <v>2712</v>
      </c>
      <c r="C3240" s="999"/>
      <c r="H3240" s="983" t="str">
        <f>CONCATENATE("&lt;valeur&gt;",Cellule_830_2,"&lt;/valeur&gt;")</f>
        <v>&lt;valeur&gt;0&lt;/valeur&gt;</v>
      </c>
    </row>
    <row r="3241" spans="1:8" x14ac:dyDescent="0.2">
      <c r="A3241" s="997">
        <f t="shared" si="50"/>
        <v>3240</v>
      </c>
      <c r="B3241" s="983" t="s">
        <v>2712</v>
      </c>
      <c r="C3241" s="999"/>
      <c r="H3241" s="983" t="s">
        <v>2735</v>
      </c>
    </row>
    <row r="3242" spans="1:8" x14ac:dyDescent="0.2">
      <c r="A3242" s="997">
        <f t="shared" si="50"/>
        <v>3241</v>
      </c>
      <c r="B3242" s="983" t="s">
        <v>2712</v>
      </c>
      <c r="C3242" s="1000"/>
      <c r="G3242" s="983" t="s">
        <v>1109</v>
      </c>
    </row>
    <row r="3243" spans="1:8" x14ac:dyDescent="0.2">
      <c r="A3243" s="997">
        <f t="shared" si="50"/>
        <v>3242</v>
      </c>
      <c r="B3243" s="983" t="s">
        <v>2712</v>
      </c>
      <c r="C3243" s="1000"/>
      <c r="G3243" s="983" t="s">
        <v>1106</v>
      </c>
    </row>
    <row r="3244" spans="1:8" x14ac:dyDescent="0.2">
      <c r="A3244" s="997">
        <f t="shared" si="50"/>
        <v>3243</v>
      </c>
      <c r="B3244" s="983" t="s">
        <v>2712</v>
      </c>
      <c r="C3244" s="1001"/>
      <c r="H3244" s="983" t="s">
        <v>1632</v>
      </c>
    </row>
    <row r="3245" spans="1:8" x14ac:dyDescent="0.2">
      <c r="A3245" s="997">
        <f t="shared" si="50"/>
        <v>3244</v>
      </c>
      <c r="B3245" s="983" t="s">
        <v>2712</v>
      </c>
      <c r="C3245" s="1000"/>
      <c r="H3245" s="983" t="str">
        <f>CONCATENATE("&lt;valeur&gt;",Cellule_827_3,"&lt;/valeur&gt;")</f>
        <v>&lt;valeur&gt;&lt;/valeur&gt;</v>
      </c>
    </row>
    <row r="3246" spans="1:8" x14ac:dyDescent="0.2">
      <c r="A3246" s="997">
        <f t="shared" si="50"/>
        <v>3245</v>
      </c>
      <c r="B3246" s="983" t="s">
        <v>2712</v>
      </c>
      <c r="C3246" s="1000"/>
      <c r="H3246" s="983" t="s">
        <v>2736</v>
      </c>
    </row>
    <row r="3247" spans="1:8" x14ac:dyDescent="0.2">
      <c r="A3247" s="997">
        <f t="shared" si="50"/>
        <v>3246</v>
      </c>
      <c r="B3247" s="983" t="s">
        <v>2712</v>
      </c>
      <c r="C3247" s="1000"/>
      <c r="G3247" s="983" t="s">
        <v>1109</v>
      </c>
    </row>
    <row r="3248" spans="1:8" x14ac:dyDescent="0.2">
      <c r="A3248" s="997">
        <f t="shared" si="50"/>
        <v>3247</v>
      </c>
      <c r="B3248" s="983" t="s">
        <v>2712</v>
      </c>
      <c r="C3248" s="999"/>
      <c r="G3248" s="983" t="s">
        <v>1106</v>
      </c>
    </row>
    <row r="3249" spans="1:8" x14ac:dyDescent="0.2">
      <c r="A3249" s="997">
        <f t="shared" si="50"/>
        <v>3248</v>
      </c>
      <c r="B3249" s="983" t="s">
        <v>2712</v>
      </c>
      <c r="C3249" s="999"/>
      <c r="H3249" s="983" t="s">
        <v>1633</v>
      </c>
    </row>
    <row r="3250" spans="1:8" x14ac:dyDescent="0.2">
      <c r="A3250" s="997">
        <f t="shared" si="50"/>
        <v>3249</v>
      </c>
      <c r="B3250" s="983" t="s">
        <v>2712</v>
      </c>
      <c r="C3250" s="1000"/>
      <c r="H3250" s="983" t="str">
        <f>CONCATENATE("&lt;valeur&gt;",Cellule_828_3,"&lt;/valeur&gt;")</f>
        <v>&lt;valeur&gt;0&lt;/valeur&gt;</v>
      </c>
    </row>
    <row r="3251" spans="1:8" x14ac:dyDescent="0.2">
      <c r="A3251" s="997">
        <f t="shared" si="50"/>
        <v>3250</v>
      </c>
      <c r="B3251" s="983" t="s">
        <v>2712</v>
      </c>
      <c r="C3251" s="1001"/>
      <c r="H3251" s="983" t="s">
        <v>2736</v>
      </c>
    </row>
    <row r="3252" spans="1:8" x14ac:dyDescent="0.2">
      <c r="A3252" s="997">
        <f t="shared" si="50"/>
        <v>3251</v>
      </c>
      <c r="B3252" s="983" t="s">
        <v>2712</v>
      </c>
      <c r="C3252" s="1000"/>
      <c r="G3252" s="983" t="s">
        <v>1109</v>
      </c>
    </row>
    <row r="3253" spans="1:8" x14ac:dyDescent="0.2">
      <c r="A3253" s="997">
        <f t="shared" si="50"/>
        <v>3252</v>
      </c>
      <c r="B3253" s="983" t="s">
        <v>2712</v>
      </c>
      <c r="C3253" s="1000"/>
      <c r="G3253" s="983" t="s">
        <v>1106</v>
      </c>
    </row>
    <row r="3254" spans="1:8" x14ac:dyDescent="0.2">
      <c r="A3254" s="997">
        <f t="shared" si="50"/>
        <v>3253</v>
      </c>
      <c r="B3254" s="983" t="s">
        <v>2712</v>
      </c>
      <c r="C3254" s="1000"/>
      <c r="H3254" s="983" t="s">
        <v>1634</v>
      </c>
    </row>
    <row r="3255" spans="1:8" x14ac:dyDescent="0.2">
      <c r="A3255" s="997">
        <f t="shared" si="50"/>
        <v>3254</v>
      </c>
      <c r="B3255" s="983" t="s">
        <v>2712</v>
      </c>
      <c r="C3255" s="999"/>
      <c r="H3255" s="983" t="str">
        <f>CONCATENATE("&lt;valeur&gt;",Cellule_830_3,"&lt;/valeur&gt;")</f>
        <v>&lt;valeur&gt;0&lt;/valeur&gt;</v>
      </c>
    </row>
    <row r="3256" spans="1:8" x14ac:dyDescent="0.2">
      <c r="A3256" s="997">
        <f t="shared" si="50"/>
        <v>3255</v>
      </c>
      <c r="B3256" s="983" t="s">
        <v>2712</v>
      </c>
      <c r="C3256" s="999"/>
      <c r="H3256" s="983" t="s">
        <v>2736</v>
      </c>
    </row>
    <row r="3257" spans="1:8" x14ac:dyDescent="0.2">
      <c r="A3257" s="997">
        <f t="shared" si="50"/>
        <v>3256</v>
      </c>
      <c r="B3257" s="983" t="s">
        <v>2712</v>
      </c>
      <c r="C3257" s="1000"/>
      <c r="G3257" s="983" t="s">
        <v>1109</v>
      </c>
    </row>
    <row r="3258" spans="1:8" x14ac:dyDescent="0.2">
      <c r="A3258" s="997">
        <f t="shared" si="50"/>
        <v>3257</v>
      </c>
      <c r="B3258" s="983" t="s">
        <v>2712</v>
      </c>
      <c r="C3258" s="1000"/>
      <c r="G3258" s="983" t="s">
        <v>1106</v>
      </c>
    </row>
    <row r="3259" spans="1:8" x14ac:dyDescent="0.2">
      <c r="A3259" s="997">
        <f t="shared" si="50"/>
        <v>3258</v>
      </c>
      <c r="B3259" s="983" t="s">
        <v>2712</v>
      </c>
      <c r="C3259" s="1001"/>
      <c r="H3259" s="983" t="s">
        <v>1632</v>
      </c>
    </row>
    <row r="3260" spans="1:8" x14ac:dyDescent="0.2">
      <c r="A3260" s="997">
        <f t="shared" si="50"/>
        <v>3259</v>
      </c>
      <c r="B3260" s="983" t="s">
        <v>2712</v>
      </c>
      <c r="C3260" s="1000"/>
      <c r="H3260" s="983" t="str">
        <f>CONCATENATE("&lt;valeur&gt;",Cellule_827_4,"&lt;/valeur&gt;")</f>
        <v>&lt;valeur&gt;&lt;/valeur&gt;</v>
      </c>
    </row>
    <row r="3261" spans="1:8" x14ac:dyDescent="0.2">
      <c r="A3261" s="997">
        <f t="shared" si="50"/>
        <v>3260</v>
      </c>
      <c r="B3261" s="983" t="s">
        <v>2712</v>
      </c>
      <c r="C3261" s="1000"/>
      <c r="H3261" s="983" t="s">
        <v>2737</v>
      </c>
    </row>
    <row r="3262" spans="1:8" x14ac:dyDescent="0.2">
      <c r="A3262" s="997">
        <f t="shared" si="50"/>
        <v>3261</v>
      </c>
      <c r="B3262" s="983" t="s">
        <v>2712</v>
      </c>
      <c r="C3262" s="1000"/>
      <c r="G3262" s="983" t="s">
        <v>1109</v>
      </c>
    </row>
    <row r="3263" spans="1:8" x14ac:dyDescent="0.2">
      <c r="A3263" s="997">
        <f t="shared" si="50"/>
        <v>3262</v>
      </c>
      <c r="B3263" s="983" t="s">
        <v>2712</v>
      </c>
      <c r="C3263" s="999"/>
      <c r="G3263" s="983" t="s">
        <v>1106</v>
      </c>
    </row>
    <row r="3264" spans="1:8" x14ac:dyDescent="0.2">
      <c r="A3264" s="997">
        <f t="shared" si="50"/>
        <v>3263</v>
      </c>
      <c r="B3264" s="983" t="s">
        <v>2712</v>
      </c>
      <c r="C3264" s="999"/>
      <c r="H3264" s="983" t="s">
        <v>1633</v>
      </c>
    </row>
    <row r="3265" spans="1:8" x14ac:dyDescent="0.2">
      <c r="A3265" s="997">
        <f t="shared" si="50"/>
        <v>3264</v>
      </c>
      <c r="B3265" s="983" t="s">
        <v>2712</v>
      </c>
      <c r="C3265" s="1000"/>
      <c r="H3265" s="983" t="str">
        <f>CONCATENATE("&lt;valeur&gt;",Cellule_828_4,"&lt;/valeur&gt;")</f>
        <v>&lt;valeur&gt;0&lt;/valeur&gt;</v>
      </c>
    </row>
    <row r="3266" spans="1:8" x14ac:dyDescent="0.2">
      <c r="A3266" s="997">
        <f t="shared" si="50"/>
        <v>3265</v>
      </c>
      <c r="B3266" s="983" t="s">
        <v>2712</v>
      </c>
      <c r="C3266" s="1001"/>
      <c r="H3266" s="983" t="s">
        <v>2737</v>
      </c>
    </row>
    <row r="3267" spans="1:8" x14ac:dyDescent="0.2">
      <c r="A3267" s="997">
        <f t="shared" si="50"/>
        <v>3266</v>
      </c>
      <c r="B3267" s="983" t="s">
        <v>2712</v>
      </c>
      <c r="C3267" s="1000"/>
      <c r="G3267" s="983" t="s">
        <v>1109</v>
      </c>
    </row>
    <row r="3268" spans="1:8" x14ac:dyDescent="0.2">
      <c r="A3268" s="997">
        <f t="shared" ref="A3268:A3331" si="51">+A3267+1</f>
        <v>3267</v>
      </c>
      <c r="B3268" s="983" t="s">
        <v>2712</v>
      </c>
      <c r="C3268" s="1000"/>
      <c r="G3268" s="983" t="s">
        <v>1106</v>
      </c>
    </row>
    <row r="3269" spans="1:8" x14ac:dyDescent="0.2">
      <c r="A3269" s="997">
        <f t="shared" si="51"/>
        <v>3268</v>
      </c>
      <c r="B3269" s="983" t="s">
        <v>2712</v>
      </c>
      <c r="C3269" s="1000"/>
      <c r="H3269" s="983" t="s">
        <v>1634</v>
      </c>
    </row>
    <row r="3270" spans="1:8" x14ac:dyDescent="0.2">
      <c r="A3270" s="997">
        <f t="shared" si="51"/>
        <v>3269</v>
      </c>
      <c r="B3270" s="983" t="s">
        <v>2712</v>
      </c>
      <c r="C3270" s="999"/>
      <c r="H3270" s="983" t="str">
        <f>CONCATENATE("&lt;valeur&gt;",Cellule_830_4,"&lt;/valeur&gt;")</f>
        <v>&lt;valeur&gt;0&lt;/valeur&gt;</v>
      </c>
    </row>
    <row r="3271" spans="1:8" x14ac:dyDescent="0.2">
      <c r="A3271" s="997">
        <f t="shared" si="51"/>
        <v>3270</v>
      </c>
      <c r="B3271" s="983" t="s">
        <v>2712</v>
      </c>
      <c r="C3271" s="999"/>
      <c r="H3271" s="983" t="s">
        <v>2737</v>
      </c>
    </row>
    <row r="3272" spans="1:8" x14ac:dyDescent="0.2">
      <c r="A3272" s="997">
        <f t="shared" si="51"/>
        <v>3271</v>
      </c>
      <c r="B3272" s="983" t="s">
        <v>2712</v>
      </c>
      <c r="C3272" s="1000"/>
      <c r="G3272" s="983" t="s">
        <v>1109</v>
      </c>
    </row>
    <row r="3273" spans="1:8" x14ac:dyDescent="0.2">
      <c r="A3273" s="997">
        <f t="shared" si="51"/>
        <v>3272</v>
      </c>
      <c r="B3273" s="983" t="s">
        <v>2712</v>
      </c>
      <c r="C3273" s="1001"/>
      <c r="G3273" s="983" t="s">
        <v>1106</v>
      </c>
    </row>
    <row r="3274" spans="1:8" x14ac:dyDescent="0.2">
      <c r="A3274" s="997">
        <f t="shared" si="51"/>
        <v>3273</v>
      </c>
      <c r="B3274" s="983" t="s">
        <v>2712</v>
      </c>
      <c r="C3274" s="1001"/>
      <c r="H3274" s="983" t="s">
        <v>1632</v>
      </c>
    </row>
    <row r="3275" spans="1:8" x14ac:dyDescent="0.2">
      <c r="A3275" s="997">
        <f t="shared" si="51"/>
        <v>3274</v>
      </c>
      <c r="B3275" s="983" t="s">
        <v>2712</v>
      </c>
      <c r="C3275" s="1000"/>
      <c r="H3275" s="983" t="str">
        <f>CONCATENATE("&lt;valeur&gt;",Cellule_827_5,"&lt;/valeur&gt;")</f>
        <v>&lt;valeur&gt;&lt;/valeur&gt;</v>
      </c>
    </row>
    <row r="3276" spans="1:8" x14ac:dyDescent="0.2">
      <c r="A3276" s="997">
        <f t="shared" si="51"/>
        <v>3275</v>
      </c>
      <c r="B3276" s="983" t="s">
        <v>2712</v>
      </c>
      <c r="C3276" s="1000"/>
      <c r="H3276" s="983" t="s">
        <v>2738</v>
      </c>
    </row>
    <row r="3277" spans="1:8" x14ac:dyDescent="0.2">
      <c r="A3277" s="997">
        <f t="shared" si="51"/>
        <v>3276</v>
      </c>
      <c r="B3277" s="983" t="s">
        <v>2712</v>
      </c>
      <c r="C3277" s="1000"/>
      <c r="G3277" s="983" t="s">
        <v>1109</v>
      </c>
    </row>
    <row r="3278" spans="1:8" x14ac:dyDescent="0.2">
      <c r="A3278" s="997">
        <f t="shared" si="51"/>
        <v>3277</v>
      </c>
      <c r="B3278" s="983" t="s">
        <v>2712</v>
      </c>
      <c r="C3278" s="999"/>
      <c r="G3278" s="983" t="s">
        <v>1106</v>
      </c>
    </row>
    <row r="3279" spans="1:8" x14ac:dyDescent="0.2">
      <c r="A3279" s="997">
        <f t="shared" si="51"/>
        <v>3278</v>
      </c>
      <c r="B3279" s="983" t="s">
        <v>2712</v>
      </c>
      <c r="C3279" s="999"/>
      <c r="H3279" s="983" t="s">
        <v>1633</v>
      </c>
    </row>
    <row r="3280" spans="1:8" x14ac:dyDescent="0.2">
      <c r="A3280" s="997">
        <f t="shared" si="51"/>
        <v>3279</v>
      </c>
      <c r="B3280" s="983" t="s">
        <v>2712</v>
      </c>
      <c r="C3280" s="1000"/>
      <c r="H3280" s="983" t="str">
        <f>CONCATENATE("&lt;valeur&gt;",Cellule_828_5,"&lt;/valeur&gt;")</f>
        <v>&lt;valeur&gt;0&lt;/valeur&gt;</v>
      </c>
    </row>
    <row r="3281" spans="1:8" x14ac:dyDescent="0.2">
      <c r="A3281" s="997">
        <f t="shared" si="51"/>
        <v>3280</v>
      </c>
      <c r="B3281" s="983" t="s">
        <v>2712</v>
      </c>
      <c r="C3281" s="1001"/>
      <c r="H3281" s="983" t="s">
        <v>2738</v>
      </c>
    </row>
    <row r="3282" spans="1:8" x14ac:dyDescent="0.2">
      <c r="A3282" s="997">
        <f t="shared" si="51"/>
        <v>3281</v>
      </c>
      <c r="B3282" s="983" t="s">
        <v>2712</v>
      </c>
      <c r="C3282" s="1000"/>
      <c r="G3282" s="983" t="s">
        <v>1109</v>
      </c>
    </row>
    <row r="3283" spans="1:8" x14ac:dyDescent="0.2">
      <c r="A3283" s="997">
        <f t="shared" si="51"/>
        <v>3282</v>
      </c>
      <c r="B3283" s="983" t="s">
        <v>2712</v>
      </c>
      <c r="C3283" s="1000"/>
      <c r="G3283" s="983" t="s">
        <v>1106</v>
      </c>
    </row>
    <row r="3284" spans="1:8" x14ac:dyDescent="0.2">
      <c r="A3284" s="997">
        <f t="shared" si="51"/>
        <v>3283</v>
      </c>
      <c r="B3284" s="983" t="s">
        <v>2712</v>
      </c>
      <c r="C3284" s="1000"/>
      <c r="H3284" s="983" t="s">
        <v>1634</v>
      </c>
    </row>
    <row r="3285" spans="1:8" x14ac:dyDescent="0.2">
      <c r="A3285" s="997">
        <f t="shared" si="51"/>
        <v>3284</v>
      </c>
      <c r="B3285" s="983" t="s">
        <v>2712</v>
      </c>
      <c r="C3285" s="999"/>
      <c r="H3285" s="983" t="str">
        <f>CONCATENATE("&lt;valeur&gt;",Cellule_830_5,"&lt;/valeur&gt;")</f>
        <v>&lt;valeur&gt;0&lt;/valeur&gt;</v>
      </c>
    </row>
    <row r="3286" spans="1:8" x14ac:dyDescent="0.2">
      <c r="A3286" s="997">
        <f t="shared" si="51"/>
        <v>3285</v>
      </c>
      <c r="B3286" s="983" t="s">
        <v>2712</v>
      </c>
      <c r="C3286" s="999"/>
      <c r="H3286" s="983" t="s">
        <v>2738</v>
      </c>
    </row>
    <row r="3287" spans="1:8" x14ac:dyDescent="0.2">
      <c r="A3287" s="997">
        <f t="shared" si="51"/>
        <v>3286</v>
      </c>
      <c r="B3287" s="983" t="s">
        <v>2712</v>
      </c>
      <c r="C3287" s="1000"/>
      <c r="G3287" s="983" t="s">
        <v>1109</v>
      </c>
    </row>
    <row r="3288" spans="1:8" x14ac:dyDescent="0.2">
      <c r="A3288" s="997">
        <f t="shared" si="51"/>
        <v>3287</v>
      </c>
      <c r="B3288" s="983" t="s">
        <v>2712</v>
      </c>
      <c r="C3288" s="1001"/>
      <c r="G3288" s="983" t="s">
        <v>1106</v>
      </c>
    </row>
    <row r="3289" spans="1:8" x14ac:dyDescent="0.2">
      <c r="A3289" s="997">
        <f t="shared" si="51"/>
        <v>3288</v>
      </c>
      <c r="B3289" s="983" t="s">
        <v>2712</v>
      </c>
      <c r="C3289" s="1001"/>
      <c r="H3289" s="983" t="s">
        <v>1632</v>
      </c>
    </row>
    <row r="3290" spans="1:8" x14ac:dyDescent="0.2">
      <c r="A3290" s="997">
        <f t="shared" si="51"/>
        <v>3289</v>
      </c>
      <c r="B3290" s="983" t="s">
        <v>2712</v>
      </c>
      <c r="C3290" s="1000"/>
      <c r="H3290" s="983" t="str">
        <f>CONCATENATE("&lt;valeur&gt;",Cellule_827_6,"&lt;/valeur&gt;")</f>
        <v>&lt;valeur&gt;&lt;/valeur&gt;</v>
      </c>
    </row>
    <row r="3291" spans="1:8" x14ac:dyDescent="0.2">
      <c r="A3291" s="997">
        <f t="shared" si="51"/>
        <v>3290</v>
      </c>
      <c r="B3291" s="983" t="s">
        <v>2712</v>
      </c>
      <c r="C3291" s="1000"/>
      <c r="H3291" s="983" t="s">
        <v>2739</v>
      </c>
    </row>
    <row r="3292" spans="1:8" x14ac:dyDescent="0.2">
      <c r="A3292" s="997">
        <f t="shared" si="51"/>
        <v>3291</v>
      </c>
      <c r="B3292" s="983" t="s">
        <v>2712</v>
      </c>
      <c r="C3292" s="1000"/>
      <c r="G3292" s="983" t="s">
        <v>1109</v>
      </c>
    </row>
    <row r="3293" spans="1:8" x14ac:dyDescent="0.2">
      <c r="A3293" s="997">
        <f t="shared" si="51"/>
        <v>3292</v>
      </c>
      <c r="B3293" s="983" t="s">
        <v>2712</v>
      </c>
      <c r="C3293" s="999"/>
      <c r="G3293" s="983" t="s">
        <v>1106</v>
      </c>
    </row>
    <row r="3294" spans="1:8" x14ac:dyDescent="0.2">
      <c r="A3294" s="997">
        <f t="shared" si="51"/>
        <v>3293</v>
      </c>
      <c r="B3294" s="983" t="s">
        <v>2712</v>
      </c>
      <c r="C3294" s="999"/>
      <c r="H3294" s="983" t="s">
        <v>1633</v>
      </c>
    </row>
    <row r="3295" spans="1:8" x14ac:dyDescent="0.2">
      <c r="A3295" s="997">
        <f t="shared" si="51"/>
        <v>3294</v>
      </c>
      <c r="B3295" s="983" t="s">
        <v>2712</v>
      </c>
      <c r="C3295" s="1000"/>
      <c r="H3295" s="983" t="str">
        <f>CONCATENATE("&lt;valeur&gt;",Cellule_828_6,"&lt;/valeur&gt;")</f>
        <v>&lt;valeur&gt;0&lt;/valeur&gt;</v>
      </c>
    </row>
    <row r="3296" spans="1:8" x14ac:dyDescent="0.2">
      <c r="A3296" s="997">
        <f t="shared" si="51"/>
        <v>3295</v>
      </c>
      <c r="B3296" s="983" t="s">
        <v>2712</v>
      </c>
      <c r="C3296" s="1001"/>
      <c r="H3296" s="983" t="s">
        <v>2739</v>
      </c>
    </row>
    <row r="3297" spans="1:8" x14ac:dyDescent="0.2">
      <c r="A3297" s="997">
        <f t="shared" si="51"/>
        <v>3296</v>
      </c>
      <c r="B3297" s="983" t="s">
        <v>2712</v>
      </c>
      <c r="C3297" s="1000"/>
      <c r="G3297" s="983" t="s">
        <v>1109</v>
      </c>
    </row>
    <row r="3298" spans="1:8" x14ac:dyDescent="0.2">
      <c r="A3298" s="997">
        <f t="shared" si="51"/>
        <v>3297</v>
      </c>
      <c r="B3298" s="983" t="s">
        <v>2712</v>
      </c>
      <c r="C3298" s="1000"/>
      <c r="G3298" s="983" t="s">
        <v>1106</v>
      </c>
    </row>
    <row r="3299" spans="1:8" x14ac:dyDescent="0.2">
      <c r="A3299" s="997">
        <f t="shared" si="51"/>
        <v>3298</v>
      </c>
      <c r="B3299" s="983" t="s">
        <v>2712</v>
      </c>
      <c r="C3299" s="1000"/>
      <c r="H3299" s="983" t="s">
        <v>1634</v>
      </c>
    </row>
    <row r="3300" spans="1:8" x14ac:dyDescent="0.2">
      <c r="A3300" s="997">
        <f t="shared" si="51"/>
        <v>3299</v>
      </c>
      <c r="B3300" s="983" t="s">
        <v>2712</v>
      </c>
      <c r="C3300" s="999"/>
      <c r="H3300" s="983" t="str">
        <f>CONCATENATE("&lt;valeur&gt;",Cellule_830_6,"&lt;/valeur&gt;")</f>
        <v>&lt;valeur&gt;0&lt;/valeur&gt;</v>
      </c>
    </row>
    <row r="3301" spans="1:8" x14ac:dyDescent="0.2">
      <c r="A3301" s="997">
        <f t="shared" si="51"/>
        <v>3300</v>
      </c>
      <c r="B3301" s="983" t="s">
        <v>2712</v>
      </c>
      <c r="C3301" s="999"/>
      <c r="H3301" s="983" t="s">
        <v>2739</v>
      </c>
    </row>
    <row r="3302" spans="1:8" x14ac:dyDescent="0.2">
      <c r="A3302" s="997">
        <f t="shared" si="51"/>
        <v>3301</v>
      </c>
      <c r="B3302" s="983" t="s">
        <v>2712</v>
      </c>
      <c r="C3302" s="1000"/>
      <c r="G3302" s="983" t="s">
        <v>1109</v>
      </c>
    </row>
    <row r="3303" spans="1:8" x14ac:dyDescent="0.2">
      <c r="A3303" s="997">
        <f t="shared" si="51"/>
        <v>3302</v>
      </c>
      <c r="B3303" s="983" t="s">
        <v>2712</v>
      </c>
      <c r="C3303" s="999"/>
      <c r="G3303" s="983" t="s">
        <v>1106</v>
      </c>
    </row>
    <row r="3304" spans="1:8" x14ac:dyDescent="0.2">
      <c r="A3304" s="997">
        <f t="shared" si="51"/>
        <v>3303</v>
      </c>
      <c r="B3304" s="983" t="s">
        <v>2712</v>
      </c>
      <c r="C3304" s="1000"/>
      <c r="H3304" s="983" t="s">
        <v>1635</v>
      </c>
    </row>
    <row r="3305" spans="1:8" x14ac:dyDescent="0.2">
      <c r="A3305" s="997">
        <f t="shared" si="51"/>
        <v>3304</v>
      </c>
      <c r="B3305" s="983" t="s">
        <v>2712</v>
      </c>
      <c r="C3305" s="1000"/>
      <c r="H3305" s="983" t="str">
        <f>CONCATENATE("&lt;valeur&gt;",Cellule_829_1,"&lt;/valeur&gt;")</f>
        <v>&lt;valeur&gt;Reprise sur autres Provisions&lt;/valeur&gt;</v>
      </c>
    </row>
    <row r="3306" spans="1:8" x14ac:dyDescent="0.2">
      <c r="A3306" s="997">
        <f t="shared" si="51"/>
        <v>3305</v>
      </c>
      <c r="B3306" s="983" t="s">
        <v>2712</v>
      </c>
      <c r="C3306" s="1000"/>
      <c r="H3306" s="983" t="s">
        <v>1348</v>
      </c>
    </row>
    <row r="3307" spans="1:8" x14ac:dyDescent="0.2">
      <c r="A3307" s="997">
        <f t="shared" si="51"/>
        <v>3306</v>
      </c>
      <c r="B3307" s="983" t="s">
        <v>2712</v>
      </c>
      <c r="C3307" s="999"/>
      <c r="G3307" s="983" t="s">
        <v>1109</v>
      </c>
    </row>
    <row r="3308" spans="1:8" x14ac:dyDescent="0.2">
      <c r="A3308" s="997">
        <f t="shared" si="51"/>
        <v>3307</v>
      </c>
      <c r="B3308" s="983" t="s">
        <v>2712</v>
      </c>
      <c r="C3308" s="999"/>
      <c r="G3308" s="983" t="s">
        <v>1106</v>
      </c>
    </row>
    <row r="3309" spans="1:8" x14ac:dyDescent="0.2">
      <c r="A3309" s="997">
        <f t="shared" si="51"/>
        <v>3308</v>
      </c>
      <c r="B3309" s="983" t="s">
        <v>2712</v>
      </c>
      <c r="C3309" s="1000"/>
      <c r="H3309" s="983" t="s">
        <v>1636</v>
      </c>
    </row>
    <row r="3310" spans="1:8" x14ac:dyDescent="0.2">
      <c r="A3310" s="997">
        <f t="shared" si="51"/>
        <v>3309</v>
      </c>
      <c r="B3310" s="983" t="s">
        <v>2712</v>
      </c>
      <c r="C3310" s="1001"/>
      <c r="H3310" s="983" t="str">
        <f>CONCATENATE("&lt;valeur&gt;",Cellule_831_1,"&lt;/valeur&gt;")</f>
        <v>&lt;valeur&gt;0&lt;/valeur&gt;</v>
      </c>
    </row>
    <row r="3311" spans="1:8" x14ac:dyDescent="0.2">
      <c r="A3311" s="997">
        <f t="shared" si="51"/>
        <v>3310</v>
      </c>
      <c r="B3311" s="983" t="s">
        <v>2712</v>
      </c>
      <c r="C3311" s="1000"/>
      <c r="H3311" s="983" t="s">
        <v>1348</v>
      </c>
    </row>
    <row r="3312" spans="1:8" x14ac:dyDescent="0.2">
      <c r="A3312" s="997">
        <f t="shared" si="51"/>
        <v>3311</v>
      </c>
      <c r="B3312" s="983" t="s">
        <v>2712</v>
      </c>
      <c r="C3312" s="1000"/>
      <c r="G3312" s="983" t="s">
        <v>1109</v>
      </c>
    </row>
    <row r="3313" spans="1:8" x14ac:dyDescent="0.2">
      <c r="A3313" s="997">
        <f t="shared" si="51"/>
        <v>3312</v>
      </c>
      <c r="B3313" s="983" t="s">
        <v>2712</v>
      </c>
      <c r="C3313" s="1000"/>
      <c r="G3313" s="983" t="s">
        <v>1106</v>
      </c>
    </row>
    <row r="3314" spans="1:8" x14ac:dyDescent="0.2">
      <c r="A3314" s="997">
        <f t="shared" si="51"/>
        <v>3313</v>
      </c>
      <c r="B3314" s="983" t="s">
        <v>2712</v>
      </c>
      <c r="C3314" s="999"/>
      <c r="H3314" s="983" t="s">
        <v>1637</v>
      </c>
    </row>
    <row r="3315" spans="1:8" x14ac:dyDescent="0.2">
      <c r="A3315" s="997">
        <f t="shared" si="51"/>
        <v>3314</v>
      </c>
      <c r="B3315" s="983" t="s">
        <v>2712</v>
      </c>
      <c r="C3315" s="999"/>
      <c r="H3315" s="983" t="str">
        <f>CONCATENATE("&lt;valeur&gt;",Cellule_7830_1,"&lt;/valeur&gt;")</f>
        <v>&lt;valeur&gt;0&lt;/valeur&gt;</v>
      </c>
    </row>
    <row r="3316" spans="1:8" x14ac:dyDescent="0.2">
      <c r="A3316" s="997">
        <f t="shared" si="51"/>
        <v>3315</v>
      </c>
      <c r="B3316" s="983" t="s">
        <v>2712</v>
      </c>
      <c r="C3316" s="1000"/>
      <c r="H3316" s="983" t="s">
        <v>1348</v>
      </c>
    </row>
    <row r="3317" spans="1:8" x14ac:dyDescent="0.2">
      <c r="A3317" s="997">
        <f t="shared" si="51"/>
        <v>3316</v>
      </c>
      <c r="B3317" s="983" t="s">
        <v>2712</v>
      </c>
      <c r="C3317" s="1001"/>
      <c r="G3317" s="983" t="s">
        <v>1109</v>
      </c>
    </row>
    <row r="3318" spans="1:8" x14ac:dyDescent="0.2">
      <c r="A3318" s="997">
        <f t="shared" si="51"/>
        <v>3317</v>
      </c>
      <c r="B3318" s="983" t="s">
        <v>2712</v>
      </c>
      <c r="C3318" s="999"/>
      <c r="G3318" s="983" t="s">
        <v>1106</v>
      </c>
    </row>
    <row r="3319" spans="1:8" x14ac:dyDescent="0.2">
      <c r="A3319" s="997">
        <f t="shared" si="51"/>
        <v>3318</v>
      </c>
      <c r="B3319" s="983" t="s">
        <v>2712</v>
      </c>
      <c r="C3319" s="1000"/>
      <c r="H3319" s="983" t="s">
        <v>1635</v>
      </c>
    </row>
    <row r="3320" spans="1:8" x14ac:dyDescent="0.2">
      <c r="A3320" s="997">
        <f t="shared" si="51"/>
        <v>3319</v>
      </c>
      <c r="B3320" s="983" t="s">
        <v>2712</v>
      </c>
      <c r="C3320" s="1000"/>
      <c r="H3320" s="983" t="str">
        <f>CONCATENATE("&lt;valeur&gt;",Cellule_829_2,"&lt;/valeur&gt;")</f>
        <v>&lt;valeur&gt;&lt;/valeur&gt;</v>
      </c>
    </row>
    <row r="3321" spans="1:8" x14ac:dyDescent="0.2">
      <c r="A3321" s="997">
        <f t="shared" si="51"/>
        <v>3320</v>
      </c>
      <c r="B3321" s="983" t="s">
        <v>2712</v>
      </c>
      <c r="C3321" s="1000"/>
      <c r="H3321" s="983" t="s">
        <v>2735</v>
      </c>
    </row>
    <row r="3322" spans="1:8" x14ac:dyDescent="0.2">
      <c r="A3322" s="997">
        <f t="shared" si="51"/>
        <v>3321</v>
      </c>
      <c r="B3322" s="983" t="s">
        <v>2712</v>
      </c>
      <c r="C3322" s="999"/>
      <c r="G3322" s="983" t="s">
        <v>1109</v>
      </c>
    </row>
    <row r="3323" spans="1:8" x14ac:dyDescent="0.2">
      <c r="A3323" s="997">
        <f t="shared" si="51"/>
        <v>3322</v>
      </c>
      <c r="B3323" s="983" t="s">
        <v>2712</v>
      </c>
      <c r="C3323" s="999"/>
      <c r="G3323" s="983" t="s">
        <v>1106</v>
      </c>
    </row>
    <row r="3324" spans="1:8" x14ac:dyDescent="0.2">
      <c r="A3324" s="997">
        <f t="shared" si="51"/>
        <v>3323</v>
      </c>
      <c r="B3324" s="983" t="s">
        <v>2712</v>
      </c>
      <c r="C3324" s="1000"/>
      <c r="H3324" s="983" t="s">
        <v>1636</v>
      </c>
    </row>
    <row r="3325" spans="1:8" x14ac:dyDescent="0.2">
      <c r="A3325" s="997">
        <f t="shared" si="51"/>
        <v>3324</v>
      </c>
      <c r="B3325" s="983" t="s">
        <v>2712</v>
      </c>
      <c r="C3325" s="1001"/>
      <c r="H3325" s="983" t="str">
        <f>CONCATENATE("&lt;valeur&gt;",Cellule_831_2,"&lt;/valeur&gt;")</f>
        <v>&lt;valeur&gt;0&lt;/valeur&gt;</v>
      </c>
    </row>
    <row r="3326" spans="1:8" x14ac:dyDescent="0.2">
      <c r="A3326" s="997">
        <f t="shared" si="51"/>
        <v>3325</v>
      </c>
      <c r="B3326" s="983" t="s">
        <v>2712</v>
      </c>
      <c r="C3326" s="1000"/>
      <c r="H3326" s="983" t="s">
        <v>2735</v>
      </c>
    </row>
    <row r="3327" spans="1:8" x14ac:dyDescent="0.2">
      <c r="A3327" s="997">
        <f t="shared" si="51"/>
        <v>3326</v>
      </c>
      <c r="B3327" s="983" t="s">
        <v>2712</v>
      </c>
      <c r="C3327" s="1000"/>
      <c r="G3327" s="983" t="s">
        <v>1109</v>
      </c>
    </row>
    <row r="3328" spans="1:8" x14ac:dyDescent="0.2">
      <c r="A3328" s="997">
        <f t="shared" si="51"/>
        <v>3327</v>
      </c>
      <c r="B3328" s="983" t="s">
        <v>2712</v>
      </c>
      <c r="C3328" s="1000"/>
      <c r="G3328" s="983" t="s">
        <v>1106</v>
      </c>
    </row>
    <row r="3329" spans="1:8" x14ac:dyDescent="0.2">
      <c r="A3329" s="997">
        <f t="shared" si="51"/>
        <v>3328</v>
      </c>
      <c r="B3329" s="983" t="s">
        <v>2712</v>
      </c>
      <c r="C3329" s="999"/>
      <c r="H3329" s="983" t="s">
        <v>1637</v>
      </c>
    </row>
    <row r="3330" spans="1:8" x14ac:dyDescent="0.2">
      <c r="A3330" s="997">
        <f t="shared" si="51"/>
        <v>3329</v>
      </c>
      <c r="B3330" s="983" t="s">
        <v>2712</v>
      </c>
      <c r="C3330" s="999"/>
      <c r="H3330" s="983" t="str">
        <f>CONCATENATE("&lt;valeur&gt;",Cellule_7830_2,"&lt;/valeur&gt;")</f>
        <v>&lt;valeur&gt;0&lt;/valeur&gt;</v>
      </c>
    </row>
    <row r="3331" spans="1:8" x14ac:dyDescent="0.2">
      <c r="A3331" s="997">
        <f t="shared" si="51"/>
        <v>3330</v>
      </c>
      <c r="B3331" s="983" t="s">
        <v>2712</v>
      </c>
      <c r="C3331" s="1000"/>
      <c r="H3331" s="983" t="s">
        <v>2735</v>
      </c>
    </row>
    <row r="3332" spans="1:8" x14ac:dyDescent="0.2">
      <c r="A3332" s="997">
        <f t="shared" ref="A3332:A3395" si="52">+A3331+1</f>
        <v>3331</v>
      </c>
      <c r="B3332" s="983" t="s">
        <v>2712</v>
      </c>
      <c r="C3332" s="1001"/>
      <c r="G3332" s="983" t="s">
        <v>1109</v>
      </c>
    </row>
    <row r="3333" spans="1:8" x14ac:dyDescent="0.2">
      <c r="A3333" s="997">
        <f t="shared" si="52"/>
        <v>3332</v>
      </c>
      <c r="B3333" s="983" t="s">
        <v>2712</v>
      </c>
      <c r="C3333" s="999"/>
      <c r="G3333" s="983" t="s">
        <v>1106</v>
      </c>
    </row>
    <row r="3334" spans="1:8" x14ac:dyDescent="0.2">
      <c r="A3334" s="997">
        <f t="shared" si="52"/>
        <v>3333</v>
      </c>
      <c r="B3334" s="983" t="s">
        <v>2712</v>
      </c>
      <c r="C3334" s="1000"/>
      <c r="H3334" s="983" t="s">
        <v>1635</v>
      </c>
    </row>
    <row r="3335" spans="1:8" x14ac:dyDescent="0.2">
      <c r="A3335" s="997">
        <f t="shared" si="52"/>
        <v>3334</v>
      </c>
      <c r="B3335" s="983" t="s">
        <v>2712</v>
      </c>
      <c r="C3335" s="1000"/>
      <c r="H3335" s="983" t="str">
        <f>CONCATENATE("&lt;valeur&gt;",Cellule_829_3,"&lt;/valeur&gt;")</f>
        <v>&lt;valeur&gt;&lt;/valeur&gt;</v>
      </c>
    </row>
    <row r="3336" spans="1:8" x14ac:dyDescent="0.2">
      <c r="A3336" s="997">
        <f t="shared" si="52"/>
        <v>3335</v>
      </c>
      <c r="B3336" s="983" t="s">
        <v>2712</v>
      </c>
      <c r="C3336" s="1000"/>
      <c r="H3336" s="983" t="s">
        <v>2736</v>
      </c>
    </row>
    <row r="3337" spans="1:8" x14ac:dyDescent="0.2">
      <c r="A3337" s="997">
        <f t="shared" si="52"/>
        <v>3336</v>
      </c>
      <c r="B3337" s="983" t="s">
        <v>2712</v>
      </c>
      <c r="C3337" s="999"/>
      <c r="G3337" s="983" t="s">
        <v>1109</v>
      </c>
    </row>
    <row r="3338" spans="1:8" x14ac:dyDescent="0.2">
      <c r="A3338" s="997">
        <f t="shared" si="52"/>
        <v>3337</v>
      </c>
      <c r="B3338" s="983" t="s">
        <v>2712</v>
      </c>
      <c r="C3338" s="999"/>
      <c r="G3338" s="983" t="s">
        <v>1106</v>
      </c>
    </row>
    <row r="3339" spans="1:8" x14ac:dyDescent="0.2">
      <c r="A3339" s="997">
        <f t="shared" si="52"/>
        <v>3338</v>
      </c>
      <c r="B3339" s="983" t="s">
        <v>2712</v>
      </c>
      <c r="C3339" s="1000"/>
      <c r="H3339" s="983" t="s">
        <v>1636</v>
      </c>
    </row>
    <row r="3340" spans="1:8" x14ac:dyDescent="0.2">
      <c r="A3340" s="997">
        <f t="shared" si="52"/>
        <v>3339</v>
      </c>
      <c r="B3340" s="983" t="s">
        <v>2712</v>
      </c>
      <c r="C3340" s="1001"/>
      <c r="H3340" s="983" t="str">
        <f>CONCATENATE("&lt;valeur&gt;",Cellule_831_3,"&lt;/valeur&gt;")</f>
        <v>&lt;valeur&gt;0&lt;/valeur&gt;</v>
      </c>
    </row>
    <row r="3341" spans="1:8" x14ac:dyDescent="0.2">
      <c r="A3341" s="997">
        <f t="shared" si="52"/>
        <v>3340</v>
      </c>
      <c r="B3341" s="983" t="s">
        <v>2712</v>
      </c>
      <c r="C3341" s="1000"/>
      <c r="H3341" s="983" t="s">
        <v>2736</v>
      </c>
    </row>
    <row r="3342" spans="1:8" x14ac:dyDescent="0.2">
      <c r="A3342" s="997">
        <f t="shared" si="52"/>
        <v>3341</v>
      </c>
      <c r="B3342" s="983" t="s">
        <v>2712</v>
      </c>
      <c r="C3342" s="1000"/>
      <c r="G3342" s="983" t="s">
        <v>1109</v>
      </c>
    </row>
    <row r="3343" spans="1:8" x14ac:dyDescent="0.2">
      <c r="A3343" s="997">
        <f t="shared" si="52"/>
        <v>3342</v>
      </c>
      <c r="B3343" s="983" t="s">
        <v>2712</v>
      </c>
      <c r="C3343" s="1000"/>
      <c r="G3343" s="983" t="s">
        <v>1106</v>
      </c>
    </row>
    <row r="3344" spans="1:8" x14ac:dyDescent="0.2">
      <c r="A3344" s="997">
        <f t="shared" si="52"/>
        <v>3343</v>
      </c>
      <c r="B3344" s="983" t="s">
        <v>2712</v>
      </c>
      <c r="C3344" s="999"/>
      <c r="H3344" s="983" t="s">
        <v>1637</v>
      </c>
    </row>
    <row r="3345" spans="1:8" x14ac:dyDescent="0.2">
      <c r="A3345" s="997">
        <f t="shared" si="52"/>
        <v>3344</v>
      </c>
      <c r="B3345" s="983" t="s">
        <v>2712</v>
      </c>
      <c r="C3345" s="999"/>
      <c r="H3345" s="983" t="str">
        <f>CONCATENATE("&lt;valeur&gt;",Cellule_7830_3,"&lt;/valeur&gt;")</f>
        <v>&lt;valeur&gt;0&lt;/valeur&gt;</v>
      </c>
    </row>
    <row r="3346" spans="1:8" x14ac:dyDescent="0.2">
      <c r="A3346" s="997">
        <f t="shared" si="52"/>
        <v>3345</v>
      </c>
      <c r="B3346" s="983" t="s">
        <v>2712</v>
      </c>
      <c r="C3346" s="1000"/>
      <c r="H3346" s="983" t="s">
        <v>2736</v>
      </c>
    </row>
    <row r="3347" spans="1:8" x14ac:dyDescent="0.2">
      <c r="A3347" s="997">
        <f t="shared" si="52"/>
        <v>3346</v>
      </c>
      <c r="B3347" s="983" t="s">
        <v>2712</v>
      </c>
      <c r="C3347" s="1001"/>
      <c r="G3347" s="983" t="s">
        <v>1109</v>
      </c>
    </row>
    <row r="3348" spans="1:8" x14ac:dyDescent="0.2">
      <c r="A3348" s="997">
        <f t="shared" si="52"/>
        <v>3347</v>
      </c>
      <c r="B3348" s="983" t="s">
        <v>2712</v>
      </c>
      <c r="C3348" s="999"/>
      <c r="G3348" s="983" t="s">
        <v>1106</v>
      </c>
    </row>
    <row r="3349" spans="1:8" x14ac:dyDescent="0.2">
      <c r="A3349" s="997">
        <f t="shared" si="52"/>
        <v>3348</v>
      </c>
      <c r="B3349" s="983" t="s">
        <v>2712</v>
      </c>
      <c r="C3349" s="1000"/>
      <c r="H3349" s="983" t="s">
        <v>1635</v>
      </c>
    </row>
    <row r="3350" spans="1:8" x14ac:dyDescent="0.2">
      <c r="A3350" s="997">
        <f t="shared" si="52"/>
        <v>3349</v>
      </c>
      <c r="B3350" s="983" t="s">
        <v>2712</v>
      </c>
      <c r="C3350" s="1000"/>
      <c r="H3350" s="983" t="str">
        <f>CONCATENATE("&lt;valeur&gt;",Cellule_829_4,"&lt;/valeur&gt;")</f>
        <v>&lt;valeur&gt;&lt;/valeur&gt;</v>
      </c>
    </row>
    <row r="3351" spans="1:8" x14ac:dyDescent="0.2">
      <c r="A3351" s="997">
        <f t="shared" si="52"/>
        <v>3350</v>
      </c>
      <c r="B3351" s="983" t="s">
        <v>2712</v>
      </c>
      <c r="C3351" s="1000"/>
      <c r="H3351" s="983" t="s">
        <v>2737</v>
      </c>
    </row>
    <row r="3352" spans="1:8" x14ac:dyDescent="0.2">
      <c r="A3352" s="997">
        <f t="shared" si="52"/>
        <v>3351</v>
      </c>
      <c r="B3352" s="983" t="s">
        <v>2712</v>
      </c>
      <c r="C3352" s="999"/>
      <c r="G3352" s="983" t="s">
        <v>1109</v>
      </c>
    </row>
    <row r="3353" spans="1:8" x14ac:dyDescent="0.2">
      <c r="A3353" s="997">
        <f t="shared" si="52"/>
        <v>3352</v>
      </c>
      <c r="B3353" s="983" t="s">
        <v>2712</v>
      </c>
      <c r="C3353" s="999"/>
      <c r="G3353" s="983" t="s">
        <v>1106</v>
      </c>
    </row>
    <row r="3354" spans="1:8" x14ac:dyDescent="0.2">
      <c r="A3354" s="997">
        <f t="shared" si="52"/>
        <v>3353</v>
      </c>
      <c r="B3354" s="983" t="s">
        <v>2712</v>
      </c>
      <c r="C3354" s="1000"/>
      <c r="H3354" s="983" t="s">
        <v>1636</v>
      </c>
    </row>
    <row r="3355" spans="1:8" x14ac:dyDescent="0.2">
      <c r="A3355" s="997">
        <f t="shared" si="52"/>
        <v>3354</v>
      </c>
      <c r="B3355" s="983" t="s">
        <v>2712</v>
      </c>
      <c r="C3355" s="1001"/>
      <c r="H3355" s="983" t="str">
        <f>CONCATENATE("&lt;valeur&gt;",Cellule_831_4,"&lt;/valeur&gt;")</f>
        <v>&lt;valeur&gt;0&lt;/valeur&gt;</v>
      </c>
    </row>
    <row r="3356" spans="1:8" x14ac:dyDescent="0.2">
      <c r="A3356" s="997">
        <f t="shared" si="52"/>
        <v>3355</v>
      </c>
      <c r="B3356" s="983" t="s">
        <v>2712</v>
      </c>
      <c r="C3356" s="1000"/>
      <c r="H3356" s="983" t="s">
        <v>2737</v>
      </c>
    </row>
    <row r="3357" spans="1:8" x14ac:dyDescent="0.2">
      <c r="A3357" s="997">
        <f t="shared" si="52"/>
        <v>3356</v>
      </c>
      <c r="B3357" s="983" t="s">
        <v>2712</v>
      </c>
      <c r="C3357" s="1000"/>
      <c r="G3357" s="983" t="s">
        <v>1109</v>
      </c>
    </row>
    <row r="3358" spans="1:8" x14ac:dyDescent="0.2">
      <c r="A3358" s="997">
        <f t="shared" si="52"/>
        <v>3357</v>
      </c>
      <c r="B3358" s="983" t="s">
        <v>2712</v>
      </c>
      <c r="C3358" s="1000"/>
      <c r="G3358" s="983" t="s">
        <v>1106</v>
      </c>
    </row>
    <row r="3359" spans="1:8" x14ac:dyDescent="0.2">
      <c r="A3359" s="997">
        <f t="shared" si="52"/>
        <v>3358</v>
      </c>
      <c r="B3359" s="983" t="s">
        <v>2712</v>
      </c>
      <c r="C3359" s="999"/>
      <c r="H3359" s="983" t="s">
        <v>1637</v>
      </c>
    </row>
    <row r="3360" spans="1:8" x14ac:dyDescent="0.2">
      <c r="A3360" s="997">
        <f t="shared" si="52"/>
        <v>3359</v>
      </c>
      <c r="B3360" s="983" t="s">
        <v>2712</v>
      </c>
      <c r="C3360" s="999"/>
      <c r="H3360" s="983" t="str">
        <f>CONCATENATE("&lt;valeur&gt;",Cellule_7830_4,"&lt;/valeur&gt;")</f>
        <v>&lt;valeur&gt;0&lt;/valeur&gt;</v>
      </c>
    </row>
    <row r="3361" spans="1:8" x14ac:dyDescent="0.2">
      <c r="A3361" s="997">
        <f t="shared" si="52"/>
        <v>3360</v>
      </c>
      <c r="B3361" s="983" t="s">
        <v>2712</v>
      </c>
      <c r="C3361" s="1000"/>
      <c r="H3361" s="983" t="s">
        <v>2737</v>
      </c>
    </row>
    <row r="3362" spans="1:8" x14ac:dyDescent="0.2">
      <c r="A3362" s="997">
        <f t="shared" si="52"/>
        <v>3361</v>
      </c>
      <c r="B3362" s="983" t="s">
        <v>2712</v>
      </c>
      <c r="C3362" s="1001"/>
      <c r="G3362" s="983" t="s">
        <v>1109</v>
      </c>
    </row>
    <row r="3363" spans="1:8" x14ac:dyDescent="0.2">
      <c r="A3363" s="997">
        <f t="shared" si="52"/>
        <v>3362</v>
      </c>
      <c r="B3363" s="983" t="s">
        <v>2712</v>
      </c>
      <c r="C3363" s="999"/>
      <c r="G3363" s="983" t="s">
        <v>1106</v>
      </c>
    </row>
    <row r="3364" spans="1:8" x14ac:dyDescent="0.2">
      <c r="A3364" s="997">
        <f t="shared" si="52"/>
        <v>3363</v>
      </c>
      <c r="B3364" s="983" t="s">
        <v>2712</v>
      </c>
      <c r="C3364" s="1000"/>
      <c r="H3364" s="983" t="s">
        <v>1635</v>
      </c>
    </row>
    <row r="3365" spans="1:8" x14ac:dyDescent="0.2">
      <c r="A3365" s="997">
        <f t="shared" si="52"/>
        <v>3364</v>
      </c>
      <c r="B3365" s="983" t="s">
        <v>2712</v>
      </c>
      <c r="C3365" s="1000"/>
      <c r="H3365" s="983" t="str">
        <f>CONCATENATE("&lt;valeur&gt;",Cellule_829_5,"&lt;/valeur&gt;")</f>
        <v>&lt;valeur&gt;&lt;/valeur&gt;</v>
      </c>
    </row>
    <row r="3366" spans="1:8" x14ac:dyDescent="0.2">
      <c r="A3366" s="997">
        <f t="shared" si="52"/>
        <v>3365</v>
      </c>
      <c r="B3366" s="983" t="s">
        <v>2712</v>
      </c>
      <c r="C3366" s="1000"/>
      <c r="H3366" s="983" t="s">
        <v>2738</v>
      </c>
    </row>
    <row r="3367" spans="1:8" x14ac:dyDescent="0.2">
      <c r="A3367" s="997">
        <f t="shared" si="52"/>
        <v>3366</v>
      </c>
      <c r="B3367" s="983" t="s">
        <v>2712</v>
      </c>
      <c r="C3367" s="999"/>
      <c r="G3367" s="983" t="s">
        <v>1109</v>
      </c>
    </row>
    <row r="3368" spans="1:8" x14ac:dyDescent="0.2">
      <c r="A3368" s="997">
        <f t="shared" si="52"/>
        <v>3367</v>
      </c>
      <c r="B3368" s="983" t="s">
        <v>2712</v>
      </c>
      <c r="C3368" s="999"/>
      <c r="G3368" s="983" t="s">
        <v>1106</v>
      </c>
    </row>
    <row r="3369" spans="1:8" x14ac:dyDescent="0.2">
      <c r="A3369" s="997">
        <f t="shared" si="52"/>
        <v>3368</v>
      </c>
      <c r="B3369" s="983" t="s">
        <v>2712</v>
      </c>
      <c r="C3369" s="1000"/>
      <c r="H3369" s="983" t="s">
        <v>1636</v>
      </c>
    </row>
    <row r="3370" spans="1:8" x14ac:dyDescent="0.2">
      <c r="A3370" s="997">
        <f t="shared" si="52"/>
        <v>3369</v>
      </c>
      <c r="B3370" s="983" t="s">
        <v>2712</v>
      </c>
      <c r="C3370" s="1001"/>
      <c r="H3370" s="983" t="str">
        <f>CONCATENATE("&lt;valeur&gt;",Cellule_831_5,"&lt;/valeur&gt;")</f>
        <v>&lt;valeur&gt;0&lt;/valeur&gt;</v>
      </c>
    </row>
    <row r="3371" spans="1:8" x14ac:dyDescent="0.2">
      <c r="A3371" s="997">
        <f t="shared" si="52"/>
        <v>3370</v>
      </c>
      <c r="B3371" s="983" t="s">
        <v>2712</v>
      </c>
      <c r="C3371" s="1000"/>
      <c r="H3371" s="983" t="s">
        <v>2738</v>
      </c>
    </row>
    <row r="3372" spans="1:8" x14ac:dyDescent="0.2">
      <c r="A3372" s="997">
        <f t="shared" si="52"/>
        <v>3371</v>
      </c>
      <c r="B3372" s="983" t="s">
        <v>2712</v>
      </c>
      <c r="C3372" s="1000"/>
      <c r="G3372" s="983" t="s">
        <v>1109</v>
      </c>
    </row>
    <row r="3373" spans="1:8" x14ac:dyDescent="0.2">
      <c r="A3373" s="997">
        <f t="shared" si="52"/>
        <v>3372</v>
      </c>
      <c r="B3373" s="983" t="s">
        <v>2712</v>
      </c>
      <c r="C3373" s="1000"/>
      <c r="G3373" s="983" t="s">
        <v>1106</v>
      </c>
    </row>
    <row r="3374" spans="1:8" x14ac:dyDescent="0.2">
      <c r="A3374" s="997">
        <f t="shared" si="52"/>
        <v>3373</v>
      </c>
      <c r="B3374" s="983" t="s">
        <v>2712</v>
      </c>
      <c r="C3374" s="999"/>
      <c r="H3374" s="983" t="s">
        <v>1637</v>
      </c>
    </row>
    <row r="3375" spans="1:8" x14ac:dyDescent="0.2">
      <c r="A3375" s="997">
        <f t="shared" si="52"/>
        <v>3374</v>
      </c>
      <c r="B3375" s="983" t="s">
        <v>2712</v>
      </c>
      <c r="C3375" s="999"/>
      <c r="H3375" s="983" t="str">
        <f>CONCATENATE("&lt;valeur&gt;",Cellule_7830_5,"&lt;/valeur&gt;")</f>
        <v>&lt;valeur&gt;0&lt;/valeur&gt;</v>
      </c>
    </row>
    <row r="3376" spans="1:8" x14ac:dyDescent="0.2">
      <c r="A3376" s="997">
        <f t="shared" si="52"/>
        <v>3375</v>
      </c>
      <c r="B3376" s="983" t="s">
        <v>2712</v>
      </c>
      <c r="C3376" s="1000"/>
      <c r="H3376" s="983" t="s">
        <v>2738</v>
      </c>
    </row>
    <row r="3377" spans="1:8" x14ac:dyDescent="0.2">
      <c r="A3377" s="997">
        <f t="shared" si="52"/>
        <v>3376</v>
      </c>
      <c r="B3377" s="983" t="s">
        <v>2712</v>
      </c>
      <c r="C3377" s="1001"/>
      <c r="G3377" s="983" t="s">
        <v>1109</v>
      </c>
    </row>
    <row r="3378" spans="1:8" x14ac:dyDescent="0.2">
      <c r="A3378" s="997">
        <f t="shared" si="52"/>
        <v>3377</v>
      </c>
      <c r="B3378" s="983" t="s">
        <v>2712</v>
      </c>
      <c r="C3378" s="999"/>
      <c r="G3378" s="983" t="s">
        <v>1106</v>
      </c>
    </row>
    <row r="3379" spans="1:8" x14ac:dyDescent="0.2">
      <c r="A3379" s="997">
        <f t="shared" si="52"/>
        <v>3378</v>
      </c>
      <c r="B3379" s="983" t="s">
        <v>2712</v>
      </c>
      <c r="C3379" s="1000"/>
      <c r="H3379" s="983" t="s">
        <v>1635</v>
      </c>
    </row>
    <row r="3380" spans="1:8" x14ac:dyDescent="0.2">
      <c r="A3380" s="997">
        <f t="shared" si="52"/>
        <v>3379</v>
      </c>
      <c r="B3380" s="983" t="s">
        <v>2712</v>
      </c>
      <c r="C3380" s="1000"/>
      <c r="H3380" s="983" t="str">
        <f>CONCATENATE("&lt;valeur&gt;",Cellule_829_6,"&lt;/valeur&gt;")</f>
        <v>&lt;valeur&gt;&lt;/valeur&gt;</v>
      </c>
    </row>
    <row r="3381" spans="1:8" x14ac:dyDescent="0.2">
      <c r="A3381" s="997">
        <f t="shared" si="52"/>
        <v>3380</v>
      </c>
      <c r="B3381" s="983" t="s">
        <v>2712</v>
      </c>
      <c r="C3381" s="1000"/>
      <c r="H3381" s="983" t="s">
        <v>2739</v>
      </c>
    </row>
    <row r="3382" spans="1:8" x14ac:dyDescent="0.2">
      <c r="A3382" s="997">
        <f t="shared" si="52"/>
        <v>3381</v>
      </c>
      <c r="B3382" s="983" t="s">
        <v>2712</v>
      </c>
      <c r="C3382" s="999"/>
      <c r="G3382" s="983" t="s">
        <v>1109</v>
      </c>
    </row>
    <row r="3383" spans="1:8" x14ac:dyDescent="0.2">
      <c r="A3383" s="997">
        <f t="shared" si="52"/>
        <v>3382</v>
      </c>
      <c r="B3383" s="983" t="s">
        <v>2712</v>
      </c>
      <c r="C3383" s="999"/>
      <c r="G3383" s="983" t="s">
        <v>1106</v>
      </c>
    </row>
    <row r="3384" spans="1:8" x14ac:dyDescent="0.2">
      <c r="A3384" s="997">
        <f t="shared" si="52"/>
        <v>3383</v>
      </c>
      <c r="B3384" s="983" t="s">
        <v>2712</v>
      </c>
      <c r="C3384" s="1000"/>
      <c r="H3384" s="983" t="s">
        <v>1636</v>
      </c>
    </row>
    <row r="3385" spans="1:8" x14ac:dyDescent="0.2">
      <c r="A3385" s="997">
        <f t="shared" si="52"/>
        <v>3384</v>
      </c>
      <c r="B3385" s="983" t="s">
        <v>2712</v>
      </c>
      <c r="C3385" s="1001"/>
      <c r="H3385" s="983" t="str">
        <f>CONCATENATE("&lt;valeur&gt;",Cellule_831_6,"&lt;/valeur&gt;")</f>
        <v>&lt;valeur&gt;0&lt;/valeur&gt;</v>
      </c>
    </row>
    <row r="3386" spans="1:8" x14ac:dyDescent="0.2">
      <c r="A3386" s="997">
        <f t="shared" si="52"/>
        <v>3385</v>
      </c>
      <c r="B3386" s="983" t="s">
        <v>2712</v>
      </c>
      <c r="C3386" s="1000"/>
      <c r="H3386" s="983" t="s">
        <v>2739</v>
      </c>
    </row>
    <row r="3387" spans="1:8" x14ac:dyDescent="0.2">
      <c r="A3387" s="997">
        <f t="shared" si="52"/>
        <v>3386</v>
      </c>
      <c r="B3387" s="983" t="s">
        <v>2712</v>
      </c>
      <c r="C3387" s="1000"/>
      <c r="G3387" s="983" t="s">
        <v>1109</v>
      </c>
    </row>
    <row r="3388" spans="1:8" x14ac:dyDescent="0.2">
      <c r="A3388" s="997">
        <f t="shared" si="52"/>
        <v>3387</v>
      </c>
      <c r="B3388" s="983" t="s">
        <v>2712</v>
      </c>
      <c r="C3388" s="1000"/>
      <c r="G3388" s="983" t="s">
        <v>1106</v>
      </c>
    </row>
    <row r="3389" spans="1:8" x14ac:dyDescent="0.2">
      <c r="A3389" s="997">
        <f t="shared" si="52"/>
        <v>3388</v>
      </c>
      <c r="B3389" s="983" t="s">
        <v>2712</v>
      </c>
      <c r="C3389" s="999"/>
      <c r="H3389" s="983" t="s">
        <v>1637</v>
      </c>
    </row>
    <row r="3390" spans="1:8" x14ac:dyDescent="0.2">
      <c r="A3390" s="997">
        <f t="shared" si="52"/>
        <v>3389</v>
      </c>
      <c r="B3390" s="983" t="s">
        <v>2712</v>
      </c>
      <c r="C3390" s="999"/>
      <c r="H3390" s="983" t="str">
        <f>CONCATENATE("&lt;valeur&gt;",Cellule_7830_6,"&lt;/valeur&gt;")</f>
        <v>&lt;valeur&gt;0&lt;/valeur&gt;</v>
      </c>
    </row>
    <row r="3391" spans="1:8" x14ac:dyDescent="0.2">
      <c r="A3391" s="997">
        <f t="shared" si="52"/>
        <v>3390</v>
      </c>
      <c r="B3391" s="983" t="s">
        <v>2712</v>
      </c>
      <c r="C3391" s="1000"/>
      <c r="H3391" s="983" t="s">
        <v>2739</v>
      </c>
    </row>
    <row r="3392" spans="1:8" x14ac:dyDescent="0.2">
      <c r="A3392" s="997">
        <f t="shared" si="52"/>
        <v>3391</v>
      </c>
      <c r="B3392" s="983" t="s">
        <v>2712</v>
      </c>
      <c r="C3392" s="1001"/>
      <c r="G3392" s="983" t="s">
        <v>1109</v>
      </c>
    </row>
    <row r="3393" spans="1:9" x14ac:dyDescent="0.2">
      <c r="A3393" s="997">
        <f t="shared" si="52"/>
        <v>3392</v>
      </c>
      <c r="B3393" s="983" t="s">
        <v>2712</v>
      </c>
      <c r="C3393" s="1000"/>
      <c r="G3393" s="983" t="s">
        <v>1106</v>
      </c>
    </row>
    <row r="3394" spans="1:9" x14ac:dyDescent="0.2">
      <c r="A3394" s="997">
        <f t="shared" si="52"/>
        <v>3393</v>
      </c>
      <c r="B3394" s="983" t="s">
        <v>2712</v>
      </c>
      <c r="C3394" s="1000"/>
      <c r="H3394" s="983" t="s">
        <v>1107</v>
      </c>
    </row>
    <row r="3395" spans="1:9" x14ac:dyDescent="0.2">
      <c r="A3395" s="997">
        <f t="shared" si="52"/>
        <v>3394</v>
      </c>
      <c r="B3395" s="983" t="s">
        <v>2712</v>
      </c>
      <c r="C3395" s="1000"/>
      <c r="I3395" s="983" t="s">
        <v>1638</v>
      </c>
    </row>
    <row r="3396" spans="1:9" x14ac:dyDescent="0.2">
      <c r="A3396" s="997">
        <f t="shared" ref="A3396:A3459" si="53">+A3395+1</f>
        <v>3395</v>
      </c>
      <c r="B3396" s="983" t="s">
        <v>2712</v>
      </c>
      <c r="C3396" s="999"/>
      <c r="H3396" s="983" t="s">
        <v>1108</v>
      </c>
    </row>
    <row r="3397" spans="1:9" x14ac:dyDescent="0.2">
      <c r="A3397" s="997">
        <f t="shared" si="53"/>
        <v>3396</v>
      </c>
      <c r="B3397" s="983" t="s">
        <v>2712</v>
      </c>
      <c r="C3397" s="999"/>
      <c r="H3397" s="983" t="str">
        <f>CONCATENATE("&lt;valeur&gt;",Cellule_833,"&lt;/valeur&gt;")</f>
        <v>&lt;valeur&gt;23836,44&lt;/valeur&gt;</v>
      </c>
    </row>
    <row r="3398" spans="1:9" x14ac:dyDescent="0.2">
      <c r="A3398" s="997">
        <f t="shared" si="53"/>
        <v>3397</v>
      </c>
      <c r="B3398" s="983" t="s">
        <v>2712</v>
      </c>
      <c r="C3398" s="1000"/>
      <c r="G3398" s="983" t="s">
        <v>1109</v>
      </c>
    </row>
    <row r="3399" spans="1:9" x14ac:dyDescent="0.2">
      <c r="A3399" s="997">
        <f t="shared" si="53"/>
        <v>3398</v>
      </c>
      <c r="B3399" s="983" t="s">
        <v>2712</v>
      </c>
      <c r="C3399" s="1001"/>
      <c r="G3399" s="983" t="s">
        <v>1106</v>
      </c>
    </row>
    <row r="3400" spans="1:9" x14ac:dyDescent="0.2">
      <c r="A3400" s="997">
        <f t="shared" si="53"/>
        <v>3399</v>
      </c>
      <c r="B3400" s="983" t="s">
        <v>2712</v>
      </c>
      <c r="C3400" s="1000"/>
      <c r="H3400" s="983" t="s">
        <v>1107</v>
      </c>
    </row>
    <row r="3401" spans="1:9" x14ac:dyDescent="0.2">
      <c r="A3401" s="997">
        <f t="shared" si="53"/>
        <v>3400</v>
      </c>
      <c r="B3401" s="983" t="s">
        <v>2712</v>
      </c>
      <c r="C3401" s="1000"/>
      <c r="I3401" s="983" t="s">
        <v>1639</v>
      </c>
    </row>
    <row r="3402" spans="1:9" x14ac:dyDescent="0.2">
      <c r="A3402" s="997">
        <f t="shared" si="53"/>
        <v>3401</v>
      </c>
      <c r="B3402" s="983" t="s">
        <v>2712</v>
      </c>
      <c r="C3402" s="1000"/>
      <c r="H3402" s="983" t="s">
        <v>1108</v>
      </c>
    </row>
    <row r="3403" spans="1:9" x14ac:dyDescent="0.2">
      <c r="A3403" s="997">
        <f t="shared" si="53"/>
        <v>3402</v>
      </c>
      <c r="B3403" s="983" t="s">
        <v>2712</v>
      </c>
      <c r="C3403" s="999"/>
      <c r="H3403" s="983" t="str">
        <f>CONCATENATE("&lt;valeur&gt;",Cellule_834,"&lt;/valeur&gt;")</f>
        <v>&lt;valeur&gt;0&lt;/valeur&gt;</v>
      </c>
    </row>
    <row r="3404" spans="1:9" x14ac:dyDescent="0.2">
      <c r="A3404" s="997">
        <f t="shared" si="53"/>
        <v>3403</v>
      </c>
      <c r="B3404" s="983" t="s">
        <v>2712</v>
      </c>
      <c r="C3404" s="999"/>
      <c r="G3404" s="983" t="s">
        <v>1109</v>
      </c>
    </row>
    <row r="3405" spans="1:9" x14ac:dyDescent="0.2">
      <c r="A3405" s="997">
        <f t="shared" si="53"/>
        <v>3404</v>
      </c>
      <c r="B3405" s="983" t="s">
        <v>2712</v>
      </c>
      <c r="C3405" s="1000"/>
      <c r="G3405" s="983" t="s">
        <v>1106</v>
      </c>
    </row>
    <row r="3406" spans="1:9" x14ac:dyDescent="0.2">
      <c r="A3406" s="997">
        <f t="shared" si="53"/>
        <v>3405</v>
      </c>
      <c r="B3406" s="983" t="s">
        <v>2712</v>
      </c>
      <c r="C3406" s="1001"/>
      <c r="H3406" s="983" t="s">
        <v>1107</v>
      </c>
    </row>
    <row r="3407" spans="1:9" x14ac:dyDescent="0.2">
      <c r="A3407" s="997">
        <f t="shared" si="53"/>
        <v>3406</v>
      </c>
      <c r="B3407" s="983" t="s">
        <v>2712</v>
      </c>
      <c r="C3407" s="1000"/>
      <c r="I3407" s="983" t="s">
        <v>1640</v>
      </c>
    </row>
    <row r="3408" spans="1:9" x14ac:dyDescent="0.2">
      <c r="A3408" s="997">
        <f t="shared" si="53"/>
        <v>3407</v>
      </c>
      <c r="B3408" s="983" t="s">
        <v>2712</v>
      </c>
      <c r="C3408" s="1000"/>
      <c r="H3408" s="983" t="s">
        <v>1108</v>
      </c>
    </row>
    <row r="3409" spans="1:9" x14ac:dyDescent="0.2">
      <c r="A3409" s="997">
        <f t="shared" si="53"/>
        <v>3408</v>
      </c>
      <c r="B3409" s="983" t="s">
        <v>2712</v>
      </c>
      <c r="C3409" s="1000"/>
      <c r="H3409" s="983" t="str">
        <f>CONCATENATE("&lt;valeur&gt;",Cellule_837,"&lt;/valeur&gt;")</f>
        <v>&lt;valeur&gt;23836,44&lt;/valeur&gt;</v>
      </c>
    </row>
    <row r="3410" spans="1:9" x14ac:dyDescent="0.2">
      <c r="A3410" s="997">
        <f t="shared" si="53"/>
        <v>3409</v>
      </c>
      <c r="B3410" s="983" t="s">
        <v>2712</v>
      </c>
      <c r="C3410" s="999"/>
      <c r="G3410" s="983" t="s">
        <v>1109</v>
      </c>
    </row>
    <row r="3411" spans="1:9" x14ac:dyDescent="0.2">
      <c r="A3411" s="997">
        <f t="shared" si="53"/>
        <v>3410</v>
      </c>
      <c r="B3411" s="983" t="s">
        <v>2712</v>
      </c>
      <c r="C3411" s="999"/>
      <c r="G3411" s="983" t="s">
        <v>1106</v>
      </c>
    </row>
    <row r="3412" spans="1:9" x14ac:dyDescent="0.2">
      <c r="A3412" s="997">
        <f t="shared" si="53"/>
        <v>3411</v>
      </c>
      <c r="B3412" s="983" t="s">
        <v>2712</v>
      </c>
      <c r="C3412" s="1000"/>
      <c r="H3412" s="983" t="s">
        <v>1107</v>
      </c>
    </row>
    <row r="3413" spans="1:9" x14ac:dyDescent="0.2">
      <c r="A3413" s="997">
        <f t="shared" si="53"/>
        <v>3412</v>
      </c>
      <c r="B3413" s="983" t="s">
        <v>2712</v>
      </c>
      <c r="C3413" s="1001"/>
      <c r="I3413" s="983" t="s">
        <v>1641</v>
      </c>
    </row>
    <row r="3414" spans="1:9" x14ac:dyDescent="0.2">
      <c r="A3414" s="997">
        <f t="shared" si="53"/>
        <v>3413</v>
      </c>
      <c r="B3414" s="983" t="s">
        <v>2712</v>
      </c>
      <c r="C3414" s="1000"/>
      <c r="H3414" s="983" t="s">
        <v>1108</v>
      </c>
    </row>
    <row r="3415" spans="1:9" x14ac:dyDescent="0.2">
      <c r="A3415" s="997">
        <f t="shared" si="53"/>
        <v>3414</v>
      </c>
      <c r="B3415" s="983" t="s">
        <v>2712</v>
      </c>
      <c r="C3415" s="1000"/>
      <c r="H3415" s="983" t="str">
        <f>CONCATENATE("&lt;valeur&gt;",Cellule_838,"&lt;/valeur&gt;")</f>
        <v>&lt;valeur&gt;&lt;/valeur&gt;</v>
      </c>
    </row>
    <row r="3416" spans="1:9" x14ac:dyDescent="0.2">
      <c r="A3416" s="997">
        <f t="shared" si="53"/>
        <v>3415</v>
      </c>
      <c r="B3416" s="983" t="s">
        <v>2712</v>
      </c>
      <c r="C3416" s="1000"/>
      <c r="G3416" s="983" t="s">
        <v>1109</v>
      </c>
    </row>
    <row r="3417" spans="1:9" x14ac:dyDescent="0.2">
      <c r="A3417" s="997">
        <f t="shared" si="53"/>
        <v>3416</v>
      </c>
      <c r="B3417" s="983" t="s">
        <v>2712</v>
      </c>
      <c r="C3417" s="999"/>
      <c r="G3417" s="983" t="s">
        <v>1106</v>
      </c>
    </row>
    <row r="3418" spans="1:9" x14ac:dyDescent="0.2">
      <c r="A3418" s="997">
        <f t="shared" si="53"/>
        <v>3417</v>
      </c>
      <c r="B3418" s="983" t="s">
        <v>2712</v>
      </c>
      <c r="C3418" s="999"/>
      <c r="H3418" s="983" t="s">
        <v>1107</v>
      </c>
    </row>
    <row r="3419" spans="1:9" x14ac:dyDescent="0.2">
      <c r="A3419" s="997">
        <f t="shared" si="53"/>
        <v>3418</v>
      </c>
      <c r="B3419" s="983" t="s">
        <v>2712</v>
      </c>
      <c r="C3419" s="1000"/>
      <c r="I3419" s="983" t="s">
        <v>1642</v>
      </c>
    </row>
    <row r="3420" spans="1:9" x14ac:dyDescent="0.2">
      <c r="A3420" s="997">
        <f t="shared" si="53"/>
        <v>3419</v>
      </c>
      <c r="B3420" s="983" t="s">
        <v>2712</v>
      </c>
      <c r="C3420" s="1001"/>
      <c r="H3420" s="983" t="s">
        <v>1108</v>
      </c>
    </row>
    <row r="3421" spans="1:9" x14ac:dyDescent="0.2">
      <c r="A3421" s="997">
        <f t="shared" si="53"/>
        <v>3420</v>
      </c>
      <c r="B3421" s="983" t="s">
        <v>2712</v>
      </c>
      <c r="C3421" s="1000"/>
      <c r="H3421" s="983" t="str">
        <f>CONCATENATE("&lt;valeur&gt;",Cellule_839,"&lt;/valeur&gt;")</f>
        <v>&lt;valeur&gt;&lt;/valeur&gt;</v>
      </c>
    </row>
    <row r="3422" spans="1:9" x14ac:dyDescent="0.2">
      <c r="A3422" s="997">
        <f t="shared" si="53"/>
        <v>3421</v>
      </c>
      <c r="B3422" s="983" t="s">
        <v>2712</v>
      </c>
      <c r="C3422" s="1000"/>
      <c r="G3422" s="983" t="s">
        <v>1109</v>
      </c>
    </row>
    <row r="3423" spans="1:9" x14ac:dyDescent="0.2">
      <c r="A3423" s="997">
        <f t="shared" si="53"/>
        <v>3422</v>
      </c>
      <c r="B3423" s="983" t="s">
        <v>2712</v>
      </c>
      <c r="C3423" s="1000"/>
      <c r="G3423" s="983" t="s">
        <v>1106</v>
      </c>
    </row>
    <row r="3424" spans="1:9" x14ac:dyDescent="0.2">
      <c r="A3424" s="997">
        <f t="shared" si="53"/>
        <v>3423</v>
      </c>
      <c r="B3424" s="983" t="s">
        <v>2712</v>
      </c>
      <c r="C3424" s="999"/>
      <c r="H3424" s="983" t="s">
        <v>1107</v>
      </c>
    </row>
    <row r="3425" spans="1:9" x14ac:dyDescent="0.2">
      <c r="A3425" s="997">
        <f t="shared" si="53"/>
        <v>3424</v>
      </c>
      <c r="B3425" s="983" t="s">
        <v>2712</v>
      </c>
      <c r="C3425" s="999"/>
      <c r="I3425" s="983" t="s">
        <v>1643</v>
      </c>
    </row>
    <row r="3426" spans="1:9" x14ac:dyDescent="0.2">
      <c r="A3426" s="997">
        <f t="shared" si="53"/>
        <v>3425</v>
      </c>
      <c r="B3426" s="983" t="s">
        <v>2712</v>
      </c>
      <c r="C3426" s="1000"/>
      <c r="H3426" s="983" t="s">
        <v>1108</v>
      </c>
    </row>
    <row r="3427" spans="1:9" x14ac:dyDescent="0.2">
      <c r="A3427" s="997">
        <f t="shared" si="53"/>
        <v>3426</v>
      </c>
      <c r="B3427" s="983" t="s">
        <v>2712</v>
      </c>
      <c r="C3427" s="1001"/>
      <c r="H3427" s="983" t="str">
        <f>CONCATENATE("&lt;valeur&gt;",Cellule_840,"&lt;/valeur&gt;")</f>
        <v>&lt;valeur&gt;0&lt;/valeur&gt;</v>
      </c>
    </row>
    <row r="3428" spans="1:9" x14ac:dyDescent="0.2">
      <c r="A3428" s="997">
        <f t="shared" si="53"/>
        <v>3427</v>
      </c>
      <c r="B3428" s="983" t="s">
        <v>2712</v>
      </c>
      <c r="C3428" s="1000"/>
      <c r="G3428" s="983" t="s">
        <v>1109</v>
      </c>
    </row>
    <row r="3429" spans="1:9" x14ac:dyDescent="0.2">
      <c r="A3429" s="997">
        <f t="shared" si="53"/>
        <v>3428</v>
      </c>
      <c r="B3429" s="983" t="s">
        <v>2712</v>
      </c>
      <c r="C3429" s="1000"/>
      <c r="G3429" s="983" t="s">
        <v>1106</v>
      </c>
    </row>
    <row r="3430" spans="1:9" x14ac:dyDescent="0.2">
      <c r="A3430" s="997">
        <f t="shared" si="53"/>
        <v>3429</v>
      </c>
      <c r="B3430" s="983" t="s">
        <v>2712</v>
      </c>
      <c r="C3430" s="999"/>
      <c r="H3430" s="983" t="s">
        <v>1107</v>
      </c>
    </row>
    <row r="3431" spans="1:9" x14ac:dyDescent="0.2">
      <c r="A3431" s="997">
        <f t="shared" si="53"/>
        <v>3430</v>
      </c>
      <c r="B3431" s="983" t="s">
        <v>2712</v>
      </c>
      <c r="C3431" s="999"/>
      <c r="I3431" s="983" t="s">
        <v>1644</v>
      </c>
    </row>
    <row r="3432" spans="1:9" x14ac:dyDescent="0.2">
      <c r="A3432" s="997">
        <f t="shared" si="53"/>
        <v>3431</v>
      </c>
      <c r="B3432" s="983" t="s">
        <v>2712</v>
      </c>
      <c r="C3432" s="1000"/>
      <c r="H3432" s="983" t="s">
        <v>1108</v>
      </c>
    </row>
    <row r="3433" spans="1:9" x14ac:dyDescent="0.2">
      <c r="A3433" s="997">
        <f t="shared" si="53"/>
        <v>3432</v>
      </c>
      <c r="B3433" s="983" t="s">
        <v>2712</v>
      </c>
      <c r="C3433" s="1001"/>
      <c r="H3433" s="983" t="str">
        <f>CONCATENATE("&lt;valeur&gt;",Cellule_845,"&lt;/valeur&gt;")</f>
        <v>&lt;valeur&gt;&lt;/valeur&gt;</v>
      </c>
    </row>
    <row r="3434" spans="1:9" x14ac:dyDescent="0.2">
      <c r="A3434" s="997">
        <f t="shared" si="53"/>
        <v>3433</v>
      </c>
      <c r="B3434" s="983" t="s">
        <v>2712</v>
      </c>
      <c r="C3434" s="1000"/>
      <c r="G3434" s="983" t="s">
        <v>1109</v>
      </c>
    </row>
    <row r="3435" spans="1:9" x14ac:dyDescent="0.2">
      <c r="A3435" s="997">
        <f t="shared" si="53"/>
        <v>3434</v>
      </c>
      <c r="B3435" s="983" t="s">
        <v>2712</v>
      </c>
      <c r="C3435" s="1000"/>
      <c r="G3435" s="983" t="s">
        <v>1106</v>
      </c>
    </row>
    <row r="3436" spans="1:9" x14ac:dyDescent="0.2">
      <c r="A3436" s="997">
        <f t="shared" si="53"/>
        <v>3435</v>
      </c>
      <c r="B3436" s="983" t="s">
        <v>2712</v>
      </c>
      <c r="C3436" s="999"/>
      <c r="H3436" s="983" t="s">
        <v>1107</v>
      </c>
    </row>
    <row r="3437" spans="1:9" x14ac:dyDescent="0.2">
      <c r="A3437" s="997">
        <f t="shared" si="53"/>
        <v>3436</v>
      </c>
      <c r="B3437" s="983" t="s">
        <v>2712</v>
      </c>
      <c r="C3437" s="999"/>
      <c r="I3437" s="983" t="s">
        <v>1645</v>
      </c>
    </row>
    <row r="3438" spans="1:9" x14ac:dyDescent="0.2">
      <c r="A3438" s="997">
        <f t="shared" si="53"/>
        <v>3437</v>
      </c>
      <c r="B3438" s="983" t="s">
        <v>2712</v>
      </c>
      <c r="C3438" s="1000"/>
      <c r="H3438" s="983" t="s">
        <v>1108</v>
      </c>
    </row>
    <row r="3439" spans="1:9" x14ac:dyDescent="0.2">
      <c r="A3439" s="997">
        <f t="shared" si="53"/>
        <v>3438</v>
      </c>
      <c r="B3439" s="983" t="s">
        <v>2712</v>
      </c>
      <c r="C3439" s="1001"/>
      <c r="H3439" s="983" t="str">
        <f>CONCATENATE("&lt;valeur&gt;",Cellule_846,"&lt;/valeur&gt;")</f>
        <v>&lt;valeur&gt;&lt;/valeur&gt;</v>
      </c>
    </row>
    <row r="3440" spans="1:9" x14ac:dyDescent="0.2">
      <c r="A3440" s="997">
        <f t="shared" si="53"/>
        <v>3439</v>
      </c>
      <c r="B3440" s="983" t="s">
        <v>2712</v>
      </c>
      <c r="C3440" s="1000"/>
      <c r="G3440" s="983" t="s">
        <v>1109</v>
      </c>
    </row>
    <row r="3441" spans="1:9" x14ac:dyDescent="0.2">
      <c r="A3441" s="997">
        <f t="shared" si="53"/>
        <v>3440</v>
      </c>
      <c r="B3441" s="983" t="s">
        <v>2712</v>
      </c>
      <c r="C3441" s="1000"/>
      <c r="G3441" s="983" t="s">
        <v>1106</v>
      </c>
    </row>
    <row r="3442" spans="1:9" x14ac:dyDescent="0.2">
      <c r="A3442" s="997">
        <f t="shared" si="53"/>
        <v>3441</v>
      </c>
      <c r="B3442" s="983" t="s">
        <v>2712</v>
      </c>
      <c r="C3442" s="999"/>
      <c r="H3442" s="983" t="s">
        <v>1107</v>
      </c>
    </row>
    <row r="3443" spans="1:9" x14ac:dyDescent="0.2">
      <c r="A3443" s="997">
        <f t="shared" si="53"/>
        <v>3442</v>
      </c>
      <c r="B3443" s="983" t="s">
        <v>2712</v>
      </c>
      <c r="C3443" s="999"/>
      <c r="I3443" s="983" t="s">
        <v>1646</v>
      </c>
    </row>
    <row r="3444" spans="1:9" x14ac:dyDescent="0.2">
      <c r="A3444" s="997">
        <f t="shared" si="53"/>
        <v>3443</v>
      </c>
      <c r="B3444" s="983" t="s">
        <v>2712</v>
      </c>
      <c r="C3444" s="1000"/>
      <c r="H3444" s="983" t="s">
        <v>1108</v>
      </c>
    </row>
    <row r="3445" spans="1:9" x14ac:dyDescent="0.2">
      <c r="A3445" s="997">
        <f t="shared" si="53"/>
        <v>3444</v>
      </c>
      <c r="B3445" s="983" t="s">
        <v>2712</v>
      </c>
      <c r="C3445" s="1001"/>
      <c r="H3445" s="983" t="str">
        <f>CONCATENATE("&lt;valeur&gt;",Cellule_847,"&lt;/valeur&gt;")</f>
        <v>&lt;valeur&gt;&lt;/valeur&gt;</v>
      </c>
    </row>
    <row r="3446" spans="1:9" x14ac:dyDescent="0.2">
      <c r="A3446" s="997">
        <f t="shared" si="53"/>
        <v>3445</v>
      </c>
      <c r="B3446" s="983" t="s">
        <v>2712</v>
      </c>
      <c r="C3446" s="1000"/>
      <c r="G3446" s="983" t="s">
        <v>1109</v>
      </c>
    </row>
    <row r="3447" spans="1:9" x14ac:dyDescent="0.2">
      <c r="A3447" s="997">
        <f t="shared" si="53"/>
        <v>3446</v>
      </c>
      <c r="B3447" s="983" t="s">
        <v>2712</v>
      </c>
      <c r="C3447" s="1000"/>
      <c r="G3447" s="983" t="s">
        <v>1106</v>
      </c>
    </row>
    <row r="3448" spans="1:9" x14ac:dyDescent="0.2">
      <c r="A3448" s="997">
        <f t="shared" si="53"/>
        <v>3447</v>
      </c>
      <c r="B3448" s="983" t="s">
        <v>2712</v>
      </c>
      <c r="C3448" s="999"/>
      <c r="H3448" s="983" t="s">
        <v>1107</v>
      </c>
    </row>
    <row r="3449" spans="1:9" x14ac:dyDescent="0.2">
      <c r="A3449" s="997">
        <f t="shared" si="53"/>
        <v>3448</v>
      </c>
      <c r="B3449" s="983" t="s">
        <v>2712</v>
      </c>
      <c r="C3449" s="999"/>
      <c r="I3449" s="983" t="s">
        <v>1647</v>
      </c>
    </row>
    <row r="3450" spans="1:9" x14ac:dyDescent="0.2">
      <c r="A3450" s="997">
        <f t="shared" si="53"/>
        <v>3449</v>
      </c>
      <c r="B3450" s="983" t="s">
        <v>2712</v>
      </c>
      <c r="C3450" s="1000"/>
      <c r="H3450" s="983" t="s">
        <v>1108</v>
      </c>
    </row>
    <row r="3451" spans="1:9" x14ac:dyDescent="0.2">
      <c r="A3451" s="997">
        <f t="shared" si="53"/>
        <v>3450</v>
      </c>
      <c r="B3451" s="983" t="s">
        <v>2712</v>
      </c>
      <c r="C3451" s="1001"/>
      <c r="H3451" s="983" t="str">
        <f>CONCATENATE("&lt;valeur&gt;",Cellule_848,"&lt;/valeur&gt;")</f>
        <v>&lt;valeur&gt;&lt;/valeur&gt;</v>
      </c>
    </row>
    <row r="3452" spans="1:9" x14ac:dyDescent="0.2">
      <c r="A3452" s="997">
        <f t="shared" si="53"/>
        <v>3451</v>
      </c>
      <c r="B3452" s="983" t="s">
        <v>2712</v>
      </c>
      <c r="C3452" s="1000"/>
      <c r="G3452" s="983" t="s">
        <v>1109</v>
      </c>
    </row>
    <row r="3453" spans="1:9" x14ac:dyDescent="0.2">
      <c r="A3453" s="997">
        <f t="shared" si="53"/>
        <v>3452</v>
      </c>
      <c r="B3453" s="983" t="s">
        <v>2712</v>
      </c>
      <c r="C3453" s="1000"/>
      <c r="G3453" s="983" t="s">
        <v>1106</v>
      </c>
    </row>
    <row r="3454" spans="1:9" x14ac:dyDescent="0.2">
      <c r="A3454" s="997">
        <f t="shared" si="53"/>
        <v>3453</v>
      </c>
      <c r="B3454" s="983" t="s">
        <v>2712</v>
      </c>
      <c r="C3454" s="999"/>
      <c r="H3454" s="983" t="s">
        <v>1107</v>
      </c>
    </row>
    <row r="3455" spans="1:9" x14ac:dyDescent="0.2">
      <c r="A3455" s="997">
        <f t="shared" si="53"/>
        <v>3454</v>
      </c>
      <c r="B3455" s="983" t="s">
        <v>2712</v>
      </c>
      <c r="C3455" s="999"/>
      <c r="I3455" s="983" t="s">
        <v>1648</v>
      </c>
    </row>
    <row r="3456" spans="1:9" x14ac:dyDescent="0.2">
      <c r="A3456" s="997">
        <f t="shared" si="53"/>
        <v>3455</v>
      </c>
      <c r="B3456" s="983" t="s">
        <v>2712</v>
      </c>
      <c r="C3456" s="1000"/>
      <c r="H3456" s="983" t="s">
        <v>1108</v>
      </c>
    </row>
    <row r="3457" spans="1:9" x14ac:dyDescent="0.2">
      <c r="A3457" s="997">
        <f t="shared" si="53"/>
        <v>3456</v>
      </c>
      <c r="B3457" s="983" t="s">
        <v>2712</v>
      </c>
      <c r="C3457" s="1001"/>
      <c r="H3457" s="983" t="str">
        <f>CONCATENATE("&lt;valeur&gt;",Cellule_849,"&lt;/valeur&gt;")</f>
        <v>&lt;valeur&gt;&lt;/valeur&gt;</v>
      </c>
    </row>
    <row r="3458" spans="1:9" x14ac:dyDescent="0.2">
      <c r="A3458" s="997">
        <f t="shared" si="53"/>
        <v>3457</v>
      </c>
      <c r="B3458" s="983" t="s">
        <v>2712</v>
      </c>
      <c r="C3458" s="1000"/>
      <c r="G3458" s="983" t="s">
        <v>1109</v>
      </c>
    </row>
    <row r="3459" spans="1:9" x14ac:dyDescent="0.2">
      <c r="A3459" s="997">
        <f t="shared" si="53"/>
        <v>3458</v>
      </c>
      <c r="B3459" s="983" t="s">
        <v>2712</v>
      </c>
      <c r="C3459" s="1000"/>
      <c r="G3459" s="983" t="s">
        <v>1106</v>
      </c>
    </row>
    <row r="3460" spans="1:9" x14ac:dyDescent="0.2">
      <c r="A3460" s="997">
        <f t="shared" ref="A3460:A3523" si="54">+A3459+1</f>
        <v>3459</v>
      </c>
      <c r="B3460" s="983" t="s">
        <v>2712</v>
      </c>
      <c r="C3460" s="999"/>
      <c r="H3460" s="983" t="s">
        <v>1107</v>
      </c>
    </row>
    <row r="3461" spans="1:9" x14ac:dyDescent="0.2">
      <c r="A3461" s="997">
        <f t="shared" si="54"/>
        <v>3460</v>
      </c>
      <c r="B3461" s="983" t="s">
        <v>2712</v>
      </c>
      <c r="C3461" s="999"/>
      <c r="I3461" s="983" t="s">
        <v>1649</v>
      </c>
    </row>
    <row r="3462" spans="1:9" x14ac:dyDescent="0.2">
      <c r="A3462" s="997">
        <f t="shared" si="54"/>
        <v>3461</v>
      </c>
      <c r="B3462" s="983" t="s">
        <v>2712</v>
      </c>
      <c r="C3462" s="1000"/>
      <c r="H3462" s="983" t="s">
        <v>1108</v>
      </c>
    </row>
    <row r="3463" spans="1:9" x14ac:dyDescent="0.2">
      <c r="A3463" s="997">
        <f t="shared" si="54"/>
        <v>3462</v>
      </c>
      <c r="B3463" s="983" t="s">
        <v>2712</v>
      </c>
      <c r="C3463" s="1001"/>
      <c r="H3463" s="983" t="str">
        <f>CONCATENATE("&lt;valeur&gt;",Cellule_850,"&lt;/valeur&gt;")</f>
        <v>&lt;valeur&gt;&lt;/valeur&gt;</v>
      </c>
    </row>
    <row r="3464" spans="1:9" x14ac:dyDescent="0.2">
      <c r="A3464" s="997">
        <f t="shared" si="54"/>
        <v>3463</v>
      </c>
      <c r="B3464" s="983" t="s">
        <v>2712</v>
      </c>
      <c r="C3464" s="1000"/>
      <c r="G3464" s="983" t="s">
        <v>1109</v>
      </c>
    </row>
    <row r="3465" spans="1:9" x14ac:dyDescent="0.2">
      <c r="A3465" s="997">
        <f t="shared" si="54"/>
        <v>3464</v>
      </c>
      <c r="B3465" s="983" t="s">
        <v>2712</v>
      </c>
      <c r="C3465" s="1000"/>
      <c r="G3465" s="983" t="s">
        <v>1106</v>
      </c>
    </row>
    <row r="3466" spans="1:9" x14ac:dyDescent="0.2">
      <c r="A3466" s="997">
        <f t="shared" si="54"/>
        <v>3465</v>
      </c>
      <c r="B3466" s="983" t="s">
        <v>2712</v>
      </c>
      <c r="C3466" s="999"/>
      <c r="H3466" s="983" t="s">
        <v>1107</v>
      </c>
    </row>
    <row r="3467" spans="1:9" x14ac:dyDescent="0.2">
      <c r="A3467" s="997">
        <f t="shared" si="54"/>
        <v>3466</v>
      </c>
      <c r="B3467" s="983" t="s">
        <v>2712</v>
      </c>
      <c r="C3467" s="999"/>
      <c r="I3467" s="983" t="s">
        <v>1650</v>
      </c>
    </row>
    <row r="3468" spans="1:9" x14ac:dyDescent="0.2">
      <c r="A3468" s="997">
        <f t="shared" si="54"/>
        <v>3467</v>
      </c>
      <c r="B3468" s="983" t="s">
        <v>2712</v>
      </c>
      <c r="C3468" s="1000"/>
      <c r="H3468" s="983" t="s">
        <v>1108</v>
      </c>
    </row>
    <row r="3469" spans="1:9" x14ac:dyDescent="0.2">
      <c r="A3469" s="997">
        <f t="shared" si="54"/>
        <v>3468</v>
      </c>
      <c r="B3469" s="983" t="s">
        <v>2712</v>
      </c>
      <c r="C3469" s="1001"/>
      <c r="H3469" s="983" t="str">
        <f>CONCATENATE("&lt;valeur&gt;",Cellule_851,"&lt;/valeur&gt;")</f>
        <v>&lt;valeur&gt;&lt;/valeur&gt;</v>
      </c>
    </row>
    <row r="3470" spans="1:9" x14ac:dyDescent="0.2">
      <c r="A3470" s="997">
        <f t="shared" si="54"/>
        <v>3469</v>
      </c>
      <c r="B3470" s="983" t="s">
        <v>2712</v>
      </c>
      <c r="C3470" s="1000"/>
      <c r="G3470" s="983" t="s">
        <v>1109</v>
      </c>
    </row>
    <row r="3471" spans="1:9" x14ac:dyDescent="0.2">
      <c r="A3471" s="997">
        <f t="shared" si="54"/>
        <v>3470</v>
      </c>
      <c r="B3471" s="983" t="s">
        <v>2712</v>
      </c>
      <c r="C3471" s="1000"/>
      <c r="G3471" s="983" t="s">
        <v>1106</v>
      </c>
    </row>
    <row r="3472" spans="1:9" x14ac:dyDescent="0.2">
      <c r="A3472" s="997">
        <f t="shared" si="54"/>
        <v>3471</v>
      </c>
      <c r="B3472" s="983" t="s">
        <v>2712</v>
      </c>
      <c r="C3472" s="999"/>
      <c r="H3472" s="983" t="s">
        <v>1107</v>
      </c>
    </row>
    <row r="3473" spans="1:9" x14ac:dyDescent="0.2">
      <c r="A3473" s="997">
        <f t="shared" si="54"/>
        <v>3472</v>
      </c>
      <c r="B3473" s="983" t="s">
        <v>2712</v>
      </c>
      <c r="C3473" s="999"/>
      <c r="I3473" s="983" t="s">
        <v>1651</v>
      </c>
    </row>
    <row r="3474" spans="1:9" x14ac:dyDescent="0.2">
      <c r="A3474" s="997">
        <f t="shared" si="54"/>
        <v>3473</v>
      </c>
      <c r="B3474" s="983" t="s">
        <v>2712</v>
      </c>
      <c r="C3474" s="1000"/>
      <c r="H3474" s="983" t="s">
        <v>1108</v>
      </c>
    </row>
    <row r="3475" spans="1:9" x14ac:dyDescent="0.2">
      <c r="A3475" s="997">
        <f t="shared" si="54"/>
        <v>3474</v>
      </c>
      <c r="B3475" s="983" t="s">
        <v>2712</v>
      </c>
      <c r="C3475" s="1001"/>
      <c r="H3475" s="983" t="str">
        <f>CONCATENATE("&lt;valeur&gt;",Cellule_852,"&lt;/valeur&gt;")</f>
        <v>&lt;valeur&gt;&lt;/valeur&gt;</v>
      </c>
    </row>
    <row r="3476" spans="1:9" x14ac:dyDescent="0.2">
      <c r="A3476" s="997">
        <f t="shared" si="54"/>
        <v>3475</v>
      </c>
      <c r="B3476" s="983" t="s">
        <v>2712</v>
      </c>
      <c r="C3476" s="1000"/>
      <c r="G3476" s="983" t="s">
        <v>1109</v>
      </c>
    </row>
    <row r="3477" spans="1:9" x14ac:dyDescent="0.2">
      <c r="A3477" s="997">
        <f t="shared" si="54"/>
        <v>3476</v>
      </c>
      <c r="B3477" s="983" t="s">
        <v>2712</v>
      </c>
      <c r="C3477" s="1000"/>
      <c r="G3477" s="983" t="s">
        <v>1106</v>
      </c>
    </row>
    <row r="3478" spans="1:9" x14ac:dyDescent="0.2">
      <c r="A3478" s="997">
        <f t="shared" si="54"/>
        <v>3477</v>
      </c>
      <c r="B3478" s="983" t="s">
        <v>2712</v>
      </c>
      <c r="C3478" s="999"/>
      <c r="H3478" s="983" t="s">
        <v>1107</v>
      </c>
    </row>
    <row r="3479" spans="1:9" x14ac:dyDescent="0.2">
      <c r="A3479" s="997">
        <f t="shared" si="54"/>
        <v>3478</v>
      </c>
      <c r="B3479" s="983" t="s">
        <v>2712</v>
      </c>
      <c r="C3479" s="999"/>
      <c r="I3479" s="983" t="s">
        <v>1652</v>
      </c>
    </row>
    <row r="3480" spans="1:9" x14ac:dyDescent="0.2">
      <c r="A3480" s="997">
        <f t="shared" si="54"/>
        <v>3479</v>
      </c>
      <c r="B3480" s="983" t="s">
        <v>2712</v>
      </c>
      <c r="C3480" s="1000"/>
      <c r="H3480" s="983" t="s">
        <v>1108</v>
      </c>
    </row>
    <row r="3481" spans="1:9" x14ac:dyDescent="0.2">
      <c r="A3481" s="997">
        <f t="shared" si="54"/>
        <v>3480</v>
      </c>
      <c r="B3481" s="983" t="s">
        <v>2712</v>
      </c>
      <c r="C3481" s="1001"/>
      <c r="H3481" s="983" t="str">
        <f>CONCATENATE("&lt;valeur&gt;",Cellule_6872,"&lt;/valeur&gt;")</f>
        <v>&lt;valeur&gt;23836,44&lt;/valeur&gt;</v>
      </c>
    </row>
    <row r="3482" spans="1:9" x14ac:dyDescent="0.2">
      <c r="A3482" s="997">
        <f t="shared" si="54"/>
        <v>3481</v>
      </c>
      <c r="B3482" s="983" t="s">
        <v>2712</v>
      </c>
      <c r="C3482" s="1000"/>
      <c r="G3482" s="983" t="s">
        <v>1109</v>
      </c>
    </row>
    <row r="3483" spans="1:9" x14ac:dyDescent="0.2">
      <c r="A3483" s="997">
        <f t="shared" si="54"/>
        <v>3482</v>
      </c>
      <c r="B3483" s="983" t="s">
        <v>2712</v>
      </c>
      <c r="C3483" s="1000"/>
      <c r="G3483" s="983" t="s">
        <v>1106</v>
      </c>
    </row>
    <row r="3484" spans="1:9" x14ac:dyDescent="0.2">
      <c r="A3484" s="997">
        <f t="shared" si="54"/>
        <v>3483</v>
      </c>
      <c r="B3484" s="983" t="s">
        <v>2712</v>
      </c>
      <c r="C3484" s="999"/>
      <c r="H3484" s="983" t="s">
        <v>1107</v>
      </c>
    </row>
    <row r="3485" spans="1:9" x14ac:dyDescent="0.2">
      <c r="A3485" s="997">
        <f t="shared" si="54"/>
        <v>3484</v>
      </c>
      <c r="B3485" s="983" t="s">
        <v>2712</v>
      </c>
      <c r="C3485" s="999"/>
      <c r="I3485" s="983" t="s">
        <v>1653</v>
      </c>
    </row>
    <row r="3486" spans="1:9" x14ac:dyDescent="0.2">
      <c r="A3486" s="997">
        <f t="shared" si="54"/>
        <v>3485</v>
      </c>
      <c r="B3486" s="983" t="s">
        <v>2712</v>
      </c>
      <c r="C3486" s="1000"/>
      <c r="H3486" s="983" t="s">
        <v>1108</v>
      </c>
    </row>
    <row r="3487" spans="1:9" x14ac:dyDescent="0.2">
      <c r="A3487" s="997">
        <f t="shared" si="54"/>
        <v>3486</v>
      </c>
      <c r="B3487" s="983" t="s">
        <v>2712</v>
      </c>
      <c r="C3487" s="1001"/>
      <c r="H3487" s="983" t="str">
        <f>CONCATENATE("&lt;valeur&gt;",Cellule_6873,"&lt;/valeur&gt;")</f>
        <v>&lt;valeur&gt;&lt;/valeur&gt;</v>
      </c>
    </row>
    <row r="3488" spans="1:9" x14ac:dyDescent="0.2">
      <c r="A3488" s="997">
        <f t="shared" si="54"/>
        <v>3487</v>
      </c>
      <c r="B3488" s="983" t="s">
        <v>2712</v>
      </c>
      <c r="C3488" s="1000"/>
      <c r="G3488" s="983" t="s">
        <v>1109</v>
      </c>
    </row>
    <row r="3489" spans="1:9" x14ac:dyDescent="0.2">
      <c r="A3489" s="997">
        <f t="shared" si="54"/>
        <v>3488</v>
      </c>
      <c r="B3489" s="983" t="s">
        <v>2712</v>
      </c>
      <c r="C3489" s="1000"/>
      <c r="G3489" s="983" t="s">
        <v>1106</v>
      </c>
    </row>
    <row r="3490" spans="1:9" x14ac:dyDescent="0.2">
      <c r="A3490" s="997">
        <f t="shared" si="54"/>
        <v>3489</v>
      </c>
      <c r="B3490" s="983" t="s">
        <v>2712</v>
      </c>
      <c r="C3490" s="999"/>
      <c r="H3490" s="983" t="s">
        <v>1107</v>
      </c>
    </row>
    <row r="3491" spans="1:9" x14ac:dyDescent="0.2">
      <c r="A3491" s="997">
        <f t="shared" si="54"/>
        <v>3490</v>
      </c>
      <c r="B3491" s="983" t="s">
        <v>2712</v>
      </c>
      <c r="C3491" s="999"/>
      <c r="I3491" s="983" t="s">
        <v>1654</v>
      </c>
    </row>
    <row r="3492" spans="1:9" x14ac:dyDescent="0.2">
      <c r="A3492" s="997">
        <f t="shared" si="54"/>
        <v>3491</v>
      </c>
      <c r="B3492" s="983" t="s">
        <v>2712</v>
      </c>
      <c r="C3492" s="1000"/>
      <c r="H3492" s="983" t="s">
        <v>1108</v>
      </c>
    </row>
    <row r="3493" spans="1:9" x14ac:dyDescent="0.2">
      <c r="A3493" s="997">
        <f t="shared" si="54"/>
        <v>3492</v>
      </c>
      <c r="B3493" s="983" t="s">
        <v>2712</v>
      </c>
      <c r="C3493" s="1001"/>
      <c r="H3493" s="983" t="str">
        <f>CONCATENATE("&lt;valeur&gt;",Cellule_6874,"&lt;/valeur&gt;")</f>
        <v>&lt;valeur&gt;&lt;/valeur&gt;</v>
      </c>
    </row>
    <row r="3494" spans="1:9" x14ac:dyDescent="0.2">
      <c r="A3494" s="997">
        <f t="shared" si="54"/>
        <v>3493</v>
      </c>
      <c r="B3494" s="983" t="s">
        <v>2712</v>
      </c>
      <c r="C3494" s="1000"/>
      <c r="G3494" s="983" t="s">
        <v>1109</v>
      </c>
    </row>
    <row r="3495" spans="1:9" x14ac:dyDescent="0.2">
      <c r="A3495" s="997">
        <f t="shared" si="54"/>
        <v>3494</v>
      </c>
      <c r="B3495" s="983" t="s">
        <v>2712</v>
      </c>
      <c r="C3495" s="1000"/>
      <c r="G3495" s="983" t="s">
        <v>1106</v>
      </c>
    </row>
    <row r="3496" spans="1:9" x14ac:dyDescent="0.2">
      <c r="A3496" s="997">
        <f t="shared" si="54"/>
        <v>3495</v>
      </c>
      <c r="B3496" s="983" t="s">
        <v>2712</v>
      </c>
      <c r="C3496" s="999"/>
      <c r="H3496" s="983" t="s">
        <v>1107</v>
      </c>
    </row>
    <row r="3497" spans="1:9" x14ac:dyDescent="0.2">
      <c r="A3497" s="997">
        <f t="shared" si="54"/>
        <v>3496</v>
      </c>
      <c r="B3497" s="983" t="s">
        <v>2712</v>
      </c>
      <c r="C3497" s="999"/>
      <c r="I3497" s="983" t="s">
        <v>1655</v>
      </c>
    </row>
    <row r="3498" spans="1:9" x14ac:dyDescent="0.2">
      <c r="A3498" s="997">
        <f t="shared" si="54"/>
        <v>3497</v>
      </c>
      <c r="B3498" s="983" t="s">
        <v>2712</v>
      </c>
      <c r="C3498" s="1000"/>
      <c r="H3498" s="983" t="s">
        <v>1108</v>
      </c>
    </row>
    <row r="3499" spans="1:9" x14ac:dyDescent="0.2">
      <c r="A3499" s="997">
        <f t="shared" si="54"/>
        <v>3498</v>
      </c>
      <c r="B3499" s="983" t="s">
        <v>2712</v>
      </c>
      <c r="C3499" s="1001"/>
      <c r="H3499" s="983" t="str">
        <f>CONCATENATE("&lt;valeur&gt;",Cellule_6875,"&lt;/valeur&gt;")</f>
        <v>&lt;valeur&gt;&lt;/valeur&gt;</v>
      </c>
    </row>
    <row r="3500" spans="1:9" x14ac:dyDescent="0.2">
      <c r="A3500" s="997">
        <f t="shared" si="54"/>
        <v>3499</v>
      </c>
      <c r="B3500" s="983" t="s">
        <v>2712</v>
      </c>
      <c r="C3500" s="1000"/>
      <c r="G3500" s="983" t="s">
        <v>1109</v>
      </c>
    </row>
    <row r="3501" spans="1:9" x14ac:dyDescent="0.2">
      <c r="A3501" s="997">
        <f t="shared" si="54"/>
        <v>3500</v>
      </c>
      <c r="B3501" s="983" t="s">
        <v>2712</v>
      </c>
      <c r="C3501" s="1000"/>
      <c r="G3501" s="983" t="s">
        <v>1106</v>
      </c>
    </row>
    <row r="3502" spans="1:9" x14ac:dyDescent="0.2">
      <c r="A3502" s="997">
        <f t="shared" si="54"/>
        <v>3501</v>
      </c>
      <c r="B3502" s="983" t="s">
        <v>2712</v>
      </c>
      <c r="C3502" s="999"/>
      <c r="H3502" s="983" t="s">
        <v>1107</v>
      </c>
    </row>
    <row r="3503" spans="1:9" x14ac:dyDescent="0.2">
      <c r="A3503" s="997">
        <f t="shared" si="54"/>
        <v>3502</v>
      </c>
      <c r="B3503" s="983" t="s">
        <v>2712</v>
      </c>
      <c r="C3503" s="999"/>
      <c r="I3503" s="983" t="s">
        <v>1656</v>
      </c>
    </row>
    <row r="3504" spans="1:9" x14ac:dyDescent="0.2">
      <c r="A3504" s="997">
        <f t="shared" si="54"/>
        <v>3503</v>
      </c>
      <c r="B3504" s="983" t="s">
        <v>2712</v>
      </c>
      <c r="C3504" s="1000"/>
      <c r="H3504" s="983" t="s">
        <v>1108</v>
      </c>
    </row>
    <row r="3505" spans="1:9" x14ac:dyDescent="0.2">
      <c r="A3505" s="997">
        <f t="shared" si="54"/>
        <v>3504</v>
      </c>
      <c r="B3505" s="983" t="s">
        <v>2712</v>
      </c>
      <c r="C3505" s="1001"/>
      <c r="H3505" s="983" t="str">
        <f>CONCATENATE("&lt;valeur&gt;",Cellule_854,"&lt;/valeur&gt;")</f>
        <v>&lt;valeur&gt;&lt;/valeur&gt;</v>
      </c>
    </row>
    <row r="3506" spans="1:9" x14ac:dyDescent="0.2">
      <c r="A3506" s="997">
        <f t="shared" si="54"/>
        <v>3505</v>
      </c>
      <c r="B3506" s="983" t="s">
        <v>2712</v>
      </c>
      <c r="C3506" s="1000"/>
      <c r="G3506" s="983" t="s">
        <v>1109</v>
      </c>
    </row>
    <row r="3507" spans="1:9" x14ac:dyDescent="0.2">
      <c r="A3507" s="997">
        <f t="shared" si="54"/>
        <v>3506</v>
      </c>
      <c r="B3507" s="983" t="s">
        <v>2712</v>
      </c>
      <c r="C3507" s="1000"/>
      <c r="G3507" s="983" t="s">
        <v>1106</v>
      </c>
    </row>
    <row r="3508" spans="1:9" x14ac:dyDescent="0.2">
      <c r="A3508" s="997">
        <f t="shared" si="54"/>
        <v>3507</v>
      </c>
      <c r="B3508" s="983" t="s">
        <v>2712</v>
      </c>
      <c r="C3508" s="999"/>
      <c r="H3508" s="983" t="s">
        <v>1107</v>
      </c>
    </row>
    <row r="3509" spans="1:9" x14ac:dyDescent="0.2">
      <c r="A3509" s="997">
        <f t="shared" si="54"/>
        <v>3508</v>
      </c>
      <c r="B3509" s="983" t="s">
        <v>2712</v>
      </c>
      <c r="C3509" s="999"/>
      <c r="I3509" s="983" t="s">
        <v>1657</v>
      </c>
    </row>
    <row r="3510" spans="1:9" x14ac:dyDescent="0.2">
      <c r="A3510" s="997">
        <f t="shared" si="54"/>
        <v>3509</v>
      </c>
      <c r="B3510" s="983" t="s">
        <v>2712</v>
      </c>
      <c r="C3510" s="1000"/>
      <c r="H3510" s="983" t="s">
        <v>1108</v>
      </c>
    </row>
    <row r="3511" spans="1:9" x14ac:dyDescent="0.2">
      <c r="A3511" s="997">
        <f t="shared" si="54"/>
        <v>3510</v>
      </c>
      <c r="B3511" s="983" t="s">
        <v>2712</v>
      </c>
      <c r="C3511" s="1001"/>
      <c r="H3511" s="983" t="str">
        <f>CONCATENATE("&lt;valeur&gt;",Cellule_855,"&lt;/valeur&gt;")</f>
        <v>&lt;valeur&gt;&lt;/valeur&gt;</v>
      </c>
    </row>
    <row r="3512" spans="1:9" x14ac:dyDescent="0.2">
      <c r="A3512" s="997">
        <f t="shared" si="54"/>
        <v>3511</v>
      </c>
      <c r="B3512" s="983" t="s">
        <v>2712</v>
      </c>
      <c r="C3512" s="1000"/>
      <c r="G3512" s="983" t="s">
        <v>1109</v>
      </c>
    </row>
    <row r="3513" spans="1:9" x14ac:dyDescent="0.2">
      <c r="A3513" s="997">
        <f t="shared" si="54"/>
        <v>3512</v>
      </c>
      <c r="B3513" s="983" t="s">
        <v>2712</v>
      </c>
      <c r="C3513" s="1000"/>
      <c r="G3513" s="983" t="s">
        <v>1106</v>
      </c>
    </row>
    <row r="3514" spans="1:9" x14ac:dyDescent="0.2">
      <c r="A3514" s="997">
        <f t="shared" si="54"/>
        <v>3513</v>
      </c>
      <c r="B3514" s="983" t="s">
        <v>2712</v>
      </c>
      <c r="C3514" s="999"/>
      <c r="H3514" s="983" t="s">
        <v>1107</v>
      </c>
    </row>
    <row r="3515" spans="1:9" x14ac:dyDescent="0.2">
      <c r="A3515" s="997">
        <f t="shared" si="54"/>
        <v>3514</v>
      </c>
      <c r="B3515" s="983" t="s">
        <v>2712</v>
      </c>
      <c r="C3515" s="999"/>
      <c r="I3515" s="983" t="s">
        <v>1658</v>
      </c>
    </row>
    <row r="3516" spans="1:9" x14ac:dyDescent="0.2">
      <c r="A3516" s="997">
        <f t="shared" si="54"/>
        <v>3515</v>
      </c>
      <c r="B3516" s="983" t="s">
        <v>2712</v>
      </c>
      <c r="C3516" s="1000"/>
      <c r="H3516" s="983" t="s">
        <v>1108</v>
      </c>
    </row>
    <row r="3517" spans="1:9" x14ac:dyDescent="0.2">
      <c r="A3517" s="997">
        <f t="shared" si="54"/>
        <v>3516</v>
      </c>
      <c r="B3517" s="983" t="s">
        <v>2712</v>
      </c>
      <c r="C3517" s="1001"/>
      <c r="H3517" s="983" t="str">
        <f>CONCATENATE("&lt;valeur&gt;",Cellule_860,"&lt;/valeur&gt;")</f>
        <v>&lt;valeur&gt;0&lt;/valeur&gt;</v>
      </c>
    </row>
    <row r="3518" spans="1:9" x14ac:dyDescent="0.2">
      <c r="A3518" s="997">
        <f t="shared" si="54"/>
        <v>3517</v>
      </c>
      <c r="B3518" s="983" t="s">
        <v>2712</v>
      </c>
      <c r="C3518" s="1000"/>
      <c r="G3518" s="983" t="s">
        <v>1109</v>
      </c>
    </row>
    <row r="3519" spans="1:9" x14ac:dyDescent="0.2">
      <c r="A3519" s="997">
        <f t="shared" si="54"/>
        <v>3518</v>
      </c>
      <c r="B3519" s="983" t="s">
        <v>2712</v>
      </c>
      <c r="C3519" s="1000"/>
      <c r="G3519" s="983" t="s">
        <v>1106</v>
      </c>
    </row>
    <row r="3520" spans="1:9" x14ac:dyDescent="0.2">
      <c r="A3520" s="997">
        <f t="shared" si="54"/>
        <v>3519</v>
      </c>
      <c r="B3520" s="983" t="s">
        <v>2712</v>
      </c>
      <c r="C3520" s="999"/>
      <c r="H3520" s="983" t="s">
        <v>1107</v>
      </c>
    </row>
    <row r="3521" spans="1:9" x14ac:dyDescent="0.2">
      <c r="A3521" s="997">
        <f t="shared" si="54"/>
        <v>3520</v>
      </c>
      <c r="B3521" s="983" t="s">
        <v>2712</v>
      </c>
      <c r="C3521" s="999"/>
      <c r="I3521" s="983" t="s">
        <v>1659</v>
      </c>
    </row>
    <row r="3522" spans="1:9" x14ac:dyDescent="0.2">
      <c r="A3522" s="997">
        <f t="shared" si="54"/>
        <v>3521</v>
      </c>
      <c r="B3522" s="983" t="s">
        <v>2712</v>
      </c>
      <c r="C3522" s="1000"/>
      <c r="H3522" s="983" t="s">
        <v>1108</v>
      </c>
    </row>
    <row r="3523" spans="1:9" x14ac:dyDescent="0.2">
      <c r="A3523" s="997">
        <f t="shared" si="54"/>
        <v>3522</v>
      </c>
      <c r="B3523" s="983" t="s">
        <v>2712</v>
      </c>
      <c r="C3523" s="1001"/>
      <c r="H3523" s="983" t="str">
        <f>CONCATENATE("&lt;valeur&gt;",Cellule_861,"&lt;/valeur&gt;")</f>
        <v>&lt;valeur&gt;0&lt;/valeur&gt;</v>
      </c>
    </row>
    <row r="3524" spans="1:9" x14ac:dyDescent="0.2">
      <c r="A3524" s="997">
        <f t="shared" ref="A3524:A3587" si="55">+A3523+1</f>
        <v>3523</v>
      </c>
      <c r="B3524" s="983" t="s">
        <v>2712</v>
      </c>
      <c r="C3524" s="1000"/>
      <c r="G3524" s="983" t="s">
        <v>1109</v>
      </c>
    </row>
    <row r="3525" spans="1:9" x14ac:dyDescent="0.2">
      <c r="A3525" s="997">
        <f t="shared" si="55"/>
        <v>3524</v>
      </c>
      <c r="B3525" s="983" t="s">
        <v>2712</v>
      </c>
      <c r="C3525" s="1000"/>
      <c r="G3525" s="983" t="s">
        <v>1106</v>
      </c>
    </row>
    <row r="3526" spans="1:9" x14ac:dyDescent="0.2">
      <c r="A3526" s="997">
        <f t="shared" si="55"/>
        <v>3525</v>
      </c>
      <c r="B3526" s="983" t="s">
        <v>2712</v>
      </c>
      <c r="C3526" s="999"/>
      <c r="H3526" s="983" t="s">
        <v>1107</v>
      </c>
    </row>
    <row r="3527" spans="1:9" x14ac:dyDescent="0.2">
      <c r="A3527" s="997">
        <f t="shared" si="55"/>
        <v>3526</v>
      </c>
      <c r="B3527" s="983" t="s">
        <v>2712</v>
      </c>
      <c r="C3527" s="999"/>
      <c r="I3527" s="983" t="s">
        <v>1660</v>
      </c>
    </row>
    <row r="3528" spans="1:9" x14ac:dyDescent="0.2">
      <c r="A3528" s="997">
        <f t="shared" si="55"/>
        <v>3527</v>
      </c>
      <c r="B3528" s="983" t="s">
        <v>2712</v>
      </c>
      <c r="C3528" s="1000"/>
      <c r="H3528" s="983" t="s">
        <v>1108</v>
      </c>
    </row>
    <row r="3529" spans="1:9" x14ac:dyDescent="0.2">
      <c r="A3529" s="997">
        <f t="shared" si="55"/>
        <v>3528</v>
      </c>
      <c r="B3529" s="983" t="s">
        <v>2712</v>
      </c>
      <c r="C3529" s="1001"/>
      <c r="H3529" s="983" t="e">
        <f>CONCATENATE("&lt;valeur&gt;",Cellule_862,"&lt;/valeur&gt;")</f>
        <v>#REF!</v>
      </c>
    </row>
    <row r="3530" spans="1:9" x14ac:dyDescent="0.2">
      <c r="A3530" s="997">
        <f t="shared" si="55"/>
        <v>3529</v>
      </c>
      <c r="B3530" s="983" t="s">
        <v>2712</v>
      </c>
      <c r="C3530" s="1000"/>
      <c r="G3530" s="983" t="s">
        <v>1109</v>
      </c>
    </row>
    <row r="3531" spans="1:9" x14ac:dyDescent="0.2">
      <c r="A3531" s="997">
        <f t="shared" si="55"/>
        <v>3530</v>
      </c>
      <c r="B3531" s="983" t="s">
        <v>2712</v>
      </c>
      <c r="C3531" s="1000"/>
      <c r="G3531" s="983" t="s">
        <v>1106</v>
      </c>
    </row>
    <row r="3532" spans="1:9" x14ac:dyDescent="0.2">
      <c r="A3532" s="997">
        <f t="shared" si="55"/>
        <v>3531</v>
      </c>
      <c r="B3532" s="983" t="s">
        <v>2712</v>
      </c>
      <c r="C3532" s="999"/>
      <c r="H3532" s="983" t="s">
        <v>1107</v>
      </c>
    </row>
    <row r="3533" spans="1:9" x14ac:dyDescent="0.2">
      <c r="A3533" s="997">
        <f t="shared" si="55"/>
        <v>3532</v>
      </c>
      <c r="B3533" s="983" t="s">
        <v>2712</v>
      </c>
      <c r="C3533" s="999"/>
      <c r="I3533" s="983" t="s">
        <v>1661</v>
      </c>
    </row>
    <row r="3534" spans="1:9" x14ac:dyDescent="0.2">
      <c r="A3534" s="997">
        <f t="shared" si="55"/>
        <v>3533</v>
      </c>
      <c r="B3534" s="983" t="s">
        <v>2712</v>
      </c>
      <c r="C3534" s="1000"/>
      <c r="H3534" s="983" t="s">
        <v>1108</v>
      </c>
    </row>
    <row r="3535" spans="1:9" x14ac:dyDescent="0.2">
      <c r="A3535" s="997">
        <f t="shared" si="55"/>
        <v>3534</v>
      </c>
      <c r="B3535" s="983" t="s">
        <v>2712</v>
      </c>
      <c r="C3535" s="1001"/>
      <c r="H3535" s="983" t="str">
        <f>CONCATENATE("&lt;valeur&gt;",Cellule_863,"&lt;/valeur&gt;")</f>
        <v>&lt;valeur&gt;18918,67&lt;/valeur&gt;</v>
      </c>
    </row>
    <row r="3536" spans="1:9" x14ac:dyDescent="0.2">
      <c r="A3536" s="997">
        <f t="shared" si="55"/>
        <v>3535</v>
      </c>
      <c r="B3536" s="983" t="s">
        <v>2712</v>
      </c>
      <c r="C3536" s="1000"/>
      <c r="G3536" s="983" t="s">
        <v>1109</v>
      </c>
    </row>
    <row r="3537" spans="1:9" x14ac:dyDescent="0.2">
      <c r="A3537" s="997">
        <f t="shared" si="55"/>
        <v>3536</v>
      </c>
      <c r="B3537" s="983" t="s">
        <v>2712</v>
      </c>
      <c r="C3537" s="1000"/>
      <c r="G3537" s="983" t="s">
        <v>1106</v>
      </c>
    </row>
    <row r="3538" spans="1:9" x14ac:dyDescent="0.2">
      <c r="A3538" s="997">
        <f t="shared" si="55"/>
        <v>3537</v>
      </c>
      <c r="B3538" s="983" t="s">
        <v>2712</v>
      </c>
      <c r="C3538" s="999"/>
      <c r="H3538" s="983" t="s">
        <v>1107</v>
      </c>
    </row>
    <row r="3539" spans="1:9" x14ac:dyDescent="0.2">
      <c r="A3539" s="997">
        <f t="shared" si="55"/>
        <v>3538</v>
      </c>
      <c r="B3539" s="983" t="s">
        <v>2712</v>
      </c>
      <c r="C3539" s="999"/>
      <c r="I3539" s="983" t="s">
        <v>1662</v>
      </c>
    </row>
    <row r="3540" spans="1:9" x14ac:dyDescent="0.2">
      <c r="A3540" s="997">
        <f t="shared" si="55"/>
        <v>3539</v>
      </c>
      <c r="B3540" s="983" t="s">
        <v>2712</v>
      </c>
      <c r="C3540" s="1000"/>
      <c r="H3540" s="983" t="s">
        <v>1108</v>
      </c>
    </row>
    <row r="3541" spans="1:9" x14ac:dyDescent="0.2">
      <c r="A3541" s="997">
        <f t="shared" si="55"/>
        <v>3540</v>
      </c>
      <c r="B3541" s="983" t="s">
        <v>2712</v>
      </c>
      <c r="C3541" s="1001"/>
      <c r="H3541" s="983" t="str">
        <f>CONCATENATE("&lt;valeur&gt;",Cellule_864,"&lt;/valeur&gt;")</f>
        <v>&lt;valeur&gt;&lt;/valeur&gt;</v>
      </c>
    </row>
    <row r="3542" spans="1:9" x14ac:dyDescent="0.2">
      <c r="A3542" s="997">
        <f t="shared" si="55"/>
        <v>3541</v>
      </c>
      <c r="B3542" s="983" t="s">
        <v>2712</v>
      </c>
      <c r="C3542" s="1000"/>
      <c r="G3542" s="983" t="s">
        <v>1109</v>
      </c>
    </row>
    <row r="3543" spans="1:9" x14ac:dyDescent="0.2">
      <c r="A3543" s="997">
        <f t="shared" si="55"/>
        <v>3542</v>
      </c>
      <c r="B3543" s="983" t="s">
        <v>2712</v>
      </c>
      <c r="C3543" s="1000"/>
      <c r="G3543" s="983" t="s">
        <v>1106</v>
      </c>
    </row>
    <row r="3544" spans="1:9" x14ac:dyDescent="0.2">
      <c r="A3544" s="997">
        <f t="shared" si="55"/>
        <v>3543</v>
      </c>
      <c r="B3544" s="983" t="s">
        <v>2712</v>
      </c>
      <c r="C3544" s="999"/>
      <c r="H3544" s="983" t="s">
        <v>1107</v>
      </c>
    </row>
    <row r="3545" spans="1:9" x14ac:dyDescent="0.2">
      <c r="A3545" s="997">
        <f t="shared" si="55"/>
        <v>3544</v>
      </c>
      <c r="B3545" s="983" t="s">
        <v>2712</v>
      </c>
      <c r="C3545" s="999"/>
      <c r="I3545" s="983" t="s">
        <v>1663</v>
      </c>
    </row>
    <row r="3546" spans="1:9" x14ac:dyDescent="0.2">
      <c r="A3546" s="997">
        <f t="shared" si="55"/>
        <v>3545</v>
      </c>
      <c r="B3546" s="983" t="s">
        <v>2712</v>
      </c>
      <c r="C3546" s="1000"/>
      <c r="H3546" s="983" t="s">
        <v>1108</v>
      </c>
    </row>
    <row r="3547" spans="1:9" x14ac:dyDescent="0.2">
      <c r="A3547" s="997">
        <f t="shared" si="55"/>
        <v>3546</v>
      </c>
      <c r="B3547" s="983" t="s">
        <v>2712</v>
      </c>
      <c r="C3547" s="1001"/>
      <c r="H3547" s="983" t="str">
        <f>CONCATENATE("&lt;valeur&gt;",Cellule_865,"&lt;/valeur&gt;")</f>
        <v>&lt;valeur&gt;&lt;/valeur&gt;</v>
      </c>
    </row>
    <row r="3548" spans="1:9" x14ac:dyDescent="0.2">
      <c r="A3548" s="997">
        <f t="shared" si="55"/>
        <v>3547</v>
      </c>
      <c r="B3548" s="983" t="s">
        <v>2712</v>
      </c>
      <c r="C3548" s="1000"/>
      <c r="G3548" s="983" t="s">
        <v>1109</v>
      </c>
    </row>
    <row r="3549" spans="1:9" x14ac:dyDescent="0.2">
      <c r="A3549" s="997">
        <f t="shared" si="55"/>
        <v>3548</v>
      </c>
      <c r="B3549" s="983" t="s">
        <v>2712</v>
      </c>
      <c r="C3549" s="1000"/>
      <c r="G3549" s="983" t="s">
        <v>1106</v>
      </c>
    </row>
    <row r="3550" spans="1:9" x14ac:dyDescent="0.2">
      <c r="A3550" s="997">
        <f t="shared" si="55"/>
        <v>3549</v>
      </c>
      <c r="B3550" s="983" t="s">
        <v>2712</v>
      </c>
      <c r="C3550" s="999"/>
      <c r="H3550" s="983" t="s">
        <v>1107</v>
      </c>
    </row>
    <row r="3551" spans="1:9" x14ac:dyDescent="0.2">
      <c r="A3551" s="997">
        <f t="shared" si="55"/>
        <v>3550</v>
      </c>
      <c r="B3551" s="983" t="s">
        <v>2712</v>
      </c>
      <c r="C3551" s="999"/>
      <c r="I3551" s="983" t="s">
        <v>1664</v>
      </c>
    </row>
    <row r="3552" spans="1:9" x14ac:dyDescent="0.2">
      <c r="A3552" s="997">
        <f t="shared" si="55"/>
        <v>3551</v>
      </c>
      <c r="B3552" s="983" t="s">
        <v>2712</v>
      </c>
      <c r="C3552" s="1000"/>
      <c r="H3552" s="983" t="s">
        <v>1108</v>
      </c>
    </row>
    <row r="3553" spans="1:9" x14ac:dyDescent="0.2">
      <c r="A3553" s="997">
        <f t="shared" si="55"/>
        <v>3552</v>
      </c>
      <c r="B3553" s="983" t="s">
        <v>2712</v>
      </c>
      <c r="C3553" s="1001"/>
      <c r="H3553" s="983" t="str">
        <f>CONCATENATE("&lt;valeur&gt;",Cellule_866,"&lt;/valeur&gt;")</f>
        <v>&lt;valeur&gt;&lt;/valeur&gt;</v>
      </c>
    </row>
    <row r="3554" spans="1:9" x14ac:dyDescent="0.2">
      <c r="A3554" s="997">
        <f t="shared" si="55"/>
        <v>3553</v>
      </c>
      <c r="B3554" s="983" t="s">
        <v>2712</v>
      </c>
      <c r="C3554" s="1000"/>
      <c r="G3554" s="983" t="s">
        <v>1109</v>
      </c>
    </row>
    <row r="3555" spans="1:9" x14ac:dyDescent="0.2">
      <c r="A3555" s="997">
        <f t="shared" si="55"/>
        <v>3554</v>
      </c>
      <c r="B3555" s="983" t="s">
        <v>2712</v>
      </c>
      <c r="C3555" s="1000"/>
      <c r="G3555" s="983" t="s">
        <v>1106</v>
      </c>
    </row>
    <row r="3556" spans="1:9" x14ac:dyDescent="0.2">
      <c r="A3556" s="997">
        <f t="shared" si="55"/>
        <v>3555</v>
      </c>
      <c r="B3556" s="983" t="s">
        <v>2712</v>
      </c>
      <c r="C3556" s="999"/>
      <c r="H3556" s="983" t="s">
        <v>1107</v>
      </c>
    </row>
    <row r="3557" spans="1:9" x14ac:dyDescent="0.2">
      <c r="A3557" s="997">
        <f t="shared" si="55"/>
        <v>3556</v>
      </c>
      <c r="B3557" s="983" t="s">
        <v>2712</v>
      </c>
      <c r="C3557" s="999"/>
      <c r="I3557" s="983" t="s">
        <v>1665</v>
      </c>
    </row>
    <row r="3558" spans="1:9" x14ac:dyDescent="0.2">
      <c r="A3558" s="997">
        <f t="shared" si="55"/>
        <v>3557</v>
      </c>
      <c r="B3558" s="983" t="s">
        <v>2712</v>
      </c>
      <c r="C3558" s="1000"/>
      <c r="H3558" s="983" t="s">
        <v>1108</v>
      </c>
    </row>
    <row r="3559" spans="1:9" x14ac:dyDescent="0.2">
      <c r="A3559" s="997">
        <f t="shared" si="55"/>
        <v>3558</v>
      </c>
      <c r="B3559" s="983" t="s">
        <v>2712</v>
      </c>
      <c r="C3559" s="1001"/>
      <c r="H3559" s="983" t="str">
        <f>CONCATENATE("&lt;valeur&gt;",Cellule_867,"&lt;/valeur&gt;")</f>
        <v>&lt;valeur&gt;&lt;/valeur&gt;</v>
      </c>
    </row>
    <row r="3560" spans="1:9" x14ac:dyDescent="0.2">
      <c r="A3560" s="997">
        <f t="shared" si="55"/>
        <v>3559</v>
      </c>
      <c r="B3560" s="983" t="s">
        <v>2712</v>
      </c>
      <c r="C3560" s="1000"/>
      <c r="G3560" s="983" t="s">
        <v>1109</v>
      </c>
    </row>
    <row r="3561" spans="1:9" x14ac:dyDescent="0.2">
      <c r="A3561" s="997">
        <f t="shared" si="55"/>
        <v>3560</v>
      </c>
      <c r="B3561" s="983" t="s">
        <v>2712</v>
      </c>
      <c r="C3561" s="1000"/>
      <c r="F3561" s="983" t="s">
        <v>1110</v>
      </c>
    </row>
    <row r="3562" spans="1:9" x14ac:dyDescent="0.2">
      <c r="A3562" s="997">
        <f t="shared" si="55"/>
        <v>3561</v>
      </c>
      <c r="B3562" s="983" t="s">
        <v>2712</v>
      </c>
      <c r="C3562" s="999"/>
      <c r="F3562" s="983" t="s">
        <v>1111</v>
      </c>
    </row>
    <row r="3563" spans="1:9" x14ac:dyDescent="0.2">
      <c r="A3563" s="997">
        <f t="shared" si="55"/>
        <v>3562</v>
      </c>
      <c r="B3563" s="983" t="s">
        <v>2712</v>
      </c>
      <c r="C3563" s="1000"/>
      <c r="F3563" s="983" t="s">
        <v>1112</v>
      </c>
    </row>
    <row r="3564" spans="1:9" x14ac:dyDescent="0.2">
      <c r="A3564" s="997">
        <f t="shared" si="55"/>
        <v>3563</v>
      </c>
      <c r="B3564" s="983" t="s">
        <v>2712</v>
      </c>
      <c r="C3564" s="1001"/>
      <c r="E3564" s="983" t="s">
        <v>1113</v>
      </c>
    </row>
    <row r="3565" spans="1:9" x14ac:dyDescent="0.2">
      <c r="A3565" s="997">
        <f t="shared" si="55"/>
        <v>3564</v>
      </c>
      <c r="B3565" s="983" t="s">
        <v>2713</v>
      </c>
      <c r="C3565" s="1000"/>
      <c r="E3565" s="983" t="s">
        <v>1104</v>
      </c>
    </row>
    <row r="3566" spans="1:9" x14ac:dyDescent="0.2">
      <c r="A3566" s="997">
        <f t="shared" si="55"/>
        <v>3565</v>
      </c>
      <c r="B3566" s="983" t="s">
        <v>2713</v>
      </c>
      <c r="C3566" s="1000"/>
      <c r="F3566" s="983" t="s">
        <v>1666</v>
      </c>
    </row>
    <row r="3567" spans="1:9" x14ac:dyDescent="0.2">
      <c r="A3567" s="997">
        <f t="shared" si="55"/>
        <v>3566</v>
      </c>
      <c r="B3567" s="983" t="s">
        <v>2713</v>
      </c>
      <c r="C3567" s="999"/>
      <c r="F3567" s="983" t="s">
        <v>1105</v>
      </c>
    </row>
    <row r="3568" spans="1:9" x14ac:dyDescent="0.2">
      <c r="A3568" s="997">
        <f t="shared" si="55"/>
        <v>3567</v>
      </c>
      <c r="B3568" s="983" t="s">
        <v>2713</v>
      </c>
      <c r="C3568" s="999"/>
      <c r="G3568" s="983" t="s">
        <v>1106</v>
      </c>
    </row>
    <row r="3569" spans="1:9" x14ac:dyDescent="0.2">
      <c r="A3569" s="997">
        <f t="shared" si="55"/>
        <v>3568</v>
      </c>
      <c r="B3569" s="983" t="s">
        <v>2713</v>
      </c>
      <c r="C3569" s="1000"/>
      <c r="H3569" s="983" t="s">
        <v>1107</v>
      </c>
    </row>
    <row r="3570" spans="1:9" x14ac:dyDescent="0.2">
      <c r="A3570" s="997">
        <f t="shared" si="55"/>
        <v>3569</v>
      </c>
      <c r="B3570" s="983" t="s">
        <v>2713</v>
      </c>
      <c r="C3570" s="1001"/>
      <c r="I3570" s="983" t="s">
        <v>1667</v>
      </c>
    </row>
    <row r="3571" spans="1:9" x14ac:dyDescent="0.2">
      <c r="A3571" s="997">
        <f t="shared" si="55"/>
        <v>3570</v>
      </c>
      <c r="B3571" s="983" t="s">
        <v>2713</v>
      </c>
      <c r="C3571" s="1000"/>
      <c r="H3571" s="983" t="s">
        <v>1108</v>
      </c>
    </row>
    <row r="3572" spans="1:9" x14ac:dyDescent="0.2">
      <c r="A3572" s="997">
        <f t="shared" si="55"/>
        <v>3571</v>
      </c>
      <c r="B3572" s="983" t="s">
        <v>2713</v>
      </c>
      <c r="C3572" s="1000"/>
      <c r="H3572" s="983" t="str">
        <f>CONCATENATE("&lt;valeur&gt;",Cellule_966,"&lt;/valeur&gt;")</f>
        <v>&lt;valeur&gt;5000&lt;/valeur&gt;</v>
      </c>
    </row>
    <row r="3573" spans="1:9" x14ac:dyDescent="0.2">
      <c r="A3573" s="997">
        <f t="shared" si="55"/>
        <v>3572</v>
      </c>
      <c r="B3573" s="983" t="s">
        <v>2713</v>
      </c>
      <c r="C3573" s="999"/>
      <c r="G3573" s="983" t="s">
        <v>1109</v>
      </c>
    </row>
    <row r="3574" spans="1:9" x14ac:dyDescent="0.2">
      <c r="A3574" s="997">
        <f t="shared" si="55"/>
        <v>3573</v>
      </c>
      <c r="B3574" s="983" t="s">
        <v>2713</v>
      </c>
      <c r="C3574" s="999"/>
      <c r="G3574" s="983" t="s">
        <v>1106</v>
      </c>
    </row>
    <row r="3575" spans="1:9" x14ac:dyDescent="0.2">
      <c r="A3575" s="997">
        <f t="shared" si="55"/>
        <v>3574</v>
      </c>
      <c r="B3575" s="983" t="s">
        <v>2713</v>
      </c>
      <c r="C3575" s="1000"/>
      <c r="H3575" s="983" t="s">
        <v>1107</v>
      </c>
    </row>
    <row r="3576" spans="1:9" x14ac:dyDescent="0.2">
      <c r="A3576" s="997">
        <f t="shared" si="55"/>
        <v>3575</v>
      </c>
      <c r="B3576" s="983" t="s">
        <v>2713</v>
      </c>
      <c r="C3576" s="1001"/>
      <c r="I3576" s="983" t="s">
        <v>1668</v>
      </c>
    </row>
    <row r="3577" spans="1:9" x14ac:dyDescent="0.2">
      <c r="A3577" s="997">
        <f t="shared" si="55"/>
        <v>3576</v>
      </c>
      <c r="B3577" s="983" t="s">
        <v>2713</v>
      </c>
      <c r="C3577" s="1000"/>
      <c r="H3577" s="983" t="s">
        <v>1108</v>
      </c>
    </row>
    <row r="3578" spans="1:9" x14ac:dyDescent="0.2">
      <c r="A3578" s="997">
        <f t="shared" si="55"/>
        <v>3577</v>
      </c>
      <c r="B3578" s="983" t="s">
        <v>2713</v>
      </c>
      <c r="C3578" s="1000"/>
      <c r="H3578" s="983" t="str">
        <f>CONCATENATE("&lt;valeur&gt;",Cellule_967,"&lt;/valeur&gt;")</f>
        <v>&lt;valeur&gt;0&lt;/valeur&gt;</v>
      </c>
    </row>
    <row r="3579" spans="1:9" x14ac:dyDescent="0.2">
      <c r="A3579" s="997">
        <f t="shared" si="55"/>
        <v>3578</v>
      </c>
      <c r="B3579" s="983" t="s">
        <v>2713</v>
      </c>
      <c r="C3579" s="999"/>
      <c r="G3579" s="983" t="s">
        <v>1109</v>
      </c>
    </row>
    <row r="3580" spans="1:9" x14ac:dyDescent="0.2">
      <c r="A3580" s="997">
        <f t="shared" si="55"/>
        <v>3579</v>
      </c>
      <c r="B3580" s="983" t="s">
        <v>2713</v>
      </c>
      <c r="C3580" s="999"/>
      <c r="G3580" s="983" t="s">
        <v>1106</v>
      </c>
    </row>
    <row r="3581" spans="1:9" x14ac:dyDescent="0.2">
      <c r="A3581" s="997">
        <f t="shared" si="55"/>
        <v>3580</v>
      </c>
      <c r="B3581" s="983" t="s">
        <v>2713</v>
      </c>
      <c r="C3581" s="1000"/>
      <c r="H3581" s="983" t="s">
        <v>1107</v>
      </c>
    </row>
    <row r="3582" spans="1:9" x14ac:dyDescent="0.2">
      <c r="A3582" s="997">
        <f t="shared" si="55"/>
        <v>3581</v>
      </c>
      <c r="B3582" s="983" t="s">
        <v>2713</v>
      </c>
      <c r="C3582" s="1001"/>
      <c r="I3582" s="983" t="s">
        <v>1669</v>
      </c>
    </row>
    <row r="3583" spans="1:9" x14ac:dyDescent="0.2">
      <c r="A3583" s="997">
        <f t="shared" si="55"/>
        <v>3582</v>
      </c>
      <c r="B3583" s="983" t="s">
        <v>2713</v>
      </c>
      <c r="C3583" s="1000"/>
      <c r="H3583" s="983" t="s">
        <v>1108</v>
      </c>
    </row>
    <row r="3584" spans="1:9" x14ac:dyDescent="0.2">
      <c r="A3584" s="997">
        <f t="shared" si="55"/>
        <v>3583</v>
      </c>
      <c r="B3584" s="983" t="s">
        <v>2713</v>
      </c>
      <c r="C3584" s="1000"/>
      <c r="H3584" s="983" t="str">
        <f>CONCATENATE("&lt;valeur&gt;",Cellule_968,"&lt;/valeur&gt;")</f>
        <v>&lt;valeur&gt;0&lt;/valeur&gt;</v>
      </c>
    </row>
    <row r="3585" spans="1:9" x14ac:dyDescent="0.2">
      <c r="A3585" s="997">
        <f t="shared" si="55"/>
        <v>3584</v>
      </c>
      <c r="B3585" s="983" t="s">
        <v>2713</v>
      </c>
      <c r="C3585" s="999"/>
      <c r="G3585" s="983" t="s">
        <v>1109</v>
      </c>
    </row>
    <row r="3586" spans="1:9" x14ac:dyDescent="0.2">
      <c r="A3586" s="997">
        <f t="shared" si="55"/>
        <v>3585</v>
      </c>
      <c r="B3586" s="983" t="s">
        <v>2713</v>
      </c>
      <c r="C3586" s="999"/>
      <c r="G3586" s="983" t="s">
        <v>1106</v>
      </c>
    </row>
    <row r="3587" spans="1:9" x14ac:dyDescent="0.2">
      <c r="A3587" s="997">
        <f t="shared" si="55"/>
        <v>3586</v>
      </c>
      <c r="B3587" s="983" t="s">
        <v>2713</v>
      </c>
      <c r="C3587" s="1000"/>
      <c r="H3587" s="983" t="s">
        <v>1107</v>
      </c>
    </row>
    <row r="3588" spans="1:9" x14ac:dyDescent="0.2">
      <c r="A3588" s="997">
        <f t="shared" ref="A3588:A3651" si="56">+A3587+1</f>
        <v>3587</v>
      </c>
      <c r="B3588" s="983" t="s">
        <v>2713</v>
      </c>
      <c r="C3588" s="1001"/>
      <c r="I3588" s="983" t="s">
        <v>1670</v>
      </c>
    </row>
    <row r="3589" spans="1:9" x14ac:dyDescent="0.2">
      <c r="A3589" s="997">
        <f t="shared" si="56"/>
        <v>3588</v>
      </c>
      <c r="B3589" s="983" t="s">
        <v>2713</v>
      </c>
      <c r="C3589" s="1000"/>
      <c r="H3589" s="983" t="s">
        <v>1108</v>
      </c>
    </row>
    <row r="3590" spans="1:9" x14ac:dyDescent="0.2">
      <c r="A3590" s="997">
        <f t="shared" si="56"/>
        <v>3589</v>
      </c>
      <c r="B3590" s="983" t="s">
        <v>2713</v>
      </c>
      <c r="C3590" s="1000"/>
      <c r="H3590" s="983" t="str">
        <f>CONCATENATE("&lt;valeur&gt;",Cellule_10064,"&lt;/valeur&gt;")</f>
        <v>&lt;valeur&gt;5000&lt;/valeur&gt;</v>
      </c>
    </row>
    <row r="3591" spans="1:9" x14ac:dyDescent="0.2">
      <c r="A3591" s="997">
        <f t="shared" si="56"/>
        <v>3590</v>
      </c>
      <c r="B3591" s="983" t="s">
        <v>2713</v>
      </c>
      <c r="C3591" s="999"/>
      <c r="G3591" s="983" t="s">
        <v>1109</v>
      </c>
    </row>
    <row r="3592" spans="1:9" x14ac:dyDescent="0.2">
      <c r="A3592" s="997">
        <f t="shared" si="56"/>
        <v>3591</v>
      </c>
      <c r="B3592" s="983" t="s">
        <v>2713</v>
      </c>
      <c r="C3592" s="998"/>
      <c r="G3592" s="983" t="s">
        <v>1106</v>
      </c>
    </row>
    <row r="3593" spans="1:9" x14ac:dyDescent="0.2">
      <c r="A3593" s="997">
        <f t="shared" si="56"/>
        <v>3592</v>
      </c>
      <c r="B3593" s="983" t="s">
        <v>2713</v>
      </c>
      <c r="C3593" s="998"/>
      <c r="H3593" s="983" t="s">
        <v>1107</v>
      </c>
    </row>
    <row r="3594" spans="1:9" x14ac:dyDescent="0.2">
      <c r="A3594" s="997">
        <f t="shared" si="56"/>
        <v>3593</v>
      </c>
      <c r="B3594" s="983" t="s">
        <v>2713</v>
      </c>
      <c r="C3594" s="995"/>
      <c r="I3594" s="983" t="s">
        <v>1671</v>
      </c>
    </row>
    <row r="3595" spans="1:9" x14ac:dyDescent="0.2">
      <c r="A3595" s="997">
        <f t="shared" si="56"/>
        <v>3594</v>
      </c>
      <c r="B3595" s="983" t="s">
        <v>2713</v>
      </c>
      <c r="C3595" s="995"/>
      <c r="H3595" s="983" t="s">
        <v>1108</v>
      </c>
    </row>
    <row r="3596" spans="1:9" x14ac:dyDescent="0.2">
      <c r="A3596" s="997">
        <f t="shared" si="56"/>
        <v>3595</v>
      </c>
      <c r="B3596" s="983" t="s">
        <v>2713</v>
      </c>
      <c r="C3596" s="998"/>
      <c r="H3596" s="983" t="str">
        <f>CONCATENATE("&lt;valeur&gt;",Cellule_980,"&lt;/valeur&gt;")</f>
        <v>&lt;valeur&gt;0&lt;/valeur&gt;</v>
      </c>
    </row>
    <row r="3597" spans="1:9" x14ac:dyDescent="0.2">
      <c r="A3597" s="997">
        <f t="shared" si="56"/>
        <v>3596</v>
      </c>
      <c r="B3597" s="983" t="s">
        <v>2713</v>
      </c>
      <c r="C3597" s="999"/>
      <c r="G3597" s="983" t="s">
        <v>1109</v>
      </c>
    </row>
    <row r="3598" spans="1:9" x14ac:dyDescent="0.2">
      <c r="A3598" s="997">
        <f t="shared" si="56"/>
        <v>3597</v>
      </c>
      <c r="B3598" s="983" t="s">
        <v>2713</v>
      </c>
      <c r="C3598" s="998"/>
      <c r="G3598" s="983" t="s">
        <v>1106</v>
      </c>
    </row>
    <row r="3599" spans="1:9" x14ac:dyDescent="0.2">
      <c r="A3599" s="997">
        <f t="shared" si="56"/>
        <v>3598</v>
      </c>
      <c r="B3599" s="983" t="s">
        <v>2713</v>
      </c>
      <c r="C3599" s="998"/>
      <c r="H3599" s="983" t="s">
        <v>1107</v>
      </c>
    </row>
    <row r="3600" spans="1:9" x14ac:dyDescent="0.2">
      <c r="A3600" s="997">
        <f t="shared" si="56"/>
        <v>3599</v>
      </c>
      <c r="B3600" s="983" t="s">
        <v>2713</v>
      </c>
      <c r="C3600" s="999"/>
      <c r="I3600" s="983" t="s">
        <v>1672</v>
      </c>
    </row>
    <row r="3601" spans="1:9" x14ac:dyDescent="0.2">
      <c r="A3601" s="997">
        <f t="shared" si="56"/>
        <v>3600</v>
      </c>
      <c r="B3601" s="983" t="s">
        <v>2713</v>
      </c>
      <c r="C3601" s="1000"/>
      <c r="H3601" s="983" t="s">
        <v>1108</v>
      </c>
    </row>
    <row r="3602" spans="1:9" x14ac:dyDescent="0.2">
      <c r="A3602" s="997">
        <f t="shared" si="56"/>
        <v>3601</v>
      </c>
      <c r="B3602" s="983" t="s">
        <v>2713</v>
      </c>
      <c r="C3602" s="1001"/>
      <c r="H3602" s="983" t="str">
        <f>CONCATENATE("&lt;valeur&gt;",Cellule_981,"&lt;/valeur&gt;")</f>
        <v>&lt;valeur&gt;0&lt;/valeur&gt;</v>
      </c>
    </row>
    <row r="3603" spans="1:9" x14ac:dyDescent="0.2">
      <c r="A3603" s="997">
        <f t="shared" si="56"/>
        <v>3602</v>
      </c>
      <c r="B3603" s="983" t="s">
        <v>2713</v>
      </c>
      <c r="C3603" s="1000"/>
      <c r="G3603" s="983" t="s">
        <v>1109</v>
      </c>
    </row>
    <row r="3604" spans="1:9" x14ac:dyDescent="0.2">
      <c r="A3604" s="997">
        <f t="shared" si="56"/>
        <v>3603</v>
      </c>
      <c r="B3604" s="983" t="s">
        <v>2713</v>
      </c>
      <c r="C3604" s="1000"/>
      <c r="G3604" s="983" t="s">
        <v>1106</v>
      </c>
    </row>
    <row r="3605" spans="1:9" x14ac:dyDescent="0.2">
      <c r="A3605" s="997">
        <f t="shared" si="56"/>
        <v>3604</v>
      </c>
      <c r="B3605" s="983" t="s">
        <v>2713</v>
      </c>
      <c r="C3605" s="999"/>
      <c r="H3605" s="983" t="s">
        <v>1107</v>
      </c>
    </row>
    <row r="3606" spans="1:9" x14ac:dyDescent="0.2">
      <c r="A3606" s="997">
        <f t="shared" si="56"/>
        <v>3605</v>
      </c>
      <c r="B3606" s="983" t="s">
        <v>2713</v>
      </c>
      <c r="C3606" s="999"/>
      <c r="I3606" s="983" t="s">
        <v>1673</v>
      </c>
    </row>
    <row r="3607" spans="1:9" x14ac:dyDescent="0.2">
      <c r="A3607" s="997">
        <f t="shared" si="56"/>
        <v>3606</v>
      </c>
      <c r="B3607" s="983" t="s">
        <v>2713</v>
      </c>
      <c r="C3607" s="1000"/>
      <c r="H3607" s="983" t="s">
        <v>1108</v>
      </c>
    </row>
    <row r="3608" spans="1:9" x14ac:dyDescent="0.2">
      <c r="A3608" s="997">
        <f t="shared" si="56"/>
        <v>3607</v>
      </c>
      <c r="B3608" s="983" t="s">
        <v>2713</v>
      </c>
      <c r="C3608" s="1001"/>
      <c r="H3608" s="983" t="str">
        <f>CONCATENATE("&lt;valeur&gt;",Cellule_982,"&lt;/valeur&gt;")</f>
        <v>&lt;valeur&gt;0&lt;/valeur&gt;</v>
      </c>
    </row>
    <row r="3609" spans="1:9" x14ac:dyDescent="0.2">
      <c r="A3609" s="997">
        <f t="shared" si="56"/>
        <v>3608</v>
      </c>
      <c r="B3609" s="983" t="s">
        <v>2713</v>
      </c>
      <c r="C3609" s="1000"/>
      <c r="G3609" s="983" t="s">
        <v>1109</v>
      </c>
    </row>
    <row r="3610" spans="1:9" x14ac:dyDescent="0.2">
      <c r="A3610" s="997">
        <f t="shared" si="56"/>
        <v>3609</v>
      </c>
      <c r="B3610" s="983" t="s">
        <v>2713</v>
      </c>
      <c r="C3610" s="1000"/>
      <c r="G3610" s="983" t="s">
        <v>1106</v>
      </c>
    </row>
    <row r="3611" spans="1:9" x14ac:dyDescent="0.2">
      <c r="A3611" s="997">
        <f t="shared" si="56"/>
        <v>3610</v>
      </c>
      <c r="B3611" s="983" t="s">
        <v>2713</v>
      </c>
      <c r="C3611" s="999"/>
      <c r="H3611" s="983" t="s">
        <v>1107</v>
      </c>
    </row>
    <row r="3612" spans="1:9" x14ac:dyDescent="0.2">
      <c r="A3612" s="997">
        <f t="shared" si="56"/>
        <v>3611</v>
      </c>
      <c r="B3612" s="983" t="s">
        <v>2713</v>
      </c>
      <c r="C3612" s="999"/>
      <c r="I3612" s="983" t="s">
        <v>1674</v>
      </c>
    </row>
    <row r="3613" spans="1:9" x14ac:dyDescent="0.2">
      <c r="A3613" s="997">
        <f t="shared" si="56"/>
        <v>3612</v>
      </c>
      <c r="B3613" s="983" t="s">
        <v>2713</v>
      </c>
      <c r="C3613" s="1000"/>
      <c r="H3613" s="983" t="s">
        <v>1108</v>
      </c>
    </row>
    <row r="3614" spans="1:9" x14ac:dyDescent="0.2">
      <c r="A3614" s="997">
        <f t="shared" si="56"/>
        <v>3613</v>
      </c>
      <c r="B3614" s="983" t="s">
        <v>2713</v>
      </c>
      <c r="C3614" s="1001"/>
      <c r="H3614" s="983" t="str">
        <f>CONCATENATE("&lt;valeur&gt;",Cellule_10065,"&lt;/valeur&gt;")</f>
        <v>&lt;valeur&gt;0&lt;/valeur&gt;</v>
      </c>
    </row>
    <row r="3615" spans="1:9" x14ac:dyDescent="0.2">
      <c r="A3615" s="997">
        <f t="shared" si="56"/>
        <v>3614</v>
      </c>
      <c r="B3615" s="983" t="s">
        <v>2713</v>
      </c>
      <c r="C3615" s="1000"/>
      <c r="G3615" s="983" t="s">
        <v>1109</v>
      </c>
    </row>
    <row r="3616" spans="1:9" x14ac:dyDescent="0.2">
      <c r="A3616" s="997">
        <f t="shared" si="56"/>
        <v>3615</v>
      </c>
      <c r="B3616" s="983" t="s">
        <v>2713</v>
      </c>
      <c r="C3616" s="1000"/>
      <c r="G3616" s="983" t="s">
        <v>1106</v>
      </c>
    </row>
    <row r="3617" spans="1:9" x14ac:dyDescent="0.2">
      <c r="A3617" s="997">
        <f t="shared" si="56"/>
        <v>3616</v>
      </c>
      <c r="B3617" s="983" t="s">
        <v>2713</v>
      </c>
      <c r="C3617" s="999"/>
      <c r="H3617" s="983" t="s">
        <v>1107</v>
      </c>
    </row>
    <row r="3618" spans="1:9" x14ac:dyDescent="0.2">
      <c r="A3618" s="997">
        <f t="shared" si="56"/>
        <v>3617</v>
      </c>
      <c r="B3618" s="983" t="s">
        <v>2713</v>
      </c>
      <c r="C3618" s="999"/>
      <c r="I3618" s="983" t="s">
        <v>1675</v>
      </c>
    </row>
    <row r="3619" spans="1:9" x14ac:dyDescent="0.2">
      <c r="A3619" s="997">
        <f t="shared" si="56"/>
        <v>3618</v>
      </c>
      <c r="B3619" s="983" t="s">
        <v>2713</v>
      </c>
      <c r="C3619" s="1000"/>
      <c r="H3619" s="983" t="s">
        <v>1108</v>
      </c>
    </row>
    <row r="3620" spans="1:9" x14ac:dyDescent="0.2">
      <c r="A3620" s="997">
        <f t="shared" si="56"/>
        <v>3619</v>
      </c>
      <c r="B3620" s="983" t="s">
        <v>2713</v>
      </c>
      <c r="C3620" s="1001"/>
      <c r="H3620" s="983" t="str">
        <f>CONCATENATE("&lt;valeur&gt;",Cellule_994,"&lt;/valeur&gt;")</f>
        <v>&lt;valeur&gt;0&lt;/valeur&gt;</v>
      </c>
    </row>
    <row r="3621" spans="1:9" x14ac:dyDescent="0.2">
      <c r="A3621" s="997">
        <f t="shared" si="56"/>
        <v>3620</v>
      </c>
      <c r="B3621" s="983" t="s">
        <v>2713</v>
      </c>
      <c r="C3621" s="1000"/>
      <c r="G3621" s="983" t="s">
        <v>1109</v>
      </c>
    </row>
    <row r="3622" spans="1:9" x14ac:dyDescent="0.2">
      <c r="A3622" s="997">
        <f t="shared" si="56"/>
        <v>3621</v>
      </c>
      <c r="B3622" s="983" t="s">
        <v>2713</v>
      </c>
      <c r="C3622" s="1000"/>
      <c r="G3622" s="983" t="s">
        <v>1106</v>
      </c>
    </row>
    <row r="3623" spans="1:9" x14ac:dyDescent="0.2">
      <c r="A3623" s="997">
        <f t="shared" si="56"/>
        <v>3622</v>
      </c>
      <c r="B3623" s="983" t="s">
        <v>2713</v>
      </c>
      <c r="C3623" s="999"/>
      <c r="H3623" s="983" t="s">
        <v>1107</v>
      </c>
    </row>
    <row r="3624" spans="1:9" x14ac:dyDescent="0.2">
      <c r="A3624" s="997">
        <f t="shared" si="56"/>
        <v>3623</v>
      </c>
      <c r="B3624" s="983" t="s">
        <v>2713</v>
      </c>
      <c r="C3624" s="999"/>
      <c r="I3624" s="983" t="s">
        <v>1676</v>
      </c>
    </row>
    <row r="3625" spans="1:9" x14ac:dyDescent="0.2">
      <c r="A3625" s="997">
        <f t="shared" si="56"/>
        <v>3624</v>
      </c>
      <c r="B3625" s="983" t="s">
        <v>2713</v>
      </c>
      <c r="C3625" s="1000"/>
      <c r="H3625" s="983" t="s">
        <v>1108</v>
      </c>
    </row>
    <row r="3626" spans="1:9" x14ac:dyDescent="0.2">
      <c r="A3626" s="997">
        <f t="shared" si="56"/>
        <v>3625</v>
      </c>
      <c r="B3626" s="983" t="s">
        <v>2713</v>
      </c>
      <c r="C3626" s="1001"/>
      <c r="H3626" s="983" t="str">
        <f>CONCATENATE("&lt;valeur&gt;",Cellule_995,"&lt;/valeur&gt;")</f>
        <v>&lt;valeur&gt;0&lt;/valeur&gt;</v>
      </c>
    </row>
    <row r="3627" spans="1:9" x14ac:dyDescent="0.2">
      <c r="A3627" s="997">
        <f t="shared" si="56"/>
        <v>3626</v>
      </c>
      <c r="B3627" s="983" t="s">
        <v>2713</v>
      </c>
      <c r="C3627" s="1000"/>
      <c r="G3627" s="983" t="s">
        <v>1109</v>
      </c>
    </row>
    <row r="3628" spans="1:9" x14ac:dyDescent="0.2">
      <c r="A3628" s="997">
        <f t="shared" si="56"/>
        <v>3627</v>
      </c>
      <c r="B3628" s="983" t="s">
        <v>2713</v>
      </c>
      <c r="C3628" s="1000"/>
      <c r="G3628" s="983" t="s">
        <v>1106</v>
      </c>
    </row>
    <row r="3629" spans="1:9" x14ac:dyDescent="0.2">
      <c r="A3629" s="997">
        <f t="shared" si="56"/>
        <v>3628</v>
      </c>
      <c r="B3629" s="983" t="s">
        <v>2713</v>
      </c>
      <c r="C3629" s="999"/>
      <c r="H3629" s="983" t="s">
        <v>1107</v>
      </c>
    </row>
    <row r="3630" spans="1:9" x14ac:dyDescent="0.2">
      <c r="A3630" s="997">
        <f t="shared" si="56"/>
        <v>3629</v>
      </c>
      <c r="B3630" s="983" t="s">
        <v>2713</v>
      </c>
      <c r="C3630" s="999"/>
      <c r="I3630" s="983" t="s">
        <v>1677</v>
      </c>
    </row>
    <row r="3631" spans="1:9" x14ac:dyDescent="0.2">
      <c r="A3631" s="997">
        <f t="shared" si="56"/>
        <v>3630</v>
      </c>
      <c r="B3631" s="983" t="s">
        <v>2713</v>
      </c>
      <c r="C3631" s="1000"/>
      <c r="H3631" s="983" t="s">
        <v>1108</v>
      </c>
    </row>
    <row r="3632" spans="1:9" x14ac:dyDescent="0.2">
      <c r="A3632" s="997">
        <f t="shared" si="56"/>
        <v>3631</v>
      </c>
      <c r="B3632" s="983" t="s">
        <v>2713</v>
      </c>
      <c r="C3632" s="1001"/>
      <c r="H3632" s="983" t="str">
        <f>CONCATENATE("&lt;valeur&gt;",Cellule_996,"&lt;/valeur&gt;")</f>
        <v>&lt;valeur&gt;0&lt;/valeur&gt;</v>
      </c>
    </row>
    <row r="3633" spans="1:9" x14ac:dyDescent="0.2">
      <c r="A3633" s="997">
        <f t="shared" si="56"/>
        <v>3632</v>
      </c>
      <c r="B3633" s="983" t="s">
        <v>2713</v>
      </c>
      <c r="C3633" s="1000"/>
      <c r="G3633" s="983" t="s">
        <v>1109</v>
      </c>
    </row>
    <row r="3634" spans="1:9" x14ac:dyDescent="0.2">
      <c r="A3634" s="997">
        <f t="shared" si="56"/>
        <v>3633</v>
      </c>
      <c r="B3634" s="983" t="s">
        <v>2713</v>
      </c>
      <c r="C3634" s="1000"/>
      <c r="G3634" s="983" t="s">
        <v>1106</v>
      </c>
    </row>
    <row r="3635" spans="1:9" x14ac:dyDescent="0.2">
      <c r="A3635" s="997">
        <f t="shared" si="56"/>
        <v>3634</v>
      </c>
      <c r="B3635" s="983" t="s">
        <v>2713</v>
      </c>
      <c r="C3635" s="999"/>
      <c r="H3635" s="983" t="s">
        <v>1107</v>
      </c>
    </row>
    <row r="3636" spans="1:9" x14ac:dyDescent="0.2">
      <c r="A3636" s="997">
        <f t="shared" si="56"/>
        <v>3635</v>
      </c>
      <c r="B3636" s="983" t="s">
        <v>2713</v>
      </c>
      <c r="C3636" s="999"/>
      <c r="I3636" s="983" t="s">
        <v>1678</v>
      </c>
    </row>
    <row r="3637" spans="1:9" x14ac:dyDescent="0.2">
      <c r="A3637" s="997">
        <f t="shared" si="56"/>
        <v>3636</v>
      </c>
      <c r="B3637" s="983" t="s">
        <v>2713</v>
      </c>
      <c r="C3637" s="1000"/>
      <c r="H3637" s="983" t="s">
        <v>1108</v>
      </c>
    </row>
    <row r="3638" spans="1:9" x14ac:dyDescent="0.2">
      <c r="A3638" s="997">
        <f t="shared" si="56"/>
        <v>3637</v>
      </c>
      <c r="B3638" s="983" t="s">
        <v>2713</v>
      </c>
      <c r="C3638" s="1001"/>
      <c r="H3638" s="983" t="str">
        <f>CONCATENATE("&lt;valeur&gt;",Cellule_10066,"&lt;/valeur&gt;")</f>
        <v>&lt;valeur&gt;0&lt;/valeur&gt;</v>
      </c>
    </row>
    <row r="3639" spans="1:9" x14ac:dyDescent="0.2">
      <c r="A3639" s="997">
        <f t="shared" si="56"/>
        <v>3638</v>
      </c>
      <c r="B3639" s="983" t="s">
        <v>2713</v>
      </c>
      <c r="C3639" s="1000"/>
      <c r="G3639" s="983" t="s">
        <v>1109</v>
      </c>
    </row>
    <row r="3640" spans="1:9" x14ac:dyDescent="0.2">
      <c r="A3640" s="997">
        <f t="shared" si="56"/>
        <v>3639</v>
      </c>
      <c r="B3640" s="983" t="s">
        <v>2713</v>
      </c>
      <c r="C3640" s="1000"/>
      <c r="G3640" s="983" t="s">
        <v>1106</v>
      </c>
    </row>
    <row r="3641" spans="1:9" x14ac:dyDescent="0.2">
      <c r="A3641" s="997">
        <f t="shared" si="56"/>
        <v>3640</v>
      </c>
      <c r="B3641" s="983" t="s">
        <v>2713</v>
      </c>
      <c r="C3641" s="999"/>
      <c r="H3641" s="983" t="s">
        <v>1107</v>
      </c>
    </row>
    <row r="3642" spans="1:9" x14ac:dyDescent="0.2">
      <c r="A3642" s="997">
        <f t="shared" si="56"/>
        <v>3641</v>
      </c>
      <c r="B3642" s="983" t="s">
        <v>2713</v>
      </c>
      <c r="C3642" s="999"/>
      <c r="I3642" s="983" t="s">
        <v>1679</v>
      </c>
    </row>
    <row r="3643" spans="1:9" x14ac:dyDescent="0.2">
      <c r="A3643" s="997">
        <f t="shared" si="56"/>
        <v>3642</v>
      </c>
      <c r="B3643" s="983" t="s">
        <v>2713</v>
      </c>
      <c r="C3643" s="1000"/>
      <c r="H3643" s="983" t="s">
        <v>1108</v>
      </c>
    </row>
    <row r="3644" spans="1:9" x14ac:dyDescent="0.2">
      <c r="A3644" s="997">
        <f t="shared" si="56"/>
        <v>3643</v>
      </c>
      <c r="B3644" s="983" t="s">
        <v>2713</v>
      </c>
      <c r="C3644" s="1001"/>
      <c r="H3644" s="983" t="str">
        <f>CONCATENATE("&lt;valeur&gt;",Cellule_1008,"&lt;/valeur&gt;")</f>
        <v>&lt;valeur&gt;0&lt;/valeur&gt;</v>
      </c>
    </row>
    <row r="3645" spans="1:9" x14ac:dyDescent="0.2">
      <c r="A3645" s="997">
        <f t="shared" si="56"/>
        <v>3644</v>
      </c>
      <c r="B3645" s="983" t="s">
        <v>2713</v>
      </c>
      <c r="C3645" s="1000"/>
      <c r="G3645" s="983" t="s">
        <v>1109</v>
      </c>
    </row>
    <row r="3646" spans="1:9" x14ac:dyDescent="0.2">
      <c r="A3646" s="997">
        <f t="shared" si="56"/>
        <v>3645</v>
      </c>
      <c r="B3646" s="983" t="s">
        <v>2713</v>
      </c>
      <c r="C3646" s="1000"/>
      <c r="G3646" s="983" t="s">
        <v>1106</v>
      </c>
    </row>
    <row r="3647" spans="1:9" x14ac:dyDescent="0.2">
      <c r="A3647" s="997">
        <f t="shared" si="56"/>
        <v>3646</v>
      </c>
      <c r="B3647" s="983" t="s">
        <v>2713</v>
      </c>
      <c r="C3647" s="999"/>
      <c r="H3647" s="983" t="s">
        <v>1107</v>
      </c>
    </row>
    <row r="3648" spans="1:9" x14ac:dyDescent="0.2">
      <c r="A3648" s="997">
        <f t="shared" si="56"/>
        <v>3647</v>
      </c>
      <c r="B3648" s="983" t="s">
        <v>2713</v>
      </c>
      <c r="C3648" s="999"/>
      <c r="I3648" s="983" t="s">
        <v>1680</v>
      </c>
    </row>
    <row r="3649" spans="1:9" x14ac:dyDescent="0.2">
      <c r="A3649" s="997">
        <f t="shared" si="56"/>
        <v>3648</v>
      </c>
      <c r="B3649" s="983" t="s">
        <v>2713</v>
      </c>
      <c r="C3649" s="1000"/>
      <c r="H3649" s="983" t="s">
        <v>1108</v>
      </c>
    </row>
    <row r="3650" spans="1:9" x14ac:dyDescent="0.2">
      <c r="A3650" s="997">
        <f t="shared" si="56"/>
        <v>3649</v>
      </c>
      <c r="B3650" s="983" t="s">
        <v>2713</v>
      </c>
      <c r="C3650" s="1001"/>
      <c r="H3650" s="983" t="str">
        <f>CONCATENATE("&lt;valeur&gt;",Cellule_1009,"&lt;/valeur&gt;")</f>
        <v>&lt;valeur&gt;0&lt;/valeur&gt;</v>
      </c>
    </row>
    <row r="3651" spans="1:9" x14ac:dyDescent="0.2">
      <c r="A3651" s="997">
        <f t="shared" si="56"/>
        <v>3650</v>
      </c>
      <c r="B3651" s="983" t="s">
        <v>2713</v>
      </c>
      <c r="C3651" s="1000"/>
      <c r="G3651" s="983" t="s">
        <v>1109</v>
      </c>
    </row>
    <row r="3652" spans="1:9" x14ac:dyDescent="0.2">
      <c r="A3652" s="997">
        <f t="shared" ref="A3652:A3715" si="57">+A3651+1</f>
        <v>3651</v>
      </c>
      <c r="B3652" s="983" t="s">
        <v>2713</v>
      </c>
      <c r="C3652" s="1000"/>
      <c r="G3652" s="983" t="s">
        <v>1106</v>
      </c>
    </row>
    <row r="3653" spans="1:9" x14ac:dyDescent="0.2">
      <c r="A3653" s="997">
        <f t="shared" si="57"/>
        <v>3652</v>
      </c>
      <c r="B3653" s="983" t="s">
        <v>2713</v>
      </c>
      <c r="C3653" s="999"/>
      <c r="H3653" s="983" t="s">
        <v>1107</v>
      </c>
    </row>
    <row r="3654" spans="1:9" x14ac:dyDescent="0.2">
      <c r="A3654" s="997">
        <f t="shared" si="57"/>
        <v>3653</v>
      </c>
      <c r="B3654" s="983" t="s">
        <v>2713</v>
      </c>
      <c r="C3654" s="999"/>
      <c r="I3654" s="983" t="s">
        <v>1681</v>
      </c>
    </row>
    <row r="3655" spans="1:9" x14ac:dyDescent="0.2">
      <c r="A3655" s="997">
        <f t="shared" si="57"/>
        <v>3654</v>
      </c>
      <c r="B3655" s="983" t="s">
        <v>2713</v>
      </c>
      <c r="C3655" s="1000"/>
      <c r="H3655" s="983" t="s">
        <v>1108</v>
      </c>
    </row>
    <row r="3656" spans="1:9" x14ac:dyDescent="0.2">
      <c r="A3656" s="997">
        <f t="shared" si="57"/>
        <v>3655</v>
      </c>
      <c r="B3656" s="983" t="s">
        <v>2713</v>
      </c>
      <c r="C3656" s="1001"/>
      <c r="H3656" s="983" t="str">
        <f>CONCATENATE("&lt;valeur&gt;",Cellule_1010,"&lt;/valeur&gt;")</f>
        <v>&lt;valeur&gt;0&lt;/valeur&gt;</v>
      </c>
    </row>
    <row r="3657" spans="1:9" x14ac:dyDescent="0.2">
      <c r="A3657" s="997">
        <f t="shared" si="57"/>
        <v>3656</v>
      </c>
      <c r="B3657" s="983" t="s">
        <v>2713</v>
      </c>
      <c r="C3657" s="1000"/>
      <c r="G3657" s="983" t="s">
        <v>1109</v>
      </c>
    </row>
    <row r="3658" spans="1:9" x14ac:dyDescent="0.2">
      <c r="A3658" s="997">
        <f t="shared" si="57"/>
        <v>3657</v>
      </c>
      <c r="B3658" s="983" t="s">
        <v>2713</v>
      </c>
      <c r="C3658" s="1000"/>
      <c r="G3658" s="983" t="s">
        <v>1106</v>
      </c>
    </row>
    <row r="3659" spans="1:9" x14ac:dyDescent="0.2">
      <c r="A3659" s="997">
        <f t="shared" si="57"/>
        <v>3658</v>
      </c>
      <c r="B3659" s="983" t="s">
        <v>2713</v>
      </c>
      <c r="C3659" s="999"/>
      <c r="H3659" s="983" t="s">
        <v>1107</v>
      </c>
    </row>
    <row r="3660" spans="1:9" x14ac:dyDescent="0.2">
      <c r="A3660" s="997">
        <f t="shared" si="57"/>
        <v>3659</v>
      </c>
      <c r="B3660" s="983" t="s">
        <v>2713</v>
      </c>
      <c r="C3660" s="999"/>
      <c r="I3660" s="983" t="s">
        <v>1682</v>
      </c>
    </row>
    <row r="3661" spans="1:9" x14ac:dyDescent="0.2">
      <c r="A3661" s="997">
        <f t="shared" si="57"/>
        <v>3660</v>
      </c>
      <c r="B3661" s="983" t="s">
        <v>2713</v>
      </c>
      <c r="C3661" s="1000"/>
      <c r="H3661" s="983" t="s">
        <v>1108</v>
      </c>
    </row>
    <row r="3662" spans="1:9" x14ac:dyDescent="0.2">
      <c r="A3662" s="997">
        <f t="shared" si="57"/>
        <v>3661</v>
      </c>
      <c r="B3662" s="983" t="s">
        <v>2713</v>
      </c>
      <c r="C3662" s="1001"/>
      <c r="H3662" s="983" t="str">
        <f>CONCATENATE("&lt;valeur&gt;",Cellule_10067,"&lt;/valeur&gt;")</f>
        <v>&lt;valeur&gt;0&lt;/valeur&gt;</v>
      </c>
    </row>
    <row r="3663" spans="1:9" x14ac:dyDescent="0.2">
      <c r="A3663" s="997">
        <f t="shared" si="57"/>
        <v>3662</v>
      </c>
      <c r="B3663" s="983" t="s">
        <v>2713</v>
      </c>
      <c r="C3663" s="1000"/>
      <c r="G3663" s="983" t="s">
        <v>1109</v>
      </c>
    </row>
    <row r="3664" spans="1:9" x14ac:dyDescent="0.2">
      <c r="A3664" s="997">
        <f t="shared" si="57"/>
        <v>3663</v>
      </c>
      <c r="B3664" s="983" t="s">
        <v>2713</v>
      </c>
      <c r="C3664" s="1000"/>
      <c r="G3664" s="983" t="s">
        <v>1106</v>
      </c>
    </row>
    <row r="3665" spans="1:9" x14ac:dyDescent="0.2">
      <c r="A3665" s="997">
        <f t="shared" si="57"/>
        <v>3664</v>
      </c>
      <c r="B3665" s="983" t="s">
        <v>2713</v>
      </c>
      <c r="C3665" s="999"/>
      <c r="H3665" s="983" t="s">
        <v>1107</v>
      </c>
    </row>
    <row r="3666" spans="1:9" x14ac:dyDescent="0.2">
      <c r="A3666" s="997">
        <f t="shared" si="57"/>
        <v>3665</v>
      </c>
      <c r="B3666" s="983" t="s">
        <v>2713</v>
      </c>
      <c r="C3666" s="999"/>
      <c r="I3666" s="983" t="s">
        <v>1683</v>
      </c>
    </row>
    <row r="3667" spans="1:9" x14ac:dyDescent="0.2">
      <c r="A3667" s="997">
        <f t="shared" si="57"/>
        <v>3666</v>
      </c>
      <c r="B3667" s="983" t="s">
        <v>2713</v>
      </c>
      <c r="C3667" s="1000"/>
      <c r="H3667" s="983" t="s">
        <v>1108</v>
      </c>
    </row>
    <row r="3668" spans="1:9" x14ac:dyDescent="0.2">
      <c r="A3668" s="997">
        <f t="shared" si="57"/>
        <v>3667</v>
      </c>
      <c r="B3668" s="983" t="s">
        <v>2713</v>
      </c>
      <c r="C3668" s="1001"/>
      <c r="H3668" s="983" t="str">
        <f>CONCATENATE("&lt;valeur&gt;",Cellule_1022,"&lt;/valeur&gt;")</f>
        <v>&lt;valeur&gt;0&lt;/valeur&gt;</v>
      </c>
    </row>
    <row r="3669" spans="1:9" x14ac:dyDescent="0.2">
      <c r="A3669" s="997">
        <f t="shared" si="57"/>
        <v>3668</v>
      </c>
      <c r="B3669" s="983" t="s">
        <v>2713</v>
      </c>
      <c r="C3669" s="1000"/>
      <c r="G3669" s="983" t="s">
        <v>1109</v>
      </c>
    </row>
    <row r="3670" spans="1:9" x14ac:dyDescent="0.2">
      <c r="A3670" s="997">
        <f t="shared" si="57"/>
        <v>3669</v>
      </c>
      <c r="B3670" s="983" t="s">
        <v>2713</v>
      </c>
      <c r="C3670" s="1000"/>
      <c r="G3670" s="983" t="s">
        <v>1106</v>
      </c>
    </row>
    <row r="3671" spans="1:9" x14ac:dyDescent="0.2">
      <c r="A3671" s="997">
        <f t="shared" si="57"/>
        <v>3670</v>
      </c>
      <c r="B3671" s="983" t="s">
        <v>2713</v>
      </c>
      <c r="C3671" s="999"/>
      <c r="H3671" s="983" t="s">
        <v>1107</v>
      </c>
    </row>
    <row r="3672" spans="1:9" x14ac:dyDescent="0.2">
      <c r="A3672" s="997">
        <f t="shared" si="57"/>
        <v>3671</v>
      </c>
      <c r="B3672" s="983" t="s">
        <v>2713</v>
      </c>
      <c r="C3672" s="999"/>
      <c r="I3672" s="983" t="s">
        <v>1684</v>
      </c>
    </row>
    <row r="3673" spans="1:9" x14ac:dyDescent="0.2">
      <c r="A3673" s="997">
        <f t="shared" si="57"/>
        <v>3672</v>
      </c>
      <c r="B3673" s="983" t="s">
        <v>2713</v>
      </c>
      <c r="C3673" s="1000"/>
      <c r="H3673" s="983" t="s">
        <v>1108</v>
      </c>
    </row>
    <row r="3674" spans="1:9" x14ac:dyDescent="0.2">
      <c r="A3674" s="997">
        <f t="shared" si="57"/>
        <v>3673</v>
      </c>
      <c r="B3674" s="983" t="s">
        <v>2713</v>
      </c>
      <c r="C3674" s="1001"/>
      <c r="H3674" s="983" t="str">
        <f>CONCATENATE("&lt;valeur&gt;",Cellule_1023,"&lt;/valeur&gt;")</f>
        <v>&lt;valeur&gt;0&lt;/valeur&gt;</v>
      </c>
    </row>
    <row r="3675" spans="1:9" x14ac:dyDescent="0.2">
      <c r="A3675" s="997">
        <f t="shared" si="57"/>
        <v>3674</v>
      </c>
      <c r="B3675" s="983" t="s">
        <v>2713</v>
      </c>
      <c r="C3675" s="1000"/>
      <c r="G3675" s="983" t="s">
        <v>1109</v>
      </c>
    </row>
    <row r="3676" spans="1:9" x14ac:dyDescent="0.2">
      <c r="A3676" s="997">
        <f t="shared" si="57"/>
        <v>3675</v>
      </c>
      <c r="B3676" s="983" t="s">
        <v>2713</v>
      </c>
      <c r="C3676" s="1000"/>
      <c r="G3676" s="983" t="s">
        <v>1106</v>
      </c>
    </row>
    <row r="3677" spans="1:9" x14ac:dyDescent="0.2">
      <c r="A3677" s="997">
        <f t="shared" si="57"/>
        <v>3676</v>
      </c>
      <c r="B3677" s="983" t="s">
        <v>2713</v>
      </c>
      <c r="C3677" s="999"/>
      <c r="H3677" s="983" t="s">
        <v>1107</v>
      </c>
    </row>
    <row r="3678" spans="1:9" x14ac:dyDescent="0.2">
      <c r="A3678" s="997">
        <f t="shared" si="57"/>
        <v>3677</v>
      </c>
      <c r="B3678" s="983" t="s">
        <v>2713</v>
      </c>
      <c r="C3678" s="999"/>
      <c r="I3678" s="983" t="s">
        <v>1685</v>
      </c>
    </row>
    <row r="3679" spans="1:9" x14ac:dyDescent="0.2">
      <c r="A3679" s="997">
        <f t="shared" si="57"/>
        <v>3678</v>
      </c>
      <c r="B3679" s="983" t="s">
        <v>2713</v>
      </c>
      <c r="C3679" s="1000"/>
      <c r="H3679" s="983" t="s">
        <v>1108</v>
      </c>
    </row>
    <row r="3680" spans="1:9" x14ac:dyDescent="0.2">
      <c r="A3680" s="997">
        <f t="shared" si="57"/>
        <v>3679</v>
      </c>
      <c r="B3680" s="983" t="s">
        <v>2713</v>
      </c>
      <c r="C3680" s="1001"/>
      <c r="H3680" s="983" t="str">
        <f>CONCATENATE("&lt;valeur&gt;",Cellule_1024,"&lt;/valeur&gt;")</f>
        <v>&lt;valeur&gt;0&lt;/valeur&gt;</v>
      </c>
    </row>
    <row r="3681" spans="1:9" x14ac:dyDescent="0.2">
      <c r="A3681" s="997">
        <f t="shared" si="57"/>
        <v>3680</v>
      </c>
      <c r="B3681" s="983" t="s">
        <v>2713</v>
      </c>
      <c r="C3681" s="1000"/>
      <c r="G3681" s="983" t="s">
        <v>1109</v>
      </c>
    </row>
    <row r="3682" spans="1:9" x14ac:dyDescent="0.2">
      <c r="A3682" s="997">
        <f t="shared" si="57"/>
        <v>3681</v>
      </c>
      <c r="B3682" s="983" t="s">
        <v>2713</v>
      </c>
      <c r="C3682" s="1000"/>
      <c r="G3682" s="983" t="s">
        <v>1106</v>
      </c>
    </row>
    <row r="3683" spans="1:9" x14ac:dyDescent="0.2">
      <c r="A3683" s="997">
        <f t="shared" si="57"/>
        <v>3682</v>
      </c>
      <c r="B3683" s="983" t="s">
        <v>2713</v>
      </c>
      <c r="C3683" s="999"/>
      <c r="H3683" s="983" t="s">
        <v>1107</v>
      </c>
    </row>
    <row r="3684" spans="1:9" x14ac:dyDescent="0.2">
      <c r="A3684" s="997">
        <f t="shared" si="57"/>
        <v>3683</v>
      </c>
      <c r="B3684" s="983" t="s">
        <v>2713</v>
      </c>
      <c r="C3684" s="999"/>
      <c r="I3684" s="983" t="s">
        <v>1686</v>
      </c>
    </row>
    <row r="3685" spans="1:9" x14ac:dyDescent="0.2">
      <c r="A3685" s="997">
        <f t="shared" si="57"/>
        <v>3684</v>
      </c>
      <c r="B3685" s="983" t="s">
        <v>2713</v>
      </c>
      <c r="C3685" s="1000"/>
      <c r="H3685" s="983" t="s">
        <v>1108</v>
      </c>
    </row>
    <row r="3686" spans="1:9" x14ac:dyDescent="0.2">
      <c r="A3686" s="997">
        <f t="shared" si="57"/>
        <v>3685</v>
      </c>
      <c r="B3686" s="983" t="s">
        <v>2713</v>
      </c>
      <c r="C3686" s="1001"/>
      <c r="H3686" s="983" t="str">
        <f>CONCATENATE("&lt;valeur&gt;",Cellule_10068,"&lt;/valeur&gt;")</f>
        <v>&lt;valeur&gt;0&lt;/valeur&gt;</v>
      </c>
    </row>
    <row r="3687" spans="1:9" x14ac:dyDescent="0.2">
      <c r="A3687" s="997">
        <f t="shared" si="57"/>
        <v>3686</v>
      </c>
      <c r="B3687" s="983" t="s">
        <v>2713</v>
      </c>
      <c r="C3687" s="1000"/>
      <c r="G3687" s="983" t="s">
        <v>1109</v>
      </c>
    </row>
    <row r="3688" spans="1:9" x14ac:dyDescent="0.2">
      <c r="A3688" s="997">
        <f t="shared" si="57"/>
        <v>3687</v>
      </c>
      <c r="B3688" s="983" t="s">
        <v>2713</v>
      </c>
      <c r="C3688" s="1000"/>
      <c r="G3688" s="983" t="s">
        <v>1106</v>
      </c>
    </row>
    <row r="3689" spans="1:9" x14ac:dyDescent="0.2">
      <c r="A3689" s="997">
        <f t="shared" si="57"/>
        <v>3688</v>
      </c>
      <c r="B3689" s="983" t="s">
        <v>2713</v>
      </c>
      <c r="C3689" s="999"/>
      <c r="H3689" s="983" t="s">
        <v>1107</v>
      </c>
    </row>
    <row r="3690" spans="1:9" x14ac:dyDescent="0.2">
      <c r="A3690" s="997">
        <f t="shared" si="57"/>
        <v>3689</v>
      </c>
      <c r="B3690" s="983" t="s">
        <v>2713</v>
      </c>
      <c r="C3690" s="999"/>
      <c r="I3690" s="983" t="s">
        <v>1687</v>
      </c>
    </row>
    <row r="3691" spans="1:9" x14ac:dyDescent="0.2">
      <c r="A3691" s="997">
        <f t="shared" si="57"/>
        <v>3690</v>
      </c>
      <c r="B3691" s="983" t="s">
        <v>2713</v>
      </c>
      <c r="C3691" s="1000"/>
      <c r="H3691" s="983" t="s">
        <v>1108</v>
      </c>
    </row>
    <row r="3692" spans="1:9" x14ac:dyDescent="0.2">
      <c r="A3692" s="997">
        <f t="shared" si="57"/>
        <v>3691</v>
      </c>
      <c r="B3692" s="983" t="s">
        <v>2713</v>
      </c>
      <c r="C3692" s="1001"/>
      <c r="H3692" s="983" t="str">
        <f>CONCATENATE("&lt;valeur&gt;",Cellule_1036,"&lt;/valeur&gt;")</f>
        <v>&lt;valeur&gt;0&lt;/valeur&gt;</v>
      </c>
    </row>
    <row r="3693" spans="1:9" x14ac:dyDescent="0.2">
      <c r="A3693" s="997">
        <f t="shared" si="57"/>
        <v>3692</v>
      </c>
      <c r="B3693" s="983" t="s">
        <v>2713</v>
      </c>
      <c r="C3693" s="1000"/>
      <c r="G3693" s="983" t="s">
        <v>1109</v>
      </c>
    </row>
    <row r="3694" spans="1:9" x14ac:dyDescent="0.2">
      <c r="A3694" s="997">
        <f t="shared" si="57"/>
        <v>3693</v>
      </c>
      <c r="B3694" s="983" t="s">
        <v>2713</v>
      </c>
      <c r="C3694" s="1000"/>
      <c r="G3694" s="983" t="s">
        <v>1106</v>
      </c>
    </row>
    <row r="3695" spans="1:9" x14ac:dyDescent="0.2">
      <c r="A3695" s="997">
        <f t="shared" si="57"/>
        <v>3694</v>
      </c>
      <c r="B3695" s="983" t="s">
        <v>2713</v>
      </c>
      <c r="C3695" s="999"/>
      <c r="H3695" s="983" t="s">
        <v>1107</v>
      </c>
    </row>
    <row r="3696" spans="1:9" x14ac:dyDescent="0.2">
      <c r="A3696" s="997">
        <f t="shared" si="57"/>
        <v>3695</v>
      </c>
      <c r="B3696" s="983" t="s">
        <v>2713</v>
      </c>
      <c r="C3696" s="999"/>
      <c r="I3696" s="983" t="s">
        <v>1688</v>
      </c>
    </row>
    <row r="3697" spans="1:9" x14ac:dyDescent="0.2">
      <c r="A3697" s="997">
        <f t="shared" si="57"/>
        <v>3696</v>
      </c>
      <c r="B3697" s="983" t="s">
        <v>2713</v>
      </c>
      <c r="C3697" s="1000"/>
      <c r="H3697" s="983" t="s">
        <v>1108</v>
      </c>
    </row>
    <row r="3698" spans="1:9" x14ac:dyDescent="0.2">
      <c r="A3698" s="997">
        <f t="shared" si="57"/>
        <v>3697</v>
      </c>
      <c r="B3698" s="983" t="s">
        <v>2713</v>
      </c>
      <c r="C3698" s="1001"/>
      <c r="H3698" s="983" t="str">
        <f>CONCATENATE("&lt;valeur&gt;",Cellule_1037,"&lt;/valeur&gt;")</f>
        <v>&lt;valeur&gt;0&lt;/valeur&gt;</v>
      </c>
    </row>
    <row r="3699" spans="1:9" x14ac:dyDescent="0.2">
      <c r="A3699" s="997">
        <f t="shared" si="57"/>
        <v>3698</v>
      </c>
      <c r="B3699" s="983" t="s">
        <v>2713</v>
      </c>
      <c r="C3699" s="1000"/>
      <c r="G3699" s="983" t="s">
        <v>1109</v>
      </c>
    </row>
    <row r="3700" spans="1:9" x14ac:dyDescent="0.2">
      <c r="A3700" s="997">
        <f t="shared" si="57"/>
        <v>3699</v>
      </c>
      <c r="B3700" s="983" t="s">
        <v>2713</v>
      </c>
      <c r="C3700" s="1000"/>
      <c r="G3700" s="983" t="s">
        <v>1106</v>
      </c>
    </row>
    <row r="3701" spans="1:9" x14ac:dyDescent="0.2">
      <c r="A3701" s="997">
        <f t="shared" si="57"/>
        <v>3700</v>
      </c>
      <c r="B3701" s="983" t="s">
        <v>2713</v>
      </c>
      <c r="C3701" s="999"/>
      <c r="H3701" s="983" t="s">
        <v>1107</v>
      </c>
    </row>
    <row r="3702" spans="1:9" x14ac:dyDescent="0.2">
      <c r="A3702" s="997">
        <f t="shared" si="57"/>
        <v>3701</v>
      </c>
      <c r="B3702" s="983" t="s">
        <v>2713</v>
      </c>
      <c r="C3702" s="999"/>
      <c r="I3702" s="983" t="s">
        <v>1689</v>
      </c>
    </row>
    <row r="3703" spans="1:9" x14ac:dyDescent="0.2">
      <c r="A3703" s="997">
        <f t="shared" si="57"/>
        <v>3702</v>
      </c>
      <c r="B3703" s="983" t="s">
        <v>2713</v>
      </c>
      <c r="C3703" s="1000"/>
      <c r="H3703" s="983" t="s">
        <v>1108</v>
      </c>
    </row>
    <row r="3704" spans="1:9" x14ac:dyDescent="0.2">
      <c r="A3704" s="997">
        <f t="shared" si="57"/>
        <v>3703</v>
      </c>
      <c r="B3704" s="983" t="s">
        <v>2713</v>
      </c>
      <c r="C3704" s="1001"/>
      <c r="H3704" s="983" t="str">
        <f>CONCATENATE("&lt;valeur&gt;",Cellule_1038,"&lt;/valeur&gt;")</f>
        <v>&lt;valeur&gt;0&lt;/valeur&gt;</v>
      </c>
    </row>
    <row r="3705" spans="1:9" x14ac:dyDescent="0.2">
      <c r="A3705" s="997">
        <f t="shared" si="57"/>
        <v>3704</v>
      </c>
      <c r="B3705" s="983" t="s">
        <v>2713</v>
      </c>
      <c r="C3705" s="1000"/>
      <c r="G3705" s="983" t="s">
        <v>1109</v>
      </c>
    </row>
    <row r="3706" spans="1:9" x14ac:dyDescent="0.2">
      <c r="A3706" s="997">
        <f t="shared" si="57"/>
        <v>3705</v>
      </c>
      <c r="B3706" s="983" t="s">
        <v>2713</v>
      </c>
      <c r="C3706" s="1000"/>
      <c r="G3706" s="983" t="s">
        <v>1106</v>
      </c>
    </row>
    <row r="3707" spans="1:9" x14ac:dyDescent="0.2">
      <c r="A3707" s="997">
        <f t="shared" si="57"/>
        <v>3706</v>
      </c>
      <c r="B3707" s="983" t="s">
        <v>2713</v>
      </c>
      <c r="C3707" s="999"/>
      <c r="H3707" s="983" t="s">
        <v>1107</v>
      </c>
    </row>
    <row r="3708" spans="1:9" x14ac:dyDescent="0.2">
      <c r="A3708" s="997">
        <f t="shared" si="57"/>
        <v>3707</v>
      </c>
      <c r="B3708" s="983" t="s">
        <v>2713</v>
      </c>
      <c r="C3708" s="999"/>
      <c r="I3708" s="983" t="s">
        <v>1690</v>
      </c>
    </row>
    <row r="3709" spans="1:9" x14ac:dyDescent="0.2">
      <c r="A3709" s="997">
        <f t="shared" si="57"/>
        <v>3708</v>
      </c>
      <c r="B3709" s="983" t="s">
        <v>2713</v>
      </c>
      <c r="C3709" s="1000"/>
      <c r="H3709" s="983" t="s">
        <v>1108</v>
      </c>
    </row>
    <row r="3710" spans="1:9" x14ac:dyDescent="0.2">
      <c r="A3710" s="997">
        <f t="shared" si="57"/>
        <v>3709</v>
      </c>
      <c r="B3710" s="983" t="s">
        <v>2713</v>
      </c>
      <c r="C3710" s="1001"/>
      <c r="H3710" s="983" t="str">
        <f>CONCATENATE("&lt;valeur&gt;",Cellule_10069,"&lt;/valeur&gt;")</f>
        <v>&lt;valeur&gt;0&lt;/valeur&gt;</v>
      </c>
    </row>
    <row r="3711" spans="1:9" x14ac:dyDescent="0.2">
      <c r="A3711" s="997">
        <f t="shared" si="57"/>
        <v>3710</v>
      </c>
      <c r="B3711" s="983" t="s">
        <v>2713</v>
      </c>
      <c r="C3711" s="1000"/>
      <c r="G3711" s="983" t="s">
        <v>1109</v>
      </c>
    </row>
    <row r="3712" spans="1:9" x14ac:dyDescent="0.2">
      <c r="A3712" s="997">
        <f t="shared" si="57"/>
        <v>3711</v>
      </c>
      <c r="B3712" s="983" t="s">
        <v>2713</v>
      </c>
      <c r="C3712" s="1000"/>
      <c r="G3712" s="983" t="s">
        <v>1106</v>
      </c>
    </row>
    <row r="3713" spans="1:9" x14ac:dyDescent="0.2">
      <c r="A3713" s="997">
        <f t="shared" si="57"/>
        <v>3712</v>
      </c>
      <c r="B3713" s="983" t="s">
        <v>2713</v>
      </c>
      <c r="C3713" s="999"/>
      <c r="H3713" s="983" t="s">
        <v>1107</v>
      </c>
    </row>
    <row r="3714" spans="1:9" x14ac:dyDescent="0.2">
      <c r="A3714" s="997">
        <f t="shared" si="57"/>
        <v>3713</v>
      </c>
      <c r="B3714" s="983" t="s">
        <v>2713</v>
      </c>
      <c r="C3714" s="999"/>
      <c r="I3714" s="983" t="s">
        <v>1691</v>
      </c>
    </row>
    <row r="3715" spans="1:9" x14ac:dyDescent="0.2">
      <c r="A3715" s="997">
        <f t="shared" si="57"/>
        <v>3714</v>
      </c>
      <c r="B3715" s="983" t="s">
        <v>2713</v>
      </c>
      <c r="C3715" s="1000"/>
      <c r="H3715" s="983" t="s">
        <v>1108</v>
      </c>
    </row>
    <row r="3716" spans="1:9" x14ac:dyDescent="0.2">
      <c r="A3716" s="997">
        <f t="shared" ref="A3716:A3779" si="58">+A3715+1</f>
        <v>3715</v>
      </c>
      <c r="B3716" s="983" t="s">
        <v>2713</v>
      </c>
      <c r="C3716" s="1001"/>
      <c r="H3716" s="983" t="str">
        <f>CONCATENATE("&lt;valeur&gt;",Cellule_1050,"&lt;/valeur&gt;")</f>
        <v>&lt;valeur&gt;0&lt;/valeur&gt;</v>
      </c>
    </row>
    <row r="3717" spans="1:9" x14ac:dyDescent="0.2">
      <c r="A3717" s="997">
        <f t="shared" si="58"/>
        <v>3716</v>
      </c>
      <c r="B3717" s="983" t="s">
        <v>2713</v>
      </c>
      <c r="C3717" s="1000"/>
      <c r="G3717" s="983" t="s">
        <v>1109</v>
      </c>
    </row>
    <row r="3718" spans="1:9" x14ac:dyDescent="0.2">
      <c r="A3718" s="997">
        <f t="shared" si="58"/>
        <v>3717</v>
      </c>
      <c r="B3718" s="983" t="s">
        <v>2713</v>
      </c>
      <c r="C3718" s="1000"/>
      <c r="G3718" s="983" t="s">
        <v>1106</v>
      </c>
    </row>
    <row r="3719" spans="1:9" x14ac:dyDescent="0.2">
      <c r="A3719" s="997">
        <f t="shared" si="58"/>
        <v>3718</v>
      </c>
      <c r="B3719" s="983" t="s">
        <v>2713</v>
      </c>
      <c r="C3719" s="999"/>
      <c r="H3719" s="983" t="s">
        <v>1107</v>
      </c>
    </row>
    <row r="3720" spans="1:9" x14ac:dyDescent="0.2">
      <c r="A3720" s="997">
        <f t="shared" si="58"/>
        <v>3719</v>
      </c>
      <c r="B3720" s="983" t="s">
        <v>2713</v>
      </c>
      <c r="C3720" s="999"/>
      <c r="I3720" s="983" t="s">
        <v>1692</v>
      </c>
    </row>
    <row r="3721" spans="1:9" x14ac:dyDescent="0.2">
      <c r="A3721" s="997">
        <f t="shared" si="58"/>
        <v>3720</v>
      </c>
      <c r="B3721" s="983" t="s">
        <v>2713</v>
      </c>
      <c r="C3721" s="1000"/>
      <c r="H3721" s="983" t="s">
        <v>1108</v>
      </c>
    </row>
    <row r="3722" spans="1:9" x14ac:dyDescent="0.2">
      <c r="A3722" s="997">
        <f t="shared" si="58"/>
        <v>3721</v>
      </c>
      <c r="B3722" s="983" t="s">
        <v>2713</v>
      </c>
      <c r="C3722" s="1001"/>
      <c r="H3722" s="983" t="str">
        <f>CONCATENATE("&lt;valeur&gt;",Cellule_1051,"&lt;/valeur&gt;")</f>
        <v>&lt;valeur&gt;0&lt;/valeur&gt;</v>
      </c>
    </row>
    <row r="3723" spans="1:9" x14ac:dyDescent="0.2">
      <c r="A3723" s="997">
        <f t="shared" si="58"/>
        <v>3722</v>
      </c>
      <c r="B3723" s="983" t="s">
        <v>2713</v>
      </c>
      <c r="C3723" s="1000"/>
      <c r="G3723" s="983" t="s">
        <v>1109</v>
      </c>
    </row>
    <row r="3724" spans="1:9" x14ac:dyDescent="0.2">
      <c r="A3724" s="997">
        <f t="shared" si="58"/>
        <v>3723</v>
      </c>
      <c r="B3724" s="983" t="s">
        <v>2713</v>
      </c>
      <c r="C3724" s="1000"/>
      <c r="G3724" s="983" t="s">
        <v>1106</v>
      </c>
    </row>
    <row r="3725" spans="1:9" x14ac:dyDescent="0.2">
      <c r="A3725" s="997">
        <f t="shared" si="58"/>
        <v>3724</v>
      </c>
      <c r="B3725" s="983" t="s">
        <v>2713</v>
      </c>
      <c r="C3725" s="999"/>
      <c r="H3725" s="983" t="s">
        <v>1107</v>
      </c>
    </row>
    <row r="3726" spans="1:9" x14ac:dyDescent="0.2">
      <c r="A3726" s="997">
        <f t="shared" si="58"/>
        <v>3725</v>
      </c>
      <c r="B3726" s="983" t="s">
        <v>2713</v>
      </c>
      <c r="C3726" s="999"/>
      <c r="I3726" s="983" t="s">
        <v>1693</v>
      </c>
    </row>
    <row r="3727" spans="1:9" x14ac:dyDescent="0.2">
      <c r="A3727" s="997">
        <f t="shared" si="58"/>
        <v>3726</v>
      </c>
      <c r="B3727" s="983" t="s">
        <v>2713</v>
      </c>
      <c r="C3727" s="1000"/>
      <c r="H3727" s="983" t="s">
        <v>1108</v>
      </c>
    </row>
    <row r="3728" spans="1:9" x14ac:dyDescent="0.2">
      <c r="A3728" s="997">
        <f t="shared" si="58"/>
        <v>3727</v>
      </c>
      <c r="B3728" s="983" t="s">
        <v>2713</v>
      </c>
      <c r="C3728" s="1001"/>
      <c r="H3728" s="983" t="str">
        <f>CONCATENATE("&lt;valeur&gt;",Cellule_1052,"&lt;/valeur&gt;")</f>
        <v>&lt;valeur&gt;0&lt;/valeur&gt;</v>
      </c>
    </row>
    <row r="3729" spans="1:9" x14ac:dyDescent="0.2">
      <c r="A3729" s="997">
        <f t="shared" si="58"/>
        <v>3728</v>
      </c>
      <c r="B3729" s="983" t="s">
        <v>2713</v>
      </c>
      <c r="C3729" s="1000"/>
      <c r="G3729" s="983" t="s">
        <v>1109</v>
      </c>
    </row>
    <row r="3730" spans="1:9" x14ac:dyDescent="0.2">
      <c r="A3730" s="997">
        <f t="shared" si="58"/>
        <v>3729</v>
      </c>
      <c r="B3730" s="983" t="s">
        <v>2713</v>
      </c>
      <c r="C3730" s="1000"/>
      <c r="G3730" s="983" t="s">
        <v>1106</v>
      </c>
    </row>
    <row r="3731" spans="1:9" x14ac:dyDescent="0.2">
      <c r="A3731" s="997">
        <f t="shared" si="58"/>
        <v>3730</v>
      </c>
      <c r="B3731" s="983" t="s">
        <v>2713</v>
      </c>
      <c r="C3731" s="999"/>
      <c r="H3731" s="983" t="s">
        <v>1107</v>
      </c>
    </row>
    <row r="3732" spans="1:9" x14ac:dyDescent="0.2">
      <c r="A3732" s="997">
        <f t="shared" si="58"/>
        <v>3731</v>
      </c>
      <c r="B3732" s="983" t="s">
        <v>2713</v>
      </c>
      <c r="C3732" s="999"/>
      <c r="I3732" s="983" t="s">
        <v>1694</v>
      </c>
    </row>
    <row r="3733" spans="1:9" x14ac:dyDescent="0.2">
      <c r="A3733" s="997">
        <f t="shared" si="58"/>
        <v>3732</v>
      </c>
      <c r="B3733" s="983" t="s">
        <v>2713</v>
      </c>
      <c r="C3733" s="1000"/>
      <c r="H3733" s="983" t="s">
        <v>1108</v>
      </c>
    </row>
    <row r="3734" spans="1:9" x14ac:dyDescent="0.2">
      <c r="A3734" s="997">
        <f t="shared" si="58"/>
        <v>3733</v>
      </c>
      <c r="B3734" s="983" t="s">
        <v>2713</v>
      </c>
      <c r="C3734" s="1001"/>
      <c r="H3734" s="983" t="str">
        <f>CONCATENATE("&lt;valeur&gt;",Cellule_10070,"&lt;/valeur&gt;")</f>
        <v>&lt;valeur&gt;0&lt;/valeur&gt;</v>
      </c>
    </row>
    <row r="3735" spans="1:9" x14ac:dyDescent="0.2">
      <c r="A3735" s="997">
        <f t="shared" si="58"/>
        <v>3734</v>
      </c>
      <c r="B3735" s="983" t="s">
        <v>2713</v>
      </c>
      <c r="C3735" s="1000"/>
      <c r="G3735" s="983" t="s">
        <v>1109</v>
      </c>
    </row>
    <row r="3736" spans="1:9" x14ac:dyDescent="0.2">
      <c r="A3736" s="997">
        <f t="shared" si="58"/>
        <v>3735</v>
      </c>
      <c r="B3736" s="983" t="s">
        <v>2713</v>
      </c>
      <c r="C3736" s="1000"/>
      <c r="G3736" s="983" t="s">
        <v>1106</v>
      </c>
    </row>
    <row r="3737" spans="1:9" x14ac:dyDescent="0.2">
      <c r="A3737" s="997">
        <f t="shared" si="58"/>
        <v>3736</v>
      </c>
      <c r="B3737" s="983" t="s">
        <v>2713</v>
      </c>
      <c r="C3737" s="999"/>
      <c r="H3737" s="983" t="s">
        <v>1107</v>
      </c>
    </row>
    <row r="3738" spans="1:9" x14ac:dyDescent="0.2">
      <c r="A3738" s="997">
        <f t="shared" si="58"/>
        <v>3737</v>
      </c>
      <c r="B3738" s="983" t="s">
        <v>2713</v>
      </c>
      <c r="C3738" s="999"/>
      <c r="I3738" s="983" t="s">
        <v>1695</v>
      </c>
    </row>
    <row r="3739" spans="1:9" x14ac:dyDescent="0.2">
      <c r="A3739" s="997">
        <f t="shared" si="58"/>
        <v>3738</v>
      </c>
      <c r="B3739" s="983" t="s">
        <v>2713</v>
      </c>
      <c r="C3739" s="1000"/>
      <c r="H3739" s="983" t="s">
        <v>1108</v>
      </c>
    </row>
    <row r="3740" spans="1:9" x14ac:dyDescent="0.2">
      <c r="A3740" s="997">
        <f t="shared" si="58"/>
        <v>3739</v>
      </c>
      <c r="B3740" s="983" t="s">
        <v>2713</v>
      </c>
      <c r="C3740" s="1001"/>
      <c r="H3740" s="983" t="str">
        <f>CONCATENATE("&lt;valeur&gt;",Cellule_1064,"&lt;/valeur&gt;")</f>
        <v>&lt;valeur&gt;5000&lt;/valeur&gt;</v>
      </c>
    </row>
    <row r="3741" spans="1:9" x14ac:dyDescent="0.2">
      <c r="A3741" s="997">
        <f t="shared" si="58"/>
        <v>3740</v>
      </c>
      <c r="B3741" s="983" t="s">
        <v>2713</v>
      </c>
      <c r="C3741" s="1000"/>
      <c r="G3741" s="983" t="s">
        <v>1109</v>
      </c>
    </row>
    <row r="3742" spans="1:9" x14ac:dyDescent="0.2">
      <c r="A3742" s="997">
        <f t="shared" si="58"/>
        <v>3741</v>
      </c>
      <c r="B3742" s="983" t="s">
        <v>2713</v>
      </c>
      <c r="C3742" s="1000"/>
      <c r="G3742" s="983" t="s">
        <v>1106</v>
      </c>
    </row>
    <row r="3743" spans="1:9" x14ac:dyDescent="0.2">
      <c r="A3743" s="997">
        <f t="shared" si="58"/>
        <v>3742</v>
      </c>
      <c r="B3743" s="983" t="s">
        <v>2713</v>
      </c>
      <c r="C3743" s="999"/>
      <c r="H3743" s="983" t="s">
        <v>1107</v>
      </c>
    </row>
    <row r="3744" spans="1:9" x14ac:dyDescent="0.2">
      <c r="A3744" s="997">
        <f t="shared" si="58"/>
        <v>3743</v>
      </c>
      <c r="B3744" s="983" t="s">
        <v>2713</v>
      </c>
      <c r="C3744" s="999"/>
      <c r="I3744" s="983" t="s">
        <v>1696</v>
      </c>
    </row>
    <row r="3745" spans="1:10" x14ac:dyDescent="0.2">
      <c r="A3745" s="997">
        <f t="shared" si="58"/>
        <v>3744</v>
      </c>
      <c r="B3745" s="983" t="s">
        <v>2713</v>
      </c>
      <c r="C3745" s="1000"/>
      <c r="H3745" s="983" t="s">
        <v>1108</v>
      </c>
    </row>
    <row r="3746" spans="1:10" x14ac:dyDescent="0.2">
      <c r="A3746" s="997">
        <f t="shared" si="58"/>
        <v>3745</v>
      </c>
      <c r="B3746" s="983" t="s">
        <v>2713</v>
      </c>
      <c r="C3746" s="1001"/>
      <c r="H3746" s="983" t="str">
        <f>CONCATENATE("&lt;valeur&gt;",Cellule_1065,"&lt;/valeur&gt;")</f>
        <v>&lt;valeur&gt;0&lt;/valeur&gt;</v>
      </c>
    </row>
    <row r="3747" spans="1:10" x14ac:dyDescent="0.2">
      <c r="A3747" s="997">
        <f t="shared" si="58"/>
        <v>3746</v>
      </c>
      <c r="B3747" s="983" t="s">
        <v>2713</v>
      </c>
      <c r="C3747" s="1000"/>
      <c r="G3747" s="983" t="s">
        <v>1109</v>
      </c>
    </row>
    <row r="3748" spans="1:10" x14ac:dyDescent="0.2">
      <c r="A3748" s="997">
        <f t="shared" si="58"/>
        <v>3747</v>
      </c>
      <c r="B3748" s="983" t="s">
        <v>2713</v>
      </c>
      <c r="C3748" s="1000"/>
      <c r="G3748" s="983" t="s">
        <v>1106</v>
      </c>
    </row>
    <row r="3749" spans="1:10" x14ac:dyDescent="0.2">
      <c r="A3749" s="997">
        <f t="shared" si="58"/>
        <v>3748</v>
      </c>
      <c r="B3749" s="983" t="s">
        <v>2713</v>
      </c>
      <c r="C3749" s="999"/>
      <c r="H3749" s="983" t="s">
        <v>1107</v>
      </c>
    </row>
    <row r="3750" spans="1:10" x14ac:dyDescent="0.2">
      <c r="A3750" s="997">
        <f t="shared" si="58"/>
        <v>3749</v>
      </c>
      <c r="B3750" s="983" t="s">
        <v>2713</v>
      </c>
      <c r="C3750" s="999"/>
      <c r="I3750" s="983" t="s">
        <v>1697</v>
      </c>
    </row>
    <row r="3751" spans="1:10" x14ac:dyDescent="0.2">
      <c r="A3751" s="997">
        <f t="shared" si="58"/>
        <v>3750</v>
      </c>
      <c r="B3751" s="983" t="s">
        <v>2713</v>
      </c>
      <c r="C3751" s="1000"/>
      <c r="H3751" s="983" t="s">
        <v>1108</v>
      </c>
    </row>
    <row r="3752" spans="1:10" x14ac:dyDescent="0.2">
      <c r="A3752" s="997">
        <f t="shared" si="58"/>
        <v>3751</v>
      </c>
      <c r="B3752" s="983" t="s">
        <v>2713</v>
      </c>
      <c r="C3752" s="1001"/>
      <c r="H3752" s="983" t="str">
        <f>CONCATENATE("&lt;valeur&gt;",Cellule_1066,"&lt;/valeur&gt;")</f>
        <v>&lt;valeur&gt;0&lt;/valeur&gt;</v>
      </c>
    </row>
    <row r="3753" spans="1:10" x14ac:dyDescent="0.2">
      <c r="A3753" s="997">
        <f t="shared" si="58"/>
        <v>3752</v>
      </c>
      <c r="B3753" s="983" t="s">
        <v>2713</v>
      </c>
      <c r="C3753" s="1000"/>
      <c r="G3753" s="983" t="s">
        <v>1109</v>
      </c>
    </row>
    <row r="3754" spans="1:10" x14ac:dyDescent="0.2">
      <c r="A3754" s="997">
        <f t="shared" si="58"/>
        <v>3753</v>
      </c>
      <c r="B3754" s="983" t="s">
        <v>2713</v>
      </c>
      <c r="C3754" s="1000"/>
      <c r="G3754" s="983" t="s">
        <v>1106</v>
      </c>
      <c r="J3754" s="1061"/>
    </row>
    <row r="3755" spans="1:10" x14ac:dyDescent="0.2">
      <c r="A3755" s="997">
        <f t="shared" si="58"/>
        <v>3754</v>
      </c>
      <c r="B3755" s="983" t="s">
        <v>2713</v>
      </c>
      <c r="C3755" s="999"/>
      <c r="H3755" s="983" t="s">
        <v>1107</v>
      </c>
    </row>
    <row r="3756" spans="1:10" x14ac:dyDescent="0.2">
      <c r="A3756" s="997">
        <f t="shared" si="58"/>
        <v>3755</v>
      </c>
      <c r="B3756" s="983" t="s">
        <v>2713</v>
      </c>
      <c r="C3756" s="999"/>
      <c r="I3756" s="983" t="s">
        <v>1698</v>
      </c>
      <c r="J3756" s="1061"/>
    </row>
    <row r="3757" spans="1:10" x14ac:dyDescent="0.2">
      <c r="A3757" s="997">
        <f t="shared" si="58"/>
        <v>3756</v>
      </c>
      <c r="B3757" s="983" t="s">
        <v>2713</v>
      </c>
      <c r="C3757" s="1000"/>
      <c r="H3757" s="983" t="s">
        <v>1108</v>
      </c>
    </row>
    <row r="3758" spans="1:10" x14ac:dyDescent="0.2">
      <c r="A3758" s="997">
        <f t="shared" si="58"/>
        <v>3757</v>
      </c>
      <c r="B3758" s="983" t="s">
        <v>2713</v>
      </c>
      <c r="C3758" s="1001"/>
      <c r="H3758" s="983" t="str">
        <f>CONCATENATE("&lt;valeur&gt;",Cellule_10071,"&lt;/valeur&gt;")</f>
        <v>&lt;valeur&gt;5000&lt;/valeur&gt;</v>
      </c>
      <c r="J3758" s="1061"/>
    </row>
    <row r="3759" spans="1:10" x14ac:dyDescent="0.2">
      <c r="A3759" s="997">
        <f t="shared" si="58"/>
        <v>3758</v>
      </c>
      <c r="B3759" s="983" t="s">
        <v>2713</v>
      </c>
      <c r="C3759" s="1000"/>
      <c r="G3759" s="983" t="s">
        <v>1109</v>
      </c>
    </row>
    <row r="3760" spans="1:10" x14ac:dyDescent="0.2">
      <c r="A3760" s="997">
        <f t="shared" si="58"/>
        <v>3759</v>
      </c>
      <c r="B3760" s="983" t="s">
        <v>2713</v>
      </c>
      <c r="C3760" s="1000"/>
      <c r="G3760" s="983" t="s">
        <v>1106</v>
      </c>
      <c r="J3760" s="1061"/>
    </row>
    <row r="3761" spans="1:10" x14ac:dyDescent="0.2">
      <c r="A3761" s="997">
        <f t="shared" si="58"/>
        <v>3760</v>
      </c>
      <c r="B3761" s="983" t="s">
        <v>2713</v>
      </c>
      <c r="C3761" s="999"/>
      <c r="H3761" s="983" t="s">
        <v>1699</v>
      </c>
    </row>
    <row r="3762" spans="1:10" x14ac:dyDescent="0.2">
      <c r="A3762" s="997">
        <f t="shared" si="58"/>
        <v>3761</v>
      </c>
      <c r="B3762" s="983" t="s">
        <v>2713</v>
      </c>
      <c r="C3762" s="999"/>
      <c r="H3762" s="983" t="str">
        <f>CONCATENATE("&lt;valeur&gt;",Cellule_13506,"&lt;/valeur&gt;")</f>
        <v>&lt;valeur&gt;0&lt;/valeur&gt;</v>
      </c>
      <c r="J3762" s="1061"/>
    </row>
    <row r="3763" spans="1:10" x14ac:dyDescent="0.2">
      <c r="A3763" s="997">
        <f t="shared" si="58"/>
        <v>3762</v>
      </c>
      <c r="B3763" s="983" t="s">
        <v>2713</v>
      </c>
      <c r="C3763" s="1000"/>
      <c r="H3763" s="983" t="s">
        <v>1348</v>
      </c>
    </row>
    <row r="3764" spans="1:10" x14ac:dyDescent="0.2">
      <c r="A3764" s="997">
        <f t="shared" si="58"/>
        <v>3763</v>
      </c>
      <c r="B3764" s="983" t="s">
        <v>2713</v>
      </c>
      <c r="C3764" s="1001"/>
      <c r="G3764" s="983" t="s">
        <v>1109</v>
      </c>
      <c r="J3764" s="1061"/>
    </row>
    <row r="3765" spans="1:10" x14ac:dyDescent="0.2">
      <c r="A3765" s="997">
        <f t="shared" si="58"/>
        <v>3764</v>
      </c>
      <c r="B3765" s="983" t="s">
        <v>2713</v>
      </c>
      <c r="C3765" s="1000"/>
      <c r="G3765" s="983" t="s">
        <v>1106</v>
      </c>
    </row>
    <row r="3766" spans="1:10" x14ac:dyDescent="0.2">
      <c r="A3766" s="997">
        <f t="shared" si="58"/>
        <v>3765</v>
      </c>
      <c r="B3766" s="983" t="s">
        <v>2713</v>
      </c>
      <c r="C3766" s="1000"/>
      <c r="H3766" s="983" t="s">
        <v>1700</v>
      </c>
      <c r="J3766" s="1061"/>
    </row>
    <row r="3767" spans="1:10" x14ac:dyDescent="0.2">
      <c r="A3767" s="997">
        <f t="shared" si="58"/>
        <v>3766</v>
      </c>
      <c r="B3767" s="983" t="s">
        <v>2713</v>
      </c>
      <c r="C3767" s="999"/>
      <c r="H3767" s="983" t="str">
        <f>CONCATENATE("&lt;valeur&gt;",Cellule_13506,"&lt;/valeur&gt;")</f>
        <v>&lt;valeur&gt;0&lt;/valeur&gt;</v>
      </c>
    </row>
    <row r="3768" spans="1:10" x14ac:dyDescent="0.2">
      <c r="A3768" s="997">
        <f t="shared" si="58"/>
        <v>3767</v>
      </c>
      <c r="B3768" s="983" t="s">
        <v>2713</v>
      </c>
      <c r="C3768" s="999"/>
      <c r="H3768" s="983" t="s">
        <v>1348</v>
      </c>
    </row>
    <row r="3769" spans="1:10" x14ac:dyDescent="0.2">
      <c r="A3769" s="997">
        <f t="shared" si="58"/>
        <v>3768</v>
      </c>
      <c r="B3769" s="983" t="s">
        <v>2713</v>
      </c>
      <c r="C3769" s="1000"/>
      <c r="G3769" s="983" t="s">
        <v>1109</v>
      </c>
    </row>
    <row r="3770" spans="1:10" x14ac:dyDescent="0.2">
      <c r="A3770" s="997">
        <f t="shared" si="58"/>
        <v>3769</v>
      </c>
      <c r="B3770" s="983" t="s">
        <v>2713</v>
      </c>
      <c r="C3770" s="1001"/>
      <c r="G3770" s="983" t="s">
        <v>1106</v>
      </c>
    </row>
    <row r="3771" spans="1:10" x14ac:dyDescent="0.2">
      <c r="A3771" s="997">
        <f t="shared" si="58"/>
        <v>3770</v>
      </c>
      <c r="B3771" s="983" t="s">
        <v>2713</v>
      </c>
      <c r="C3771" s="1000"/>
      <c r="H3771" s="983" t="s">
        <v>1701</v>
      </c>
    </row>
    <row r="3772" spans="1:10" x14ac:dyDescent="0.2">
      <c r="A3772" s="997">
        <f t="shared" si="58"/>
        <v>3771</v>
      </c>
      <c r="B3772" s="983" t="s">
        <v>2713</v>
      </c>
      <c r="C3772" s="1000"/>
      <c r="H3772" s="983" t="str">
        <f>CONCATENATE("&lt;valeur&gt;",Cellule_13508,"&lt;/valeur&gt;")</f>
        <v>&lt;valeur&gt;0&lt;/valeur&gt;</v>
      </c>
    </row>
    <row r="3773" spans="1:10" x14ac:dyDescent="0.2">
      <c r="A3773" s="997">
        <f t="shared" si="58"/>
        <v>3772</v>
      </c>
      <c r="B3773" s="983" t="s">
        <v>2713</v>
      </c>
      <c r="C3773" s="999"/>
      <c r="H3773" s="983" t="s">
        <v>1348</v>
      </c>
    </row>
    <row r="3774" spans="1:10" x14ac:dyDescent="0.2">
      <c r="A3774" s="997">
        <f t="shared" si="58"/>
        <v>3773</v>
      </c>
      <c r="B3774" s="983" t="s">
        <v>2713</v>
      </c>
      <c r="C3774" s="999"/>
      <c r="G3774" s="983" t="s">
        <v>1109</v>
      </c>
    </row>
    <row r="3775" spans="1:10" x14ac:dyDescent="0.2">
      <c r="A3775" s="997">
        <f t="shared" si="58"/>
        <v>3774</v>
      </c>
      <c r="B3775" s="983" t="s">
        <v>2713</v>
      </c>
      <c r="C3775" s="1000"/>
      <c r="G3775" s="983" t="s">
        <v>1106</v>
      </c>
    </row>
    <row r="3776" spans="1:10" x14ac:dyDescent="0.2">
      <c r="A3776" s="997">
        <f t="shared" si="58"/>
        <v>3775</v>
      </c>
      <c r="B3776" s="983" t="s">
        <v>2713</v>
      </c>
      <c r="C3776" s="1001"/>
      <c r="H3776" s="983" t="s">
        <v>1702</v>
      </c>
    </row>
    <row r="3777" spans="1:8" x14ac:dyDescent="0.2">
      <c r="A3777" s="997">
        <f t="shared" si="58"/>
        <v>3776</v>
      </c>
      <c r="B3777" s="983" t="s">
        <v>2713</v>
      </c>
      <c r="C3777" s="1000"/>
      <c r="H3777" s="983" t="str">
        <f>CONCATENATE("&lt;valeur&gt;",Cellule_13509,"&lt;/valeur&gt;")</f>
        <v>&lt;valeur&gt;0&lt;/valeur&gt;</v>
      </c>
    </row>
    <row r="3778" spans="1:8" x14ac:dyDescent="0.2">
      <c r="A3778" s="997">
        <f t="shared" si="58"/>
        <v>3777</v>
      </c>
      <c r="B3778" s="983" t="s">
        <v>2713</v>
      </c>
      <c r="C3778" s="1000"/>
      <c r="H3778" s="983" t="s">
        <v>1348</v>
      </c>
    </row>
    <row r="3779" spans="1:8" x14ac:dyDescent="0.2">
      <c r="A3779" s="997">
        <f t="shared" si="58"/>
        <v>3778</v>
      </c>
      <c r="B3779" s="983" t="s">
        <v>2713</v>
      </c>
      <c r="C3779" s="999"/>
      <c r="G3779" s="983" t="s">
        <v>1109</v>
      </c>
    </row>
    <row r="3780" spans="1:8" x14ac:dyDescent="0.2">
      <c r="A3780" s="997">
        <f t="shared" ref="A3780:A3843" si="59">+A3779+1</f>
        <v>3779</v>
      </c>
      <c r="B3780" s="983" t="s">
        <v>2713</v>
      </c>
      <c r="C3780" s="999"/>
      <c r="G3780" s="983" t="s">
        <v>1106</v>
      </c>
    </row>
    <row r="3781" spans="1:8" x14ac:dyDescent="0.2">
      <c r="A3781" s="997">
        <f t="shared" si="59"/>
        <v>3780</v>
      </c>
      <c r="B3781" s="983" t="s">
        <v>2713</v>
      </c>
      <c r="C3781" s="1000"/>
      <c r="H3781" s="983" t="s">
        <v>1703</v>
      </c>
    </row>
    <row r="3782" spans="1:8" x14ac:dyDescent="0.2">
      <c r="A3782" s="997">
        <f t="shared" si="59"/>
        <v>3781</v>
      </c>
      <c r="B3782" s="983" t="s">
        <v>2713</v>
      </c>
      <c r="C3782" s="1001"/>
      <c r="H3782" s="983" t="str">
        <f>CONCATENATE("&lt;valeur&gt;",Cellule_13510,"&lt;/valeur&gt;")</f>
        <v>&lt;valeur&gt;0&lt;/valeur&gt;</v>
      </c>
    </row>
    <row r="3783" spans="1:8" x14ac:dyDescent="0.2">
      <c r="A3783" s="997">
        <f t="shared" si="59"/>
        <v>3782</v>
      </c>
      <c r="B3783" s="983" t="s">
        <v>2713</v>
      </c>
      <c r="C3783" s="1000"/>
      <c r="H3783" s="983" t="s">
        <v>1348</v>
      </c>
    </row>
    <row r="3784" spans="1:8" x14ac:dyDescent="0.2">
      <c r="A3784" s="997">
        <f t="shared" si="59"/>
        <v>3783</v>
      </c>
      <c r="B3784" s="983" t="s">
        <v>2713</v>
      </c>
      <c r="C3784" s="1000"/>
      <c r="G3784" s="983" t="s">
        <v>1109</v>
      </c>
    </row>
    <row r="3785" spans="1:8" x14ac:dyDescent="0.2">
      <c r="A3785" s="997">
        <f t="shared" si="59"/>
        <v>3784</v>
      </c>
      <c r="B3785" s="983" t="s">
        <v>2713</v>
      </c>
      <c r="C3785" s="999"/>
      <c r="G3785" s="983" t="s">
        <v>1106</v>
      </c>
    </row>
    <row r="3786" spans="1:8" x14ac:dyDescent="0.2">
      <c r="A3786" s="997">
        <f t="shared" si="59"/>
        <v>3785</v>
      </c>
      <c r="B3786" s="983" t="s">
        <v>2713</v>
      </c>
      <c r="C3786" s="999"/>
      <c r="H3786" s="983" t="s">
        <v>1704</v>
      </c>
    </row>
    <row r="3787" spans="1:8" x14ac:dyDescent="0.2">
      <c r="A3787" s="997">
        <f t="shared" si="59"/>
        <v>3786</v>
      </c>
      <c r="B3787" s="983" t="s">
        <v>2713</v>
      </c>
      <c r="C3787" s="1000"/>
      <c r="H3787" s="983" t="str">
        <f>CONCATENATE("&lt;valeur&gt;",Cellule_13511,"&lt;/valeur&gt;")</f>
        <v>&lt;valeur&gt;0&lt;/valeur&gt;</v>
      </c>
    </row>
    <row r="3788" spans="1:8" x14ac:dyDescent="0.2">
      <c r="A3788" s="997">
        <f t="shared" si="59"/>
        <v>3787</v>
      </c>
      <c r="B3788" s="983" t="s">
        <v>2713</v>
      </c>
      <c r="C3788" s="1001"/>
      <c r="H3788" s="983" t="s">
        <v>1348</v>
      </c>
    </row>
    <row r="3789" spans="1:8" x14ac:dyDescent="0.2">
      <c r="A3789" s="997">
        <f t="shared" si="59"/>
        <v>3788</v>
      </c>
      <c r="B3789" s="983" t="s">
        <v>2713</v>
      </c>
      <c r="C3789" s="1000"/>
      <c r="G3789" s="983" t="s">
        <v>1109</v>
      </c>
    </row>
    <row r="3790" spans="1:8" x14ac:dyDescent="0.2">
      <c r="A3790" s="997">
        <f t="shared" si="59"/>
        <v>3789</v>
      </c>
      <c r="B3790" s="983" t="s">
        <v>2713</v>
      </c>
      <c r="C3790" s="1000"/>
      <c r="G3790" s="983" t="s">
        <v>1106</v>
      </c>
    </row>
    <row r="3791" spans="1:8" x14ac:dyDescent="0.2">
      <c r="A3791" s="997">
        <f t="shared" si="59"/>
        <v>3790</v>
      </c>
      <c r="B3791" s="983" t="s">
        <v>2713</v>
      </c>
      <c r="C3791" s="999"/>
      <c r="H3791" s="983" t="s">
        <v>1705</v>
      </c>
    </row>
    <row r="3792" spans="1:8" x14ac:dyDescent="0.2">
      <c r="A3792" s="997">
        <f t="shared" si="59"/>
        <v>3791</v>
      </c>
      <c r="B3792" s="983" t="s">
        <v>2713</v>
      </c>
      <c r="C3792" s="999"/>
      <c r="H3792" s="983" t="str">
        <f>CONCATENATE("&lt;valeur&gt;",Cellule_13512,"&lt;/valeur&gt;")</f>
        <v>&lt;valeur&gt;0&lt;/valeur&gt;</v>
      </c>
    </row>
    <row r="3793" spans="1:9" x14ac:dyDescent="0.2">
      <c r="A3793" s="997">
        <f t="shared" si="59"/>
        <v>3792</v>
      </c>
      <c r="B3793" s="983" t="s">
        <v>2713</v>
      </c>
      <c r="C3793" s="1000"/>
      <c r="H3793" s="983" t="s">
        <v>1348</v>
      </c>
    </row>
    <row r="3794" spans="1:9" x14ac:dyDescent="0.2">
      <c r="A3794" s="997">
        <f t="shared" si="59"/>
        <v>3793</v>
      </c>
      <c r="B3794" s="983" t="s">
        <v>2713</v>
      </c>
      <c r="C3794" s="1001"/>
      <c r="G3794" s="983" t="s">
        <v>1109</v>
      </c>
    </row>
    <row r="3795" spans="1:9" x14ac:dyDescent="0.2">
      <c r="A3795" s="997">
        <f t="shared" si="59"/>
        <v>3794</v>
      </c>
      <c r="B3795" s="983" t="s">
        <v>2713</v>
      </c>
      <c r="C3795" s="1000"/>
      <c r="G3795" s="983" t="s">
        <v>1106</v>
      </c>
    </row>
    <row r="3796" spans="1:9" x14ac:dyDescent="0.2">
      <c r="A3796" s="997">
        <f t="shared" si="59"/>
        <v>3795</v>
      </c>
      <c r="B3796" s="983" t="s">
        <v>2713</v>
      </c>
      <c r="C3796" s="1000"/>
      <c r="H3796" s="983" t="s">
        <v>1706</v>
      </c>
    </row>
    <row r="3797" spans="1:9" x14ac:dyDescent="0.2">
      <c r="A3797" s="997">
        <f t="shared" si="59"/>
        <v>3796</v>
      </c>
      <c r="B3797" s="983" t="s">
        <v>2713</v>
      </c>
      <c r="C3797" s="1000"/>
      <c r="H3797" s="983" t="str">
        <f>CONCATENATE("&lt;valeur&gt;",Cellule_13513,"&lt;/valeur&gt;")</f>
        <v>&lt;valeur&gt;0&lt;/valeur&gt;</v>
      </c>
    </row>
    <row r="3798" spans="1:9" x14ac:dyDescent="0.2">
      <c r="A3798" s="997">
        <f t="shared" si="59"/>
        <v>3797</v>
      </c>
      <c r="B3798" s="983" t="s">
        <v>2713</v>
      </c>
      <c r="C3798" s="999"/>
      <c r="H3798" s="983" t="s">
        <v>1348</v>
      </c>
    </row>
    <row r="3799" spans="1:9" x14ac:dyDescent="0.2">
      <c r="A3799" s="997">
        <f t="shared" si="59"/>
        <v>3798</v>
      </c>
      <c r="B3799" s="983" t="s">
        <v>2713</v>
      </c>
      <c r="C3799" s="999"/>
      <c r="G3799" s="983" t="s">
        <v>1109</v>
      </c>
    </row>
    <row r="3800" spans="1:9" x14ac:dyDescent="0.2">
      <c r="A3800" s="997">
        <f t="shared" si="59"/>
        <v>3799</v>
      </c>
      <c r="B3800" s="983" t="s">
        <v>2713</v>
      </c>
      <c r="C3800" s="1000"/>
      <c r="G3800" s="983" t="s">
        <v>1106</v>
      </c>
    </row>
    <row r="3801" spans="1:9" x14ac:dyDescent="0.2">
      <c r="A3801" s="997">
        <f t="shared" si="59"/>
        <v>3800</v>
      </c>
      <c r="B3801" s="983" t="s">
        <v>2713</v>
      </c>
      <c r="C3801" s="1001"/>
      <c r="H3801" s="983" t="s">
        <v>1107</v>
      </c>
    </row>
    <row r="3802" spans="1:9" x14ac:dyDescent="0.2">
      <c r="A3802" s="997">
        <f t="shared" si="59"/>
        <v>3801</v>
      </c>
      <c r="B3802" s="983" t="s">
        <v>2713</v>
      </c>
      <c r="C3802" s="1000"/>
      <c r="I3802" s="983" t="s">
        <v>1707</v>
      </c>
    </row>
    <row r="3803" spans="1:9" x14ac:dyDescent="0.2">
      <c r="A3803" s="997">
        <f t="shared" si="59"/>
        <v>3802</v>
      </c>
      <c r="B3803" s="983" t="s">
        <v>2713</v>
      </c>
      <c r="C3803" s="1000"/>
      <c r="H3803" s="983" t="s">
        <v>1108</v>
      </c>
    </row>
    <row r="3804" spans="1:9" x14ac:dyDescent="0.2">
      <c r="A3804" s="997">
        <f t="shared" si="59"/>
        <v>3803</v>
      </c>
      <c r="B3804" s="983" t="s">
        <v>2713</v>
      </c>
      <c r="C3804" s="1000"/>
      <c r="H3804" s="983" t="str">
        <f>CONCATENATE("&lt;valeur&gt;",Cellule_969,"&lt;/valeur&gt;")</f>
        <v>&lt;valeur&gt;0&lt;/valeur&gt;</v>
      </c>
    </row>
    <row r="3805" spans="1:9" x14ac:dyDescent="0.2">
      <c r="A3805" s="997">
        <f t="shared" si="59"/>
        <v>3804</v>
      </c>
      <c r="B3805" s="983" t="s">
        <v>2713</v>
      </c>
      <c r="C3805" s="999"/>
      <c r="G3805" s="983" t="s">
        <v>1109</v>
      </c>
    </row>
    <row r="3806" spans="1:9" x14ac:dyDescent="0.2">
      <c r="A3806" s="997">
        <f t="shared" si="59"/>
        <v>3805</v>
      </c>
      <c r="B3806" s="983" t="s">
        <v>2713</v>
      </c>
      <c r="C3806" s="999"/>
      <c r="G3806" s="983" t="s">
        <v>1106</v>
      </c>
    </row>
    <row r="3807" spans="1:9" x14ac:dyDescent="0.2">
      <c r="A3807" s="997">
        <f t="shared" si="59"/>
        <v>3806</v>
      </c>
      <c r="B3807" s="983" t="s">
        <v>2713</v>
      </c>
      <c r="C3807" s="1000"/>
      <c r="H3807" s="983" t="s">
        <v>1107</v>
      </c>
    </row>
    <row r="3808" spans="1:9" x14ac:dyDescent="0.2">
      <c r="A3808" s="997">
        <f t="shared" si="59"/>
        <v>3807</v>
      </c>
      <c r="B3808" s="983" t="s">
        <v>2713</v>
      </c>
      <c r="C3808" s="1001"/>
      <c r="I3808" s="983" t="s">
        <v>1708</v>
      </c>
    </row>
    <row r="3809" spans="1:9" x14ac:dyDescent="0.2">
      <c r="A3809" s="997">
        <f t="shared" si="59"/>
        <v>3808</v>
      </c>
      <c r="B3809" s="983" t="s">
        <v>2713</v>
      </c>
      <c r="C3809" s="1000"/>
      <c r="H3809" s="983" t="s">
        <v>1108</v>
      </c>
    </row>
    <row r="3810" spans="1:9" x14ac:dyDescent="0.2">
      <c r="A3810" s="997">
        <f t="shared" si="59"/>
        <v>3809</v>
      </c>
      <c r="B3810" s="983" t="s">
        <v>2713</v>
      </c>
      <c r="C3810" s="1000"/>
      <c r="H3810" s="983" t="str">
        <f>CONCATENATE("&lt;valeur&gt;",Cellule_970,"&lt;/valeur&gt;")</f>
        <v>&lt;valeur&gt;0&lt;/valeur&gt;</v>
      </c>
    </row>
    <row r="3811" spans="1:9" x14ac:dyDescent="0.2">
      <c r="A3811" s="997">
        <f t="shared" si="59"/>
        <v>3810</v>
      </c>
      <c r="B3811" s="983" t="s">
        <v>2713</v>
      </c>
      <c r="C3811" s="1000"/>
      <c r="G3811" s="983" t="s">
        <v>1109</v>
      </c>
    </row>
    <row r="3812" spans="1:9" x14ac:dyDescent="0.2">
      <c r="A3812" s="997">
        <f t="shared" si="59"/>
        <v>3811</v>
      </c>
      <c r="B3812" s="983" t="s">
        <v>2713</v>
      </c>
      <c r="C3812" s="999"/>
      <c r="G3812" s="983" t="s">
        <v>1106</v>
      </c>
    </row>
    <row r="3813" spans="1:9" x14ac:dyDescent="0.2">
      <c r="A3813" s="997">
        <f t="shared" si="59"/>
        <v>3812</v>
      </c>
      <c r="B3813" s="983" t="s">
        <v>2713</v>
      </c>
      <c r="C3813" s="999"/>
      <c r="H3813" s="983" t="s">
        <v>1107</v>
      </c>
    </row>
    <row r="3814" spans="1:9" x14ac:dyDescent="0.2">
      <c r="A3814" s="997">
        <f t="shared" si="59"/>
        <v>3813</v>
      </c>
      <c r="B3814" s="983" t="s">
        <v>2713</v>
      </c>
      <c r="C3814" s="1000"/>
      <c r="I3814" s="983" t="s">
        <v>1709</v>
      </c>
    </row>
    <row r="3815" spans="1:9" x14ac:dyDescent="0.2">
      <c r="A3815" s="997">
        <f t="shared" si="59"/>
        <v>3814</v>
      </c>
      <c r="B3815" s="983" t="s">
        <v>2713</v>
      </c>
      <c r="C3815" s="1001"/>
      <c r="H3815" s="983" t="s">
        <v>1108</v>
      </c>
    </row>
    <row r="3816" spans="1:9" x14ac:dyDescent="0.2">
      <c r="A3816" s="997">
        <f t="shared" si="59"/>
        <v>3815</v>
      </c>
      <c r="B3816" s="983" t="s">
        <v>2713</v>
      </c>
      <c r="C3816" s="1000"/>
      <c r="H3816" s="983" t="str">
        <f>CONCATENATE("&lt;valeur&gt;",Cellule_971,"&lt;/valeur&gt;")</f>
        <v>&lt;valeur&gt;0&lt;/valeur&gt;</v>
      </c>
    </row>
    <row r="3817" spans="1:9" x14ac:dyDescent="0.2">
      <c r="A3817" s="997">
        <f t="shared" si="59"/>
        <v>3816</v>
      </c>
      <c r="B3817" s="983" t="s">
        <v>2713</v>
      </c>
      <c r="C3817" s="1000"/>
      <c r="G3817" s="983" t="s">
        <v>1109</v>
      </c>
    </row>
    <row r="3818" spans="1:9" x14ac:dyDescent="0.2">
      <c r="A3818" s="997">
        <f t="shared" si="59"/>
        <v>3817</v>
      </c>
      <c r="B3818" s="983" t="s">
        <v>2713</v>
      </c>
      <c r="C3818" s="1000"/>
      <c r="G3818" s="983" t="s">
        <v>1106</v>
      </c>
    </row>
    <row r="3819" spans="1:9" x14ac:dyDescent="0.2">
      <c r="A3819" s="997">
        <f t="shared" si="59"/>
        <v>3818</v>
      </c>
      <c r="B3819" s="983" t="s">
        <v>2713</v>
      </c>
      <c r="C3819" s="999"/>
      <c r="H3819" s="983" t="s">
        <v>1107</v>
      </c>
    </row>
    <row r="3820" spans="1:9" x14ac:dyDescent="0.2">
      <c r="A3820" s="997">
        <f t="shared" si="59"/>
        <v>3819</v>
      </c>
      <c r="B3820" s="983" t="s">
        <v>2713</v>
      </c>
      <c r="C3820" s="999"/>
      <c r="I3820" s="983" t="s">
        <v>1710</v>
      </c>
    </row>
    <row r="3821" spans="1:9" x14ac:dyDescent="0.2">
      <c r="A3821" s="997">
        <f t="shared" si="59"/>
        <v>3820</v>
      </c>
      <c r="B3821" s="983" t="s">
        <v>2713</v>
      </c>
      <c r="C3821" s="1000"/>
      <c r="H3821" s="983" t="s">
        <v>1108</v>
      </c>
    </row>
    <row r="3822" spans="1:9" x14ac:dyDescent="0.2">
      <c r="A3822" s="997">
        <f t="shared" si="59"/>
        <v>3821</v>
      </c>
      <c r="B3822" s="983" t="s">
        <v>2713</v>
      </c>
      <c r="C3822" s="1001"/>
      <c r="H3822" s="983" t="str">
        <f>CONCATENATE("&lt;valeur&gt;",Cellule_972,"&lt;/valeur&gt;")</f>
        <v>&lt;valeur&gt;0&lt;/valeur&gt;</v>
      </c>
    </row>
    <row r="3823" spans="1:9" x14ac:dyDescent="0.2">
      <c r="A3823" s="997">
        <f t="shared" si="59"/>
        <v>3822</v>
      </c>
      <c r="B3823" s="983" t="s">
        <v>2713</v>
      </c>
      <c r="C3823" s="1000"/>
      <c r="G3823" s="983" t="s">
        <v>1109</v>
      </c>
    </row>
    <row r="3824" spans="1:9" x14ac:dyDescent="0.2">
      <c r="A3824" s="997">
        <f t="shared" si="59"/>
        <v>3823</v>
      </c>
      <c r="B3824" s="983" t="s">
        <v>2713</v>
      </c>
      <c r="C3824" s="1000"/>
      <c r="G3824" s="983" t="s">
        <v>1106</v>
      </c>
    </row>
    <row r="3825" spans="1:9" x14ac:dyDescent="0.2">
      <c r="A3825" s="997">
        <f t="shared" si="59"/>
        <v>3824</v>
      </c>
      <c r="B3825" s="983" t="s">
        <v>2713</v>
      </c>
      <c r="C3825" s="1000"/>
      <c r="H3825" s="983" t="s">
        <v>1107</v>
      </c>
    </row>
    <row r="3826" spans="1:9" x14ac:dyDescent="0.2">
      <c r="A3826" s="997">
        <f t="shared" si="59"/>
        <v>3825</v>
      </c>
      <c r="B3826" s="983" t="s">
        <v>2713</v>
      </c>
      <c r="C3826" s="999"/>
      <c r="I3826" s="983" t="s">
        <v>1711</v>
      </c>
    </row>
    <row r="3827" spans="1:9" x14ac:dyDescent="0.2">
      <c r="A3827" s="997">
        <f t="shared" si="59"/>
        <v>3826</v>
      </c>
      <c r="B3827" s="983" t="s">
        <v>2713</v>
      </c>
      <c r="C3827" s="999"/>
      <c r="H3827" s="983" t="s">
        <v>1108</v>
      </c>
    </row>
    <row r="3828" spans="1:9" x14ac:dyDescent="0.2">
      <c r="A3828" s="997">
        <f t="shared" si="59"/>
        <v>3827</v>
      </c>
      <c r="B3828" s="983" t="s">
        <v>2713</v>
      </c>
      <c r="C3828" s="1000"/>
      <c r="H3828" s="983" t="str">
        <f>CONCATENATE("&lt;valeur&gt;",Cellule_10073,"&lt;/valeur&gt;")</f>
        <v>&lt;valeur&gt;0&lt;/valeur&gt;</v>
      </c>
    </row>
    <row r="3829" spans="1:9" x14ac:dyDescent="0.2">
      <c r="A3829" s="997">
        <f t="shared" si="59"/>
        <v>3828</v>
      </c>
      <c r="B3829" s="983" t="s">
        <v>2713</v>
      </c>
      <c r="C3829" s="1001"/>
      <c r="G3829" s="983" t="s">
        <v>1109</v>
      </c>
    </row>
    <row r="3830" spans="1:9" x14ac:dyDescent="0.2">
      <c r="A3830" s="997">
        <f t="shared" si="59"/>
        <v>3829</v>
      </c>
      <c r="B3830" s="983" t="s">
        <v>2713</v>
      </c>
      <c r="C3830" s="1000"/>
      <c r="G3830" s="983" t="s">
        <v>1106</v>
      </c>
    </row>
    <row r="3831" spans="1:9" x14ac:dyDescent="0.2">
      <c r="A3831" s="997">
        <f t="shared" si="59"/>
        <v>3830</v>
      </c>
      <c r="B3831" s="983" t="s">
        <v>2713</v>
      </c>
      <c r="C3831" s="1000"/>
      <c r="H3831" s="983" t="s">
        <v>1107</v>
      </c>
    </row>
    <row r="3832" spans="1:9" x14ac:dyDescent="0.2">
      <c r="A3832" s="997">
        <f t="shared" si="59"/>
        <v>3831</v>
      </c>
      <c r="B3832" s="983" t="s">
        <v>2713</v>
      </c>
      <c r="C3832" s="1000"/>
      <c r="I3832" s="983" t="s">
        <v>1712</v>
      </c>
    </row>
    <row r="3833" spans="1:9" x14ac:dyDescent="0.2">
      <c r="A3833" s="997">
        <f t="shared" si="59"/>
        <v>3832</v>
      </c>
      <c r="B3833" s="983" t="s">
        <v>2713</v>
      </c>
      <c r="C3833" s="999"/>
      <c r="H3833" s="983" t="s">
        <v>1108</v>
      </c>
    </row>
    <row r="3834" spans="1:9" x14ac:dyDescent="0.2">
      <c r="A3834" s="997">
        <f t="shared" si="59"/>
        <v>3833</v>
      </c>
      <c r="B3834" s="983" t="s">
        <v>2713</v>
      </c>
      <c r="C3834" s="999"/>
      <c r="H3834" s="983" t="str">
        <f>CONCATENATE("&lt;valeur&gt;",Cellule_983,"&lt;/valeur&gt;")</f>
        <v>&lt;valeur&gt;0&lt;/valeur&gt;</v>
      </c>
    </row>
    <row r="3835" spans="1:9" x14ac:dyDescent="0.2">
      <c r="A3835" s="997">
        <f t="shared" si="59"/>
        <v>3834</v>
      </c>
      <c r="B3835" s="983" t="s">
        <v>2713</v>
      </c>
      <c r="C3835" s="1000"/>
      <c r="G3835" s="983" t="s">
        <v>1109</v>
      </c>
    </row>
    <row r="3836" spans="1:9" x14ac:dyDescent="0.2">
      <c r="A3836" s="997">
        <f t="shared" si="59"/>
        <v>3835</v>
      </c>
      <c r="B3836" s="983" t="s">
        <v>2713</v>
      </c>
      <c r="C3836" s="1001"/>
      <c r="G3836" s="983" t="s">
        <v>1106</v>
      </c>
    </row>
    <row r="3837" spans="1:9" x14ac:dyDescent="0.2">
      <c r="A3837" s="997">
        <f t="shared" si="59"/>
        <v>3836</v>
      </c>
      <c r="B3837" s="983" t="s">
        <v>2713</v>
      </c>
      <c r="C3837" s="1000"/>
      <c r="H3837" s="983" t="s">
        <v>1107</v>
      </c>
    </row>
    <row r="3838" spans="1:9" x14ac:dyDescent="0.2">
      <c r="A3838" s="997">
        <f t="shared" si="59"/>
        <v>3837</v>
      </c>
      <c r="B3838" s="983" t="s">
        <v>2713</v>
      </c>
      <c r="C3838" s="1000"/>
      <c r="I3838" s="983" t="s">
        <v>1713</v>
      </c>
    </row>
    <row r="3839" spans="1:9" x14ac:dyDescent="0.2">
      <c r="A3839" s="997">
        <f t="shared" si="59"/>
        <v>3838</v>
      </c>
      <c r="B3839" s="983" t="s">
        <v>2713</v>
      </c>
      <c r="C3839" s="1000"/>
      <c r="H3839" s="983" t="s">
        <v>1108</v>
      </c>
    </row>
    <row r="3840" spans="1:9" x14ac:dyDescent="0.2">
      <c r="A3840" s="997">
        <f t="shared" si="59"/>
        <v>3839</v>
      </c>
      <c r="B3840" s="983" t="s">
        <v>2713</v>
      </c>
      <c r="C3840" s="999"/>
      <c r="H3840" s="983" t="str">
        <f>CONCATENATE("&lt;valeur&gt;",Cellule_984,"&lt;/valeur&gt;")</f>
        <v>&lt;valeur&gt;0&lt;/valeur&gt;</v>
      </c>
    </row>
    <row r="3841" spans="1:9" x14ac:dyDescent="0.2">
      <c r="A3841" s="997">
        <f t="shared" si="59"/>
        <v>3840</v>
      </c>
      <c r="B3841" s="983" t="s">
        <v>2713</v>
      </c>
      <c r="C3841" s="999"/>
      <c r="G3841" s="983" t="s">
        <v>1109</v>
      </c>
    </row>
    <row r="3842" spans="1:9" x14ac:dyDescent="0.2">
      <c r="A3842" s="997">
        <f t="shared" si="59"/>
        <v>3841</v>
      </c>
      <c r="B3842" s="983" t="s">
        <v>2713</v>
      </c>
      <c r="C3842" s="1000"/>
      <c r="G3842" s="983" t="s">
        <v>1106</v>
      </c>
    </row>
    <row r="3843" spans="1:9" x14ac:dyDescent="0.2">
      <c r="A3843" s="997">
        <f t="shared" si="59"/>
        <v>3842</v>
      </c>
      <c r="B3843" s="983" t="s">
        <v>2713</v>
      </c>
      <c r="C3843" s="1001"/>
      <c r="H3843" s="983" t="s">
        <v>1107</v>
      </c>
    </row>
    <row r="3844" spans="1:9" x14ac:dyDescent="0.2">
      <c r="A3844" s="997">
        <f t="shared" ref="A3844:A3907" si="60">+A3843+1</f>
        <v>3843</v>
      </c>
      <c r="B3844" s="983" t="s">
        <v>2713</v>
      </c>
      <c r="C3844" s="1000"/>
      <c r="I3844" s="983" t="s">
        <v>1714</v>
      </c>
    </row>
    <row r="3845" spans="1:9" x14ac:dyDescent="0.2">
      <c r="A3845" s="997">
        <f t="shared" si="60"/>
        <v>3844</v>
      </c>
      <c r="B3845" s="983" t="s">
        <v>2713</v>
      </c>
      <c r="C3845" s="1000"/>
      <c r="H3845" s="983" t="s">
        <v>1108</v>
      </c>
    </row>
    <row r="3846" spans="1:9" x14ac:dyDescent="0.2">
      <c r="A3846" s="997">
        <f t="shared" si="60"/>
        <v>3845</v>
      </c>
      <c r="B3846" s="983" t="s">
        <v>2713</v>
      </c>
      <c r="C3846" s="1000"/>
      <c r="H3846" s="983" t="str">
        <f>CONCATENATE("&lt;valeur&gt;",Cellule_985,"&lt;/valeur&gt;")</f>
        <v>&lt;valeur&gt;0&lt;/valeur&gt;</v>
      </c>
    </row>
    <row r="3847" spans="1:9" x14ac:dyDescent="0.2">
      <c r="A3847" s="997">
        <f t="shared" si="60"/>
        <v>3846</v>
      </c>
      <c r="B3847" s="983" t="s">
        <v>2713</v>
      </c>
      <c r="C3847" s="999"/>
      <c r="G3847" s="983" t="s">
        <v>1109</v>
      </c>
    </row>
    <row r="3848" spans="1:9" x14ac:dyDescent="0.2">
      <c r="A3848" s="997">
        <f t="shared" si="60"/>
        <v>3847</v>
      </c>
      <c r="B3848" s="983" t="s">
        <v>2713</v>
      </c>
      <c r="C3848" s="999"/>
      <c r="G3848" s="983" t="s">
        <v>1106</v>
      </c>
    </row>
    <row r="3849" spans="1:9" x14ac:dyDescent="0.2">
      <c r="A3849" s="997">
        <f t="shared" si="60"/>
        <v>3848</v>
      </c>
      <c r="B3849" s="983" t="s">
        <v>2713</v>
      </c>
      <c r="C3849" s="1000"/>
      <c r="H3849" s="983" t="s">
        <v>1107</v>
      </c>
    </row>
    <row r="3850" spans="1:9" x14ac:dyDescent="0.2">
      <c r="A3850" s="997">
        <f t="shared" si="60"/>
        <v>3849</v>
      </c>
      <c r="B3850" s="983" t="s">
        <v>2713</v>
      </c>
      <c r="C3850" s="1001"/>
      <c r="I3850" s="983" t="s">
        <v>1715</v>
      </c>
    </row>
    <row r="3851" spans="1:9" x14ac:dyDescent="0.2">
      <c r="A3851" s="997">
        <f t="shared" si="60"/>
        <v>3850</v>
      </c>
      <c r="B3851" s="983" t="s">
        <v>2713</v>
      </c>
      <c r="C3851" s="1000"/>
      <c r="H3851" s="983" t="s">
        <v>1108</v>
      </c>
    </row>
    <row r="3852" spans="1:9" x14ac:dyDescent="0.2">
      <c r="A3852" s="997">
        <f t="shared" si="60"/>
        <v>3851</v>
      </c>
      <c r="B3852" s="983" t="s">
        <v>2713</v>
      </c>
      <c r="C3852" s="1000"/>
      <c r="H3852" s="983" t="str">
        <f>CONCATENATE("&lt;valeur&gt;",Cellule_986,"&lt;/valeur&gt;")</f>
        <v>&lt;valeur&gt;0&lt;/valeur&gt;</v>
      </c>
    </row>
    <row r="3853" spans="1:9" x14ac:dyDescent="0.2">
      <c r="A3853" s="997">
        <f t="shared" si="60"/>
        <v>3852</v>
      </c>
      <c r="B3853" s="983" t="s">
        <v>2713</v>
      </c>
      <c r="C3853" s="999"/>
      <c r="G3853" s="983" t="s">
        <v>1109</v>
      </c>
    </row>
    <row r="3854" spans="1:9" x14ac:dyDescent="0.2">
      <c r="A3854" s="997">
        <f t="shared" si="60"/>
        <v>3853</v>
      </c>
      <c r="B3854" s="983" t="s">
        <v>2713</v>
      </c>
      <c r="C3854" s="999"/>
      <c r="G3854" s="983" t="s">
        <v>1106</v>
      </c>
    </row>
    <row r="3855" spans="1:9" x14ac:dyDescent="0.2">
      <c r="A3855" s="997">
        <f t="shared" si="60"/>
        <v>3854</v>
      </c>
      <c r="B3855" s="983" t="s">
        <v>2713</v>
      </c>
      <c r="C3855" s="1000"/>
      <c r="H3855" s="983" t="s">
        <v>1107</v>
      </c>
    </row>
    <row r="3856" spans="1:9" x14ac:dyDescent="0.2">
      <c r="A3856" s="997">
        <f t="shared" si="60"/>
        <v>3855</v>
      </c>
      <c r="B3856" s="983" t="s">
        <v>2713</v>
      </c>
      <c r="C3856" s="1001"/>
      <c r="I3856" s="983" t="s">
        <v>1716</v>
      </c>
    </row>
    <row r="3857" spans="1:9" x14ac:dyDescent="0.2">
      <c r="A3857" s="997">
        <f t="shared" si="60"/>
        <v>3856</v>
      </c>
      <c r="B3857" s="983" t="s">
        <v>2713</v>
      </c>
      <c r="C3857" s="1000"/>
      <c r="H3857" s="983" t="s">
        <v>1108</v>
      </c>
    </row>
    <row r="3858" spans="1:9" x14ac:dyDescent="0.2">
      <c r="A3858" s="997">
        <f t="shared" si="60"/>
        <v>3857</v>
      </c>
      <c r="B3858" s="983" t="s">
        <v>2713</v>
      </c>
      <c r="C3858" s="1000"/>
      <c r="H3858" s="983" t="str">
        <f>CONCATENATE("&lt;valeur&gt;",Cellule_10074,"&lt;/valeur&gt;")</f>
        <v>&lt;valeur&gt;0&lt;/valeur&gt;</v>
      </c>
    </row>
    <row r="3859" spans="1:9" x14ac:dyDescent="0.2">
      <c r="A3859" s="997">
        <f t="shared" si="60"/>
        <v>3858</v>
      </c>
      <c r="B3859" s="983" t="s">
        <v>2713</v>
      </c>
      <c r="C3859" s="999"/>
      <c r="G3859" s="983" t="s">
        <v>1109</v>
      </c>
    </row>
    <row r="3860" spans="1:9" x14ac:dyDescent="0.2">
      <c r="A3860" s="997">
        <f t="shared" si="60"/>
        <v>3859</v>
      </c>
      <c r="B3860" s="983" t="s">
        <v>2713</v>
      </c>
      <c r="C3860" s="999"/>
      <c r="G3860" s="983" t="s">
        <v>1106</v>
      </c>
    </row>
    <row r="3861" spans="1:9" x14ac:dyDescent="0.2">
      <c r="A3861" s="997">
        <f t="shared" si="60"/>
        <v>3860</v>
      </c>
      <c r="B3861" s="983" t="s">
        <v>2713</v>
      </c>
      <c r="C3861" s="1000"/>
      <c r="H3861" s="983" t="s">
        <v>1107</v>
      </c>
    </row>
    <row r="3862" spans="1:9" x14ac:dyDescent="0.2">
      <c r="A3862" s="997">
        <f t="shared" si="60"/>
        <v>3861</v>
      </c>
      <c r="B3862" s="983" t="s">
        <v>2713</v>
      </c>
      <c r="C3862" s="1001"/>
      <c r="I3862" s="983" t="s">
        <v>1717</v>
      </c>
    </row>
    <row r="3863" spans="1:9" x14ac:dyDescent="0.2">
      <c r="A3863" s="997">
        <f t="shared" si="60"/>
        <v>3862</v>
      </c>
      <c r="B3863" s="983" t="s">
        <v>2713</v>
      </c>
      <c r="C3863" s="1000"/>
      <c r="H3863" s="983" t="s">
        <v>1108</v>
      </c>
    </row>
    <row r="3864" spans="1:9" x14ac:dyDescent="0.2">
      <c r="A3864" s="997">
        <f t="shared" si="60"/>
        <v>3863</v>
      </c>
      <c r="B3864" s="983" t="s">
        <v>2713</v>
      </c>
      <c r="C3864" s="1000"/>
      <c r="H3864" s="983" t="str">
        <f>CONCATENATE("&lt;valeur&gt;",Cellule_997,"&lt;/valeur&gt;")</f>
        <v>&lt;valeur&gt;0&lt;/valeur&gt;</v>
      </c>
    </row>
    <row r="3865" spans="1:9" x14ac:dyDescent="0.2">
      <c r="A3865" s="997">
        <f t="shared" si="60"/>
        <v>3864</v>
      </c>
      <c r="B3865" s="983" t="s">
        <v>2713</v>
      </c>
      <c r="C3865" s="999"/>
      <c r="G3865" s="983" t="s">
        <v>1109</v>
      </c>
    </row>
    <row r="3866" spans="1:9" x14ac:dyDescent="0.2">
      <c r="A3866" s="997">
        <f t="shared" si="60"/>
        <v>3865</v>
      </c>
      <c r="B3866" s="983" t="s">
        <v>2713</v>
      </c>
      <c r="C3866" s="999"/>
      <c r="G3866" s="983" t="s">
        <v>1106</v>
      </c>
    </row>
    <row r="3867" spans="1:9" x14ac:dyDescent="0.2">
      <c r="A3867" s="997">
        <f t="shared" si="60"/>
        <v>3866</v>
      </c>
      <c r="B3867" s="983" t="s">
        <v>2713</v>
      </c>
      <c r="C3867" s="1000"/>
      <c r="H3867" s="983" t="s">
        <v>1107</v>
      </c>
    </row>
    <row r="3868" spans="1:9" x14ac:dyDescent="0.2">
      <c r="A3868" s="997">
        <f t="shared" si="60"/>
        <v>3867</v>
      </c>
      <c r="B3868" s="983" t="s">
        <v>2713</v>
      </c>
      <c r="C3868" s="1001"/>
      <c r="I3868" s="983" t="s">
        <v>1718</v>
      </c>
    </row>
    <row r="3869" spans="1:9" x14ac:dyDescent="0.2">
      <c r="A3869" s="997">
        <f t="shared" si="60"/>
        <v>3868</v>
      </c>
      <c r="B3869" s="983" t="s">
        <v>2713</v>
      </c>
      <c r="C3869" s="1000"/>
      <c r="H3869" s="983" t="s">
        <v>1108</v>
      </c>
    </row>
    <row r="3870" spans="1:9" x14ac:dyDescent="0.2">
      <c r="A3870" s="997">
        <f t="shared" si="60"/>
        <v>3869</v>
      </c>
      <c r="B3870" s="983" t="s">
        <v>2713</v>
      </c>
      <c r="C3870" s="1000"/>
      <c r="H3870" s="983" t="str">
        <f>CONCATENATE("&lt;valeur&gt;",Cellule_998,"&lt;/valeur&gt;")</f>
        <v>&lt;valeur&gt;0&lt;/valeur&gt;</v>
      </c>
    </row>
    <row r="3871" spans="1:9" x14ac:dyDescent="0.2">
      <c r="A3871" s="997">
        <f t="shared" si="60"/>
        <v>3870</v>
      </c>
      <c r="B3871" s="983" t="s">
        <v>2713</v>
      </c>
      <c r="C3871" s="999"/>
      <c r="G3871" s="983" t="s">
        <v>1109</v>
      </c>
    </row>
    <row r="3872" spans="1:9" x14ac:dyDescent="0.2">
      <c r="A3872" s="997">
        <f t="shared" si="60"/>
        <v>3871</v>
      </c>
      <c r="B3872" s="983" t="s">
        <v>2713</v>
      </c>
      <c r="C3872" s="999"/>
      <c r="G3872" s="983" t="s">
        <v>1106</v>
      </c>
    </row>
    <row r="3873" spans="1:9" x14ac:dyDescent="0.2">
      <c r="A3873" s="997">
        <f t="shared" si="60"/>
        <v>3872</v>
      </c>
      <c r="B3873" s="983" t="s">
        <v>2713</v>
      </c>
      <c r="C3873" s="1000"/>
      <c r="H3873" s="983" t="s">
        <v>1107</v>
      </c>
    </row>
    <row r="3874" spans="1:9" x14ac:dyDescent="0.2">
      <c r="A3874" s="997">
        <f t="shared" si="60"/>
        <v>3873</v>
      </c>
      <c r="B3874" s="983" t="s">
        <v>2713</v>
      </c>
      <c r="C3874" s="1001"/>
      <c r="I3874" s="983" t="s">
        <v>1719</v>
      </c>
    </row>
    <row r="3875" spans="1:9" x14ac:dyDescent="0.2">
      <c r="A3875" s="997">
        <f t="shared" si="60"/>
        <v>3874</v>
      </c>
      <c r="B3875" s="983" t="s">
        <v>2713</v>
      </c>
      <c r="C3875" s="1000"/>
      <c r="H3875" s="983" t="s">
        <v>1108</v>
      </c>
    </row>
    <row r="3876" spans="1:9" x14ac:dyDescent="0.2">
      <c r="A3876" s="997">
        <f t="shared" si="60"/>
        <v>3875</v>
      </c>
      <c r="B3876" s="983" t="s">
        <v>2713</v>
      </c>
      <c r="C3876" s="1000"/>
      <c r="H3876" s="983" t="str">
        <f>CONCATENATE("&lt;valeur&gt;",Cellule_999,"&lt;/valeur&gt;")</f>
        <v>&lt;valeur&gt;0&lt;/valeur&gt;</v>
      </c>
    </row>
    <row r="3877" spans="1:9" x14ac:dyDescent="0.2">
      <c r="A3877" s="997">
        <f t="shared" si="60"/>
        <v>3876</v>
      </c>
      <c r="B3877" s="983" t="s">
        <v>2713</v>
      </c>
      <c r="C3877" s="999"/>
      <c r="G3877" s="983" t="s">
        <v>1109</v>
      </c>
    </row>
    <row r="3878" spans="1:9" x14ac:dyDescent="0.2">
      <c r="A3878" s="997">
        <f t="shared" si="60"/>
        <v>3877</v>
      </c>
      <c r="B3878" s="983" t="s">
        <v>2713</v>
      </c>
      <c r="C3878" s="999"/>
      <c r="G3878" s="983" t="s">
        <v>1106</v>
      </c>
    </row>
    <row r="3879" spans="1:9" x14ac:dyDescent="0.2">
      <c r="A3879" s="997">
        <f t="shared" si="60"/>
        <v>3878</v>
      </c>
      <c r="B3879" s="983" t="s">
        <v>2713</v>
      </c>
      <c r="C3879" s="1000"/>
      <c r="H3879" s="983" t="s">
        <v>1107</v>
      </c>
    </row>
    <row r="3880" spans="1:9" x14ac:dyDescent="0.2">
      <c r="A3880" s="997">
        <f t="shared" si="60"/>
        <v>3879</v>
      </c>
      <c r="B3880" s="983" t="s">
        <v>2713</v>
      </c>
      <c r="C3880" s="1001"/>
      <c r="I3880" s="983" t="s">
        <v>1720</v>
      </c>
    </row>
    <row r="3881" spans="1:9" x14ac:dyDescent="0.2">
      <c r="A3881" s="997">
        <f t="shared" si="60"/>
        <v>3880</v>
      </c>
      <c r="B3881" s="983" t="s">
        <v>2713</v>
      </c>
      <c r="C3881" s="1000"/>
      <c r="H3881" s="983" t="s">
        <v>1108</v>
      </c>
    </row>
    <row r="3882" spans="1:9" x14ac:dyDescent="0.2">
      <c r="A3882" s="997">
        <f t="shared" si="60"/>
        <v>3881</v>
      </c>
      <c r="B3882" s="983" t="s">
        <v>2713</v>
      </c>
      <c r="C3882" s="1000"/>
      <c r="H3882" s="983" t="str">
        <f>CONCATENATE("&lt;valeur&gt;",Cellule_1000,"&lt;/valeur&gt;")</f>
        <v>&lt;valeur&gt;0&lt;/valeur&gt;</v>
      </c>
    </row>
    <row r="3883" spans="1:9" x14ac:dyDescent="0.2">
      <c r="A3883" s="997">
        <f t="shared" si="60"/>
        <v>3882</v>
      </c>
      <c r="B3883" s="983" t="s">
        <v>2713</v>
      </c>
      <c r="C3883" s="999"/>
      <c r="G3883" s="983" t="s">
        <v>1109</v>
      </c>
    </row>
    <row r="3884" spans="1:9" x14ac:dyDescent="0.2">
      <c r="A3884" s="997">
        <f t="shared" si="60"/>
        <v>3883</v>
      </c>
      <c r="B3884" s="983" t="s">
        <v>2713</v>
      </c>
      <c r="C3884" s="999"/>
      <c r="G3884" s="983" t="s">
        <v>1106</v>
      </c>
    </row>
    <row r="3885" spans="1:9" x14ac:dyDescent="0.2">
      <c r="A3885" s="997">
        <f t="shared" si="60"/>
        <v>3884</v>
      </c>
      <c r="B3885" s="983" t="s">
        <v>2713</v>
      </c>
      <c r="C3885" s="1000"/>
      <c r="H3885" s="983" t="s">
        <v>1107</v>
      </c>
    </row>
    <row r="3886" spans="1:9" x14ac:dyDescent="0.2">
      <c r="A3886" s="997">
        <f t="shared" si="60"/>
        <v>3885</v>
      </c>
      <c r="B3886" s="983" t="s">
        <v>2713</v>
      </c>
      <c r="C3886" s="1001"/>
      <c r="I3886" s="983" t="s">
        <v>1721</v>
      </c>
    </row>
    <row r="3887" spans="1:9" x14ac:dyDescent="0.2">
      <c r="A3887" s="997">
        <f t="shared" si="60"/>
        <v>3886</v>
      </c>
      <c r="B3887" s="983" t="s">
        <v>2713</v>
      </c>
      <c r="C3887" s="1000"/>
      <c r="H3887" s="983" t="s">
        <v>1108</v>
      </c>
    </row>
    <row r="3888" spans="1:9" x14ac:dyDescent="0.2">
      <c r="A3888" s="997">
        <f t="shared" si="60"/>
        <v>3887</v>
      </c>
      <c r="B3888" s="983" t="s">
        <v>2713</v>
      </c>
      <c r="C3888" s="1000"/>
      <c r="H3888" s="983" t="str">
        <f>CONCATENATE("&lt;valeur&gt;",Cellule_10075,"&lt;/valeur&gt;")</f>
        <v>&lt;valeur&gt;0&lt;/valeur&gt;</v>
      </c>
    </row>
    <row r="3889" spans="1:9" x14ac:dyDescent="0.2">
      <c r="A3889" s="997">
        <f t="shared" si="60"/>
        <v>3888</v>
      </c>
      <c r="B3889" s="983" t="s">
        <v>2713</v>
      </c>
      <c r="C3889" s="999"/>
      <c r="G3889" s="983" t="s">
        <v>1109</v>
      </c>
    </row>
    <row r="3890" spans="1:9" x14ac:dyDescent="0.2">
      <c r="A3890" s="997">
        <f t="shared" si="60"/>
        <v>3889</v>
      </c>
      <c r="B3890" s="983" t="s">
        <v>2713</v>
      </c>
      <c r="C3890" s="999"/>
      <c r="G3890" s="983" t="s">
        <v>1106</v>
      </c>
    </row>
    <row r="3891" spans="1:9" x14ac:dyDescent="0.2">
      <c r="A3891" s="997">
        <f t="shared" si="60"/>
        <v>3890</v>
      </c>
      <c r="B3891" s="983" t="s">
        <v>2713</v>
      </c>
      <c r="C3891" s="1000"/>
      <c r="H3891" s="983" t="s">
        <v>1107</v>
      </c>
    </row>
    <row r="3892" spans="1:9" x14ac:dyDescent="0.2">
      <c r="A3892" s="997">
        <f t="shared" si="60"/>
        <v>3891</v>
      </c>
      <c r="B3892" s="983" t="s">
        <v>2713</v>
      </c>
      <c r="C3892" s="1001"/>
      <c r="I3892" s="983" t="s">
        <v>1722</v>
      </c>
    </row>
    <row r="3893" spans="1:9" x14ac:dyDescent="0.2">
      <c r="A3893" s="997">
        <f t="shared" si="60"/>
        <v>3892</v>
      </c>
      <c r="B3893" s="983" t="s">
        <v>2713</v>
      </c>
      <c r="C3893" s="1000"/>
      <c r="H3893" s="983" t="s">
        <v>1108</v>
      </c>
    </row>
    <row r="3894" spans="1:9" x14ac:dyDescent="0.2">
      <c r="A3894" s="997">
        <f t="shared" si="60"/>
        <v>3893</v>
      </c>
      <c r="B3894" s="983" t="s">
        <v>2713</v>
      </c>
      <c r="C3894" s="1000"/>
      <c r="H3894" s="983" t="str">
        <f>CONCATENATE("&lt;valeur&gt;",Cellule_1011,"&lt;/valeur&gt;")</f>
        <v>&lt;valeur&gt;0&lt;/valeur&gt;</v>
      </c>
    </row>
    <row r="3895" spans="1:9" x14ac:dyDescent="0.2">
      <c r="A3895" s="997">
        <f t="shared" si="60"/>
        <v>3894</v>
      </c>
      <c r="B3895" s="983" t="s">
        <v>2713</v>
      </c>
      <c r="C3895" s="999"/>
      <c r="G3895" s="983" t="s">
        <v>1109</v>
      </c>
    </row>
    <row r="3896" spans="1:9" x14ac:dyDescent="0.2">
      <c r="A3896" s="997">
        <f t="shared" si="60"/>
        <v>3895</v>
      </c>
      <c r="B3896" s="983" t="s">
        <v>2713</v>
      </c>
      <c r="C3896" s="999"/>
      <c r="G3896" s="983" t="s">
        <v>1106</v>
      </c>
    </row>
    <row r="3897" spans="1:9" x14ac:dyDescent="0.2">
      <c r="A3897" s="997">
        <f t="shared" si="60"/>
        <v>3896</v>
      </c>
      <c r="B3897" s="983" t="s">
        <v>2713</v>
      </c>
      <c r="C3897" s="1000"/>
      <c r="H3897" s="983" t="s">
        <v>1107</v>
      </c>
    </row>
    <row r="3898" spans="1:9" x14ac:dyDescent="0.2">
      <c r="A3898" s="997">
        <f t="shared" si="60"/>
        <v>3897</v>
      </c>
      <c r="B3898" s="983" t="s">
        <v>2713</v>
      </c>
      <c r="C3898" s="1001"/>
      <c r="I3898" s="983" t="s">
        <v>1723</v>
      </c>
    </row>
    <row r="3899" spans="1:9" x14ac:dyDescent="0.2">
      <c r="A3899" s="997">
        <f t="shared" si="60"/>
        <v>3898</v>
      </c>
      <c r="B3899" s="983" t="s">
        <v>2713</v>
      </c>
      <c r="C3899" s="1000"/>
      <c r="H3899" s="983" t="s">
        <v>1108</v>
      </c>
    </row>
    <row r="3900" spans="1:9" x14ac:dyDescent="0.2">
      <c r="A3900" s="997">
        <f t="shared" si="60"/>
        <v>3899</v>
      </c>
      <c r="B3900" s="983" t="s">
        <v>2713</v>
      </c>
      <c r="C3900" s="1000"/>
      <c r="H3900" s="983" t="str">
        <f>CONCATENATE("&lt;valeur&gt;",Cellule_1012,"&lt;/valeur&gt;")</f>
        <v>&lt;valeur&gt;0&lt;/valeur&gt;</v>
      </c>
    </row>
    <row r="3901" spans="1:9" x14ac:dyDescent="0.2">
      <c r="A3901" s="997">
        <f t="shared" si="60"/>
        <v>3900</v>
      </c>
      <c r="B3901" s="983" t="s">
        <v>2713</v>
      </c>
      <c r="C3901" s="999"/>
      <c r="G3901" s="983" t="s">
        <v>1109</v>
      </c>
    </row>
    <row r="3902" spans="1:9" x14ac:dyDescent="0.2">
      <c r="A3902" s="997">
        <f t="shared" si="60"/>
        <v>3901</v>
      </c>
      <c r="B3902" s="983" t="s">
        <v>2713</v>
      </c>
      <c r="C3902" s="999"/>
      <c r="G3902" s="983" t="s">
        <v>1106</v>
      </c>
    </row>
    <row r="3903" spans="1:9" x14ac:dyDescent="0.2">
      <c r="A3903" s="997">
        <f t="shared" si="60"/>
        <v>3902</v>
      </c>
      <c r="B3903" s="983" t="s">
        <v>2713</v>
      </c>
      <c r="C3903" s="1000"/>
      <c r="H3903" s="983" t="s">
        <v>1107</v>
      </c>
    </row>
    <row r="3904" spans="1:9" x14ac:dyDescent="0.2">
      <c r="A3904" s="997">
        <f t="shared" si="60"/>
        <v>3903</v>
      </c>
      <c r="B3904" s="983" t="s">
        <v>2713</v>
      </c>
      <c r="C3904" s="1001"/>
      <c r="I3904" s="983" t="s">
        <v>1724</v>
      </c>
    </row>
    <row r="3905" spans="1:9" x14ac:dyDescent="0.2">
      <c r="A3905" s="997">
        <f t="shared" si="60"/>
        <v>3904</v>
      </c>
      <c r="B3905" s="983" t="s">
        <v>2713</v>
      </c>
      <c r="C3905" s="1000"/>
      <c r="H3905" s="983" t="s">
        <v>1108</v>
      </c>
    </row>
    <row r="3906" spans="1:9" x14ac:dyDescent="0.2">
      <c r="A3906" s="997">
        <f t="shared" si="60"/>
        <v>3905</v>
      </c>
      <c r="B3906" s="983" t="s">
        <v>2713</v>
      </c>
      <c r="C3906" s="1000"/>
      <c r="H3906" s="983" t="str">
        <f>CONCATENATE("&lt;valeur&gt;",Cellule_1013,"&lt;/valeur&gt;")</f>
        <v>&lt;valeur&gt;0&lt;/valeur&gt;</v>
      </c>
    </row>
    <row r="3907" spans="1:9" x14ac:dyDescent="0.2">
      <c r="A3907" s="997">
        <f t="shared" si="60"/>
        <v>3906</v>
      </c>
      <c r="B3907" s="983" t="s">
        <v>2713</v>
      </c>
      <c r="C3907" s="999"/>
      <c r="G3907" s="983" t="s">
        <v>1109</v>
      </c>
    </row>
    <row r="3908" spans="1:9" x14ac:dyDescent="0.2">
      <c r="A3908" s="997">
        <f t="shared" ref="A3908:A3971" si="61">+A3907+1</f>
        <v>3907</v>
      </c>
      <c r="B3908" s="983" t="s">
        <v>2713</v>
      </c>
      <c r="C3908" s="999"/>
      <c r="G3908" s="983" t="s">
        <v>1106</v>
      </c>
    </row>
    <row r="3909" spans="1:9" x14ac:dyDescent="0.2">
      <c r="A3909" s="997">
        <f t="shared" si="61"/>
        <v>3908</v>
      </c>
      <c r="B3909" s="983" t="s">
        <v>2713</v>
      </c>
      <c r="C3909" s="1000"/>
      <c r="H3909" s="983" t="s">
        <v>1107</v>
      </c>
    </row>
    <row r="3910" spans="1:9" x14ac:dyDescent="0.2">
      <c r="A3910" s="997">
        <f t="shared" si="61"/>
        <v>3909</v>
      </c>
      <c r="B3910" s="983" t="s">
        <v>2713</v>
      </c>
      <c r="C3910" s="1001"/>
      <c r="I3910" s="983" t="s">
        <v>1725</v>
      </c>
    </row>
    <row r="3911" spans="1:9" x14ac:dyDescent="0.2">
      <c r="A3911" s="997">
        <f t="shared" si="61"/>
        <v>3910</v>
      </c>
      <c r="B3911" s="983" t="s">
        <v>2713</v>
      </c>
      <c r="C3911" s="1000"/>
      <c r="H3911" s="983" t="s">
        <v>1108</v>
      </c>
    </row>
    <row r="3912" spans="1:9" x14ac:dyDescent="0.2">
      <c r="A3912" s="997">
        <f t="shared" si="61"/>
        <v>3911</v>
      </c>
      <c r="B3912" s="983" t="s">
        <v>2713</v>
      </c>
      <c r="C3912" s="1000"/>
      <c r="H3912" s="983" t="str">
        <f>CONCATENATE("&lt;valeur&gt;",Cellule_1014,"&lt;/valeur&gt;")</f>
        <v>&lt;valeur&gt;0&lt;/valeur&gt;</v>
      </c>
    </row>
    <row r="3913" spans="1:9" x14ac:dyDescent="0.2">
      <c r="A3913" s="997">
        <f t="shared" si="61"/>
        <v>3912</v>
      </c>
      <c r="B3913" s="983" t="s">
        <v>2713</v>
      </c>
      <c r="C3913" s="999"/>
      <c r="G3913" s="983" t="s">
        <v>1109</v>
      </c>
    </row>
    <row r="3914" spans="1:9" x14ac:dyDescent="0.2">
      <c r="A3914" s="997">
        <f t="shared" si="61"/>
        <v>3913</v>
      </c>
      <c r="B3914" s="983" t="s">
        <v>2713</v>
      </c>
      <c r="C3914" s="999"/>
      <c r="G3914" s="983" t="s">
        <v>1106</v>
      </c>
    </row>
    <row r="3915" spans="1:9" x14ac:dyDescent="0.2">
      <c r="A3915" s="997">
        <f t="shared" si="61"/>
        <v>3914</v>
      </c>
      <c r="B3915" s="983" t="s">
        <v>2713</v>
      </c>
      <c r="C3915" s="1000"/>
      <c r="H3915" s="983" t="s">
        <v>1107</v>
      </c>
    </row>
    <row r="3916" spans="1:9" x14ac:dyDescent="0.2">
      <c r="A3916" s="997">
        <f t="shared" si="61"/>
        <v>3915</v>
      </c>
      <c r="B3916" s="983" t="s">
        <v>2713</v>
      </c>
      <c r="C3916" s="1001"/>
      <c r="I3916" s="983" t="s">
        <v>1726</v>
      </c>
    </row>
    <row r="3917" spans="1:9" x14ac:dyDescent="0.2">
      <c r="A3917" s="997">
        <f t="shared" si="61"/>
        <v>3916</v>
      </c>
      <c r="B3917" s="983" t="s">
        <v>2713</v>
      </c>
      <c r="C3917" s="1000"/>
      <c r="H3917" s="983" t="s">
        <v>1108</v>
      </c>
    </row>
    <row r="3918" spans="1:9" x14ac:dyDescent="0.2">
      <c r="A3918" s="997">
        <f t="shared" si="61"/>
        <v>3917</v>
      </c>
      <c r="B3918" s="983" t="s">
        <v>2713</v>
      </c>
      <c r="C3918" s="1000"/>
      <c r="H3918" s="983" t="str">
        <f>CONCATENATE("&lt;valeur&gt;",Cellule_10076,"&lt;/valeur&gt;")</f>
        <v>&lt;valeur&gt;0&lt;/valeur&gt;</v>
      </c>
    </row>
    <row r="3919" spans="1:9" x14ac:dyDescent="0.2">
      <c r="A3919" s="997">
        <f t="shared" si="61"/>
        <v>3918</v>
      </c>
      <c r="B3919" s="983" t="s">
        <v>2713</v>
      </c>
      <c r="C3919" s="999"/>
      <c r="G3919" s="983" t="s">
        <v>1109</v>
      </c>
    </row>
    <row r="3920" spans="1:9" x14ac:dyDescent="0.2">
      <c r="A3920" s="997">
        <f t="shared" si="61"/>
        <v>3919</v>
      </c>
      <c r="B3920" s="983" t="s">
        <v>2713</v>
      </c>
      <c r="C3920" s="999"/>
      <c r="G3920" s="983" t="s">
        <v>1106</v>
      </c>
    </row>
    <row r="3921" spans="1:9" x14ac:dyDescent="0.2">
      <c r="A3921" s="997">
        <f t="shared" si="61"/>
        <v>3920</v>
      </c>
      <c r="B3921" s="983" t="s">
        <v>2713</v>
      </c>
      <c r="C3921" s="1000"/>
      <c r="H3921" s="983" t="s">
        <v>1107</v>
      </c>
    </row>
    <row r="3922" spans="1:9" x14ac:dyDescent="0.2">
      <c r="A3922" s="997">
        <f t="shared" si="61"/>
        <v>3921</v>
      </c>
      <c r="B3922" s="983" t="s">
        <v>2713</v>
      </c>
      <c r="C3922" s="1001"/>
      <c r="I3922" s="983" t="s">
        <v>1727</v>
      </c>
    </row>
    <row r="3923" spans="1:9" x14ac:dyDescent="0.2">
      <c r="A3923" s="997">
        <f t="shared" si="61"/>
        <v>3922</v>
      </c>
      <c r="B3923" s="983" t="s">
        <v>2713</v>
      </c>
      <c r="C3923" s="1000"/>
      <c r="H3923" s="983" t="s">
        <v>1108</v>
      </c>
    </row>
    <row r="3924" spans="1:9" x14ac:dyDescent="0.2">
      <c r="A3924" s="997">
        <f t="shared" si="61"/>
        <v>3923</v>
      </c>
      <c r="B3924" s="983" t="s">
        <v>2713</v>
      </c>
      <c r="C3924" s="1000"/>
      <c r="H3924" s="983" t="str">
        <f>CONCATENATE("&lt;valeur&gt;",Cellule_1025,"&lt;/valeur&gt;")</f>
        <v>&lt;valeur&gt;0&lt;/valeur&gt;</v>
      </c>
    </row>
    <row r="3925" spans="1:9" x14ac:dyDescent="0.2">
      <c r="A3925" s="997">
        <f t="shared" si="61"/>
        <v>3924</v>
      </c>
      <c r="B3925" s="983" t="s">
        <v>2713</v>
      </c>
      <c r="C3925" s="999"/>
      <c r="G3925" s="983" t="s">
        <v>1109</v>
      </c>
    </row>
    <row r="3926" spans="1:9" x14ac:dyDescent="0.2">
      <c r="A3926" s="997">
        <f t="shared" si="61"/>
        <v>3925</v>
      </c>
      <c r="B3926" s="983" t="s">
        <v>2713</v>
      </c>
      <c r="C3926" s="999"/>
      <c r="G3926" s="983" t="s">
        <v>1106</v>
      </c>
    </row>
    <row r="3927" spans="1:9" x14ac:dyDescent="0.2">
      <c r="A3927" s="997">
        <f t="shared" si="61"/>
        <v>3926</v>
      </c>
      <c r="B3927" s="983" t="s">
        <v>2713</v>
      </c>
      <c r="C3927" s="1000"/>
      <c r="H3927" s="983" t="s">
        <v>1107</v>
      </c>
    </row>
    <row r="3928" spans="1:9" x14ac:dyDescent="0.2">
      <c r="A3928" s="997">
        <f t="shared" si="61"/>
        <v>3927</v>
      </c>
      <c r="B3928" s="983" t="s">
        <v>2713</v>
      </c>
      <c r="C3928" s="1001"/>
      <c r="I3928" s="983" t="s">
        <v>1728</v>
      </c>
    </row>
    <row r="3929" spans="1:9" x14ac:dyDescent="0.2">
      <c r="A3929" s="997">
        <f t="shared" si="61"/>
        <v>3928</v>
      </c>
      <c r="B3929" s="983" t="s">
        <v>2713</v>
      </c>
      <c r="C3929" s="1000"/>
      <c r="H3929" s="983" t="s">
        <v>1108</v>
      </c>
    </row>
    <row r="3930" spans="1:9" x14ac:dyDescent="0.2">
      <c r="A3930" s="997">
        <f t="shared" si="61"/>
        <v>3929</v>
      </c>
      <c r="B3930" s="983" t="s">
        <v>2713</v>
      </c>
      <c r="C3930" s="1000"/>
      <c r="H3930" s="983" t="str">
        <f>CONCATENATE("&lt;valeur&gt;",Cellule_1026,"&lt;/valeur&gt;")</f>
        <v>&lt;valeur&gt;0&lt;/valeur&gt;</v>
      </c>
    </row>
    <row r="3931" spans="1:9" x14ac:dyDescent="0.2">
      <c r="A3931" s="997">
        <f t="shared" si="61"/>
        <v>3930</v>
      </c>
      <c r="B3931" s="983" t="s">
        <v>2713</v>
      </c>
      <c r="C3931" s="999"/>
      <c r="G3931" s="983" t="s">
        <v>1109</v>
      </c>
    </row>
    <row r="3932" spans="1:9" x14ac:dyDescent="0.2">
      <c r="A3932" s="997">
        <f t="shared" si="61"/>
        <v>3931</v>
      </c>
      <c r="B3932" s="983" t="s">
        <v>2713</v>
      </c>
      <c r="C3932" s="999"/>
      <c r="G3932" s="983" t="s">
        <v>1106</v>
      </c>
    </row>
    <row r="3933" spans="1:9" x14ac:dyDescent="0.2">
      <c r="A3933" s="997">
        <f t="shared" si="61"/>
        <v>3932</v>
      </c>
      <c r="B3933" s="983" t="s">
        <v>2713</v>
      </c>
      <c r="C3933" s="1000"/>
      <c r="H3933" s="983" t="s">
        <v>1107</v>
      </c>
    </row>
    <row r="3934" spans="1:9" x14ac:dyDescent="0.2">
      <c r="A3934" s="997">
        <f t="shared" si="61"/>
        <v>3933</v>
      </c>
      <c r="B3934" s="983" t="s">
        <v>2713</v>
      </c>
      <c r="C3934" s="1001"/>
      <c r="I3934" s="983" t="s">
        <v>1729</v>
      </c>
    </row>
    <row r="3935" spans="1:9" x14ac:dyDescent="0.2">
      <c r="A3935" s="997">
        <f t="shared" si="61"/>
        <v>3934</v>
      </c>
      <c r="B3935" s="983" t="s">
        <v>2713</v>
      </c>
      <c r="C3935" s="1000"/>
      <c r="H3935" s="983" t="s">
        <v>1108</v>
      </c>
    </row>
    <row r="3936" spans="1:9" x14ac:dyDescent="0.2">
      <c r="A3936" s="997">
        <f t="shared" si="61"/>
        <v>3935</v>
      </c>
      <c r="B3936" s="983" t="s">
        <v>2713</v>
      </c>
      <c r="C3936" s="1000"/>
      <c r="H3936" s="983" t="str">
        <f>CONCATENATE("&lt;valeur&gt;",Cellule_1027,"&lt;/valeur&gt;")</f>
        <v>&lt;valeur&gt;0&lt;/valeur&gt;</v>
      </c>
    </row>
    <row r="3937" spans="1:9" x14ac:dyDescent="0.2">
      <c r="A3937" s="997">
        <f t="shared" si="61"/>
        <v>3936</v>
      </c>
      <c r="B3937" s="983" t="s">
        <v>2713</v>
      </c>
      <c r="C3937" s="999"/>
      <c r="G3937" s="983" t="s">
        <v>1109</v>
      </c>
    </row>
    <row r="3938" spans="1:9" x14ac:dyDescent="0.2">
      <c r="A3938" s="997">
        <f t="shared" si="61"/>
        <v>3937</v>
      </c>
      <c r="B3938" s="983" t="s">
        <v>2713</v>
      </c>
      <c r="C3938" s="999"/>
      <c r="G3938" s="983" t="s">
        <v>1106</v>
      </c>
    </row>
    <row r="3939" spans="1:9" x14ac:dyDescent="0.2">
      <c r="A3939" s="997">
        <f t="shared" si="61"/>
        <v>3938</v>
      </c>
      <c r="B3939" s="983" t="s">
        <v>2713</v>
      </c>
      <c r="C3939" s="1000"/>
      <c r="H3939" s="983" t="s">
        <v>1107</v>
      </c>
    </row>
    <row r="3940" spans="1:9" x14ac:dyDescent="0.2">
      <c r="A3940" s="997">
        <f t="shared" si="61"/>
        <v>3939</v>
      </c>
      <c r="B3940" s="983" t="s">
        <v>2713</v>
      </c>
      <c r="C3940" s="1001"/>
      <c r="I3940" s="983" t="s">
        <v>1730</v>
      </c>
    </row>
    <row r="3941" spans="1:9" x14ac:dyDescent="0.2">
      <c r="A3941" s="997">
        <f t="shared" si="61"/>
        <v>3940</v>
      </c>
      <c r="B3941" s="983" t="s">
        <v>2713</v>
      </c>
      <c r="C3941" s="1000"/>
      <c r="H3941" s="983" t="s">
        <v>1108</v>
      </c>
    </row>
    <row r="3942" spans="1:9" x14ac:dyDescent="0.2">
      <c r="A3942" s="997">
        <f t="shared" si="61"/>
        <v>3941</v>
      </c>
      <c r="B3942" s="983" t="s">
        <v>2713</v>
      </c>
      <c r="C3942" s="1000"/>
      <c r="H3942" s="983" t="str">
        <f>CONCATENATE("&lt;valeur&gt;",Cellule_1028,"&lt;/valeur&gt;")</f>
        <v>&lt;valeur&gt;0&lt;/valeur&gt;</v>
      </c>
    </row>
    <row r="3943" spans="1:9" x14ac:dyDescent="0.2">
      <c r="A3943" s="997">
        <f t="shared" si="61"/>
        <v>3942</v>
      </c>
      <c r="B3943" s="983" t="s">
        <v>2713</v>
      </c>
      <c r="C3943" s="999"/>
      <c r="G3943" s="983" t="s">
        <v>1109</v>
      </c>
    </row>
    <row r="3944" spans="1:9" x14ac:dyDescent="0.2">
      <c r="A3944" s="997">
        <f t="shared" si="61"/>
        <v>3943</v>
      </c>
      <c r="B3944" s="983" t="s">
        <v>2713</v>
      </c>
      <c r="C3944" s="999"/>
      <c r="G3944" s="983" t="s">
        <v>1106</v>
      </c>
    </row>
    <row r="3945" spans="1:9" x14ac:dyDescent="0.2">
      <c r="A3945" s="997">
        <f t="shared" si="61"/>
        <v>3944</v>
      </c>
      <c r="B3945" s="983" t="s">
        <v>2713</v>
      </c>
      <c r="C3945" s="1000"/>
      <c r="H3945" s="983" t="s">
        <v>1107</v>
      </c>
    </row>
    <row r="3946" spans="1:9" x14ac:dyDescent="0.2">
      <c r="A3946" s="997">
        <f t="shared" si="61"/>
        <v>3945</v>
      </c>
      <c r="B3946" s="983" t="s">
        <v>2713</v>
      </c>
      <c r="C3946" s="1001"/>
      <c r="I3946" s="983" t="s">
        <v>1731</v>
      </c>
    </row>
    <row r="3947" spans="1:9" x14ac:dyDescent="0.2">
      <c r="A3947" s="997">
        <f t="shared" si="61"/>
        <v>3946</v>
      </c>
      <c r="B3947" s="983" t="s">
        <v>2713</v>
      </c>
      <c r="C3947" s="1000"/>
      <c r="H3947" s="983" t="s">
        <v>1108</v>
      </c>
    </row>
    <row r="3948" spans="1:9" x14ac:dyDescent="0.2">
      <c r="A3948" s="997">
        <f t="shared" si="61"/>
        <v>3947</v>
      </c>
      <c r="B3948" s="983" t="s">
        <v>2713</v>
      </c>
      <c r="C3948" s="1000"/>
      <c r="H3948" s="983" t="str">
        <f>CONCATENATE("&lt;valeur&gt;",Cellule_10077,"&lt;/valeur&gt;")</f>
        <v>&lt;valeur&gt;0&lt;/valeur&gt;</v>
      </c>
    </row>
    <row r="3949" spans="1:9" x14ac:dyDescent="0.2">
      <c r="A3949" s="997">
        <f t="shared" si="61"/>
        <v>3948</v>
      </c>
      <c r="B3949" s="983" t="s">
        <v>2713</v>
      </c>
      <c r="C3949" s="999"/>
      <c r="G3949" s="983" t="s">
        <v>1109</v>
      </c>
    </row>
    <row r="3950" spans="1:9" x14ac:dyDescent="0.2">
      <c r="A3950" s="997">
        <f t="shared" si="61"/>
        <v>3949</v>
      </c>
      <c r="B3950" s="983" t="s">
        <v>2713</v>
      </c>
      <c r="C3950" s="999"/>
      <c r="G3950" s="983" t="s">
        <v>1106</v>
      </c>
    </row>
    <row r="3951" spans="1:9" x14ac:dyDescent="0.2">
      <c r="A3951" s="997">
        <f t="shared" si="61"/>
        <v>3950</v>
      </c>
      <c r="B3951" s="983" t="s">
        <v>2713</v>
      </c>
      <c r="C3951" s="1000"/>
      <c r="H3951" s="983" t="s">
        <v>1107</v>
      </c>
    </row>
    <row r="3952" spans="1:9" x14ac:dyDescent="0.2">
      <c r="A3952" s="997">
        <f t="shared" si="61"/>
        <v>3951</v>
      </c>
      <c r="B3952" s="983" t="s">
        <v>2713</v>
      </c>
      <c r="C3952" s="1001"/>
      <c r="I3952" s="983" t="s">
        <v>1732</v>
      </c>
    </row>
    <row r="3953" spans="1:9" x14ac:dyDescent="0.2">
      <c r="A3953" s="997">
        <f t="shared" si="61"/>
        <v>3952</v>
      </c>
      <c r="B3953" s="983" t="s">
        <v>2713</v>
      </c>
      <c r="C3953" s="1000"/>
      <c r="H3953" s="983" t="s">
        <v>1108</v>
      </c>
    </row>
    <row r="3954" spans="1:9" x14ac:dyDescent="0.2">
      <c r="A3954" s="997">
        <f t="shared" si="61"/>
        <v>3953</v>
      </c>
      <c r="B3954" s="983" t="s">
        <v>2713</v>
      </c>
      <c r="C3954" s="1000"/>
      <c r="H3954" s="983" t="str">
        <f>CONCATENATE("&lt;valeur&gt;",Cellule_1039,"&lt;/valeur&gt;")</f>
        <v>&lt;valeur&gt;0&lt;/valeur&gt;</v>
      </c>
    </row>
    <row r="3955" spans="1:9" x14ac:dyDescent="0.2">
      <c r="A3955" s="997">
        <f t="shared" si="61"/>
        <v>3954</v>
      </c>
      <c r="B3955" s="983" t="s">
        <v>2713</v>
      </c>
      <c r="C3955" s="999"/>
      <c r="G3955" s="983" t="s">
        <v>1109</v>
      </c>
    </row>
    <row r="3956" spans="1:9" x14ac:dyDescent="0.2">
      <c r="A3956" s="997">
        <f t="shared" si="61"/>
        <v>3955</v>
      </c>
      <c r="B3956" s="983" t="s">
        <v>2713</v>
      </c>
      <c r="C3956" s="999"/>
      <c r="G3956" s="983" t="s">
        <v>1106</v>
      </c>
    </row>
    <row r="3957" spans="1:9" x14ac:dyDescent="0.2">
      <c r="A3957" s="997">
        <f t="shared" si="61"/>
        <v>3956</v>
      </c>
      <c r="B3957" s="983" t="s">
        <v>2713</v>
      </c>
      <c r="C3957" s="1000"/>
      <c r="H3957" s="983" t="s">
        <v>1107</v>
      </c>
    </row>
    <row r="3958" spans="1:9" x14ac:dyDescent="0.2">
      <c r="A3958" s="997">
        <f t="shared" si="61"/>
        <v>3957</v>
      </c>
      <c r="B3958" s="983" t="s">
        <v>2713</v>
      </c>
      <c r="C3958" s="1001"/>
      <c r="I3958" s="983" t="s">
        <v>1733</v>
      </c>
    </row>
    <row r="3959" spans="1:9" x14ac:dyDescent="0.2">
      <c r="A3959" s="997">
        <f t="shared" si="61"/>
        <v>3958</v>
      </c>
      <c r="B3959" s="983" t="s">
        <v>2713</v>
      </c>
      <c r="C3959" s="1000"/>
      <c r="H3959" s="983" t="s">
        <v>1108</v>
      </c>
    </row>
    <row r="3960" spans="1:9" x14ac:dyDescent="0.2">
      <c r="A3960" s="997">
        <f t="shared" si="61"/>
        <v>3959</v>
      </c>
      <c r="B3960" s="983" t="s">
        <v>2713</v>
      </c>
      <c r="C3960" s="1000"/>
      <c r="H3960" s="983" t="str">
        <f>CONCATENATE("&lt;valeur&gt;",Cellule_1040,"&lt;/valeur&gt;")</f>
        <v>&lt;valeur&gt;0&lt;/valeur&gt;</v>
      </c>
    </row>
    <row r="3961" spans="1:9" x14ac:dyDescent="0.2">
      <c r="A3961" s="997">
        <f t="shared" si="61"/>
        <v>3960</v>
      </c>
      <c r="B3961" s="983" t="s">
        <v>2713</v>
      </c>
      <c r="C3961" s="999"/>
      <c r="G3961" s="983" t="s">
        <v>1109</v>
      </c>
    </row>
    <row r="3962" spans="1:9" x14ac:dyDescent="0.2">
      <c r="A3962" s="997">
        <f t="shared" si="61"/>
        <v>3961</v>
      </c>
      <c r="B3962" s="983" t="s">
        <v>2713</v>
      </c>
      <c r="C3962" s="999"/>
      <c r="G3962" s="983" t="s">
        <v>1106</v>
      </c>
    </row>
    <row r="3963" spans="1:9" x14ac:dyDescent="0.2">
      <c r="A3963" s="997">
        <f t="shared" si="61"/>
        <v>3962</v>
      </c>
      <c r="B3963" s="983" t="s">
        <v>2713</v>
      </c>
      <c r="C3963" s="1000"/>
      <c r="H3963" s="983" t="s">
        <v>1107</v>
      </c>
    </row>
    <row r="3964" spans="1:9" x14ac:dyDescent="0.2">
      <c r="A3964" s="997">
        <f t="shared" si="61"/>
        <v>3963</v>
      </c>
      <c r="B3964" s="983" t="s">
        <v>2713</v>
      </c>
      <c r="C3964" s="1001"/>
      <c r="I3964" s="983" t="s">
        <v>1734</v>
      </c>
    </row>
    <row r="3965" spans="1:9" x14ac:dyDescent="0.2">
      <c r="A3965" s="997">
        <f t="shared" si="61"/>
        <v>3964</v>
      </c>
      <c r="B3965" s="983" t="s">
        <v>2713</v>
      </c>
      <c r="C3965" s="1000"/>
      <c r="H3965" s="983" t="s">
        <v>1108</v>
      </c>
    </row>
    <row r="3966" spans="1:9" x14ac:dyDescent="0.2">
      <c r="A3966" s="997">
        <f t="shared" si="61"/>
        <v>3965</v>
      </c>
      <c r="B3966" s="983" t="s">
        <v>2713</v>
      </c>
      <c r="C3966" s="1000"/>
      <c r="H3966" s="983" t="str">
        <f>CONCATENATE("&lt;valeur&gt;",Cellule_1041,"&lt;/valeur&gt;")</f>
        <v>&lt;valeur&gt;0&lt;/valeur&gt;</v>
      </c>
    </row>
    <row r="3967" spans="1:9" x14ac:dyDescent="0.2">
      <c r="A3967" s="997">
        <f t="shared" si="61"/>
        <v>3966</v>
      </c>
      <c r="B3967" s="983" t="s">
        <v>2713</v>
      </c>
      <c r="C3967" s="999"/>
      <c r="G3967" s="983" t="s">
        <v>1109</v>
      </c>
    </row>
    <row r="3968" spans="1:9" x14ac:dyDescent="0.2">
      <c r="A3968" s="997">
        <f t="shared" si="61"/>
        <v>3967</v>
      </c>
      <c r="B3968" s="983" t="s">
        <v>2713</v>
      </c>
      <c r="C3968" s="999"/>
      <c r="G3968" s="983" t="s">
        <v>1106</v>
      </c>
    </row>
    <row r="3969" spans="1:9" x14ac:dyDescent="0.2">
      <c r="A3969" s="997">
        <f t="shared" si="61"/>
        <v>3968</v>
      </c>
      <c r="B3969" s="983" t="s">
        <v>2713</v>
      </c>
      <c r="C3969" s="1000"/>
      <c r="H3969" s="983" t="s">
        <v>1107</v>
      </c>
    </row>
    <row r="3970" spans="1:9" x14ac:dyDescent="0.2">
      <c r="A3970" s="997">
        <f t="shared" si="61"/>
        <v>3969</v>
      </c>
      <c r="B3970" s="983" t="s">
        <v>2713</v>
      </c>
      <c r="C3970" s="1001"/>
      <c r="I3970" s="983" t="s">
        <v>1735</v>
      </c>
    </row>
    <row r="3971" spans="1:9" x14ac:dyDescent="0.2">
      <c r="A3971" s="997">
        <f t="shared" si="61"/>
        <v>3970</v>
      </c>
      <c r="B3971" s="983" t="s">
        <v>2713</v>
      </c>
      <c r="C3971" s="1000"/>
      <c r="H3971" s="983" t="s">
        <v>1108</v>
      </c>
    </row>
    <row r="3972" spans="1:9" x14ac:dyDescent="0.2">
      <c r="A3972" s="997">
        <f t="shared" ref="A3972:A4035" si="62">+A3971+1</f>
        <v>3971</v>
      </c>
      <c r="B3972" s="983" t="s">
        <v>2713</v>
      </c>
      <c r="C3972" s="1000"/>
      <c r="H3972" s="983" t="str">
        <f>CONCATENATE("&lt;valeur&gt;",Cellule_1042,"&lt;/valeur&gt;")</f>
        <v>&lt;valeur&gt;0&lt;/valeur&gt;</v>
      </c>
    </row>
    <row r="3973" spans="1:9" x14ac:dyDescent="0.2">
      <c r="A3973" s="997">
        <f t="shared" si="62"/>
        <v>3972</v>
      </c>
      <c r="B3973" s="983" t="s">
        <v>2713</v>
      </c>
      <c r="C3973" s="999"/>
      <c r="G3973" s="983" t="s">
        <v>1109</v>
      </c>
    </row>
    <row r="3974" spans="1:9" x14ac:dyDescent="0.2">
      <c r="A3974" s="997">
        <f t="shared" si="62"/>
        <v>3973</v>
      </c>
      <c r="B3974" s="983" t="s">
        <v>2713</v>
      </c>
      <c r="C3974" s="999"/>
      <c r="G3974" s="983" t="s">
        <v>1106</v>
      </c>
    </row>
    <row r="3975" spans="1:9" x14ac:dyDescent="0.2">
      <c r="A3975" s="997">
        <f t="shared" si="62"/>
        <v>3974</v>
      </c>
      <c r="B3975" s="983" t="s">
        <v>2713</v>
      </c>
      <c r="C3975" s="1000"/>
      <c r="H3975" s="983" t="s">
        <v>1107</v>
      </c>
    </row>
    <row r="3976" spans="1:9" x14ac:dyDescent="0.2">
      <c r="A3976" s="997">
        <f t="shared" si="62"/>
        <v>3975</v>
      </c>
      <c r="B3976" s="983" t="s">
        <v>2713</v>
      </c>
      <c r="C3976" s="1001"/>
      <c r="I3976" s="983" t="s">
        <v>1736</v>
      </c>
    </row>
    <row r="3977" spans="1:9" x14ac:dyDescent="0.2">
      <c r="A3977" s="997">
        <f t="shared" si="62"/>
        <v>3976</v>
      </c>
      <c r="B3977" s="983" t="s">
        <v>2713</v>
      </c>
      <c r="C3977" s="1000"/>
      <c r="H3977" s="983" t="s">
        <v>1108</v>
      </c>
    </row>
    <row r="3978" spans="1:9" x14ac:dyDescent="0.2">
      <c r="A3978" s="997">
        <f t="shared" si="62"/>
        <v>3977</v>
      </c>
      <c r="B3978" s="983" t="s">
        <v>2713</v>
      </c>
      <c r="C3978" s="1000"/>
      <c r="H3978" s="983" t="str">
        <f>CONCATENATE("&lt;valeur&gt;",Cellule_10078,"&lt;/valeur&gt;")</f>
        <v>&lt;valeur&gt;0&lt;/valeur&gt;</v>
      </c>
    </row>
    <row r="3979" spans="1:9" x14ac:dyDescent="0.2">
      <c r="A3979" s="997">
        <f t="shared" si="62"/>
        <v>3978</v>
      </c>
      <c r="B3979" s="983" t="s">
        <v>2713</v>
      </c>
      <c r="C3979" s="999"/>
      <c r="G3979" s="983" t="s">
        <v>1109</v>
      </c>
    </row>
    <row r="3980" spans="1:9" x14ac:dyDescent="0.2">
      <c r="A3980" s="997">
        <f t="shared" si="62"/>
        <v>3979</v>
      </c>
      <c r="B3980" s="983" t="s">
        <v>2713</v>
      </c>
      <c r="C3980" s="999"/>
      <c r="G3980" s="983" t="s">
        <v>1106</v>
      </c>
    </row>
    <row r="3981" spans="1:9" x14ac:dyDescent="0.2">
      <c r="A3981" s="997">
        <f t="shared" si="62"/>
        <v>3980</v>
      </c>
      <c r="B3981" s="983" t="s">
        <v>2713</v>
      </c>
      <c r="C3981" s="1000"/>
      <c r="H3981" s="983" t="s">
        <v>1107</v>
      </c>
    </row>
    <row r="3982" spans="1:9" x14ac:dyDescent="0.2">
      <c r="A3982" s="997">
        <f t="shared" si="62"/>
        <v>3981</v>
      </c>
      <c r="B3982" s="983" t="s">
        <v>2713</v>
      </c>
      <c r="C3982" s="1001"/>
      <c r="I3982" s="983" t="s">
        <v>1737</v>
      </c>
    </row>
    <row r="3983" spans="1:9" x14ac:dyDescent="0.2">
      <c r="A3983" s="997">
        <f t="shared" si="62"/>
        <v>3982</v>
      </c>
      <c r="B3983" s="983" t="s">
        <v>2713</v>
      </c>
      <c r="C3983" s="1000"/>
      <c r="H3983" s="983" t="s">
        <v>1108</v>
      </c>
    </row>
    <row r="3984" spans="1:9" x14ac:dyDescent="0.2">
      <c r="A3984" s="997">
        <f t="shared" si="62"/>
        <v>3983</v>
      </c>
      <c r="B3984" s="983" t="s">
        <v>2713</v>
      </c>
      <c r="C3984" s="1000"/>
      <c r="H3984" s="983" t="str">
        <f>CONCATENATE("&lt;valeur&gt;",Cellule_1053,"&lt;/valeur&gt;")</f>
        <v>&lt;valeur&gt;0&lt;/valeur&gt;</v>
      </c>
    </row>
    <row r="3985" spans="1:9" x14ac:dyDescent="0.2">
      <c r="A3985" s="997">
        <f t="shared" si="62"/>
        <v>3984</v>
      </c>
      <c r="B3985" s="983" t="s">
        <v>2713</v>
      </c>
      <c r="C3985" s="999"/>
      <c r="G3985" s="983" t="s">
        <v>1109</v>
      </c>
    </row>
    <row r="3986" spans="1:9" x14ac:dyDescent="0.2">
      <c r="A3986" s="997">
        <f t="shared" si="62"/>
        <v>3985</v>
      </c>
      <c r="B3986" s="983" t="s">
        <v>2713</v>
      </c>
      <c r="C3986" s="999"/>
      <c r="G3986" s="983" t="s">
        <v>1106</v>
      </c>
    </row>
    <row r="3987" spans="1:9" x14ac:dyDescent="0.2">
      <c r="A3987" s="997">
        <f t="shared" si="62"/>
        <v>3986</v>
      </c>
      <c r="B3987" s="983" t="s">
        <v>2713</v>
      </c>
      <c r="C3987" s="1000"/>
      <c r="H3987" s="983" t="s">
        <v>1107</v>
      </c>
    </row>
    <row r="3988" spans="1:9" x14ac:dyDescent="0.2">
      <c r="A3988" s="997">
        <f t="shared" si="62"/>
        <v>3987</v>
      </c>
      <c r="B3988" s="983" t="s">
        <v>2713</v>
      </c>
      <c r="C3988" s="1001"/>
      <c r="I3988" s="983" t="s">
        <v>1738</v>
      </c>
    </row>
    <row r="3989" spans="1:9" x14ac:dyDescent="0.2">
      <c r="A3989" s="997">
        <f t="shared" si="62"/>
        <v>3988</v>
      </c>
      <c r="B3989" s="983" t="s">
        <v>2713</v>
      </c>
      <c r="C3989" s="1000"/>
      <c r="H3989" s="983" t="s">
        <v>1108</v>
      </c>
    </row>
    <row r="3990" spans="1:9" x14ac:dyDescent="0.2">
      <c r="A3990" s="997">
        <f t="shared" si="62"/>
        <v>3989</v>
      </c>
      <c r="B3990" s="983" t="s">
        <v>2713</v>
      </c>
      <c r="C3990" s="1000"/>
      <c r="H3990" s="983" t="str">
        <f>CONCATENATE("&lt;valeur&gt;",Cellule_1054,"&lt;/valeur&gt;")</f>
        <v>&lt;valeur&gt;0&lt;/valeur&gt;</v>
      </c>
    </row>
    <row r="3991" spans="1:9" x14ac:dyDescent="0.2">
      <c r="A3991" s="997">
        <f t="shared" si="62"/>
        <v>3990</v>
      </c>
      <c r="B3991" s="983" t="s">
        <v>2713</v>
      </c>
      <c r="C3991" s="999"/>
      <c r="G3991" s="983" t="s">
        <v>1109</v>
      </c>
    </row>
    <row r="3992" spans="1:9" x14ac:dyDescent="0.2">
      <c r="A3992" s="997">
        <f t="shared" si="62"/>
        <v>3991</v>
      </c>
      <c r="B3992" s="983" t="s">
        <v>2713</v>
      </c>
      <c r="C3992" s="999"/>
      <c r="G3992" s="983" t="s">
        <v>1106</v>
      </c>
    </row>
    <row r="3993" spans="1:9" x14ac:dyDescent="0.2">
      <c r="A3993" s="997">
        <f t="shared" si="62"/>
        <v>3992</v>
      </c>
      <c r="B3993" s="983" t="s">
        <v>2713</v>
      </c>
      <c r="C3993" s="1000"/>
      <c r="H3993" s="983" t="s">
        <v>1107</v>
      </c>
    </row>
    <row r="3994" spans="1:9" x14ac:dyDescent="0.2">
      <c r="A3994" s="997">
        <f t="shared" si="62"/>
        <v>3993</v>
      </c>
      <c r="B3994" s="983" t="s">
        <v>2713</v>
      </c>
      <c r="C3994" s="1001"/>
      <c r="I3994" s="983" t="s">
        <v>1739</v>
      </c>
    </row>
    <row r="3995" spans="1:9" x14ac:dyDescent="0.2">
      <c r="A3995" s="997">
        <f t="shared" si="62"/>
        <v>3994</v>
      </c>
      <c r="B3995" s="983" t="s">
        <v>2713</v>
      </c>
      <c r="C3995" s="1000"/>
      <c r="H3995" s="983" t="s">
        <v>1108</v>
      </c>
    </row>
    <row r="3996" spans="1:9" x14ac:dyDescent="0.2">
      <c r="A3996" s="997">
        <f t="shared" si="62"/>
        <v>3995</v>
      </c>
      <c r="B3996" s="983" t="s">
        <v>2713</v>
      </c>
      <c r="C3996" s="1000"/>
      <c r="H3996" s="983" t="str">
        <f>CONCATENATE("&lt;valeur&gt;",Cellule_1055,"&lt;/valeur&gt;")</f>
        <v>&lt;valeur&gt;0&lt;/valeur&gt;</v>
      </c>
    </row>
    <row r="3997" spans="1:9" x14ac:dyDescent="0.2">
      <c r="A3997" s="997">
        <f t="shared" si="62"/>
        <v>3996</v>
      </c>
      <c r="B3997" s="983" t="s">
        <v>2713</v>
      </c>
      <c r="C3997" s="999"/>
      <c r="G3997" s="983" t="s">
        <v>1109</v>
      </c>
    </row>
    <row r="3998" spans="1:9" x14ac:dyDescent="0.2">
      <c r="A3998" s="997">
        <f t="shared" si="62"/>
        <v>3997</v>
      </c>
      <c r="B3998" s="983" t="s">
        <v>2713</v>
      </c>
      <c r="C3998" s="999"/>
      <c r="G3998" s="983" t="s">
        <v>1106</v>
      </c>
    </row>
    <row r="3999" spans="1:9" x14ac:dyDescent="0.2">
      <c r="A3999" s="997">
        <f t="shared" si="62"/>
        <v>3998</v>
      </c>
      <c r="B3999" s="983" t="s">
        <v>2713</v>
      </c>
      <c r="C3999" s="1000"/>
      <c r="H3999" s="983" t="s">
        <v>1107</v>
      </c>
    </row>
    <row r="4000" spans="1:9" x14ac:dyDescent="0.2">
      <c r="A4000" s="997">
        <f t="shared" si="62"/>
        <v>3999</v>
      </c>
      <c r="B4000" s="983" t="s">
        <v>2713</v>
      </c>
      <c r="C4000" s="1001"/>
      <c r="I4000" s="983" t="s">
        <v>1740</v>
      </c>
    </row>
    <row r="4001" spans="1:9" x14ac:dyDescent="0.2">
      <c r="A4001" s="997">
        <f t="shared" si="62"/>
        <v>4000</v>
      </c>
      <c r="B4001" s="983" t="s">
        <v>2713</v>
      </c>
      <c r="C4001" s="1000"/>
      <c r="H4001" s="983" t="s">
        <v>1108</v>
      </c>
    </row>
    <row r="4002" spans="1:9" x14ac:dyDescent="0.2">
      <c r="A4002" s="997">
        <f t="shared" si="62"/>
        <v>4001</v>
      </c>
      <c r="B4002" s="983" t="s">
        <v>2713</v>
      </c>
      <c r="C4002" s="1000"/>
      <c r="H4002" s="983" t="str">
        <f>CONCATENATE("&lt;valeur&gt;",Cellule_1056,"&lt;/valeur&gt;")</f>
        <v>&lt;valeur&gt;0&lt;/valeur&gt;</v>
      </c>
    </row>
    <row r="4003" spans="1:9" x14ac:dyDescent="0.2">
      <c r="A4003" s="997">
        <f t="shared" si="62"/>
        <v>4002</v>
      </c>
      <c r="B4003" s="983" t="s">
        <v>2713</v>
      </c>
      <c r="C4003" s="999"/>
      <c r="G4003" s="983" t="s">
        <v>1109</v>
      </c>
    </row>
    <row r="4004" spans="1:9" x14ac:dyDescent="0.2">
      <c r="A4004" s="997">
        <f t="shared" si="62"/>
        <v>4003</v>
      </c>
      <c r="B4004" s="983" t="s">
        <v>2713</v>
      </c>
      <c r="C4004" s="999"/>
      <c r="G4004" s="983" t="s">
        <v>1106</v>
      </c>
    </row>
    <row r="4005" spans="1:9" x14ac:dyDescent="0.2">
      <c r="A4005" s="997">
        <f t="shared" si="62"/>
        <v>4004</v>
      </c>
      <c r="B4005" s="983" t="s">
        <v>2713</v>
      </c>
      <c r="C4005" s="1000"/>
      <c r="H4005" s="983" t="s">
        <v>1107</v>
      </c>
    </row>
    <row r="4006" spans="1:9" x14ac:dyDescent="0.2">
      <c r="A4006" s="997">
        <f t="shared" si="62"/>
        <v>4005</v>
      </c>
      <c r="B4006" s="983" t="s">
        <v>2713</v>
      </c>
      <c r="C4006" s="1001"/>
      <c r="I4006" s="983" t="s">
        <v>1741</v>
      </c>
    </row>
    <row r="4007" spans="1:9" x14ac:dyDescent="0.2">
      <c r="A4007" s="997">
        <f t="shared" si="62"/>
        <v>4006</v>
      </c>
      <c r="B4007" s="983" t="s">
        <v>2713</v>
      </c>
      <c r="C4007" s="1000"/>
      <c r="H4007" s="983" t="s">
        <v>1108</v>
      </c>
    </row>
    <row r="4008" spans="1:9" x14ac:dyDescent="0.2">
      <c r="A4008" s="997">
        <f t="shared" si="62"/>
        <v>4007</v>
      </c>
      <c r="B4008" s="983" t="s">
        <v>2713</v>
      </c>
      <c r="C4008" s="1000"/>
      <c r="H4008" s="983" t="str">
        <f>CONCATENATE("&lt;valeur&gt;",Cellule_10079,"&lt;/valeur&gt;")</f>
        <v>&lt;valeur&gt;0&lt;/valeur&gt;</v>
      </c>
    </row>
    <row r="4009" spans="1:9" x14ac:dyDescent="0.2">
      <c r="A4009" s="997">
        <f t="shared" si="62"/>
        <v>4008</v>
      </c>
      <c r="B4009" s="983" t="s">
        <v>2713</v>
      </c>
      <c r="C4009" s="999"/>
      <c r="G4009" s="983" t="s">
        <v>1109</v>
      </c>
    </row>
    <row r="4010" spans="1:9" x14ac:dyDescent="0.2">
      <c r="A4010" s="997">
        <f t="shared" si="62"/>
        <v>4009</v>
      </c>
      <c r="B4010" s="983" t="s">
        <v>2713</v>
      </c>
      <c r="C4010" s="999"/>
      <c r="G4010" s="983" t="s">
        <v>1106</v>
      </c>
    </row>
    <row r="4011" spans="1:9" x14ac:dyDescent="0.2">
      <c r="A4011" s="997">
        <f t="shared" si="62"/>
        <v>4010</v>
      </c>
      <c r="B4011" s="983" t="s">
        <v>2713</v>
      </c>
      <c r="C4011" s="1000"/>
      <c r="H4011" s="983" t="s">
        <v>1107</v>
      </c>
    </row>
    <row r="4012" spans="1:9" x14ac:dyDescent="0.2">
      <c r="A4012" s="997">
        <f t="shared" si="62"/>
        <v>4011</v>
      </c>
      <c r="B4012" s="983" t="s">
        <v>2713</v>
      </c>
      <c r="C4012" s="1001"/>
      <c r="I4012" s="983" t="s">
        <v>1742</v>
      </c>
    </row>
    <row r="4013" spans="1:9" x14ac:dyDescent="0.2">
      <c r="A4013" s="997">
        <f t="shared" si="62"/>
        <v>4012</v>
      </c>
      <c r="B4013" s="983" t="s">
        <v>2713</v>
      </c>
      <c r="C4013" s="1000"/>
      <c r="H4013" s="983" t="s">
        <v>1108</v>
      </c>
    </row>
    <row r="4014" spans="1:9" x14ac:dyDescent="0.2">
      <c r="A4014" s="997">
        <f t="shared" si="62"/>
        <v>4013</v>
      </c>
      <c r="B4014" s="983" t="s">
        <v>2713</v>
      </c>
      <c r="C4014" s="1000"/>
      <c r="H4014" s="983" t="str">
        <f>CONCATENATE("&lt;valeur&gt;",Cellule_1067,"&lt;/valeur&gt;")</f>
        <v>&lt;valeur&gt;0&lt;/valeur&gt;</v>
      </c>
    </row>
    <row r="4015" spans="1:9" x14ac:dyDescent="0.2">
      <c r="A4015" s="997">
        <f t="shared" si="62"/>
        <v>4014</v>
      </c>
      <c r="B4015" s="983" t="s">
        <v>2713</v>
      </c>
      <c r="C4015" s="999"/>
      <c r="G4015" s="983" t="s">
        <v>1109</v>
      </c>
    </row>
    <row r="4016" spans="1:9" x14ac:dyDescent="0.2">
      <c r="A4016" s="997">
        <f t="shared" si="62"/>
        <v>4015</v>
      </c>
      <c r="B4016" s="983" t="s">
        <v>2713</v>
      </c>
      <c r="C4016" s="999"/>
      <c r="G4016" s="983" t="s">
        <v>1106</v>
      </c>
    </row>
    <row r="4017" spans="1:9" x14ac:dyDescent="0.2">
      <c r="A4017" s="997">
        <f t="shared" si="62"/>
        <v>4016</v>
      </c>
      <c r="B4017" s="983" t="s">
        <v>2713</v>
      </c>
      <c r="C4017" s="1000"/>
      <c r="H4017" s="983" t="s">
        <v>1107</v>
      </c>
    </row>
    <row r="4018" spans="1:9" x14ac:dyDescent="0.2">
      <c r="A4018" s="997">
        <f t="shared" si="62"/>
        <v>4017</v>
      </c>
      <c r="B4018" s="983" t="s">
        <v>2713</v>
      </c>
      <c r="C4018" s="1001"/>
      <c r="I4018" s="983" t="s">
        <v>1743</v>
      </c>
    </row>
    <row r="4019" spans="1:9" x14ac:dyDescent="0.2">
      <c r="A4019" s="997">
        <f t="shared" si="62"/>
        <v>4018</v>
      </c>
      <c r="B4019" s="983" t="s">
        <v>2713</v>
      </c>
      <c r="C4019" s="1000"/>
      <c r="H4019" s="983" t="s">
        <v>1108</v>
      </c>
    </row>
    <row r="4020" spans="1:9" x14ac:dyDescent="0.2">
      <c r="A4020" s="997">
        <f t="shared" si="62"/>
        <v>4019</v>
      </c>
      <c r="B4020" s="983" t="s">
        <v>2713</v>
      </c>
      <c r="C4020" s="1000"/>
      <c r="H4020" s="983" t="str">
        <f>CONCATENATE("&lt;valeur&gt;",Cellule_1068,"&lt;/valeur&gt;")</f>
        <v>&lt;valeur&gt;0&lt;/valeur&gt;</v>
      </c>
    </row>
    <row r="4021" spans="1:9" x14ac:dyDescent="0.2">
      <c r="A4021" s="997">
        <f t="shared" si="62"/>
        <v>4020</v>
      </c>
      <c r="B4021" s="983" t="s">
        <v>2713</v>
      </c>
      <c r="C4021" s="999"/>
      <c r="G4021" s="983" t="s">
        <v>1109</v>
      </c>
    </row>
    <row r="4022" spans="1:9" x14ac:dyDescent="0.2">
      <c r="A4022" s="997">
        <f t="shared" si="62"/>
        <v>4021</v>
      </c>
      <c r="B4022" s="983" t="s">
        <v>2713</v>
      </c>
      <c r="C4022" s="999"/>
      <c r="G4022" s="983" t="s">
        <v>1106</v>
      </c>
    </row>
    <row r="4023" spans="1:9" x14ac:dyDescent="0.2">
      <c r="A4023" s="997">
        <f t="shared" si="62"/>
        <v>4022</v>
      </c>
      <c r="B4023" s="983" t="s">
        <v>2713</v>
      </c>
      <c r="C4023" s="1000"/>
      <c r="H4023" s="983" t="s">
        <v>1107</v>
      </c>
    </row>
    <row r="4024" spans="1:9" x14ac:dyDescent="0.2">
      <c r="A4024" s="997">
        <f t="shared" si="62"/>
        <v>4023</v>
      </c>
      <c r="B4024" s="983" t="s">
        <v>2713</v>
      </c>
      <c r="C4024" s="1001"/>
      <c r="I4024" s="983" t="s">
        <v>1744</v>
      </c>
    </row>
    <row r="4025" spans="1:9" x14ac:dyDescent="0.2">
      <c r="A4025" s="997">
        <f t="shared" si="62"/>
        <v>4024</v>
      </c>
      <c r="B4025" s="983" t="s">
        <v>2713</v>
      </c>
      <c r="C4025" s="1000"/>
      <c r="H4025" s="983" t="s">
        <v>1108</v>
      </c>
    </row>
    <row r="4026" spans="1:9" x14ac:dyDescent="0.2">
      <c r="A4026" s="997">
        <f t="shared" si="62"/>
        <v>4025</v>
      </c>
      <c r="B4026" s="983" t="s">
        <v>2713</v>
      </c>
      <c r="C4026" s="1000"/>
      <c r="H4026" s="983" t="str">
        <f>CONCATENATE("&lt;valeur&gt;",Cellule_1069,"&lt;/valeur&gt;")</f>
        <v>&lt;valeur&gt;0&lt;/valeur&gt;</v>
      </c>
    </row>
    <row r="4027" spans="1:9" x14ac:dyDescent="0.2">
      <c r="A4027" s="997">
        <f t="shared" si="62"/>
        <v>4026</v>
      </c>
      <c r="B4027" s="983" t="s">
        <v>2713</v>
      </c>
      <c r="C4027" s="999"/>
      <c r="G4027" s="983" t="s">
        <v>1109</v>
      </c>
    </row>
    <row r="4028" spans="1:9" x14ac:dyDescent="0.2">
      <c r="A4028" s="997">
        <f t="shared" si="62"/>
        <v>4027</v>
      </c>
      <c r="B4028" s="983" t="s">
        <v>2713</v>
      </c>
      <c r="C4028" s="999"/>
      <c r="G4028" s="983" t="s">
        <v>1106</v>
      </c>
    </row>
    <row r="4029" spans="1:9" x14ac:dyDescent="0.2">
      <c r="A4029" s="997">
        <f t="shared" si="62"/>
        <v>4028</v>
      </c>
      <c r="B4029" s="983" t="s">
        <v>2713</v>
      </c>
      <c r="C4029" s="1000"/>
      <c r="H4029" s="983" t="s">
        <v>1107</v>
      </c>
    </row>
    <row r="4030" spans="1:9" x14ac:dyDescent="0.2">
      <c r="A4030" s="997">
        <f t="shared" si="62"/>
        <v>4029</v>
      </c>
      <c r="B4030" s="983" t="s">
        <v>2713</v>
      </c>
      <c r="C4030" s="1001"/>
      <c r="I4030" s="983" t="s">
        <v>1745</v>
      </c>
    </row>
    <row r="4031" spans="1:9" x14ac:dyDescent="0.2">
      <c r="A4031" s="997">
        <f t="shared" si="62"/>
        <v>4030</v>
      </c>
      <c r="B4031" s="983" t="s">
        <v>2713</v>
      </c>
      <c r="C4031" s="1000"/>
      <c r="H4031" s="983" t="s">
        <v>1108</v>
      </c>
    </row>
    <row r="4032" spans="1:9" x14ac:dyDescent="0.2">
      <c r="A4032" s="997">
        <f t="shared" si="62"/>
        <v>4031</v>
      </c>
      <c r="B4032" s="983" t="s">
        <v>2713</v>
      </c>
      <c r="C4032" s="1000"/>
      <c r="H4032" s="983" t="str">
        <f>CONCATENATE("&lt;valeur&gt;",Cellule_1070,"&lt;/valeur&gt;")</f>
        <v>&lt;valeur&gt;0&lt;/valeur&gt;</v>
      </c>
    </row>
    <row r="4033" spans="1:9" x14ac:dyDescent="0.2">
      <c r="A4033" s="997">
        <f t="shared" si="62"/>
        <v>4032</v>
      </c>
      <c r="B4033" s="983" t="s">
        <v>2713</v>
      </c>
      <c r="C4033" s="999"/>
      <c r="G4033" s="983" t="s">
        <v>1109</v>
      </c>
    </row>
    <row r="4034" spans="1:9" x14ac:dyDescent="0.2">
      <c r="A4034" s="997">
        <f t="shared" si="62"/>
        <v>4033</v>
      </c>
      <c r="B4034" s="983" t="s">
        <v>2713</v>
      </c>
      <c r="C4034" s="999"/>
      <c r="G4034" s="983" t="s">
        <v>1106</v>
      </c>
    </row>
    <row r="4035" spans="1:9" x14ac:dyDescent="0.2">
      <c r="A4035" s="997">
        <f t="shared" si="62"/>
        <v>4034</v>
      </c>
      <c r="B4035" s="983" t="s">
        <v>2713</v>
      </c>
      <c r="C4035" s="1000"/>
      <c r="H4035" s="983" t="s">
        <v>1107</v>
      </c>
    </row>
    <row r="4036" spans="1:9" x14ac:dyDescent="0.2">
      <c r="A4036" s="997">
        <f t="shared" ref="A4036:A4099" si="63">+A4035+1</f>
        <v>4035</v>
      </c>
      <c r="B4036" s="983" t="s">
        <v>2713</v>
      </c>
      <c r="C4036" s="1001"/>
      <c r="I4036" s="983" t="s">
        <v>1746</v>
      </c>
    </row>
    <row r="4037" spans="1:9" x14ac:dyDescent="0.2">
      <c r="A4037" s="997">
        <f t="shared" si="63"/>
        <v>4036</v>
      </c>
      <c r="B4037" s="983" t="s">
        <v>2713</v>
      </c>
      <c r="C4037" s="1000"/>
      <c r="H4037" s="983" t="s">
        <v>1108</v>
      </c>
    </row>
    <row r="4038" spans="1:9" x14ac:dyDescent="0.2">
      <c r="A4038" s="997">
        <f t="shared" si="63"/>
        <v>4037</v>
      </c>
      <c r="B4038" s="983" t="s">
        <v>2713</v>
      </c>
      <c r="C4038" s="1000"/>
      <c r="H4038" s="983" t="str">
        <f>CONCATENATE("&lt;valeur&gt;",Cellule_10080,"&lt;/valeur&gt;")</f>
        <v>&lt;valeur&gt;0&lt;/valeur&gt;</v>
      </c>
    </row>
    <row r="4039" spans="1:9" x14ac:dyDescent="0.2">
      <c r="A4039" s="997">
        <f t="shared" si="63"/>
        <v>4038</v>
      </c>
      <c r="B4039" s="983" t="s">
        <v>2713</v>
      </c>
      <c r="C4039" s="999"/>
      <c r="G4039" s="983" t="s">
        <v>1109</v>
      </c>
    </row>
    <row r="4040" spans="1:9" x14ac:dyDescent="0.2">
      <c r="A4040" s="997">
        <f t="shared" si="63"/>
        <v>4039</v>
      </c>
      <c r="B4040" s="983" t="s">
        <v>2713</v>
      </c>
      <c r="C4040" s="999"/>
      <c r="G4040" s="983" t="s">
        <v>1106</v>
      </c>
    </row>
    <row r="4041" spans="1:9" x14ac:dyDescent="0.2">
      <c r="A4041" s="997">
        <f t="shared" si="63"/>
        <v>4040</v>
      </c>
      <c r="B4041" s="983" t="s">
        <v>2713</v>
      </c>
      <c r="C4041" s="1000"/>
      <c r="H4041" s="983" t="s">
        <v>1107</v>
      </c>
    </row>
    <row r="4042" spans="1:9" x14ac:dyDescent="0.2">
      <c r="A4042" s="997">
        <f t="shared" si="63"/>
        <v>4041</v>
      </c>
      <c r="B4042" s="983" t="s">
        <v>2713</v>
      </c>
      <c r="C4042" s="1001"/>
      <c r="I4042" s="983" t="s">
        <v>1747</v>
      </c>
    </row>
    <row r="4043" spans="1:9" x14ac:dyDescent="0.2">
      <c r="A4043" s="997">
        <f t="shared" si="63"/>
        <v>4042</v>
      </c>
      <c r="B4043" s="983" t="s">
        <v>2713</v>
      </c>
      <c r="C4043" s="1000"/>
      <c r="H4043" s="983" t="s">
        <v>1108</v>
      </c>
    </row>
    <row r="4044" spans="1:9" x14ac:dyDescent="0.2">
      <c r="A4044" s="997">
        <f t="shared" si="63"/>
        <v>4043</v>
      </c>
      <c r="B4044" s="983" t="s">
        <v>2713</v>
      </c>
      <c r="C4044" s="1000"/>
      <c r="H4044" s="983" t="str">
        <f>CONCATENATE("&lt;valeur&gt;",Cellule_973,"&lt;/valeur&gt;")</f>
        <v>&lt;valeur&gt;0&lt;/valeur&gt;</v>
      </c>
    </row>
    <row r="4045" spans="1:9" x14ac:dyDescent="0.2">
      <c r="A4045" s="997">
        <f t="shared" si="63"/>
        <v>4044</v>
      </c>
      <c r="B4045" s="983" t="s">
        <v>2713</v>
      </c>
      <c r="C4045" s="999"/>
      <c r="G4045" s="983" t="s">
        <v>1109</v>
      </c>
    </row>
    <row r="4046" spans="1:9" x14ac:dyDescent="0.2">
      <c r="A4046" s="997">
        <f t="shared" si="63"/>
        <v>4045</v>
      </c>
      <c r="B4046" s="983" t="s">
        <v>2713</v>
      </c>
      <c r="C4046" s="999"/>
      <c r="G4046" s="983" t="s">
        <v>1106</v>
      </c>
    </row>
    <row r="4047" spans="1:9" x14ac:dyDescent="0.2">
      <c r="A4047" s="997">
        <f t="shared" si="63"/>
        <v>4046</v>
      </c>
      <c r="B4047" s="983" t="s">
        <v>2713</v>
      </c>
      <c r="C4047" s="1000"/>
      <c r="H4047" s="983" t="s">
        <v>1107</v>
      </c>
    </row>
    <row r="4048" spans="1:9" x14ac:dyDescent="0.2">
      <c r="A4048" s="997">
        <f t="shared" si="63"/>
        <v>4047</v>
      </c>
      <c r="B4048" s="983" t="s">
        <v>2713</v>
      </c>
      <c r="C4048" s="1001"/>
      <c r="I4048" s="983" t="s">
        <v>1748</v>
      </c>
    </row>
    <row r="4049" spans="1:9" x14ac:dyDescent="0.2">
      <c r="A4049" s="997">
        <f t="shared" si="63"/>
        <v>4048</v>
      </c>
      <c r="B4049" s="983" t="s">
        <v>2713</v>
      </c>
      <c r="C4049" s="1000"/>
      <c r="H4049" s="983" t="s">
        <v>1108</v>
      </c>
    </row>
    <row r="4050" spans="1:9" x14ac:dyDescent="0.2">
      <c r="A4050" s="997">
        <f t="shared" si="63"/>
        <v>4049</v>
      </c>
      <c r="B4050" s="983" t="s">
        <v>2713</v>
      </c>
      <c r="C4050" s="1000"/>
      <c r="H4050" s="983" t="str">
        <f>CONCATENATE("&lt;valeur&gt;",Cellule_974,"&lt;/valeur&gt;")</f>
        <v>&lt;valeur&gt;0&lt;/valeur&gt;</v>
      </c>
    </row>
    <row r="4051" spans="1:9" x14ac:dyDescent="0.2">
      <c r="A4051" s="997">
        <f t="shared" si="63"/>
        <v>4050</v>
      </c>
      <c r="B4051" s="983" t="s">
        <v>2713</v>
      </c>
      <c r="C4051" s="999"/>
      <c r="G4051" s="983" t="s">
        <v>1109</v>
      </c>
    </row>
    <row r="4052" spans="1:9" x14ac:dyDescent="0.2">
      <c r="A4052" s="997">
        <f t="shared" si="63"/>
        <v>4051</v>
      </c>
      <c r="B4052" s="983" t="s">
        <v>2713</v>
      </c>
      <c r="C4052" s="999"/>
      <c r="G4052" s="983" t="s">
        <v>1106</v>
      </c>
    </row>
    <row r="4053" spans="1:9" x14ac:dyDescent="0.2">
      <c r="A4053" s="997">
        <f t="shared" si="63"/>
        <v>4052</v>
      </c>
      <c r="B4053" s="983" t="s">
        <v>2713</v>
      </c>
      <c r="C4053" s="1000"/>
      <c r="H4053" s="983" t="s">
        <v>1107</v>
      </c>
    </row>
    <row r="4054" spans="1:9" x14ac:dyDescent="0.2">
      <c r="A4054" s="997">
        <f t="shared" si="63"/>
        <v>4053</v>
      </c>
      <c r="B4054" s="983" t="s">
        <v>2713</v>
      </c>
      <c r="C4054" s="1001"/>
      <c r="I4054" s="983" t="s">
        <v>1749</v>
      </c>
    </row>
    <row r="4055" spans="1:9" x14ac:dyDescent="0.2">
      <c r="A4055" s="997">
        <f t="shared" si="63"/>
        <v>4054</v>
      </c>
      <c r="B4055" s="983" t="s">
        <v>2713</v>
      </c>
      <c r="C4055" s="1000"/>
      <c r="H4055" s="983" t="s">
        <v>1108</v>
      </c>
    </row>
    <row r="4056" spans="1:9" x14ac:dyDescent="0.2">
      <c r="A4056" s="997">
        <f t="shared" si="63"/>
        <v>4055</v>
      </c>
      <c r="B4056" s="983" t="s">
        <v>2713</v>
      </c>
      <c r="C4056" s="1000"/>
      <c r="H4056" s="983" t="str">
        <f>CONCATENATE("&lt;valeur&gt;",Cellule_975,"&lt;/valeur&gt;")</f>
        <v>&lt;valeur&gt;0&lt;/valeur&gt;</v>
      </c>
    </row>
    <row r="4057" spans="1:9" x14ac:dyDescent="0.2">
      <c r="A4057" s="997">
        <f t="shared" si="63"/>
        <v>4056</v>
      </c>
      <c r="B4057" s="983" t="s">
        <v>2713</v>
      </c>
      <c r="C4057" s="999"/>
      <c r="G4057" s="983" t="s">
        <v>1109</v>
      </c>
    </row>
    <row r="4058" spans="1:9" x14ac:dyDescent="0.2">
      <c r="A4058" s="997">
        <f t="shared" si="63"/>
        <v>4057</v>
      </c>
      <c r="B4058" s="983" t="s">
        <v>2713</v>
      </c>
      <c r="C4058" s="999"/>
      <c r="G4058" s="983" t="s">
        <v>1106</v>
      </c>
    </row>
    <row r="4059" spans="1:9" x14ac:dyDescent="0.2">
      <c r="A4059" s="997">
        <f t="shared" si="63"/>
        <v>4058</v>
      </c>
      <c r="B4059" s="983" t="s">
        <v>2713</v>
      </c>
      <c r="C4059" s="1000"/>
      <c r="H4059" s="983" t="s">
        <v>1107</v>
      </c>
    </row>
    <row r="4060" spans="1:9" x14ac:dyDescent="0.2">
      <c r="A4060" s="997">
        <f t="shared" si="63"/>
        <v>4059</v>
      </c>
      <c r="B4060" s="983" t="s">
        <v>2713</v>
      </c>
      <c r="C4060" s="1001"/>
      <c r="I4060" s="983" t="s">
        <v>1750</v>
      </c>
    </row>
    <row r="4061" spans="1:9" x14ac:dyDescent="0.2">
      <c r="A4061" s="997">
        <f t="shared" si="63"/>
        <v>4060</v>
      </c>
      <c r="B4061" s="983" t="s">
        <v>2713</v>
      </c>
      <c r="C4061" s="1000"/>
      <c r="H4061" s="983" t="s">
        <v>1108</v>
      </c>
    </row>
    <row r="4062" spans="1:9" x14ac:dyDescent="0.2">
      <c r="A4062" s="997">
        <f t="shared" si="63"/>
        <v>4061</v>
      </c>
      <c r="B4062" s="983" t="s">
        <v>2713</v>
      </c>
      <c r="C4062" s="1000"/>
      <c r="H4062" s="983" t="str">
        <f>CONCATENATE("&lt;valeur&gt;",Cellule_976,"&lt;/valeur&gt;")</f>
        <v>&lt;valeur&gt;0&lt;/valeur&gt;</v>
      </c>
    </row>
    <row r="4063" spans="1:9" x14ac:dyDescent="0.2">
      <c r="A4063" s="997">
        <f t="shared" si="63"/>
        <v>4062</v>
      </c>
      <c r="B4063" s="983" t="s">
        <v>2713</v>
      </c>
      <c r="C4063" s="999"/>
      <c r="G4063" s="983" t="s">
        <v>1109</v>
      </c>
    </row>
    <row r="4064" spans="1:9" x14ac:dyDescent="0.2">
      <c r="A4064" s="997">
        <f t="shared" si="63"/>
        <v>4063</v>
      </c>
      <c r="B4064" s="983" t="s">
        <v>2713</v>
      </c>
      <c r="C4064" s="999"/>
      <c r="G4064" s="983" t="s">
        <v>1106</v>
      </c>
    </row>
    <row r="4065" spans="1:9" x14ac:dyDescent="0.2">
      <c r="A4065" s="997">
        <f t="shared" si="63"/>
        <v>4064</v>
      </c>
      <c r="B4065" s="983" t="s">
        <v>2713</v>
      </c>
      <c r="C4065" s="1000"/>
      <c r="H4065" s="983" t="s">
        <v>1107</v>
      </c>
    </row>
    <row r="4066" spans="1:9" x14ac:dyDescent="0.2">
      <c r="A4066" s="997">
        <f t="shared" si="63"/>
        <v>4065</v>
      </c>
      <c r="B4066" s="983" t="s">
        <v>2713</v>
      </c>
      <c r="C4066" s="1001"/>
      <c r="I4066" s="983" t="s">
        <v>1751</v>
      </c>
    </row>
    <row r="4067" spans="1:9" x14ac:dyDescent="0.2">
      <c r="A4067" s="997">
        <f t="shared" si="63"/>
        <v>4066</v>
      </c>
      <c r="B4067" s="983" t="s">
        <v>2713</v>
      </c>
      <c r="C4067" s="1000"/>
      <c r="H4067" s="983" t="s">
        <v>1108</v>
      </c>
    </row>
    <row r="4068" spans="1:9" x14ac:dyDescent="0.2">
      <c r="A4068" s="997">
        <f t="shared" si="63"/>
        <v>4067</v>
      </c>
      <c r="B4068" s="983" t="s">
        <v>2713</v>
      </c>
      <c r="C4068" s="1000"/>
      <c r="H4068" s="983" t="str">
        <f>CONCATENATE("&lt;valeur&gt;",Cellule_977,"&lt;/valeur&gt;")</f>
        <v>&lt;valeur&gt;0&lt;/valeur&gt;</v>
      </c>
    </row>
    <row r="4069" spans="1:9" x14ac:dyDescent="0.2">
      <c r="A4069" s="997">
        <f t="shared" si="63"/>
        <v>4068</v>
      </c>
      <c r="B4069" s="983" t="s">
        <v>2713</v>
      </c>
      <c r="C4069" s="999"/>
      <c r="G4069" s="983" t="s">
        <v>1109</v>
      </c>
    </row>
    <row r="4070" spans="1:9" x14ac:dyDescent="0.2">
      <c r="A4070" s="997">
        <f t="shared" si="63"/>
        <v>4069</v>
      </c>
      <c r="B4070" s="983" t="s">
        <v>2713</v>
      </c>
      <c r="C4070" s="999"/>
      <c r="G4070" s="983" t="s">
        <v>1106</v>
      </c>
    </row>
    <row r="4071" spans="1:9" x14ac:dyDescent="0.2">
      <c r="A4071" s="997">
        <f t="shared" si="63"/>
        <v>4070</v>
      </c>
      <c r="B4071" s="983" t="s">
        <v>2713</v>
      </c>
      <c r="C4071" s="1000"/>
      <c r="H4071" s="983" t="s">
        <v>1107</v>
      </c>
    </row>
    <row r="4072" spans="1:9" x14ac:dyDescent="0.2">
      <c r="A4072" s="997">
        <f t="shared" si="63"/>
        <v>4071</v>
      </c>
      <c r="B4072" s="983" t="s">
        <v>2713</v>
      </c>
      <c r="C4072" s="1001"/>
      <c r="I4072" s="983" t="s">
        <v>1752</v>
      </c>
    </row>
    <row r="4073" spans="1:9" x14ac:dyDescent="0.2">
      <c r="A4073" s="997">
        <f t="shared" si="63"/>
        <v>4072</v>
      </c>
      <c r="B4073" s="983" t="s">
        <v>2713</v>
      </c>
      <c r="C4073" s="1000"/>
      <c r="H4073" s="983" t="s">
        <v>1108</v>
      </c>
    </row>
    <row r="4074" spans="1:9" x14ac:dyDescent="0.2">
      <c r="A4074" s="997">
        <f t="shared" si="63"/>
        <v>4073</v>
      </c>
      <c r="B4074" s="983" t="s">
        <v>2713</v>
      </c>
      <c r="C4074" s="1000"/>
      <c r="H4074" s="983" t="str">
        <f>CONCATENATE("&lt;valeur&gt;",Cellule_978,"&lt;/valeur&gt;")</f>
        <v>&lt;valeur&gt;0&lt;/valeur&gt;</v>
      </c>
    </row>
    <row r="4075" spans="1:9" x14ac:dyDescent="0.2">
      <c r="A4075" s="997">
        <f t="shared" si="63"/>
        <v>4074</v>
      </c>
      <c r="B4075" s="983" t="s">
        <v>2713</v>
      </c>
      <c r="C4075" s="999"/>
      <c r="G4075" s="983" t="s">
        <v>1109</v>
      </c>
    </row>
    <row r="4076" spans="1:9" x14ac:dyDescent="0.2">
      <c r="A4076" s="997">
        <f t="shared" si="63"/>
        <v>4075</v>
      </c>
      <c r="B4076" s="983" t="s">
        <v>2713</v>
      </c>
      <c r="C4076" s="999"/>
      <c r="G4076" s="983" t="s">
        <v>1106</v>
      </c>
    </row>
    <row r="4077" spans="1:9" x14ac:dyDescent="0.2">
      <c r="A4077" s="997">
        <f t="shared" si="63"/>
        <v>4076</v>
      </c>
      <c r="B4077" s="983" t="s">
        <v>2713</v>
      </c>
      <c r="C4077" s="1000"/>
      <c r="H4077" s="983" t="s">
        <v>1107</v>
      </c>
    </row>
    <row r="4078" spans="1:9" x14ac:dyDescent="0.2">
      <c r="A4078" s="997">
        <f t="shared" si="63"/>
        <v>4077</v>
      </c>
      <c r="B4078" s="983" t="s">
        <v>2713</v>
      </c>
      <c r="C4078" s="1001"/>
      <c r="I4078" s="983" t="s">
        <v>1753</v>
      </c>
    </row>
    <row r="4079" spans="1:9" x14ac:dyDescent="0.2">
      <c r="A4079" s="997">
        <f t="shared" si="63"/>
        <v>4078</v>
      </c>
      <c r="B4079" s="983" t="s">
        <v>2713</v>
      </c>
      <c r="C4079" s="1000"/>
      <c r="H4079" s="983" t="s">
        <v>1108</v>
      </c>
    </row>
    <row r="4080" spans="1:9" x14ac:dyDescent="0.2">
      <c r="A4080" s="997">
        <f t="shared" si="63"/>
        <v>4079</v>
      </c>
      <c r="B4080" s="983" t="s">
        <v>2713</v>
      </c>
      <c r="C4080" s="1000"/>
      <c r="H4080" s="983" t="str">
        <f>CONCATENATE("&lt;valeur&gt;",Cellule_979,"&lt;/valeur&gt;")</f>
        <v>&lt;valeur&gt;0&lt;/valeur&gt;</v>
      </c>
    </row>
    <row r="4081" spans="1:9" x14ac:dyDescent="0.2">
      <c r="A4081" s="997">
        <f t="shared" si="63"/>
        <v>4080</v>
      </c>
      <c r="B4081" s="983" t="s">
        <v>2713</v>
      </c>
      <c r="C4081" s="999"/>
      <c r="G4081" s="983" t="s">
        <v>1109</v>
      </c>
    </row>
    <row r="4082" spans="1:9" x14ac:dyDescent="0.2">
      <c r="A4082" s="997">
        <f t="shared" si="63"/>
        <v>4081</v>
      </c>
      <c r="B4082" s="983" t="s">
        <v>2713</v>
      </c>
      <c r="C4082" s="999"/>
      <c r="G4082" s="983" t="s">
        <v>1106</v>
      </c>
    </row>
    <row r="4083" spans="1:9" x14ac:dyDescent="0.2">
      <c r="A4083" s="997">
        <f t="shared" si="63"/>
        <v>4082</v>
      </c>
      <c r="B4083" s="983" t="s">
        <v>2713</v>
      </c>
      <c r="C4083" s="1000"/>
      <c r="H4083" s="983" t="s">
        <v>1107</v>
      </c>
    </row>
    <row r="4084" spans="1:9" x14ac:dyDescent="0.2">
      <c r="A4084" s="997">
        <f t="shared" si="63"/>
        <v>4083</v>
      </c>
      <c r="B4084" s="983" t="s">
        <v>2713</v>
      </c>
      <c r="C4084" s="1001"/>
      <c r="I4084" s="983" t="s">
        <v>1754</v>
      </c>
    </row>
    <row r="4085" spans="1:9" x14ac:dyDescent="0.2">
      <c r="A4085" s="997">
        <f t="shared" si="63"/>
        <v>4084</v>
      </c>
      <c r="B4085" s="983" t="s">
        <v>2713</v>
      </c>
      <c r="C4085" s="1000"/>
      <c r="H4085" s="983" t="s">
        <v>1108</v>
      </c>
    </row>
    <row r="4086" spans="1:9" x14ac:dyDescent="0.2">
      <c r="A4086" s="997">
        <f t="shared" si="63"/>
        <v>4085</v>
      </c>
      <c r="B4086" s="983" t="s">
        <v>2713</v>
      </c>
      <c r="C4086" s="1000"/>
      <c r="H4086" s="983" t="str">
        <f>CONCATENATE("&lt;valeur&gt;",Cellule_10082,"&lt;/valeur&gt;")</f>
        <v>&lt;valeur&gt;0&lt;/valeur&gt;</v>
      </c>
    </row>
    <row r="4087" spans="1:9" x14ac:dyDescent="0.2">
      <c r="A4087" s="997">
        <f t="shared" si="63"/>
        <v>4086</v>
      </c>
      <c r="B4087" s="983" t="s">
        <v>2713</v>
      </c>
      <c r="C4087" s="999"/>
      <c r="G4087" s="983" t="s">
        <v>1109</v>
      </c>
    </row>
    <row r="4088" spans="1:9" x14ac:dyDescent="0.2">
      <c r="A4088" s="997">
        <f t="shared" si="63"/>
        <v>4087</v>
      </c>
      <c r="B4088" s="983" t="s">
        <v>2713</v>
      </c>
      <c r="C4088" s="999"/>
      <c r="G4088" s="983" t="s">
        <v>1106</v>
      </c>
    </row>
    <row r="4089" spans="1:9" x14ac:dyDescent="0.2">
      <c r="A4089" s="997">
        <f t="shared" si="63"/>
        <v>4088</v>
      </c>
      <c r="B4089" s="983" t="s">
        <v>2713</v>
      </c>
      <c r="C4089" s="1000"/>
      <c r="H4089" s="983" t="s">
        <v>1107</v>
      </c>
    </row>
    <row r="4090" spans="1:9" x14ac:dyDescent="0.2">
      <c r="A4090" s="997">
        <f t="shared" si="63"/>
        <v>4089</v>
      </c>
      <c r="B4090" s="983" t="s">
        <v>2713</v>
      </c>
      <c r="C4090" s="1001"/>
      <c r="I4090" s="983" t="s">
        <v>1755</v>
      </c>
    </row>
    <row r="4091" spans="1:9" x14ac:dyDescent="0.2">
      <c r="A4091" s="997">
        <f t="shared" si="63"/>
        <v>4090</v>
      </c>
      <c r="B4091" s="983" t="s">
        <v>2713</v>
      </c>
      <c r="C4091" s="1000"/>
      <c r="H4091" s="983" t="s">
        <v>1108</v>
      </c>
    </row>
    <row r="4092" spans="1:9" x14ac:dyDescent="0.2">
      <c r="A4092" s="997">
        <f t="shared" si="63"/>
        <v>4091</v>
      </c>
      <c r="B4092" s="983" t="s">
        <v>2713</v>
      </c>
      <c r="C4092" s="1000"/>
      <c r="H4092" s="983" t="str">
        <f>CONCATENATE("&lt;valeur&gt;",Cellule_12597,"&lt;/valeur&gt;")</f>
        <v>&lt;valeur&gt;&lt;/valeur&gt;</v>
      </c>
    </row>
    <row r="4093" spans="1:9" x14ac:dyDescent="0.2">
      <c r="A4093" s="997">
        <f t="shared" si="63"/>
        <v>4092</v>
      </c>
      <c r="B4093" s="983" t="s">
        <v>2713</v>
      </c>
      <c r="C4093" s="999"/>
      <c r="G4093" s="983" t="s">
        <v>1109</v>
      </c>
    </row>
    <row r="4094" spans="1:9" x14ac:dyDescent="0.2">
      <c r="A4094" s="997">
        <f t="shared" si="63"/>
        <v>4093</v>
      </c>
      <c r="B4094" s="983" t="s">
        <v>2713</v>
      </c>
      <c r="C4094" s="999"/>
      <c r="G4094" s="983" t="s">
        <v>1106</v>
      </c>
    </row>
    <row r="4095" spans="1:9" x14ac:dyDescent="0.2">
      <c r="A4095" s="997">
        <f t="shared" si="63"/>
        <v>4094</v>
      </c>
      <c r="B4095" s="983" t="s">
        <v>2713</v>
      </c>
      <c r="C4095" s="1000"/>
      <c r="H4095" s="983" t="s">
        <v>1107</v>
      </c>
    </row>
    <row r="4096" spans="1:9" x14ac:dyDescent="0.2">
      <c r="A4096" s="997">
        <f t="shared" si="63"/>
        <v>4095</v>
      </c>
      <c r="B4096" s="983" t="s">
        <v>2713</v>
      </c>
      <c r="C4096" s="1001"/>
      <c r="I4096" s="983" t="s">
        <v>1756</v>
      </c>
    </row>
    <row r="4097" spans="1:9" x14ac:dyDescent="0.2">
      <c r="A4097" s="997">
        <f t="shared" si="63"/>
        <v>4096</v>
      </c>
      <c r="B4097" s="983" t="s">
        <v>2713</v>
      </c>
      <c r="C4097" s="1000"/>
      <c r="H4097" s="983" t="s">
        <v>1108</v>
      </c>
    </row>
    <row r="4098" spans="1:9" x14ac:dyDescent="0.2">
      <c r="A4098" s="997">
        <f t="shared" si="63"/>
        <v>4097</v>
      </c>
      <c r="B4098" s="983" t="s">
        <v>2713</v>
      </c>
      <c r="C4098" s="1000"/>
      <c r="H4098" s="983" t="str">
        <f>CONCATENATE("&lt;valeur&gt;",Cellule_987,"&lt;/valeur&gt;")</f>
        <v>&lt;valeur&gt;0&lt;/valeur&gt;</v>
      </c>
    </row>
    <row r="4099" spans="1:9" x14ac:dyDescent="0.2">
      <c r="A4099" s="997">
        <f t="shared" si="63"/>
        <v>4098</v>
      </c>
      <c r="B4099" s="983" t="s">
        <v>2713</v>
      </c>
      <c r="C4099" s="999"/>
      <c r="G4099" s="983" t="s">
        <v>1109</v>
      </c>
    </row>
    <row r="4100" spans="1:9" x14ac:dyDescent="0.2">
      <c r="A4100" s="997">
        <f t="shared" ref="A4100:A4163" si="64">+A4099+1</f>
        <v>4099</v>
      </c>
      <c r="B4100" s="983" t="s">
        <v>2713</v>
      </c>
      <c r="C4100" s="999"/>
      <c r="G4100" s="983" t="s">
        <v>1106</v>
      </c>
    </row>
    <row r="4101" spans="1:9" x14ac:dyDescent="0.2">
      <c r="A4101" s="997">
        <f t="shared" si="64"/>
        <v>4100</v>
      </c>
      <c r="B4101" s="983" t="s">
        <v>2713</v>
      </c>
      <c r="C4101" s="1000"/>
      <c r="H4101" s="983" t="s">
        <v>1107</v>
      </c>
    </row>
    <row r="4102" spans="1:9" x14ac:dyDescent="0.2">
      <c r="A4102" s="997">
        <f t="shared" si="64"/>
        <v>4101</v>
      </c>
      <c r="B4102" s="983" t="s">
        <v>2713</v>
      </c>
      <c r="C4102" s="1001"/>
      <c r="I4102" s="983" t="s">
        <v>1757</v>
      </c>
    </row>
    <row r="4103" spans="1:9" x14ac:dyDescent="0.2">
      <c r="A4103" s="997">
        <f t="shared" si="64"/>
        <v>4102</v>
      </c>
      <c r="B4103" s="983" t="s">
        <v>2713</v>
      </c>
      <c r="C4103" s="1000"/>
      <c r="H4103" s="983" t="s">
        <v>1108</v>
      </c>
    </row>
    <row r="4104" spans="1:9" x14ac:dyDescent="0.2">
      <c r="A4104" s="997">
        <f t="shared" si="64"/>
        <v>4103</v>
      </c>
      <c r="B4104" s="983" t="s">
        <v>2713</v>
      </c>
      <c r="C4104" s="1000"/>
      <c r="H4104" s="983" t="str">
        <f>CONCATENATE("&lt;valeur&gt;",Cellule_988,"&lt;/valeur&gt;")</f>
        <v>&lt;valeur&gt;9700&lt;/valeur&gt;</v>
      </c>
    </row>
    <row r="4105" spans="1:9" x14ac:dyDescent="0.2">
      <c r="A4105" s="997">
        <f t="shared" si="64"/>
        <v>4104</v>
      </c>
      <c r="B4105" s="983" t="s">
        <v>2713</v>
      </c>
      <c r="C4105" s="999"/>
      <c r="G4105" s="983" t="s">
        <v>1109</v>
      </c>
    </row>
    <row r="4106" spans="1:9" x14ac:dyDescent="0.2">
      <c r="A4106" s="997">
        <f t="shared" si="64"/>
        <v>4105</v>
      </c>
      <c r="B4106" s="983" t="s">
        <v>2713</v>
      </c>
      <c r="C4106" s="999"/>
      <c r="G4106" s="983" t="s">
        <v>1106</v>
      </c>
    </row>
    <row r="4107" spans="1:9" x14ac:dyDescent="0.2">
      <c r="A4107" s="997">
        <f t="shared" si="64"/>
        <v>4106</v>
      </c>
      <c r="B4107" s="983" t="s">
        <v>2713</v>
      </c>
      <c r="C4107" s="1000"/>
      <c r="H4107" s="983" t="s">
        <v>1107</v>
      </c>
    </row>
    <row r="4108" spans="1:9" x14ac:dyDescent="0.2">
      <c r="A4108" s="997">
        <f t="shared" si="64"/>
        <v>4107</v>
      </c>
      <c r="B4108" s="983" t="s">
        <v>2713</v>
      </c>
      <c r="C4108" s="1001"/>
      <c r="I4108" s="983" t="s">
        <v>1758</v>
      </c>
    </row>
    <row r="4109" spans="1:9" x14ac:dyDescent="0.2">
      <c r="A4109" s="997">
        <f t="shared" si="64"/>
        <v>4108</v>
      </c>
      <c r="B4109" s="983" t="s">
        <v>2713</v>
      </c>
      <c r="C4109" s="1000"/>
      <c r="H4109" s="983" t="s">
        <v>1108</v>
      </c>
    </row>
    <row r="4110" spans="1:9" x14ac:dyDescent="0.2">
      <c r="A4110" s="997">
        <f t="shared" si="64"/>
        <v>4109</v>
      </c>
      <c r="B4110" s="983" t="s">
        <v>2713</v>
      </c>
      <c r="C4110" s="1000"/>
      <c r="H4110" s="983" t="str">
        <f>CONCATENATE("&lt;valeur&gt;",Cellule_989,"&lt;/valeur&gt;")</f>
        <v>&lt;valeur&gt;0&lt;/valeur&gt;</v>
      </c>
    </row>
    <row r="4111" spans="1:9" x14ac:dyDescent="0.2">
      <c r="A4111" s="997">
        <f t="shared" si="64"/>
        <v>4110</v>
      </c>
      <c r="B4111" s="983" t="s">
        <v>2713</v>
      </c>
      <c r="C4111" s="999"/>
      <c r="G4111" s="983" t="s">
        <v>1109</v>
      </c>
    </row>
    <row r="4112" spans="1:9" x14ac:dyDescent="0.2">
      <c r="A4112" s="997">
        <f t="shared" si="64"/>
        <v>4111</v>
      </c>
      <c r="B4112" s="983" t="s">
        <v>2713</v>
      </c>
      <c r="C4112" s="999"/>
      <c r="G4112" s="983" t="s">
        <v>1106</v>
      </c>
    </row>
    <row r="4113" spans="1:9" x14ac:dyDescent="0.2">
      <c r="A4113" s="997">
        <f t="shared" si="64"/>
        <v>4112</v>
      </c>
      <c r="B4113" s="983" t="s">
        <v>2713</v>
      </c>
      <c r="C4113" s="1000"/>
      <c r="H4113" s="983" t="s">
        <v>1107</v>
      </c>
    </row>
    <row r="4114" spans="1:9" x14ac:dyDescent="0.2">
      <c r="A4114" s="997">
        <f t="shared" si="64"/>
        <v>4113</v>
      </c>
      <c r="B4114" s="983" t="s">
        <v>2713</v>
      </c>
      <c r="C4114" s="1001"/>
      <c r="I4114" s="983" t="s">
        <v>1759</v>
      </c>
    </row>
    <row r="4115" spans="1:9" x14ac:dyDescent="0.2">
      <c r="A4115" s="997">
        <f t="shared" si="64"/>
        <v>4114</v>
      </c>
      <c r="B4115" s="983" t="s">
        <v>2713</v>
      </c>
      <c r="C4115" s="1000"/>
      <c r="H4115" s="983" t="s">
        <v>1108</v>
      </c>
    </row>
    <row r="4116" spans="1:9" x14ac:dyDescent="0.2">
      <c r="A4116" s="997">
        <f t="shared" si="64"/>
        <v>4115</v>
      </c>
      <c r="B4116" s="983" t="s">
        <v>2713</v>
      </c>
      <c r="C4116" s="1000"/>
      <c r="H4116" s="983" t="str">
        <f>CONCATENATE("&lt;valeur&gt;",Cellule_990,"&lt;/valeur&gt;")</f>
        <v>&lt;valeur&gt;1578827,58&lt;/valeur&gt;</v>
      </c>
    </row>
    <row r="4117" spans="1:9" x14ac:dyDescent="0.2">
      <c r="A4117" s="997">
        <f t="shared" si="64"/>
        <v>4116</v>
      </c>
      <c r="B4117" s="983" t="s">
        <v>2713</v>
      </c>
      <c r="C4117" s="999"/>
      <c r="G4117" s="983" t="s">
        <v>1109</v>
      </c>
    </row>
    <row r="4118" spans="1:9" x14ac:dyDescent="0.2">
      <c r="A4118" s="997">
        <f t="shared" si="64"/>
        <v>4117</v>
      </c>
      <c r="B4118" s="983" t="s">
        <v>2713</v>
      </c>
      <c r="C4118" s="999"/>
      <c r="G4118" s="983" t="s">
        <v>1106</v>
      </c>
    </row>
    <row r="4119" spans="1:9" x14ac:dyDescent="0.2">
      <c r="A4119" s="997">
        <f t="shared" si="64"/>
        <v>4118</v>
      </c>
      <c r="B4119" s="983" t="s">
        <v>2713</v>
      </c>
      <c r="C4119" s="1000"/>
      <c r="H4119" s="983" t="s">
        <v>1107</v>
      </c>
    </row>
    <row r="4120" spans="1:9" x14ac:dyDescent="0.2">
      <c r="A4120" s="997">
        <f t="shared" si="64"/>
        <v>4119</v>
      </c>
      <c r="B4120" s="983" t="s">
        <v>2713</v>
      </c>
      <c r="C4120" s="1001"/>
      <c r="I4120" s="983" t="s">
        <v>1760</v>
      </c>
    </row>
    <row r="4121" spans="1:9" x14ac:dyDescent="0.2">
      <c r="A4121" s="997">
        <f t="shared" si="64"/>
        <v>4120</v>
      </c>
      <c r="B4121" s="983" t="s">
        <v>2713</v>
      </c>
      <c r="C4121" s="1000"/>
      <c r="H4121" s="983" t="s">
        <v>1108</v>
      </c>
    </row>
    <row r="4122" spans="1:9" x14ac:dyDescent="0.2">
      <c r="A4122" s="997">
        <f t="shared" si="64"/>
        <v>4121</v>
      </c>
      <c r="B4122" s="983" t="s">
        <v>2713</v>
      </c>
      <c r="C4122" s="1000"/>
      <c r="H4122" s="983" t="str">
        <f>CONCATENATE("&lt;valeur&gt;",Cellule_991,"&lt;/valeur&gt;")</f>
        <v>&lt;valeur&gt;0&lt;/valeur&gt;</v>
      </c>
    </row>
    <row r="4123" spans="1:9" x14ac:dyDescent="0.2">
      <c r="A4123" s="997">
        <f t="shared" si="64"/>
        <v>4122</v>
      </c>
      <c r="B4123" s="983" t="s">
        <v>2713</v>
      </c>
      <c r="C4123" s="999"/>
      <c r="G4123" s="983" t="s">
        <v>1109</v>
      </c>
    </row>
    <row r="4124" spans="1:9" x14ac:dyDescent="0.2">
      <c r="A4124" s="997">
        <f t="shared" si="64"/>
        <v>4123</v>
      </c>
      <c r="B4124" s="983" t="s">
        <v>2713</v>
      </c>
      <c r="C4124" s="999"/>
      <c r="G4124" s="983" t="s">
        <v>1106</v>
      </c>
    </row>
    <row r="4125" spans="1:9" x14ac:dyDescent="0.2">
      <c r="A4125" s="997">
        <f t="shared" si="64"/>
        <v>4124</v>
      </c>
      <c r="B4125" s="983" t="s">
        <v>2713</v>
      </c>
      <c r="C4125" s="1000"/>
      <c r="H4125" s="983" t="s">
        <v>1107</v>
      </c>
    </row>
    <row r="4126" spans="1:9" x14ac:dyDescent="0.2">
      <c r="A4126" s="997">
        <f t="shared" si="64"/>
        <v>4125</v>
      </c>
      <c r="B4126" s="983" t="s">
        <v>2713</v>
      </c>
      <c r="C4126" s="1001"/>
      <c r="I4126" s="983" t="s">
        <v>1761</v>
      </c>
    </row>
    <row r="4127" spans="1:9" x14ac:dyDescent="0.2">
      <c r="A4127" s="997">
        <f t="shared" si="64"/>
        <v>4126</v>
      </c>
      <c r="B4127" s="983" t="s">
        <v>2713</v>
      </c>
      <c r="C4127" s="1000"/>
      <c r="H4127" s="983" t="s">
        <v>1108</v>
      </c>
    </row>
    <row r="4128" spans="1:9" x14ac:dyDescent="0.2">
      <c r="A4128" s="997">
        <f t="shared" si="64"/>
        <v>4127</v>
      </c>
      <c r="B4128" s="983" t="s">
        <v>2713</v>
      </c>
      <c r="C4128" s="1000"/>
      <c r="H4128" s="983" t="str">
        <f>CONCATENATE("&lt;valeur&gt;",Cellule_992,"&lt;/valeur&gt;")</f>
        <v>&lt;valeur&gt;0&lt;/valeur&gt;</v>
      </c>
    </row>
    <row r="4129" spans="1:9" x14ac:dyDescent="0.2">
      <c r="A4129" s="997">
        <f t="shared" si="64"/>
        <v>4128</v>
      </c>
      <c r="B4129" s="983" t="s">
        <v>2713</v>
      </c>
      <c r="C4129" s="999"/>
      <c r="G4129" s="983" t="s">
        <v>1109</v>
      </c>
    </row>
    <row r="4130" spans="1:9" x14ac:dyDescent="0.2">
      <c r="A4130" s="997">
        <f t="shared" si="64"/>
        <v>4129</v>
      </c>
      <c r="B4130" s="983" t="s">
        <v>2713</v>
      </c>
      <c r="C4130" s="999"/>
      <c r="G4130" s="983" t="s">
        <v>1106</v>
      </c>
    </row>
    <row r="4131" spans="1:9" x14ac:dyDescent="0.2">
      <c r="A4131" s="997">
        <f t="shared" si="64"/>
        <v>4130</v>
      </c>
      <c r="B4131" s="983" t="s">
        <v>2713</v>
      </c>
      <c r="C4131" s="1000"/>
      <c r="H4131" s="983" t="s">
        <v>1107</v>
      </c>
    </row>
    <row r="4132" spans="1:9" x14ac:dyDescent="0.2">
      <c r="A4132" s="997">
        <f t="shared" si="64"/>
        <v>4131</v>
      </c>
      <c r="B4132" s="983" t="s">
        <v>2713</v>
      </c>
      <c r="C4132" s="1001"/>
      <c r="I4132" s="983" t="s">
        <v>1762</v>
      </c>
    </row>
    <row r="4133" spans="1:9" x14ac:dyDescent="0.2">
      <c r="A4133" s="997">
        <f t="shared" si="64"/>
        <v>4132</v>
      </c>
      <c r="B4133" s="983" t="s">
        <v>2713</v>
      </c>
      <c r="C4133" s="1000"/>
      <c r="H4133" s="983" t="s">
        <v>1108</v>
      </c>
    </row>
    <row r="4134" spans="1:9" x14ac:dyDescent="0.2">
      <c r="A4134" s="997">
        <f t="shared" si="64"/>
        <v>4133</v>
      </c>
      <c r="B4134" s="983" t="s">
        <v>2713</v>
      </c>
      <c r="C4134" s="1000"/>
      <c r="H4134" s="983" t="str">
        <f>CONCATENATE("&lt;valeur&gt;",Cellule_993,"&lt;/valeur&gt;")</f>
        <v>&lt;valeur&gt;0&lt;/valeur&gt;</v>
      </c>
    </row>
    <row r="4135" spans="1:9" x14ac:dyDescent="0.2">
      <c r="A4135" s="997">
        <f t="shared" si="64"/>
        <v>4134</v>
      </c>
      <c r="B4135" s="983" t="s">
        <v>2713</v>
      </c>
      <c r="C4135" s="999"/>
      <c r="G4135" s="983" t="s">
        <v>1109</v>
      </c>
    </row>
    <row r="4136" spans="1:9" x14ac:dyDescent="0.2">
      <c r="A4136" s="997">
        <f t="shared" si="64"/>
        <v>4135</v>
      </c>
      <c r="B4136" s="983" t="s">
        <v>2713</v>
      </c>
      <c r="C4136" s="999"/>
      <c r="G4136" s="983" t="s">
        <v>1106</v>
      </c>
    </row>
    <row r="4137" spans="1:9" x14ac:dyDescent="0.2">
      <c r="A4137" s="997">
        <f t="shared" si="64"/>
        <v>4136</v>
      </c>
      <c r="B4137" s="983" t="s">
        <v>2713</v>
      </c>
      <c r="C4137" s="1000"/>
      <c r="H4137" s="983" t="s">
        <v>1107</v>
      </c>
    </row>
    <row r="4138" spans="1:9" x14ac:dyDescent="0.2">
      <c r="A4138" s="997">
        <f t="shared" si="64"/>
        <v>4137</v>
      </c>
      <c r="B4138" s="983" t="s">
        <v>2713</v>
      </c>
      <c r="C4138" s="1001"/>
      <c r="I4138" s="983" t="s">
        <v>1763</v>
      </c>
    </row>
    <row r="4139" spans="1:9" x14ac:dyDescent="0.2">
      <c r="A4139" s="997">
        <f t="shared" si="64"/>
        <v>4138</v>
      </c>
      <c r="B4139" s="983" t="s">
        <v>2713</v>
      </c>
      <c r="C4139" s="1000"/>
      <c r="H4139" s="983" t="s">
        <v>1108</v>
      </c>
    </row>
    <row r="4140" spans="1:9" x14ac:dyDescent="0.2">
      <c r="A4140" s="997">
        <f t="shared" si="64"/>
        <v>4139</v>
      </c>
      <c r="B4140" s="983" t="s">
        <v>2713</v>
      </c>
      <c r="C4140" s="1000"/>
      <c r="H4140" s="983" t="str">
        <f>CONCATENATE("&lt;valeur&gt;",Cellule_10083,"&lt;/valeur&gt;")</f>
        <v>&lt;valeur&gt;1588527,58&lt;/valeur&gt;</v>
      </c>
    </row>
    <row r="4141" spans="1:9" x14ac:dyDescent="0.2">
      <c r="A4141" s="997">
        <f t="shared" si="64"/>
        <v>4140</v>
      </c>
      <c r="B4141" s="983" t="s">
        <v>2713</v>
      </c>
      <c r="C4141" s="999"/>
      <c r="G4141" s="983" t="s">
        <v>1109</v>
      </c>
    </row>
    <row r="4142" spans="1:9" x14ac:dyDescent="0.2">
      <c r="A4142" s="997">
        <f t="shared" si="64"/>
        <v>4141</v>
      </c>
      <c r="B4142" s="983" t="s">
        <v>2713</v>
      </c>
      <c r="C4142" s="999"/>
      <c r="G4142" s="983" t="s">
        <v>1106</v>
      </c>
    </row>
    <row r="4143" spans="1:9" x14ac:dyDescent="0.2">
      <c r="A4143" s="997">
        <f t="shared" si="64"/>
        <v>4142</v>
      </c>
      <c r="B4143" s="983" t="s">
        <v>2713</v>
      </c>
      <c r="C4143" s="1000"/>
      <c r="H4143" s="983" t="s">
        <v>1107</v>
      </c>
    </row>
    <row r="4144" spans="1:9" x14ac:dyDescent="0.2">
      <c r="A4144" s="997">
        <f t="shared" si="64"/>
        <v>4143</v>
      </c>
      <c r="B4144" s="983" t="s">
        <v>2713</v>
      </c>
      <c r="C4144" s="1001"/>
      <c r="I4144" s="983" t="s">
        <v>1764</v>
      </c>
    </row>
    <row r="4145" spans="1:9" x14ac:dyDescent="0.2">
      <c r="A4145" s="997">
        <f t="shared" si="64"/>
        <v>4144</v>
      </c>
      <c r="B4145" s="983" t="s">
        <v>2713</v>
      </c>
      <c r="C4145" s="1000"/>
      <c r="H4145" s="983" t="s">
        <v>1108</v>
      </c>
    </row>
    <row r="4146" spans="1:9" x14ac:dyDescent="0.2">
      <c r="A4146" s="997">
        <f t="shared" si="64"/>
        <v>4145</v>
      </c>
      <c r="B4146" s="983" t="s">
        <v>2713</v>
      </c>
      <c r="C4146" s="1000"/>
      <c r="H4146" s="983" t="str">
        <f>CONCATENATE("&lt;valeur&gt;",Cellule_12598,"&lt;/valeur&gt;")</f>
        <v>&lt;valeur&gt;&lt;/valeur&gt;</v>
      </c>
    </row>
    <row r="4147" spans="1:9" x14ac:dyDescent="0.2">
      <c r="A4147" s="997">
        <f t="shared" si="64"/>
        <v>4146</v>
      </c>
      <c r="B4147" s="983" t="s">
        <v>2713</v>
      </c>
      <c r="C4147" s="999"/>
      <c r="G4147" s="983" t="s">
        <v>1109</v>
      </c>
    </row>
    <row r="4148" spans="1:9" x14ac:dyDescent="0.2">
      <c r="A4148" s="997">
        <f t="shared" si="64"/>
        <v>4147</v>
      </c>
      <c r="B4148" s="983" t="s">
        <v>2713</v>
      </c>
      <c r="C4148" s="999"/>
      <c r="G4148" s="983" t="s">
        <v>1106</v>
      </c>
    </row>
    <row r="4149" spans="1:9" x14ac:dyDescent="0.2">
      <c r="A4149" s="997">
        <f t="shared" si="64"/>
        <v>4148</v>
      </c>
      <c r="B4149" s="983" t="s">
        <v>2713</v>
      </c>
      <c r="C4149" s="1000"/>
      <c r="H4149" s="983" t="s">
        <v>1107</v>
      </c>
    </row>
    <row r="4150" spans="1:9" x14ac:dyDescent="0.2">
      <c r="A4150" s="997">
        <f t="shared" si="64"/>
        <v>4149</v>
      </c>
      <c r="B4150" s="983" t="s">
        <v>2713</v>
      </c>
      <c r="C4150" s="1001"/>
      <c r="I4150" s="983" t="s">
        <v>1765</v>
      </c>
    </row>
    <row r="4151" spans="1:9" x14ac:dyDescent="0.2">
      <c r="A4151" s="997">
        <f t="shared" si="64"/>
        <v>4150</v>
      </c>
      <c r="B4151" s="983" t="s">
        <v>2713</v>
      </c>
      <c r="C4151" s="1000"/>
      <c r="H4151" s="983" t="s">
        <v>1108</v>
      </c>
    </row>
    <row r="4152" spans="1:9" x14ac:dyDescent="0.2">
      <c r="A4152" s="997">
        <f t="shared" si="64"/>
        <v>4151</v>
      </c>
      <c r="B4152" s="983" t="s">
        <v>2713</v>
      </c>
      <c r="C4152" s="1000"/>
      <c r="H4152" s="983" t="str">
        <f>CONCATENATE("&lt;valeur&gt;",Cellule_1001,"&lt;/valeur&gt;")</f>
        <v>&lt;valeur&gt;0&lt;/valeur&gt;</v>
      </c>
    </row>
    <row r="4153" spans="1:9" x14ac:dyDescent="0.2">
      <c r="A4153" s="997">
        <f t="shared" si="64"/>
        <v>4152</v>
      </c>
      <c r="B4153" s="983" t="s">
        <v>2713</v>
      </c>
      <c r="C4153" s="999"/>
      <c r="G4153" s="983" t="s">
        <v>1109</v>
      </c>
    </row>
    <row r="4154" spans="1:9" x14ac:dyDescent="0.2">
      <c r="A4154" s="997">
        <f t="shared" si="64"/>
        <v>4153</v>
      </c>
      <c r="B4154" s="983" t="s">
        <v>2713</v>
      </c>
      <c r="C4154" s="999"/>
      <c r="G4154" s="983" t="s">
        <v>1106</v>
      </c>
    </row>
    <row r="4155" spans="1:9" x14ac:dyDescent="0.2">
      <c r="A4155" s="997">
        <f t="shared" si="64"/>
        <v>4154</v>
      </c>
      <c r="B4155" s="983" t="s">
        <v>2713</v>
      </c>
      <c r="C4155" s="1000"/>
      <c r="H4155" s="983" t="s">
        <v>1107</v>
      </c>
    </row>
    <row r="4156" spans="1:9" x14ac:dyDescent="0.2">
      <c r="A4156" s="997">
        <f t="shared" si="64"/>
        <v>4155</v>
      </c>
      <c r="B4156" s="983" t="s">
        <v>2713</v>
      </c>
      <c r="C4156" s="1001"/>
      <c r="I4156" s="983" t="s">
        <v>1766</v>
      </c>
    </row>
    <row r="4157" spans="1:9" x14ac:dyDescent="0.2">
      <c r="A4157" s="997">
        <f t="shared" si="64"/>
        <v>4156</v>
      </c>
      <c r="B4157" s="983" t="s">
        <v>2713</v>
      </c>
      <c r="C4157" s="1000"/>
      <c r="H4157" s="983" t="s">
        <v>1108</v>
      </c>
    </row>
    <row r="4158" spans="1:9" x14ac:dyDescent="0.2">
      <c r="A4158" s="997">
        <f t="shared" si="64"/>
        <v>4157</v>
      </c>
      <c r="B4158" s="983" t="s">
        <v>2713</v>
      </c>
      <c r="C4158" s="1000"/>
      <c r="H4158" s="983" t="str">
        <f>CONCATENATE("&lt;valeur&gt;",Cellule_1002,"&lt;/valeur&gt;")</f>
        <v>&lt;valeur&gt;0&lt;/valeur&gt;</v>
      </c>
    </row>
    <row r="4159" spans="1:9" x14ac:dyDescent="0.2">
      <c r="A4159" s="997">
        <f t="shared" si="64"/>
        <v>4158</v>
      </c>
      <c r="B4159" s="983" t="s">
        <v>2713</v>
      </c>
      <c r="C4159" s="999"/>
      <c r="G4159" s="983" t="s">
        <v>1109</v>
      </c>
    </row>
    <row r="4160" spans="1:9" x14ac:dyDescent="0.2">
      <c r="A4160" s="997">
        <f t="shared" si="64"/>
        <v>4159</v>
      </c>
      <c r="B4160" s="983" t="s">
        <v>2713</v>
      </c>
      <c r="C4160" s="999"/>
      <c r="G4160" s="983" t="s">
        <v>1106</v>
      </c>
    </row>
    <row r="4161" spans="1:9" x14ac:dyDescent="0.2">
      <c r="A4161" s="997">
        <f t="shared" si="64"/>
        <v>4160</v>
      </c>
      <c r="B4161" s="983" t="s">
        <v>2713</v>
      </c>
      <c r="C4161" s="1000"/>
      <c r="H4161" s="983" t="s">
        <v>1107</v>
      </c>
    </row>
    <row r="4162" spans="1:9" x14ac:dyDescent="0.2">
      <c r="A4162" s="997">
        <f t="shared" si="64"/>
        <v>4161</v>
      </c>
      <c r="B4162" s="983" t="s">
        <v>2713</v>
      </c>
      <c r="C4162" s="1001"/>
      <c r="I4162" s="983" t="s">
        <v>1767</v>
      </c>
    </row>
    <row r="4163" spans="1:9" x14ac:dyDescent="0.2">
      <c r="A4163" s="997">
        <f t="shared" si="64"/>
        <v>4162</v>
      </c>
      <c r="B4163" s="983" t="s">
        <v>2713</v>
      </c>
      <c r="C4163" s="1000"/>
      <c r="H4163" s="983" t="s">
        <v>1108</v>
      </c>
    </row>
    <row r="4164" spans="1:9" x14ac:dyDescent="0.2">
      <c r="A4164" s="997">
        <f t="shared" ref="A4164:A4227" si="65">+A4163+1</f>
        <v>4163</v>
      </c>
      <c r="B4164" s="983" t="s">
        <v>2713</v>
      </c>
      <c r="C4164" s="1000"/>
      <c r="H4164" s="983" t="str">
        <f>CONCATENATE("&lt;valeur&gt;",Cellule_1003,"&lt;/valeur&gt;")</f>
        <v>&lt;valeur&gt;0&lt;/valeur&gt;</v>
      </c>
    </row>
    <row r="4165" spans="1:9" x14ac:dyDescent="0.2">
      <c r="A4165" s="997">
        <f t="shared" si="65"/>
        <v>4164</v>
      </c>
      <c r="B4165" s="983" t="s">
        <v>2713</v>
      </c>
      <c r="C4165" s="999"/>
      <c r="G4165" s="983" t="s">
        <v>1109</v>
      </c>
    </row>
    <row r="4166" spans="1:9" x14ac:dyDescent="0.2">
      <c r="A4166" s="997">
        <f t="shared" si="65"/>
        <v>4165</v>
      </c>
      <c r="B4166" s="983" t="s">
        <v>2713</v>
      </c>
      <c r="C4166" s="999"/>
      <c r="G4166" s="983" t="s">
        <v>1106</v>
      </c>
    </row>
    <row r="4167" spans="1:9" x14ac:dyDescent="0.2">
      <c r="A4167" s="997">
        <f t="shared" si="65"/>
        <v>4166</v>
      </c>
      <c r="B4167" s="983" t="s">
        <v>2713</v>
      </c>
      <c r="C4167" s="1000"/>
      <c r="H4167" s="983" t="s">
        <v>1107</v>
      </c>
    </row>
    <row r="4168" spans="1:9" x14ac:dyDescent="0.2">
      <c r="A4168" s="997">
        <f t="shared" si="65"/>
        <v>4167</v>
      </c>
      <c r="B4168" s="983" t="s">
        <v>2713</v>
      </c>
      <c r="C4168" s="1001"/>
      <c r="I4168" s="983" t="s">
        <v>1768</v>
      </c>
    </row>
    <row r="4169" spans="1:9" x14ac:dyDescent="0.2">
      <c r="A4169" s="997">
        <f t="shared" si="65"/>
        <v>4168</v>
      </c>
      <c r="B4169" s="983" t="s">
        <v>2713</v>
      </c>
      <c r="C4169" s="1000"/>
      <c r="H4169" s="983" t="s">
        <v>1108</v>
      </c>
    </row>
    <row r="4170" spans="1:9" x14ac:dyDescent="0.2">
      <c r="A4170" s="997">
        <f t="shared" si="65"/>
        <v>4169</v>
      </c>
      <c r="B4170" s="983" t="s">
        <v>2713</v>
      </c>
      <c r="C4170" s="1000"/>
      <c r="H4170" s="983" t="str">
        <f>CONCATENATE("&lt;valeur&gt;",Cellule_1004,"&lt;/valeur&gt;")</f>
        <v>&lt;valeur&gt;0&lt;/valeur&gt;</v>
      </c>
    </row>
    <row r="4171" spans="1:9" x14ac:dyDescent="0.2">
      <c r="A4171" s="997">
        <f t="shared" si="65"/>
        <v>4170</v>
      </c>
      <c r="B4171" s="983" t="s">
        <v>2713</v>
      </c>
      <c r="C4171" s="999"/>
      <c r="G4171" s="983" t="s">
        <v>1109</v>
      </c>
    </row>
    <row r="4172" spans="1:9" x14ac:dyDescent="0.2">
      <c r="A4172" s="997">
        <f t="shared" si="65"/>
        <v>4171</v>
      </c>
      <c r="B4172" s="983" t="s">
        <v>2713</v>
      </c>
      <c r="C4172" s="999"/>
      <c r="G4172" s="983" t="s">
        <v>1106</v>
      </c>
    </row>
    <row r="4173" spans="1:9" x14ac:dyDescent="0.2">
      <c r="A4173" s="997">
        <f t="shared" si="65"/>
        <v>4172</v>
      </c>
      <c r="B4173" s="983" t="s">
        <v>2713</v>
      </c>
      <c r="C4173" s="1000"/>
      <c r="H4173" s="983" t="s">
        <v>1107</v>
      </c>
    </row>
    <row r="4174" spans="1:9" x14ac:dyDescent="0.2">
      <c r="A4174" s="997">
        <f t="shared" si="65"/>
        <v>4173</v>
      </c>
      <c r="B4174" s="983" t="s">
        <v>2713</v>
      </c>
      <c r="C4174" s="1001"/>
      <c r="I4174" s="983" t="s">
        <v>1769</v>
      </c>
    </row>
    <row r="4175" spans="1:9" x14ac:dyDescent="0.2">
      <c r="A4175" s="997">
        <f t="shared" si="65"/>
        <v>4174</v>
      </c>
      <c r="B4175" s="983" t="s">
        <v>2713</v>
      </c>
      <c r="C4175" s="1000"/>
      <c r="H4175" s="983" t="s">
        <v>1108</v>
      </c>
    </row>
    <row r="4176" spans="1:9" x14ac:dyDescent="0.2">
      <c r="A4176" s="997">
        <f t="shared" si="65"/>
        <v>4175</v>
      </c>
      <c r="B4176" s="983" t="s">
        <v>2713</v>
      </c>
      <c r="C4176" s="1000"/>
      <c r="H4176" s="983" t="str">
        <f>CONCATENATE("&lt;valeur&gt;",Cellule_1005,"&lt;/valeur&gt;")</f>
        <v>&lt;valeur&gt;0&lt;/valeur&gt;</v>
      </c>
    </row>
    <row r="4177" spans="1:9" x14ac:dyDescent="0.2">
      <c r="A4177" s="997">
        <f t="shared" si="65"/>
        <v>4176</v>
      </c>
      <c r="B4177" s="983" t="s">
        <v>2713</v>
      </c>
      <c r="C4177" s="999"/>
      <c r="G4177" s="983" t="s">
        <v>1109</v>
      </c>
    </row>
    <row r="4178" spans="1:9" x14ac:dyDescent="0.2">
      <c r="A4178" s="997">
        <f t="shared" si="65"/>
        <v>4177</v>
      </c>
      <c r="B4178" s="983" t="s">
        <v>2713</v>
      </c>
      <c r="C4178" s="999"/>
      <c r="G4178" s="983" t="s">
        <v>1106</v>
      </c>
    </row>
    <row r="4179" spans="1:9" x14ac:dyDescent="0.2">
      <c r="A4179" s="997">
        <f t="shared" si="65"/>
        <v>4178</v>
      </c>
      <c r="B4179" s="983" t="s">
        <v>2713</v>
      </c>
      <c r="C4179" s="1000"/>
      <c r="H4179" s="983" t="s">
        <v>1107</v>
      </c>
    </row>
    <row r="4180" spans="1:9" x14ac:dyDescent="0.2">
      <c r="A4180" s="997">
        <f t="shared" si="65"/>
        <v>4179</v>
      </c>
      <c r="B4180" s="983" t="s">
        <v>2713</v>
      </c>
      <c r="C4180" s="1001"/>
      <c r="I4180" s="983" t="s">
        <v>1770</v>
      </c>
    </row>
    <row r="4181" spans="1:9" x14ac:dyDescent="0.2">
      <c r="A4181" s="997">
        <f t="shared" si="65"/>
        <v>4180</v>
      </c>
      <c r="B4181" s="983" t="s">
        <v>2713</v>
      </c>
      <c r="C4181" s="1000"/>
      <c r="H4181" s="983" t="s">
        <v>1108</v>
      </c>
    </row>
    <row r="4182" spans="1:9" x14ac:dyDescent="0.2">
      <c r="A4182" s="997">
        <f t="shared" si="65"/>
        <v>4181</v>
      </c>
      <c r="B4182" s="983" t="s">
        <v>2713</v>
      </c>
      <c r="C4182" s="1000"/>
      <c r="H4182" s="983" t="str">
        <f>CONCATENATE("&lt;valeur&gt;",Cellule_1006,"&lt;/valeur&gt;")</f>
        <v>&lt;valeur&gt;0&lt;/valeur&gt;</v>
      </c>
    </row>
    <row r="4183" spans="1:9" x14ac:dyDescent="0.2">
      <c r="A4183" s="997">
        <f t="shared" si="65"/>
        <v>4182</v>
      </c>
      <c r="B4183" s="983" t="s">
        <v>2713</v>
      </c>
      <c r="C4183" s="999"/>
      <c r="G4183" s="983" t="s">
        <v>1109</v>
      </c>
    </row>
    <row r="4184" spans="1:9" x14ac:dyDescent="0.2">
      <c r="A4184" s="997">
        <f t="shared" si="65"/>
        <v>4183</v>
      </c>
      <c r="B4184" s="983" t="s">
        <v>2713</v>
      </c>
      <c r="C4184" s="999"/>
      <c r="G4184" s="983" t="s">
        <v>1106</v>
      </c>
    </row>
    <row r="4185" spans="1:9" x14ac:dyDescent="0.2">
      <c r="A4185" s="997">
        <f t="shared" si="65"/>
        <v>4184</v>
      </c>
      <c r="B4185" s="983" t="s">
        <v>2713</v>
      </c>
      <c r="C4185" s="1000"/>
      <c r="H4185" s="983" t="s">
        <v>1107</v>
      </c>
    </row>
    <row r="4186" spans="1:9" x14ac:dyDescent="0.2">
      <c r="A4186" s="997">
        <f t="shared" si="65"/>
        <v>4185</v>
      </c>
      <c r="B4186" s="983" t="s">
        <v>2713</v>
      </c>
      <c r="C4186" s="1001"/>
      <c r="I4186" s="983" t="s">
        <v>1771</v>
      </c>
    </row>
    <row r="4187" spans="1:9" x14ac:dyDescent="0.2">
      <c r="A4187" s="997">
        <f t="shared" si="65"/>
        <v>4186</v>
      </c>
      <c r="B4187" s="983" t="s">
        <v>2713</v>
      </c>
      <c r="C4187" s="1000"/>
      <c r="H4187" s="983" t="s">
        <v>1108</v>
      </c>
    </row>
    <row r="4188" spans="1:9" x14ac:dyDescent="0.2">
      <c r="A4188" s="997">
        <f t="shared" si="65"/>
        <v>4187</v>
      </c>
      <c r="B4188" s="983" t="s">
        <v>2713</v>
      </c>
      <c r="C4188" s="1000"/>
      <c r="H4188" s="983" t="str">
        <f>CONCATENATE("&lt;valeur&gt;",Cellule_1007,"&lt;/valeur&gt;")</f>
        <v>&lt;valeur&gt;0&lt;/valeur&gt;</v>
      </c>
    </row>
    <row r="4189" spans="1:9" x14ac:dyDescent="0.2">
      <c r="A4189" s="997">
        <f t="shared" si="65"/>
        <v>4188</v>
      </c>
      <c r="B4189" s="983" t="s">
        <v>2713</v>
      </c>
      <c r="C4189" s="999"/>
      <c r="G4189" s="983" t="s">
        <v>1109</v>
      </c>
    </row>
    <row r="4190" spans="1:9" x14ac:dyDescent="0.2">
      <c r="A4190" s="997">
        <f t="shared" si="65"/>
        <v>4189</v>
      </c>
      <c r="B4190" s="983" t="s">
        <v>2713</v>
      </c>
      <c r="C4190" s="999"/>
      <c r="G4190" s="983" t="s">
        <v>1106</v>
      </c>
    </row>
    <row r="4191" spans="1:9" x14ac:dyDescent="0.2">
      <c r="A4191" s="997">
        <f t="shared" si="65"/>
        <v>4190</v>
      </c>
      <c r="B4191" s="983" t="s">
        <v>2713</v>
      </c>
      <c r="C4191" s="1000"/>
      <c r="H4191" s="983" t="s">
        <v>1107</v>
      </c>
    </row>
    <row r="4192" spans="1:9" x14ac:dyDescent="0.2">
      <c r="A4192" s="997">
        <f t="shared" si="65"/>
        <v>4191</v>
      </c>
      <c r="B4192" s="983" t="s">
        <v>2713</v>
      </c>
      <c r="C4192" s="1001"/>
      <c r="I4192" s="983" t="s">
        <v>1772</v>
      </c>
    </row>
    <row r="4193" spans="1:9" x14ac:dyDescent="0.2">
      <c r="A4193" s="997">
        <f t="shared" si="65"/>
        <v>4192</v>
      </c>
      <c r="B4193" s="983" t="s">
        <v>2713</v>
      </c>
      <c r="C4193" s="1000"/>
      <c r="H4193" s="983" t="s">
        <v>1108</v>
      </c>
    </row>
    <row r="4194" spans="1:9" x14ac:dyDescent="0.2">
      <c r="A4194" s="997">
        <f t="shared" si="65"/>
        <v>4193</v>
      </c>
      <c r="B4194" s="983" t="s">
        <v>2713</v>
      </c>
      <c r="C4194" s="1000"/>
      <c r="H4194" s="983" t="str">
        <f>CONCATENATE("&lt;valeur&gt;",Cellule_10084,"&lt;/valeur&gt;")</f>
        <v>&lt;valeur&gt;0&lt;/valeur&gt;</v>
      </c>
    </row>
    <row r="4195" spans="1:9" x14ac:dyDescent="0.2">
      <c r="A4195" s="997">
        <f t="shared" si="65"/>
        <v>4194</v>
      </c>
      <c r="B4195" s="983" t="s">
        <v>2713</v>
      </c>
      <c r="C4195" s="999"/>
      <c r="G4195" s="983" t="s">
        <v>1109</v>
      </c>
    </row>
    <row r="4196" spans="1:9" x14ac:dyDescent="0.2">
      <c r="A4196" s="997">
        <f t="shared" si="65"/>
        <v>4195</v>
      </c>
      <c r="B4196" s="983" t="s">
        <v>2713</v>
      </c>
      <c r="C4196" s="999"/>
      <c r="G4196" s="983" t="s">
        <v>1106</v>
      </c>
    </row>
    <row r="4197" spans="1:9" x14ac:dyDescent="0.2">
      <c r="A4197" s="997">
        <f t="shared" si="65"/>
        <v>4196</v>
      </c>
      <c r="B4197" s="983" t="s">
        <v>2713</v>
      </c>
      <c r="C4197" s="1000"/>
      <c r="H4197" s="983" t="s">
        <v>1107</v>
      </c>
    </row>
    <row r="4198" spans="1:9" x14ac:dyDescent="0.2">
      <c r="A4198" s="997">
        <f t="shared" si="65"/>
        <v>4197</v>
      </c>
      <c r="B4198" s="983" t="s">
        <v>2713</v>
      </c>
      <c r="C4198" s="1001"/>
      <c r="I4198" s="983" t="s">
        <v>1773</v>
      </c>
    </row>
    <row r="4199" spans="1:9" x14ac:dyDescent="0.2">
      <c r="A4199" s="997">
        <f t="shared" si="65"/>
        <v>4198</v>
      </c>
      <c r="B4199" s="983" t="s">
        <v>2713</v>
      </c>
      <c r="C4199" s="1000"/>
      <c r="H4199" s="983" t="s">
        <v>1108</v>
      </c>
    </row>
    <row r="4200" spans="1:9" x14ac:dyDescent="0.2">
      <c r="A4200" s="997">
        <f t="shared" si="65"/>
        <v>4199</v>
      </c>
      <c r="B4200" s="983" t="s">
        <v>2713</v>
      </c>
      <c r="C4200" s="1000"/>
      <c r="H4200" s="983" t="str">
        <f>CONCATENATE("&lt;valeur&gt;",Cellule_12599,"&lt;/valeur&gt;")</f>
        <v>&lt;valeur&gt;0&lt;/valeur&gt;</v>
      </c>
    </row>
    <row r="4201" spans="1:9" x14ac:dyDescent="0.2">
      <c r="A4201" s="997">
        <f t="shared" si="65"/>
        <v>4200</v>
      </c>
      <c r="B4201" s="983" t="s">
        <v>2713</v>
      </c>
      <c r="C4201" s="999"/>
      <c r="G4201" s="983" t="s">
        <v>1109</v>
      </c>
    </row>
    <row r="4202" spans="1:9" x14ac:dyDescent="0.2">
      <c r="A4202" s="997">
        <f t="shared" si="65"/>
        <v>4201</v>
      </c>
      <c r="B4202" s="983" t="s">
        <v>2713</v>
      </c>
      <c r="C4202" s="999"/>
      <c r="G4202" s="983" t="s">
        <v>1106</v>
      </c>
    </row>
    <row r="4203" spans="1:9" x14ac:dyDescent="0.2">
      <c r="A4203" s="997">
        <f t="shared" si="65"/>
        <v>4202</v>
      </c>
      <c r="B4203" s="983" t="s">
        <v>2713</v>
      </c>
      <c r="C4203" s="1000"/>
      <c r="H4203" s="983" t="s">
        <v>1107</v>
      </c>
    </row>
    <row r="4204" spans="1:9" x14ac:dyDescent="0.2">
      <c r="A4204" s="997">
        <f t="shared" si="65"/>
        <v>4203</v>
      </c>
      <c r="B4204" s="983" t="s">
        <v>2713</v>
      </c>
      <c r="C4204" s="1001"/>
      <c r="I4204" s="983" t="s">
        <v>1774</v>
      </c>
    </row>
    <row r="4205" spans="1:9" x14ac:dyDescent="0.2">
      <c r="A4205" s="997">
        <f t="shared" si="65"/>
        <v>4204</v>
      </c>
      <c r="B4205" s="983" t="s">
        <v>2713</v>
      </c>
      <c r="C4205" s="1000"/>
      <c r="H4205" s="983" t="s">
        <v>1108</v>
      </c>
    </row>
    <row r="4206" spans="1:9" x14ac:dyDescent="0.2">
      <c r="A4206" s="997">
        <f t="shared" si="65"/>
        <v>4205</v>
      </c>
      <c r="B4206" s="983" t="s">
        <v>2713</v>
      </c>
      <c r="C4206" s="1000"/>
      <c r="H4206" s="983" t="str">
        <f>CONCATENATE("&lt;valeur&gt;",Cellule_1015,"&lt;/valeur&gt;")</f>
        <v>&lt;valeur&gt;0&lt;/valeur&gt;</v>
      </c>
    </row>
    <row r="4207" spans="1:9" x14ac:dyDescent="0.2">
      <c r="A4207" s="997">
        <f t="shared" si="65"/>
        <v>4206</v>
      </c>
      <c r="B4207" s="983" t="s">
        <v>2713</v>
      </c>
      <c r="C4207" s="999"/>
      <c r="G4207" s="983" t="s">
        <v>1109</v>
      </c>
    </row>
    <row r="4208" spans="1:9" x14ac:dyDescent="0.2">
      <c r="A4208" s="997">
        <f t="shared" si="65"/>
        <v>4207</v>
      </c>
      <c r="B4208" s="983" t="s">
        <v>2713</v>
      </c>
      <c r="C4208" s="999"/>
      <c r="G4208" s="983" t="s">
        <v>1106</v>
      </c>
    </row>
    <row r="4209" spans="1:9" x14ac:dyDescent="0.2">
      <c r="A4209" s="997">
        <f t="shared" si="65"/>
        <v>4208</v>
      </c>
      <c r="B4209" s="983" t="s">
        <v>2713</v>
      </c>
      <c r="C4209" s="1000"/>
      <c r="H4209" s="983" t="s">
        <v>1107</v>
      </c>
    </row>
    <row r="4210" spans="1:9" x14ac:dyDescent="0.2">
      <c r="A4210" s="997">
        <f t="shared" si="65"/>
        <v>4209</v>
      </c>
      <c r="B4210" s="983" t="s">
        <v>2713</v>
      </c>
      <c r="C4210" s="1001"/>
      <c r="I4210" s="983" t="s">
        <v>1775</v>
      </c>
    </row>
    <row r="4211" spans="1:9" x14ac:dyDescent="0.2">
      <c r="A4211" s="997">
        <f t="shared" si="65"/>
        <v>4210</v>
      </c>
      <c r="B4211" s="983" t="s">
        <v>2713</v>
      </c>
      <c r="C4211" s="1000"/>
      <c r="H4211" s="983" t="s">
        <v>1108</v>
      </c>
    </row>
    <row r="4212" spans="1:9" x14ac:dyDescent="0.2">
      <c r="A4212" s="997">
        <f t="shared" si="65"/>
        <v>4211</v>
      </c>
      <c r="B4212" s="983" t="s">
        <v>2713</v>
      </c>
      <c r="C4212" s="1000"/>
      <c r="H4212" s="983" t="str">
        <f>CONCATENATE("&lt;valeur&gt;",Cellule_1016,"&lt;/valeur&gt;")</f>
        <v>&lt;valeur&gt;0&lt;/valeur&gt;</v>
      </c>
    </row>
    <row r="4213" spans="1:9" x14ac:dyDescent="0.2">
      <c r="A4213" s="997">
        <f t="shared" si="65"/>
        <v>4212</v>
      </c>
      <c r="B4213" s="983" t="s">
        <v>2713</v>
      </c>
      <c r="C4213" s="999"/>
      <c r="G4213" s="983" t="s">
        <v>1109</v>
      </c>
    </row>
    <row r="4214" spans="1:9" x14ac:dyDescent="0.2">
      <c r="A4214" s="997">
        <f t="shared" si="65"/>
        <v>4213</v>
      </c>
      <c r="B4214" s="983" t="s">
        <v>2713</v>
      </c>
      <c r="C4214" s="999"/>
      <c r="G4214" s="983" t="s">
        <v>1106</v>
      </c>
    </row>
    <row r="4215" spans="1:9" x14ac:dyDescent="0.2">
      <c r="A4215" s="997">
        <f t="shared" si="65"/>
        <v>4214</v>
      </c>
      <c r="B4215" s="983" t="s">
        <v>2713</v>
      </c>
      <c r="C4215" s="1000"/>
      <c r="H4215" s="983" t="s">
        <v>1107</v>
      </c>
    </row>
    <row r="4216" spans="1:9" x14ac:dyDescent="0.2">
      <c r="A4216" s="997">
        <f t="shared" si="65"/>
        <v>4215</v>
      </c>
      <c r="B4216" s="983" t="s">
        <v>2713</v>
      </c>
      <c r="C4216" s="1001"/>
      <c r="I4216" s="983" t="s">
        <v>1776</v>
      </c>
    </row>
    <row r="4217" spans="1:9" x14ac:dyDescent="0.2">
      <c r="A4217" s="997">
        <f t="shared" si="65"/>
        <v>4216</v>
      </c>
      <c r="B4217" s="983" t="s">
        <v>2713</v>
      </c>
      <c r="C4217" s="1000"/>
      <c r="H4217" s="983" t="s">
        <v>1108</v>
      </c>
    </row>
    <row r="4218" spans="1:9" x14ac:dyDescent="0.2">
      <c r="A4218" s="997">
        <f t="shared" si="65"/>
        <v>4217</v>
      </c>
      <c r="B4218" s="983" t="s">
        <v>2713</v>
      </c>
      <c r="C4218" s="1000"/>
      <c r="H4218" s="983" t="str">
        <f>CONCATENATE("&lt;valeur&gt;",Cellule_1017,"&lt;/valeur&gt;")</f>
        <v>&lt;valeur&gt;0&lt;/valeur&gt;</v>
      </c>
    </row>
    <row r="4219" spans="1:9" x14ac:dyDescent="0.2">
      <c r="A4219" s="997">
        <f t="shared" si="65"/>
        <v>4218</v>
      </c>
      <c r="B4219" s="983" t="s">
        <v>2713</v>
      </c>
      <c r="C4219" s="999"/>
      <c r="G4219" s="983" t="s">
        <v>1109</v>
      </c>
    </row>
    <row r="4220" spans="1:9" x14ac:dyDescent="0.2">
      <c r="A4220" s="997">
        <f t="shared" si="65"/>
        <v>4219</v>
      </c>
      <c r="B4220" s="983" t="s">
        <v>2713</v>
      </c>
      <c r="C4220" s="999"/>
      <c r="G4220" s="983" t="s">
        <v>1106</v>
      </c>
    </row>
    <row r="4221" spans="1:9" x14ac:dyDescent="0.2">
      <c r="A4221" s="997">
        <f t="shared" si="65"/>
        <v>4220</v>
      </c>
      <c r="B4221" s="983" t="s">
        <v>2713</v>
      </c>
      <c r="C4221" s="1000"/>
      <c r="H4221" s="983" t="s">
        <v>1107</v>
      </c>
    </row>
    <row r="4222" spans="1:9" x14ac:dyDescent="0.2">
      <c r="A4222" s="997">
        <f t="shared" si="65"/>
        <v>4221</v>
      </c>
      <c r="B4222" s="983" t="s">
        <v>2713</v>
      </c>
      <c r="C4222" s="1001"/>
      <c r="I4222" s="983" t="s">
        <v>1777</v>
      </c>
    </row>
    <row r="4223" spans="1:9" x14ac:dyDescent="0.2">
      <c r="A4223" s="997">
        <f t="shared" si="65"/>
        <v>4222</v>
      </c>
      <c r="B4223" s="983" t="s">
        <v>2713</v>
      </c>
      <c r="C4223" s="1000"/>
      <c r="H4223" s="983" t="s">
        <v>1108</v>
      </c>
    </row>
    <row r="4224" spans="1:9" x14ac:dyDescent="0.2">
      <c r="A4224" s="997">
        <f t="shared" si="65"/>
        <v>4223</v>
      </c>
      <c r="B4224" s="983" t="s">
        <v>2713</v>
      </c>
      <c r="C4224" s="1000"/>
      <c r="H4224" s="983" t="str">
        <f>CONCATENATE("&lt;valeur&gt;",Cellule_1018,"&lt;/valeur&gt;")</f>
        <v>&lt;valeur&gt;0&lt;/valeur&gt;</v>
      </c>
    </row>
    <row r="4225" spans="1:9" x14ac:dyDescent="0.2">
      <c r="A4225" s="997">
        <f t="shared" si="65"/>
        <v>4224</v>
      </c>
      <c r="B4225" s="983" t="s">
        <v>2713</v>
      </c>
      <c r="C4225" s="999"/>
      <c r="G4225" s="983" t="s">
        <v>1109</v>
      </c>
    </row>
    <row r="4226" spans="1:9" x14ac:dyDescent="0.2">
      <c r="A4226" s="997">
        <f t="shared" si="65"/>
        <v>4225</v>
      </c>
      <c r="B4226" s="983" t="s">
        <v>2713</v>
      </c>
      <c r="C4226" s="999"/>
      <c r="G4226" s="983" t="s">
        <v>1106</v>
      </c>
    </row>
    <row r="4227" spans="1:9" x14ac:dyDescent="0.2">
      <c r="A4227" s="997">
        <f t="shared" si="65"/>
        <v>4226</v>
      </c>
      <c r="B4227" s="983" t="s">
        <v>2713</v>
      </c>
      <c r="C4227" s="1000"/>
      <c r="H4227" s="983" t="s">
        <v>1107</v>
      </c>
    </row>
    <row r="4228" spans="1:9" x14ac:dyDescent="0.2">
      <c r="A4228" s="997">
        <f t="shared" ref="A4228:A4291" si="66">+A4227+1</f>
        <v>4227</v>
      </c>
      <c r="B4228" s="983" t="s">
        <v>2713</v>
      </c>
      <c r="C4228" s="1001"/>
      <c r="I4228" s="983" t="s">
        <v>1778</v>
      </c>
    </row>
    <row r="4229" spans="1:9" x14ac:dyDescent="0.2">
      <c r="A4229" s="997">
        <f t="shared" si="66"/>
        <v>4228</v>
      </c>
      <c r="B4229" s="983" t="s">
        <v>2713</v>
      </c>
      <c r="C4229" s="1000"/>
      <c r="H4229" s="983" t="s">
        <v>1108</v>
      </c>
    </row>
    <row r="4230" spans="1:9" x14ac:dyDescent="0.2">
      <c r="A4230" s="997">
        <f t="shared" si="66"/>
        <v>4229</v>
      </c>
      <c r="B4230" s="983" t="s">
        <v>2713</v>
      </c>
      <c r="C4230" s="1000"/>
      <c r="H4230" s="983" t="str">
        <f>CONCATENATE("&lt;valeur&gt;",Cellule_1019,"&lt;/valeur&gt;")</f>
        <v>&lt;valeur&gt;0&lt;/valeur&gt;</v>
      </c>
    </row>
    <row r="4231" spans="1:9" x14ac:dyDescent="0.2">
      <c r="A4231" s="997">
        <f t="shared" si="66"/>
        <v>4230</v>
      </c>
      <c r="B4231" s="983" t="s">
        <v>2713</v>
      </c>
      <c r="C4231" s="999"/>
      <c r="G4231" s="983" t="s">
        <v>1109</v>
      </c>
    </row>
    <row r="4232" spans="1:9" x14ac:dyDescent="0.2">
      <c r="A4232" s="997">
        <f t="shared" si="66"/>
        <v>4231</v>
      </c>
      <c r="B4232" s="983" t="s">
        <v>2713</v>
      </c>
      <c r="C4232" s="999"/>
      <c r="G4232" s="983" t="s">
        <v>1106</v>
      </c>
    </row>
    <row r="4233" spans="1:9" x14ac:dyDescent="0.2">
      <c r="A4233" s="997">
        <f t="shared" si="66"/>
        <v>4232</v>
      </c>
      <c r="B4233" s="983" t="s">
        <v>2713</v>
      </c>
      <c r="C4233" s="1000"/>
      <c r="H4233" s="983" t="s">
        <v>1107</v>
      </c>
    </row>
    <row r="4234" spans="1:9" x14ac:dyDescent="0.2">
      <c r="A4234" s="997">
        <f t="shared" si="66"/>
        <v>4233</v>
      </c>
      <c r="B4234" s="983" t="s">
        <v>2713</v>
      </c>
      <c r="C4234" s="1001"/>
      <c r="I4234" s="983" t="s">
        <v>1779</v>
      </c>
    </row>
    <row r="4235" spans="1:9" x14ac:dyDescent="0.2">
      <c r="A4235" s="997">
        <f t="shared" si="66"/>
        <v>4234</v>
      </c>
      <c r="B4235" s="983" t="s">
        <v>2713</v>
      </c>
      <c r="C4235" s="1000"/>
      <c r="H4235" s="983" t="s">
        <v>1108</v>
      </c>
    </row>
    <row r="4236" spans="1:9" x14ac:dyDescent="0.2">
      <c r="A4236" s="997">
        <f t="shared" si="66"/>
        <v>4235</v>
      </c>
      <c r="B4236" s="983" t="s">
        <v>2713</v>
      </c>
      <c r="C4236" s="1000"/>
      <c r="H4236" s="983" t="str">
        <f>CONCATENATE("&lt;valeur&gt;",Cellule_1020,"&lt;/valeur&gt;")</f>
        <v>&lt;valeur&gt;0&lt;/valeur&gt;</v>
      </c>
    </row>
    <row r="4237" spans="1:9" x14ac:dyDescent="0.2">
      <c r="A4237" s="997">
        <f t="shared" si="66"/>
        <v>4236</v>
      </c>
      <c r="B4237" s="983" t="s">
        <v>2713</v>
      </c>
      <c r="C4237" s="999"/>
      <c r="G4237" s="983" t="s">
        <v>1109</v>
      </c>
    </row>
    <row r="4238" spans="1:9" x14ac:dyDescent="0.2">
      <c r="A4238" s="997">
        <f t="shared" si="66"/>
        <v>4237</v>
      </c>
      <c r="B4238" s="983" t="s">
        <v>2713</v>
      </c>
      <c r="C4238" s="999"/>
      <c r="G4238" s="983" t="s">
        <v>1106</v>
      </c>
    </row>
    <row r="4239" spans="1:9" x14ac:dyDescent="0.2">
      <c r="A4239" s="997">
        <f t="shared" si="66"/>
        <v>4238</v>
      </c>
      <c r="B4239" s="983" t="s">
        <v>2713</v>
      </c>
      <c r="C4239" s="1000"/>
      <c r="H4239" s="983" t="s">
        <v>1107</v>
      </c>
    </row>
    <row r="4240" spans="1:9" x14ac:dyDescent="0.2">
      <c r="A4240" s="997">
        <f t="shared" si="66"/>
        <v>4239</v>
      </c>
      <c r="B4240" s="983" t="s">
        <v>2713</v>
      </c>
      <c r="C4240" s="1001"/>
      <c r="I4240" s="983" t="s">
        <v>1780</v>
      </c>
    </row>
    <row r="4241" spans="1:9" x14ac:dyDescent="0.2">
      <c r="A4241" s="997">
        <f t="shared" si="66"/>
        <v>4240</v>
      </c>
      <c r="B4241" s="983" t="s">
        <v>2713</v>
      </c>
      <c r="C4241" s="1000"/>
      <c r="H4241" s="983" t="s">
        <v>1108</v>
      </c>
    </row>
    <row r="4242" spans="1:9" x14ac:dyDescent="0.2">
      <c r="A4242" s="997">
        <f t="shared" si="66"/>
        <v>4241</v>
      </c>
      <c r="B4242" s="983" t="s">
        <v>2713</v>
      </c>
      <c r="C4242" s="1000"/>
      <c r="H4242" s="983" t="str">
        <f>CONCATENATE("&lt;valeur&gt;",Cellule_1021,"&lt;/valeur&gt;")</f>
        <v>&lt;valeur&gt;0&lt;/valeur&gt;</v>
      </c>
    </row>
    <row r="4243" spans="1:9" x14ac:dyDescent="0.2">
      <c r="A4243" s="997">
        <f t="shared" si="66"/>
        <v>4242</v>
      </c>
      <c r="B4243" s="983" t="s">
        <v>2713</v>
      </c>
      <c r="C4243" s="999"/>
      <c r="G4243" s="983" t="s">
        <v>1109</v>
      </c>
    </row>
    <row r="4244" spans="1:9" x14ac:dyDescent="0.2">
      <c r="A4244" s="997">
        <f t="shared" si="66"/>
        <v>4243</v>
      </c>
      <c r="B4244" s="983" t="s">
        <v>2713</v>
      </c>
      <c r="C4244" s="999"/>
      <c r="G4244" s="983" t="s">
        <v>1106</v>
      </c>
    </row>
    <row r="4245" spans="1:9" x14ac:dyDescent="0.2">
      <c r="A4245" s="997">
        <f t="shared" si="66"/>
        <v>4244</v>
      </c>
      <c r="B4245" s="983" t="s">
        <v>2713</v>
      </c>
      <c r="C4245" s="1000"/>
      <c r="H4245" s="983" t="s">
        <v>1107</v>
      </c>
    </row>
    <row r="4246" spans="1:9" x14ac:dyDescent="0.2">
      <c r="A4246" s="997">
        <f t="shared" si="66"/>
        <v>4245</v>
      </c>
      <c r="B4246" s="983" t="s">
        <v>2713</v>
      </c>
      <c r="C4246" s="1001"/>
      <c r="I4246" s="983" t="s">
        <v>1781</v>
      </c>
    </row>
    <row r="4247" spans="1:9" x14ac:dyDescent="0.2">
      <c r="A4247" s="997">
        <f t="shared" si="66"/>
        <v>4246</v>
      </c>
      <c r="B4247" s="983" t="s">
        <v>2713</v>
      </c>
      <c r="C4247" s="1000"/>
      <c r="H4247" s="983" t="s">
        <v>1108</v>
      </c>
    </row>
    <row r="4248" spans="1:9" x14ac:dyDescent="0.2">
      <c r="A4248" s="997">
        <f t="shared" si="66"/>
        <v>4247</v>
      </c>
      <c r="B4248" s="983" t="s">
        <v>2713</v>
      </c>
      <c r="C4248" s="1000"/>
      <c r="H4248" s="983" t="str">
        <f>CONCATENATE("&lt;valeur&gt;",Cellule_10085,"&lt;/valeur&gt;")</f>
        <v>&lt;valeur&gt;0&lt;/valeur&gt;</v>
      </c>
    </row>
    <row r="4249" spans="1:9" x14ac:dyDescent="0.2">
      <c r="A4249" s="997">
        <f t="shared" si="66"/>
        <v>4248</v>
      </c>
      <c r="B4249" s="983" t="s">
        <v>2713</v>
      </c>
      <c r="C4249" s="999"/>
      <c r="G4249" s="983" t="s">
        <v>1109</v>
      </c>
    </row>
    <row r="4250" spans="1:9" x14ac:dyDescent="0.2">
      <c r="A4250" s="997">
        <f t="shared" si="66"/>
        <v>4249</v>
      </c>
      <c r="B4250" s="983" t="s">
        <v>2713</v>
      </c>
      <c r="C4250" s="999"/>
      <c r="G4250" s="983" t="s">
        <v>1106</v>
      </c>
    </row>
    <row r="4251" spans="1:9" x14ac:dyDescent="0.2">
      <c r="A4251" s="997">
        <f t="shared" si="66"/>
        <v>4250</v>
      </c>
      <c r="B4251" s="983" t="s">
        <v>2713</v>
      </c>
      <c r="C4251" s="1000"/>
      <c r="H4251" s="983" t="s">
        <v>1107</v>
      </c>
    </row>
    <row r="4252" spans="1:9" x14ac:dyDescent="0.2">
      <c r="A4252" s="997">
        <f t="shared" si="66"/>
        <v>4251</v>
      </c>
      <c r="B4252" s="983" t="s">
        <v>2713</v>
      </c>
      <c r="C4252" s="1001"/>
      <c r="I4252" s="983" t="s">
        <v>1782</v>
      </c>
    </row>
    <row r="4253" spans="1:9" x14ac:dyDescent="0.2">
      <c r="A4253" s="997">
        <f t="shared" si="66"/>
        <v>4252</v>
      </c>
      <c r="B4253" s="983" t="s">
        <v>2713</v>
      </c>
      <c r="C4253" s="1000"/>
      <c r="H4253" s="983" t="s">
        <v>1108</v>
      </c>
    </row>
    <row r="4254" spans="1:9" x14ac:dyDescent="0.2">
      <c r="A4254" s="997">
        <f t="shared" si="66"/>
        <v>4253</v>
      </c>
      <c r="B4254" s="983" t="s">
        <v>2713</v>
      </c>
      <c r="C4254" s="1000"/>
      <c r="H4254" s="983" t="str">
        <f>CONCATENATE("&lt;valeur&gt;",Cellule_12600,"&lt;/valeur&gt;")</f>
        <v>&lt;valeur&gt;0&lt;/valeur&gt;</v>
      </c>
    </row>
    <row r="4255" spans="1:9" x14ac:dyDescent="0.2">
      <c r="A4255" s="997">
        <f t="shared" si="66"/>
        <v>4254</v>
      </c>
      <c r="B4255" s="983" t="s">
        <v>2713</v>
      </c>
      <c r="C4255" s="999"/>
      <c r="G4255" s="983" t="s">
        <v>1109</v>
      </c>
    </row>
    <row r="4256" spans="1:9" x14ac:dyDescent="0.2">
      <c r="A4256" s="997">
        <f t="shared" si="66"/>
        <v>4255</v>
      </c>
      <c r="B4256" s="983" t="s">
        <v>2713</v>
      </c>
      <c r="C4256" s="999"/>
      <c r="G4256" s="983" t="s">
        <v>1106</v>
      </c>
    </row>
    <row r="4257" spans="1:9" x14ac:dyDescent="0.2">
      <c r="A4257" s="997">
        <f t="shared" si="66"/>
        <v>4256</v>
      </c>
      <c r="B4257" s="983" t="s">
        <v>2713</v>
      </c>
      <c r="C4257" s="1000"/>
      <c r="H4257" s="983" t="s">
        <v>1107</v>
      </c>
    </row>
    <row r="4258" spans="1:9" x14ac:dyDescent="0.2">
      <c r="A4258" s="997">
        <f t="shared" si="66"/>
        <v>4257</v>
      </c>
      <c r="B4258" s="983" t="s">
        <v>2713</v>
      </c>
      <c r="C4258" s="1001"/>
      <c r="I4258" s="983" t="s">
        <v>1783</v>
      </c>
    </row>
    <row r="4259" spans="1:9" x14ac:dyDescent="0.2">
      <c r="A4259" s="997">
        <f t="shared" si="66"/>
        <v>4258</v>
      </c>
      <c r="B4259" s="983" t="s">
        <v>2713</v>
      </c>
      <c r="C4259" s="1000"/>
      <c r="H4259" s="983" t="s">
        <v>1108</v>
      </c>
    </row>
    <row r="4260" spans="1:9" x14ac:dyDescent="0.2">
      <c r="A4260" s="997">
        <f t="shared" si="66"/>
        <v>4259</v>
      </c>
      <c r="B4260" s="983" t="s">
        <v>2713</v>
      </c>
      <c r="C4260" s="1000"/>
      <c r="H4260" s="983" t="str">
        <f>CONCATENATE("&lt;valeur&gt;",Cellule_1029,"&lt;/valeur&gt;")</f>
        <v>&lt;valeur&gt;0&lt;/valeur&gt;</v>
      </c>
    </row>
    <row r="4261" spans="1:9" x14ac:dyDescent="0.2">
      <c r="A4261" s="997">
        <f t="shared" si="66"/>
        <v>4260</v>
      </c>
      <c r="B4261" s="983" t="s">
        <v>2713</v>
      </c>
      <c r="C4261" s="999"/>
      <c r="G4261" s="983" t="s">
        <v>1109</v>
      </c>
    </row>
    <row r="4262" spans="1:9" x14ac:dyDescent="0.2">
      <c r="A4262" s="997">
        <f t="shared" si="66"/>
        <v>4261</v>
      </c>
      <c r="B4262" s="983" t="s">
        <v>2713</v>
      </c>
      <c r="C4262" s="999"/>
      <c r="G4262" s="983" t="s">
        <v>1106</v>
      </c>
    </row>
    <row r="4263" spans="1:9" x14ac:dyDescent="0.2">
      <c r="A4263" s="997">
        <f t="shared" si="66"/>
        <v>4262</v>
      </c>
      <c r="B4263" s="983" t="s">
        <v>2713</v>
      </c>
      <c r="C4263" s="1000"/>
      <c r="H4263" s="983" t="s">
        <v>1107</v>
      </c>
    </row>
    <row r="4264" spans="1:9" x14ac:dyDescent="0.2">
      <c r="A4264" s="997">
        <f t="shared" si="66"/>
        <v>4263</v>
      </c>
      <c r="B4264" s="983" t="s">
        <v>2713</v>
      </c>
      <c r="C4264" s="1001"/>
      <c r="I4264" s="983" t="s">
        <v>1784</v>
      </c>
    </row>
    <row r="4265" spans="1:9" x14ac:dyDescent="0.2">
      <c r="A4265" s="997">
        <f t="shared" si="66"/>
        <v>4264</v>
      </c>
      <c r="B4265" s="983" t="s">
        <v>2713</v>
      </c>
      <c r="C4265" s="1000"/>
      <c r="H4265" s="983" t="s">
        <v>1108</v>
      </c>
    </row>
    <row r="4266" spans="1:9" x14ac:dyDescent="0.2">
      <c r="A4266" s="997">
        <f t="shared" si="66"/>
        <v>4265</v>
      </c>
      <c r="B4266" s="983" t="s">
        <v>2713</v>
      </c>
      <c r="C4266" s="1000"/>
      <c r="H4266" s="983" t="str">
        <f>CONCATENATE("&lt;valeur&gt;",Cellule_1030,"&lt;/valeur&gt;")</f>
        <v>&lt;valeur&gt;0&lt;/valeur&gt;</v>
      </c>
    </row>
    <row r="4267" spans="1:9" x14ac:dyDescent="0.2">
      <c r="A4267" s="997">
        <f t="shared" si="66"/>
        <v>4266</v>
      </c>
      <c r="B4267" s="983" t="s">
        <v>2713</v>
      </c>
      <c r="C4267" s="999"/>
      <c r="G4267" s="983" t="s">
        <v>1109</v>
      </c>
    </row>
    <row r="4268" spans="1:9" x14ac:dyDescent="0.2">
      <c r="A4268" s="997">
        <f t="shared" si="66"/>
        <v>4267</v>
      </c>
      <c r="B4268" s="983" t="s">
        <v>2713</v>
      </c>
      <c r="C4268" s="999"/>
      <c r="G4268" s="983" t="s">
        <v>1106</v>
      </c>
    </row>
    <row r="4269" spans="1:9" x14ac:dyDescent="0.2">
      <c r="A4269" s="997">
        <f t="shared" si="66"/>
        <v>4268</v>
      </c>
      <c r="B4269" s="983" t="s">
        <v>2713</v>
      </c>
      <c r="C4269" s="1000"/>
      <c r="H4269" s="983" t="s">
        <v>1107</v>
      </c>
    </row>
    <row r="4270" spans="1:9" x14ac:dyDescent="0.2">
      <c r="A4270" s="997">
        <f t="shared" si="66"/>
        <v>4269</v>
      </c>
      <c r="B4270" s="983" t="s">
        <v>2713</v>
      </c>
      <c r="C4270" s="1001"/>
      <c r="I4270" s="983" t="s">
        <v>1785</v>
      </c>
    </row>
    <row r="4271" spans="1:9" x14ac:dyDescent="0.2">
      <c r="A4271" s="997">
        <f t="shared" si="66"/>
        <v>4270</v>
      </c>
      <c r="B4271" s="983" t="s">
        <v>2713</v>
      </c>
      <c r="C4271" s="1000"/>
      <c r="H4271" s="983" t="s">
        <v>1108</v>
      </c>
    </row>
    <row r="4272" spans="1:9" x14ac:dyDescent="0.2">
      <c r="A4272" s="997">
        <f t="shared" si="66"/>
        <v>4271</v>
      </c>
      <c r="B4272" s="983" t="s">
        <v>2713</v>
      </c>
      <c r="C4272" s="1000"/>
      <c r="H4272" s="983" t="str">
        <f>CONCATENATE("&lt;valeur&gt;",Cellule_1031,"&lt;/valeur&gt;")</f>
        <v>&lt;valeur&gt;0&lt;/valeur&gt;</v>
      </c>
    </row>
    <row r="4273" spans="1:9" x14ac:dyDescent="0.2">
      <c r="A4273" s="997">
        <f t="shared" si="66"/>
        <v>4272</v>
      </c>
      <c r="B4273" s="983" t="s">
        <v>2713</v>
      </c>
      <c r="C4273" s="999"/>
      <c r="G4273" s="983" t="s">
        <v>1109</v>
      </c>
    </row>
    <row r="4274" spans="1:9" x14ac:dyDescent="0.2">
      <c r="A4274" s="997">
        <f t="shared" si="66"/>
        <v>4273</v>
      </c>
      <c r="B4274" s="983" t="s">
        <v>2713</v>
      </c>
      <c r="C4274" s="999"/>
      <c r="G4274" s="983" t="s">
        <v>1106</v>
      </c>
    </row>
    <row r="4275" spans="1:9" x14ac:dyDescent="0.2">
      <c r="A4275" s="997">
        <f t="shared" si="66"/>
        <v>4274</v>
      </c>
      <c r="B4275" s="983" t="s">
        <v>2713</v>
      </c>
      <c r="C4275" s="1000"/>
      <c r="H4275" s="983" t="s">
        <v>1107</v>
      </c>
    </row>
    <row r="4276" spans="1:9" x14ac:dyDescent="0.2">
      <c r="A4276" s="997">
        <f t="shared" si="66"/>
        <v>4275</v>
      </c>
      <c r="B4276" s="983" t="s">
        <v>2713</v>
      </c>
      <c r="C4276" s="1001"/>
      <c r="I4276" s="983" t="s">
        <v>1786</v>
      </c>
    </row>
    <row r="4277" spans="1:9" x14ac:dyDescent="0.2">
      <c r="A4277" s="997">
        <f t="shared" si="66"/>
        <v>4276</v>
      </c>
      <c r="B4277" s="983" t="s">
        <v>2713</v>
      </c>
      <c r="C4277" s="1000"/>
      <c r="H4277" s="983" t="s">
        <v>1108</v>
      </c>
    </row>
    <row r="4278" spans="1:9" x14ac:dyDescent="0.2">
      <c r="A4278" s="997">
        <f t="shared" si="66"/>
        <v>4277</v>
      </c>
      <c r="B4278" s="983" t="s">
        <v>2713</v>
      </c>
      <c r="C4278" s="1000"/>
      <c r="H4278" s="983" t="str">
        <f>CONCATENATE("&lt;valeur&gt;",Cellule_1032,"&lt;/valeur&gt;")</f>
        <v>&lt;valeur&gt;0&lt;/valeur&gt;</v>
      </c>
    </row>
    <row r="4279" spans="1:9" x14ac:dyDescent="0.2">
      <c r="A4279" s="997">
        <f t="shared" si="66"/>
        <v>4278</v>
      </c>
      <c r="B4279" s="983" t="s">
        <v>2713</v>
      </c>
      <c r="C4279" s="999"/>
      <c r="G4279" s="983" t="s">
        <v>1109</v>
      </c>
    </row>
    <row r="4280" spans="1:9" x14ac:dyDescent="0.2">
      <c r="A4280" s="997">
        <f t="shared" si="66"/>
        <v>4279</v>
      </c>
      <c r="B4280" s="983" t="s">
        <v>2713</v>
      </c>
      <c r="C4280" s="999"/>
      <c r="G4280" s="983" t="s">
        <v>1106</v>
      </c>
    </row>
    <row r="4281" spans="1:9" x14ac:dyDescent="0.2">
      <c r="A4281" s="997">
        <f t="shared" si="66"/>
        <v>4280</v>
      </c>
      <c r="B4281" s="983" t="s">
        <v>2713</v>
      </c>
      <c r="C4281" s="1000"/>
      <c r="H4281" s="983" t="s">
        <v>1107</v>
      </c>
    </row>
    <row r="4282" spans="1:9" x14ac:dyDescent="0.2">
      <c r="A4282" s="997">
        <f t="shared" si="66"/>
        <v>4281</v>
      </c>
      <c r="B4282" s="983" t="s">
        <v>2713</v>
      </c>
      <c r="C4282" s="1001"/>
      <c r="I4282" s="983" t="s">
        <v>1787</v>
      </c>
    </row>
    <row r="4283" spans="1:9" x14ac:dyDescent="0.2">
      <c r="A4283" s="997">
        <f t="shared" si="66"/>
        <v>4282</v>
      </c>
      <c r="B4283" s="983" t="s">
        <v>2713</v>
      </c>
      <c r="C4283" s="1000"/>
      <c r="H4283" s="983" t="s">
        <v>1108</v>
      </c>
    </row>
    <row r="4284" spans="1:9" x14ac:dyDescent="0.2">
      <c r="A4284" s="997">
        <f t="shared" si="66"/>
        <v>4283</v>
      </c>
      <c r="B4284" s="983" t="s">
        <v>2713</v>
      </c>
      <c r="C4284" s="1000"/>
      <c r="H4284" s="983" t="str">
        <f>CONCATENATE("&lt;valeur&gt;",Cellule_1033,"&lt;/valeur&gt;")</f>
        <v>&lt;valeur&gt;0&lt;/valeur&gt;</v>
      </c>
    </row>
    <row r="4285" spans="1:9" x14ac:dyDescent="0.2">
      <c r="A4285" s="997">
        <f t="shared" si="66"/>
        <v>4284</v>
      </c>
      <c r="B4285" s="983" t="s">
        <v>2713</v>
      </c>
      <c r="C4285" s="999"/>
      <c r="G4285" s="983" t="s">
        <v>1109</v>
      </c>
    </row>
    <row r="4286" spans="1:9" x14ac:dyDescent="0.2">
      <c r="A4286" s="997">
        <f t="shared" si="66"/>
        <v>4285</v>
      </c>
      <c r="B4286" s="983" t="s">
        <v>2713</v>
      </c>
      <c r="C4286" s="999"/>
      <c r="G4286" s="983" t="s">
        <v>1106</v>
      </c>
    </row>
    <row r="4287" spans="1:9" x14ac:dyDescent="0.2">
      <c r="A4287" s="997">
        <f t="shared" si="66"/>
        <v>4286</v>
      </c>
      <c r="B4287" s="983" t="s">
        <v>2713</v>
      </c>
      <c r="C4287" s="1000"/>
      <c r="H4287" s="983" t="s">
        <v>1107</v>
      </c>
    </row>
    <row r="4288" spans="1:9" x14ac:dyDescent="0.2">
      <c r="A4288" s="997">
        <f t="shared" si="66"/>
        <v>4287</v>
      </c>
      <c r="B4288" s="983" t="s">
        <v>2713</v>
      </c>
      <c r="C4288" s="1001"/>
      <c r="I4288" s="983" t="s">
        <v>1788</v>
      </c>
    </row>
    <row r="4289" spans="1:9" x14ac:dyDescent="0.2">
      <c r="A4289" s="997">
        <f t="shared" si="66"/>
        <v>4288</v>
      </c>
      <c r="B4289" s="983" t="s">
        <v>2713</v>
      </c>
      <c r="C4289" s="1000"/>
      <c r="H4289" s="983" t="s">
        <v>1108</v>
      </c>
    </row>
    <row r="4290" spans="1:9" x14ac:dyDescent="0.2">
      <c r="A4290" s="997">
        <f t="shared" si="66"/>
        <v>4289</v>
      </c>
      <c r="B4290" s="983" t="s">
        <v>2713</v>
      </c>
      <c r="C4290" s="1000"/>
      <c r="H4290" s="983" t="str">
        <f>CONCATENATE("&lt;valeur&gt;",Cellule_1034,"&lt;/valeur&gt;")</f>
        <v>&lt;valeur&gt;0&lt;/valeur&gt;</v>
      </c>
    </row>
    <row r="4291" spans="1:9" x14ac:dyDescent="0.2">
      <c r="A4291" s="997">
        <f t="shared" si="66"/>
        <v>4290</v>
      </c>
      <c r="B4291" s="983" t="s">
        <v>2713</v>
      </c>
      <c r="C4291" s="999"/>
      <c r="G4291" s="983" t="s">
        <v>1109</v>
      </c>
    </row>
    <row r="4292" spans="1:9" x14ac:dyDescent="0.2">
      <c r="A4292" s="997">
        <f t="shared" ref="A4292:A4355" si="67">+A4291+1</f>
        <v>4291</v>
      </c>
      <c r="B4292" s="983" t="s">
        <v>2713</v>
      </c>
      <c r="C4292" s="999"/>
      <c r="G4292" s="983" t="s">
        <v>1106</v>
      </c>
    </row>
    <row r="4293" spans="1:9" x14ac:dyDescent="0.2">
      <c r="A4293" s="997">
        <f t="shared" si="67"/>
        <v>4292</v>
      </c>
      <c r="B4293" s="983" t="s">
        <v>2713</v>
      </c>
      <c r="C4293" s="1000"/>
      <c r="H4293" s="983" t="s">
        <v>1107</v>
      </c>
    </row>
    <row r="4294" spans="1:9" x14ac:dyDescent="0.2">
      <c r="A4294" s="997">
        <f t="shared" si="67"/>
        <v>4293</v>
      </c>
      <c r="B4294" s="983" t="s">
        <v>2713</v>
      </c>
      <c r="C4294" s="1001"/>
      <c r="I4294" s="983" t="s">
        <v>1789</v>
      </c>
    </row>
    <row r="4295" spans="1:9" x14ac:dyDescent="0.2">
      <c r="A4295" s="997">
        <f t="shared" si="67"/>
        <v>4294</v>
      </c>
      <c r="B4295" s="983" t="s">
        <v>2713</v>
      </c>
      <c r="C4295" s="1000"/>
      <c r="H4295" s="983" t="s">
        <v>1108</v>
      </c>
    </row>
    <row r="4296" spans="1:9" x14ac:dyDescent="0.2">
      <c r="A4296" s="997">
        <f t="shared" si="67"/>
        <v>4295</v>
      </c>
      <c r="B4296" s="983" t="s">
        <v>2713</v>
      </c>
      <c r="C4296" s="1000"/>
      <c r="H4296" s="983" t="str">
        <f>CONCATENATE("&lt;valeur&gt;",Cellule_1035,"&lt;/valeur&gt;")</f>
        <v>&lt;valeur&gt;0&lt;/valeur&gt;</v>
      </c>
    </row>
    <row r="4297" spans="1:9" x14ac:dyDescent="0.2">
      <c r="A4297" s="997">
        <f t="shared" si="67"/>
        <v>4296</v>
      </c>
      <c r="B4297" s="983" t="s">
        <v>2713</v>
      </c>
      <c r="C4297" s="999"/>
      <c r="G4297" s="983" t="s">
        <v>1109</v>
      </c>
    </row>
    <row r="4298" spans="1:9" x14ac:dyDescent="0.2">
      <c r="A4298" s="997">
        <f t="shared" si="67"/>
        <v>4297</v>
      </c>
      <c r="B4298" s="983" t="s">
        <v>2713</v>
      </c>
      <c r="C4298" s="999"/>
      <c r="G4298" s="983" t="s">
        <v>1106</v>
      </c>
    </row>
    <row r="4299" spans="1:9" x14ac:dyDescent="0.2">
      <c r="A4299" s="997">
        <f t="shared" si="67"/>
        <v>4298</v>
      </c>
      <c r="B4299" s="983" t="s">
        <v>2713</v>
      </c>
      <c r="C4299" s="1000"/>
      <c r="H4299" s="983" t="s">
        <v>1107</v>
      </c>
    </row>
    <row r="4300" spans="1:9" x14ac:dyDescent="0.2">
      <c r="A4300" s="997">
        <f t="shared" si="67"/>
        <v>4299</v>
      </c>
      <c r="B4300" s="983" t="s">
        <v>2713</v>
      </c>
      <c r="C4300" s="1001"/>
      <c r="I4300" s="983" t="s">
        <v>1790</v>
      </c>
    </row>
    <row r="4301" spans="1:9" x14ac:dyDescent="0.2">
      <c r="A4301" s="997">
        <f t="shared" si="67"/>
        <v>4300</v>
      </c>
      <c r="B4301" s="983" t="s">
        <v>2713</v>
      </c>
      <c r="C4301" s="1000"/>
      <c r="H4301" s="983" t="s">
        <v>1108</v>
      </c>
    </row>
    <row r="4302" spans="1:9" x14ac:dyDescent="0.2">
      <c r="A4302" s="997">
        <f t="shared" si="67"/>
        <v>4301</v>
      </c>
      <c r="B4302" s="983" t="s">
        <v>2713</v>
      </c>
      <c r="C4302" s="1000"/>
      <c r="H4302" s="983" t="str">
        <f>CONCATENATE("&lt;valeur&gt;",Cellule_10086,"&lt;/valeur&gt;")</f>
        <v>&lt;valeur&gt;0&lt;/valeur&gt;</v>
      </c>
    </row>
    <row r="4303" spans="1:9" x14ac:dyDescent="0.2">
      <c r="A4303" s="997">
        <f t="shared" si="67"/>
        <v>4302</v>
      </c>
      <c r="B4303" s="983" t="s">
        <v>2713</v>
      </c>
      <c r="C4303" s="999"/>
      <c r="G4303" s="983" t="s">
        <v>1109</v>
      </c>
    </row>
    <row r="4304" spans="1:9" x14ac:dyDescent="0.2">
      <c r="A4304" s="997">
        <f t="shared" si="67"/>
        <v>4303</v>
      </c>
      <c r="B4304" s="983" t="s">
        <v>2713</v>
      </c>
      <c r="C4304" s="999"/>
      <c r="G4304" s="983" t="s">
        <v>1106</v>
      </c>
    </row>
    <row r="4305" spans="1:9" x14ac:dyDescent="0.2">
      <c r="A4305" s="997">
        <f t="shared" si="67"/>
        <v>4304</v>
      </c>
      <c r="B4305" s="983" t="s">
        <v>2713</v>
      </c>
      <c r="C4305" s="1000"/>
      <c r="H4305" s="983" t="s">
        <v>1107</v>
      </c>
    </row>
    <row r="4306" spans="1:9" x14ac:dyDescent="0.2">
      <c r="A4306" s="997">
        <f t="shared" si="67"/>
        <v>4305</v>
      </c>
      <c r="B4306" s="983" t="s">
        <v>2713</v>
      </c>
      <c r="C4306" s="1001"/>
      <c r="I4306" s="983" t="s">
        <v>1791</v>
      </c>
    </row>
    <row r="4307" spans="1:9" x14ac:dyDescent="0.2">
      <c r="A4307" s="997">
        <f t="shared" si="67"/>
        <v>4306</v>
      </c>
      <c r="B4307" s="983" t="s">
        <v>2713</v>
      </c>
      <c r="C4307" s="1000"/>
      <c r="H4307" s="983" t="s">
        <v>1108</v>
      </c>
    </row>
    <row r="4308" spans="1:9" x14ac:dyDescent="0.2">
      <c r="A4308" s="997">
        <f t="shared" si="67"/>
        <v>4307</v>
      </c>
      <c r="B4308" s="983" t="s">
        <v>2713</v>
      </c>
      <c r="C4308" s="1000"/>
      <c r="H4308" s="983" t="str">
        <f>CONCATENATE("&lt;valeur&gt;",Cellule_12601,"&lt;/valeur&gt;")</f>
        <v>&lt;valeur&gt;0&lt;/valeur&gt;</v>
      </c>
    </row>
    <row r="4309" spans="1:9" x14ac:dyDescent="0.2">
      <c r="A4309" s="997">
        <f t="shared" si="67"/>
        <v>4308</v>
      </c>
      <c r="B4309" s="983" t="s">
        <v>2713</v>
      </c>
      <c r="C4309" s="999"/>
      <c r="G4309" s="983" t="s">
        <v>1109</v>
      </c>
    </row>
    <row r="4310" spans="1:9" x14ac:dyDescent="0.2">
      <c r="A4310" s="997">
        <f t="shared" si="67"/>
        <v>4309</v>
      </c>
      <c r="B4310" s="983" t="s">
        <v>2713</v>
      </c>
      <c r="C4310" s="999"/>
      <c r="G4310" s="983" t="s">
        <v>1106</v>
      </c>
    </row>
    <row r="4311" spans="1:9" x14ac:dyDescent="0.2">
      <c r="A4311" s="997">
        <f t="shared" si="67"/>
        <v>4310</v>
      </c>
      <c r="B4311" s="983" t="s">
        <v>2713</v>
      </c>
      <c r="C4311" s="1000"/>
      <c r="H4311" s="983" t="s">
        <v>1107</v>
      </c>
    </row>
    <row r="4312" spans="1:9" x14ac:dyDescent="0.2">
      <c r="A4312" s="997">
        <f t="shared" si="67"/>
        <v>4311</v>
      </c>
      <c r="B4312" s="983" t="s">
        <v>2713</v>
      </c>
      <c r="C4312" s="1001"/>
      <c r="I4312" s="983" t="s">
        <v>1792</v>
      </c>
    </row>
    <row r="4313" spans="1:9" x14ac:dyDescent="0.2">
      <c r="A4313" s="997">
        <f t="shared" si="67"/>
        <v>4312</v>
      </c>
      <c r="B4313" s="983" t="s">
        <v>2713</v>
      </c>
      <c r="C4313" s="1000"/>
      <c r="H4313" s="983" t="s">
        <v>1108</v>
      </c>
    </row>
    <row r="4314" spans="1:9" x14ac:dyDescent="0.2">
      <c r="A4314" s="997">
        <f t="shared" si="67"/>
        <v>4313</v>
      </c>
      <c r="B4314" s="983" t="s">
        <v>2713</v>
      </c>
      <c r="C4314" s="1000"/>
      <c r="H4314" s="983" t="str">
        <f>CONCATENATE("&lt;valeur&gt;",Cellule_1043,"&lt;/valeur&gt;")</f>
        <v>&lt;valeur&gt;0&lt;/valeur&gt;</v>
      </c>
    </row>
    <row r="4315" spans="1:9" x14ac:dyDescent="0.2">
      <c r="A4315" s="997">
        <f t="shared" si="67"/>
        <v>4314</v>
      </c>
      <c r="B4315" s="983" t="s">
        <v>2713</v>
      </c>
      <c r="C4315" s="999"/>
      <c r="G4315" s="983" t="s">
        <v>1109</v>
      </c>
    </row>
    <row r="4316" spans="1:9" x14ac:dyDescent="0.2">
      <c r="A4316" s="997">
        <f t="shared" si="67"/>
        <v>4315</v>
      </c>
      <c r="B4316" s="983" t="s">
        <v>2713</v>
      </c>
      <c r="C4316" s="999"/>
      <c r="G4316" s="983" t="s">
        <v>1106</v>
      </c>
    </row>
    <row r="4317" spans="1:9" x14ac:dyDescent="0.2">
      <c r="A4317" s="997">
        <f t="shared" si="67"/>
        <v>4316</v>
      </c>
      <c r="B4317" s="983" t="s">
        <v>2713</v>
      </c>
      <c r="C4317" s="1000"/>
      <c r="H4317" s="983" t="s">
        <v>1107</v>
      </c>
    </row>
    <row r="4318" spans="1:9" x14ac:dyDescent="0.2">
      <c r="A4318" s="997">
        <f t="shared" si="67"/>
        <v>4317</v>
      </c>
      <c r="B4318" s="983" t="s">
        <v>2713</v>
      </c>
      <c r="C4318" s="1001"/>
      <c r="I4318" s="983" t="s">
        <v>1793</v>
      </c>
    </row>
    <row r="4319" spans="1:9" x14ac:dyDescent="0.2">
      <c r="A4319" s="997">
        <f t="shared" si="67"/>
        <v>4318</v>
      </c>
      <c r="B4319" s="983" t="s">
        <v>2713</v>
      </c>
      <c r="C4319" s="1000"/>
      <c r="H4319" s="983" t="s">
        <v>1108</v>
      </c>
    </row>
    <row r="4320" spans="1:9" x14ac:dyDescent="0.2">
      <c r="A4320" s="997">
        <f t="shared" si="67"/>
        <v>4319</v>
      </c>
      <c r="B4320" s="983" t="s">
        <v>2713</v>
      </c>
      <c r="C4320" s="1000"/>
      <c r="H4320" s="983" t="str">
        <f>CONCATENATE("&lt;valeur&gt;",Cellule_1044,"&lt;/valeur&gt;")</f>
        <v>&lt;valeur&gt;0&lt;/valeur&gt;</v>
      </c>
    </row>
    <row r="4321" spans="1:9" x14ac:dyDescent="0.2">
      <c r="A4321" s="997">
        <f t="shared" si="67"/>
        <v>4320</v>
      </c>
      <c r="B4321" s="983" t="s">
        <v>2713</v>
      </c>
      <c r="C4321" s="999"/>
      <c r="G4321" s="983" t="s">
        <v>1109</v>
      </c>
    </row>
    <row r="4322" spans="1:9" x14ac:dyDescent="0.2">
      <c r="A4322" s="997">
        <f t="shared" si="67"/>
        <v>4321</v>
      </c>
      <c r="B4322" s="983" t="s">
        <v>2713</v>
      </c>
      <c r="C4322" s="999"/>
      <c r="G4322" s="983" t="s">
        <v>1106</v>
      </c>
    </row>
    <row r="4323" spans="1:9" x14ac:dyDescent="0.2">
      <c r="A4323" s="997">
        <f t="shared" si="67"/>
        <v>4322</v>
      </c>
      <c r="B4323" s="983" t="s">
        <v>2713</v>
      </c>
      <c r="C4323" s="1000"/>
      <c r="H4323" s="983" t="s">
        <v>1107</v>
      </c>
    </row>
    <row r="4324" spans="1:9" x14ac:dyDescent="0.2">
      <c r="A4324" s="997">
        <f t="shared" si="67"/>
        <v>4323</v>
      </c>
      <c r="B4324" s="983" t="s">
        <v>2713</v>
      </c>
      <c r="C4324" s="1001"/>
      <c r="I4324" s="983" t="s">
        <v>1794</v>
      </c>
    </row>
    <row r="4325" spans="1:9" x14ac:dyDescent="0.2">
      <c r="A4325" s="997">
        <f t="shared" si="67"/>
        <v>4324</v>
      </c>
      <c r="B4325" s="983" t="s">
        <v>2713</v>
      </c>
      <c r="C4325" s="1000"/>
      <c r="H4325" s="983" t="s">
        <v>1108</v>
      </c>
    </row>
    <row r="4326" spans="1:9" x14ac:dyDescent="0.2">
      <c r="A4326" s="997">
        <f t="shared" si="67"/>
        <v>4325</v>
      </c>
      <c r="B4326" s="983" t="s">
        <v>2713</v>
      </c>
      <c r="C4326" s="1000"/>
      <c r="H4326" s="983" t="str">
        <f>CONCATENATE("&lt;valeur&gt;",Cellule_1045,"&lt;/valeur&gt;")</f>
        <v>&lt;valeur&gt;0&lt;/valeur&gt;</v>
      </c>
    </row>
    <row r="4327" spans="1:9" x14ac:dyDescent="0.2">
      <c r="A4327" s="997">
        <f t="shared" si="67"/>
        <v>4326</v>
      </c>
      <c r="B4327" s="983" t="s">
        <v>2713</v>
      </c>
      <c r="C4327" s="999"/>
      <c r="G4327" s="983" t="s">
        <v>1109</v>
      </c>
    </row>
    <row r="4328" spans="1:9" x14ac:dyDescent="0.2">
      <c r="A4328" s="997">
        <f t="shared" si="67"/>
        <v>4327</v>
      </c>
      <c r="B4328" s="983" t="s">
        <v>2713</v>
      </c>
      <c r="C4328" s="999"/>
      <c r="G4328" s="983" t="s">
        <v>1106</v>
      </c>
    </row>
    <row r="4329" spans="1:9" x14ac:dyDescent="0.2">
      <c r="A4329" s="997">
        <f t="shared" si="67"/>
        <v>4328</v>
      </c>
      <c r="B4329" s="983" t="s">
        <v>2713</v>
      </c>
      <c r="C4329" s="1000"/>
      <c r="H4329" s="983" t="s">
        <v>1107</v>
      </c>
    </row>
    <row r="4330" spans="1:9" x14ac:dyDescent="0.2">
      <c r="A4330" s="997">
        <f t="shared" si="67"/>
        <v>4329</v>
      </c>
      <c r="B4330" s="983" t="s">
        <v>2713</v>
      </c>
      <c r="C4330" s="1001"/>
      <c r="I4330" s="983" t="s">
        <v>1795</v>
      </c>
    </row>
    <row r="4331" spans="1:9" x14ac:dyDescent="0.2">
      <c r="A4331" s="997">
        <f t="shared" si="67"/>
        <v>4330</v>
      </c>
      <c r="B4331" s="983" t="s">
        <v>2713</v>
      </c>
      <c r="C4331" s="1000"/>
      <c r="H4331" s="983" t="s">
        <v>1108</v>
      </c>
    </row>
    <row r="4332" spans="1:9" x14ac:dyDescent="0.2">
      <c r="A4332" s="997">
        <f t="shared" si="67"/>
        <v>4331</v>
      </c>
      <c r="B4332" s="983" t="s">
        <v>2713</v>
      </c>
      <c r="C4332" s="1000"/>
      <c r="H4332" s="983" t="str">
        <f>CONCATENATE("&lt;valeur&gt;",Cellule_1046,"&lt;/valeur&gt;")</f>
        <v>&lt;valeur&gt;0&lt;/valeur&gt;</v>
      </c>
    </row>
    <row r="4333" spans="1:9" x14ac:dyDescent="0.2">
      <c r="A4333" s="997">
        <f t="shared" si="67"/>
        <v>4332</v>
      </c>
      <c r="B4333" s="983" t="s">
        <v>2713</v>
      </c>
      <c r="C4333" s="999"/>
      <c r="G4333" s="983" t="s">
        <v>1109</v>
      </c>
    </row>
    <row r="4334" spans="1:9" x14ac:dyDescent="0.2">
      <c r="A4334" s="997">
        <f t="shared" si="67"/>
        <v>4333</v>
      </c>
      <c r="B4334" s="983" t="s">
        <v>2713</v>
      </c>
      <c r="C4334" s="999"/>
      <c r="G4334" s="983" t="s">
        <v>1106</v>
      </c>
    </row>
    <row r="4335" spans="1:9" x14ac:dyDescent="0.2">
      <c r="A4335" s="997">
        <f t="shared" si="67"/>
        <v>4334</v>
      </c>
      <c r="B4335" s="983" t="s">
        <v>2713</v>
      </c>
      <c r="C4335" s="1000"/>
      <c r="H4335" s="983" t="s">
        <v>1107</v>
      </c>
    </row>
    <row r="4336" spans="1:9" x14ac:dyDescent="0.2">
      <c r="A4336" s="997">
        <f t="shared" si="67"/>
        <v>4335</v>
      </c>
      <c r="B4336" s="983" t="s">
        <v>2713</v>
      </c>
      <c r="C4336" s="1001"/>
      <c r="I4336" s="983" t="s">
        <v>1796</v>
      </c>
    </row>
    <row r="4337" spans="1:9" x14ac:dyDescent="0.2">
      <c r="A4337" s="997">
        <f t="shared" si="67"/>
        <v>4336</v>
      </c>
      <c r="B4337" s="983" t="s">
        <v>2713</v>
      </c>
      <c r="C4337" s="1000"/>
      <c r="H4337" s="983" t="s">
        <v>1108</v>
      </c>
    </row>
    <row r="4338" spans="1:9" x14ac:dyDescent="0.2">
      <c r="A4338" s="997">
        <f t="shared" si="67"/>
        <v>4337</v>
      </c>
      <c r="B4338" s="983" t="s">
        <v>2713</v>
      </c>
      <c r="C4338" s="1000"/>
      <c r="H4338" s="983" t="str">
        <f>CONCATENATE("&lt;valeur&gt;",Cellule_1047,"&lt;/valeur&gt;")</f>
        <v>&lt;valeur&gt;0&lt;/valeur&gt;</v>
      </c>
    </row>
    <row r="4339" spans="1:9" x14ac:dyDescent="0.2">
      <c r="A4339" s="997">
        <f t="shared" si="67"/>
        <v>4338</v>
      </c>
      <c r="B4339" s="983" t="s">
        <v>2713</v>
      </c>
      <c r="C4339" s="999"/>
      <c r="G4339" s="983" t="s">
        <v>1109</v>
      </c>
    </row>
    <row r="4340" spans="1:9" x14ac:dyDescent="0.2">
      <c r="A4340" s="997">
        <f t="shared" si="67"/>
        <v>4339</v>
      </c>
      <c r="B4340" s="983" t="s">
        <v>2713</v>
      </c>
      <c r="C4340" s="999"/>
      <c r="G4340" s="983" t="s">
        <v>1106</v>
      </c>
    </row>
    <row r="4341" spans="1:9" x14ac:dyDescent="0.2">
      <c r="A4341" s="997">
        <f t="shared" si="67"/>
        <v>4340</v>
      </c>
      <c r="B4341" s="983" t="s">
        <v>2713</v>
      </c>
      <c r="C4341" s="1000"/>
      <c r="H4341" s="983" t="s">
        <v>1107</v>
      </c>
    </row>
    <row r="4342" spans="1:9" x14ac:dyDescent="0.2">
      <c r="A4342" s="997">
        <f t="shared" si="67"/>
        <v>4341</v>
      </c>
      <c r="B4342" s="983" t="s">
        <v>2713</v>
      </c>
      <c r="C4342" s="1001"/>
      <c r="I4342" s="983" t="s">
        <v>1797</v>
      </c>
    </row>
    <row r="4343" spans="1:9" x14ac:dyDescent="0.2">
      <c r="A4343" s="997">
        <f t="shared" si="67"/>
        <v>4342</v>
      </c>
      <c r="B4343" s="983" t="s">
        <v>2713</v>
      </c>
      <c r="C4343" s="1000"/>
      <c r="H4343" s="983" t="s">
        <v>1108</v>
      </c>
    </row>
    <row r="4344" spans="1:9" x14ac:dyDescent="0.2">
      <c r="A4344" s="997">
        <f t="shared" si="67"/>
        <v>4343</v>
      </c>
      <c r="B4344" s="983" t="s">
        <v>2713</v>
      </c>
      <c r="C4344" s="1000"/>
      <c r="H4344" s="983" t="str">
        <f>CONCATENATE("&lt;valeur&gt;",Cellule_1048,"&lt;/valeur&gt;")</f>
        <v>&lt;valeur&gt;0&lt;/valeur&gt;</v>
      </c>
    </row>
    <row r="4345" spans="1:9" x14ac:dyDescent="0.2">
      <c r="A4345" s="997">
        <f t="shared" si="67"/>
        <v>4344</v>
      </c>
      <c r="B4345" s="983" t="s">
        <v>2713</v>
      </c>
      <c r="C4345" s="999"/>
      <c r="G4345" s="983" t="s">
        <v>1109</v>
      </c>
    </row>
    <row r="4346" spans="1:9" x14ac:dyDescent="0.2">
      <c r="A4346" s="997">
        <f t="shared" si="67"/>
        <v>4345</v>
      </c>
      <c r="B4346" s="983" t="s">
        <v>2713</v>
      </c>
      <c r="C4346" s="999"/>
      <c r="G4346" s="983" t="s">
        <v>1106</v>
      </c>
    </row>
    <row r="4347" spans="1:9" x14ac:dyDescent="0.2">
      <c r="A4347" s="997">
        <f t="shared" si="67"/>
        <v>4346</v>
      </c>
      <c r="B4347" s="983" t="s">
        <v>2713</v>
      </c>
      <c r="C4347" s="1000"/>
      <c r="H4347" s="983" t="s">
        <v>1107</v>
      </c>
    </row>
    <row r="4348" spans="1:9" x14ac:dyDescent="0.2">
      <c r="A4348" s="997">
        <f t="shared" si="67"/>
        <v>4347</v>
      </c>
      <c r="B4348" s="983" t="s">
        <v>2713</v>
      </c>
      <c r="C4348" s="1001"/>
      <c r="I4348" s="983" t="s">
        <v>1798</v>
      </c>
    </row>
    <row r="4349" spans="1:9" x14ac:dyDescent="0.2">
      <c r="A4349" s="997">
        <f t="shared" si="67"/>
        <v>4348</v>
      </c>
      <c r="B4349" s="983" t="s">
        <v>2713</v>
      </c>
      <c r="C4349" s="1000"/>
      <c r="H4349" s="983" t="s">
        <v>1108</v>
      </c>
    </row>
    <row r="4350" spans="1:9" x14ac:dyDescent="0.2">
      <c r="A4350" s="997">
        <f t="shared" si="67"/>
        <v>4349</v>
      </c>
      <c r="B4350" s="983" t="s">
        <v>2713</v>
      </c>
      <c r="C4350" s="1000"/>
      <c r="H4350" s="983" t="str">
        <f>CONCATENATE("&lt;valeur&gt;",Cellule_1049,"&lt;/valeur&gt;")</f>
        <v>&lt;valeur&gt;0&lt;/valeur&gt;</v>
      </c>
    </row>
    <row r="4351" spans="1:9" x14ac:dyDescent="0.2">
      <c r="A4351" s="997">
        <f t="shared" si="67"/>
        <v>4350</v>
      </c>
      <c r="B4351" s="983" t="s">
        <v>2713</v>
      </c>
      <c r="C4351" s="999"/>
      <c r="G4351" s="983" t="s">
        <v>1109</v>
      </c>
    </row>
    <row r="4352" spans="1:9" x14ac:dyDescent="0.2">
      <c r="A4352" s="997">
        <f t="shared" si="67"/>
        <v>4351</v>
      </c>
      <c r="B4352" s="983" t="s">
        <v>2713</v>
      </c>
      <c r="C4352" s="999"/>
      <c r="G4352" s="983" t="s">
        <v>1106</v>
      </c>
    </row>
    <row r="4353" spans="1:9" x14ac:dyDescent="0.2">
      <c r="A4353" s="997">
        <f t="shared" si="67"/>
        <v>4352</v>
      </c>
      <c r="B4353" s="983" t="s">
        <v>2713</v>
      </c>
      <c r="C4353" s="1000"/>
      <c r="H4353" s="983" t="s">
        <v>1107</v>
      </c>
    </row>
    <row r="4354" spans="1:9" x14ac:dyDescent="0.2">
      <c r="A4354" s="997">
        <f t="shared" si="67"/>
        <v>4353</v>
      </c>
      <c r="B4354" s="983" t="s">
        <v>2713</v>
      </c>
      <c r="C4354" s="1001"/>
      <c r="I4354" s="983" t="s">
        <v>1799</v>
      </c>
    </row>
    <row r="4355" spans="1:9" x14ac:dyDescent="0.2">
      <c r="A4355" s="997">
        <f t="shared" si="67"/>
        <v>4354</v>
      </c>
      <c r="B4355" s="983" t="s">
        <v>2713</v>
      </c>
      <c r="C4355" s="1000"/>
      <c r="H4355" s="983" t="s">
        <v>1108</v>
      </c>
    </row>
    <row r="4356" spans="1:9" x14ac:dyDescent="0.2">
      <c r="A4356" s="997">
        <f t="shared" ref="A4356:A4419" si="68">+A4355+1</f>
        <v>4355</v>
      </c>
      <c r="B4356" s="983" t="s">
        <v>2713</v>
      </c>
      <c r="C4356" s="1000"/>
      <c r="H4356" s="983" t="str">
        <f>CONCATENATE("&lt;valeur&gt;",Cellule_10087,"&lt;/valeur&gt;")</f>
        <v>&lt;valeur&gt;0&lt;/valeur&gt;</v>
      </c>
    </row>
    <row r="4357" spans="1:9" x14ac:dyDescent="0.2">
      <c r="A4357" s="997">
        <f t="shared" si="68"/>
        <v>4356</v>
      </c>
      <c r="B4357" s="983" t="s">
        <v>2713</v>
      </c>
      <c r="C4357" s="999"/>
      <c r="G4357" s="983" t="s">
        <v>1109</v>
      </c>
    </row>
    <row r="4358" spans="1:9" x14ac:dyDescent="0.2">
      <c r="A4358" s="997">
        <f t="shared" si="68"/>
        <v>4357</v>
      </c>
      <c r="B4358" s="983" t="s">
        <v>2713</v>
      </c>
      <c r="C4358" s="999"/>
      <c r="G4358" s="983" t="s">
        <v>1106</v>
      </c>
    </row>
    <row r="4359" spans="1:9" x14ac:dyDescent="0.2">
      <c r="A4359" s="997">
        <f t="shared" si="68"/>
        <v>4358</v>
      </c>
      <c r="B4359" s="983" t="s">
        <v>2713</v>
      </c>
      <c r="C4359" s="1000"/>
      <c r="H4359" s="983" t="s">
        <v>1107</v>
      </c>
    </row>
    <row r="4360" spans="1:9" x14ac:dyDescent="0.2">
      <c r="A4360" s="997">
        <f t="shared" si="68"/>
        <v>4359</v>
      </c>
      <c r="B4360" s="983" t="s">
        <v>2713</v>
      </c>
      <c r="C4360" s="1001"/>
      <c r="I4360" s="983" t="s">
        <v>1800</v>
      </c>
    </row>
    <row r="4361" spans="1:9" x14ac:dyDescent="0.2">
      <c r="A4361" s="997">
        <f t="shared" si="68"/>
        <v>4360</v>
      </c>
      <c r="B4361" s="983" t="s">
        <v>2713</v>
      </c>
      <c r="C4361" s="1000"/>
      <c r="H4361" s="983" t="s">
        <v>1108</v>
      </c>
    </row>
    <row r="4362" spans="1:9" x14ac:dyDescent="0.2">
      <c r="A4362" s="997">
        <f t="shared" si="68"/>
        <v>4361</v>
      </c>
      <c r="B4362" s="983" t="s">
        <v>2713</v>
      </c>
      <c r="C4362" s="1000"/>
      <c r="H4362" s="983" t="str">
        <f>CONCATENATE("&lt;valeur&gt;",Cellule_12602,"&lt;/valeur&gt;")</f>
        <v>&lt;valeur&gt;0&lt;/valeur&gt;</v>
      </c>
    </row>
    <row r="4363" spans="1:9" x14ac:dyDescent="0.2">
      <c r="A4363" s="997">
        <f t="shared" si="68"/>
        <v>4362</v>
      </c>
      <c r="B4363" s="983" t="s">
        <v>2713</v>
      </c>
      <c r="C4363" s="999"/>
      <c r="G4363" s="983" t="s">
        <v>1109</v>
      </c>
    </row>
    <row r="4364" spans="1:9" x14ac:dyDescent="0.2">
      <c r="A4364" s="997">
        <f t="shared" si="68"/>
        <v>4363</v>
      </c>
      <c r="B4364" s="983" t="s">
        <v>2713</v>
      </c>
      <c r="C4364" s="999"/>
      <c r="G4364" s="983" t="s">
        <v>1106</v>
      </c>
    </row>
    <row r="4365" spans="1:9" x14ac:dyDescent="0.2">
      <c r="A4365" s="997">
        <f t="shared" si="68"/>
        <v>4364</v>
      </c>
      <c r="B4365" s="983" t="s">
        <v>2713</v>
      </c>
      <c r="C4365" s="1000"/>
      <c r="H4365" s="983" t="s">
        <v>1107</v>
      </c>
    </row>
    <row r="4366" spans="1:9" x14ac:dyDescent="0.2">
      <c r="A4366" s="997">
        <f t="shared" si="68"/>
        <v>4365</v>
      </c>
      <c r="B4366" s="983" t="s">
        <v>2713</v>
      </c>
      <c r="C4366" s="1001"/>
      <c r="I4366" s="983" t="s">
        <v>1801</v>
      </c>
    </row>
    <row r="4367" spans="1:9" x14ac:dyDescent="0.2">
      <c r="A4367" s="997">
        <f t="shared" si="68"/>
        <v>4366</v>
      </c>
      <c r="B4367" s="983" t="s">
        <v>2713</v>
      </c>
      <c r="C4367" s="1000"/>
      <c r="H4367" s="983" t="s">
        <v>1108</v>
      </c>
    </row>
    <row r="4368" spans="1:9" x14ac:dyDescent="0.2">
      <c r="A4368" s="997">
        <f t="shared" si="68"/>
        <v>4367</v>
      </c>
      <c r="B4368" s="983" t="s">
        <v>2713</v>
      </c>
      <c r="C4368" s="1000"/>
      <c r="H4368" s="983" t="str">
        <f>CONCATENATE("&lt;valeur&gt;",Cellule_1057,"&lt;/valeur&gt;")</f>
        <v>&lt;valeur&gt;0&lt;/valeur&gt;</v>
      </c>
    </row>
    <row r="4369" spans="1:9" x14ac:dyDescent="0.2">
      <c r="A4369" s="997">
        <f t="shared" si="68"/>
        <v>4368</v>
      </c>
      <c r="B4369" s="983" t="s">
        <v>2713</v>
      </c>
      <c r="C4369" s="999"/>
      <c r="G4369" s="983" t="s">
        <v>1109</v>
      </c>
    </row>
    <row r="4370" spans="1:9" x14ac:dyDescent="0.2">
      <c r="A4370" s="997">
        <f t="shared" si="68"/>
        <v>4369</v>
      </c>
      <c r="B4370" s="983" t="s">
        <v>2713</v>
      </c>
      <c r="C4370" s="999"/>
      <c r="G4370" s="983" t="s">
        <v>1106</v>
      </c>
    </row>
    <row r="4371" spans="1:9" x14ac:dyDescent="0.2">
      <c r="A4371" s="997">
        <f t="shared" si="68"/>
        <v>4370</v>
      </c>
      <c r="B4371" s="983" t="s">
        <v>2713</v>
      </c>
      <c r="C4371" s="1000"/>
      <c r="H4371" s="983" t="s">
        <v>1107</v>
      </c>
    </row>
    <row r="4372" spans="1:9" x14ac:dyDescent="0.2">
      <c r="A4372" s="997">
        <f t="shared" si="68"/>
        <v>4371</v>
      </c>
      <c r="B4372" s="983" t="s">
        <v>2713</v>
      </c>
      <c r="C4372" s="1001"/>
      <c r="I4372" s="983" t="s">
        <v>1802</v>
      </c>
    </row>
    <row r="4373" spans="1:9" x14ac:dyDescent="0.2">
      <c r="A4373" s="997">
        <f t="shared" si="68"/>
        <v>4372</v>
      </c>
      <c r="B4373" s="983" t="s">
        <v>2713</v>
      </c>
      <c r="C4373" s="1000"/>
      <c r="H4373" s="983" t="s">
        <v>1108</v>
      </c>
    </row>
    <row r="4374" spans="1:9" x14ac:dyDescent="0.2">
      <c r="A4374" s="997">
        <f t="shared" si="68"/>
        <v>4373</v>
      </c>
      <c r="B4374" s="983" t="s">
        <v>2713</v>
      </c>
      <c r="C4374" s="1000"/>
      <c r="H4374" s="983" t="str">
        <f>CONCATENATE("&lt;valeur&gt;",Cellule_1058,"&lt;/valeur&gt;")</f>
        <v>&lt;valeur&gt;0&lt;/valeur&gt;</v>
      </c>
    </row>
    <row r="4375" spans="1:9" x14ac:dyDescent="0.2">
      <c r="A4375" s="997">
        <f t="shared" si="68"/>
        <v>4374</v>
      </c>
      <c r="B4375" s="983" t="s">
        <v>2713</v>
      </c>
      <c r="C4375" s="999"/>
      <c r="G4375" s="983" t="s">
        <v>1109</v>
      </c>
    </row>
    <row r="4376" spans="1:9" x14ac:dyDescent="0.2">
      <c r="A4376" s="997">
        <f t="shared" si="68"/>
        <v>4375</v>
      </c>
      <c r="B4376" s="983" t="s">
        <v>2713</v>
      </c>
      <c r="C4376" s="999"/>
      <c r="G4376" s="983" t="s">
        <v>1106</v>
      </c>
    </row>
    <row r="4377" spans="1:9" x14ac:dyDescent="0.2">
      <c r="A4377" s="997">
        <f t="shared" si="68"/>
        <v>4376</v>
      </c>
      <c r="B4377" s="983" t="s">
        <v>2713</v>
      </c>
      <c r="C4377" s="1000"/>
      <c r="H4377" s="983" t="s">
        <v>1107</v>
      </c>
    </row>
    <row r="4378" spans="1:9" x14ac:dyDescent="0.2">
      <c r="A4378" s="997">
        <f t="shared" si="68"/>
        <v>4377</v>
      </c>
      <c r="B4378" s="983" t="s">
        <v>2713</v>
      </c>
      <c r="C4378" s="1001"/>
      <c r="I4378" s="983" t="s">
        <v>1803</v>
      </c>
    </row>
    <row r="4379" spans="1:9" x14ac:dyDescent="0.2">
      <c r="A4379" s="997">
        <f t="shared" si="68"/>
        <v>4378</v>
      </c>
      <c r="B4379" s="983" t="s">
        <v>2713</v>
      </c>
      <c r="C4379" s="1000"/>
      <c r="H4379" s="983" t="s">
        <v>1108</v>
      </c>
    </row>
    <row r="4380" spans="1:9" x14ac:dyDescent="0.2">
      <c r="A4380" s="997">
        <f t="shared" si="68"/>
        <v>4379</v>
      </c>
      <c r="B4380" s="983" t="s">
        <v>2713</v>
      </c>
      <c r="C4380" s="1000"/>
      <c r="H4380" s="983" t="str">
        <f>CONCATENATE("&lt;valeur&gt;",Cellule_1059,"&lt;/valeur&gt;")</f>
        <v>&lt;valeur&gt;0&lt;/valeur&gt;</v>
      </c>
    </row>
    <row r="4381" spans="1:9" x14ac:dyDescent="0.2">
      <c r="A4381" s="997">
        <f t="shared" si="68"/>
        <v>4380</v>
      </c>
      <c r="B4381" s="983" t="s">
        <v>2713</v>
      </c>
      <c r="C4381" s="999"/>
      <c r="G4381" s="983" t="s">
        <v>1109</v>
      </c>
    </row>
    <row r="4382" spans="1:9" x14ac:dyDescent="0.2">
      <c r="A4382" s="997">
        <f t="shared" si="68"/>
        <v>4381</v>
      </c>
      <c r="B4382" s="983" t="s">
        <v>2713</v>
      </c>
      <c r="C4382" s="999"/>
      <c r="G4382" s="983" t="s">
        <v>1106</v>
      </c>
    </row>
    <row r="4383" spans="1:9" x14ac:dyDescent="0.2">
      <c r="A4383" s="997">
        <f t="shared" si="68"/>
        <v>4382</v>
      </c>
      <c r="B4383" s="983" t="s">
        <v>2713</v>
      </c>
      <c r="C4383" s="1000"/>
      <c r="H4383" s="983" t="s">
        <v>1107</v>
      </c>
    </row>
    <row r="4384" spans="1:9" x14ac:dyDescent="0.2">
      <c r="A4384" s="997">
        <f t="shared" si="68"/>
        <v>4383</v>
      </c>
      <c r="B4384" s="983" t="s">
        <v>2713</v>
      </c>
      <c r="C4384" s="1001"/>
      <c r="I4384" s="983" t="s">
        <v>1804</v>
      </c>
    </row>
    <row r="4385" spans="1:9" x14ac:dyDescent="0.2">
      <c r="A4385" s="997">
        <f t="shared" si="68"/>
        <v>4384</v>
      </c>
      <c r="B4385" s="983" t="s">
        <v>2713</v>
      </c>
      <c r="C4385" s="1000"/>
      <c r="H4385" s="983" t="s">
        <v>1108</v>
      </c>
    </row>
    <row r="4386" spans="1:9" x14ac:dyDescent="0.2">
      <c r="A4386" s="997">
        <f t="shared" si="68"/>
        <v>4385</v>
      </c>
      <c r="B4386" s="983" t="s">
        <v>2713</v>
      </c>
      <c r="C4386" s="1000"/>
      <c r="H4386" s="983" t="str">
        <f>CONCATENATE("&lt;valeur&gt;",Cellule_1060,"&lt;/valeur&gt;")</f>
        <v>&lt;valeur&gt;0&lt;/valeur&gt;</v>
      </c>
    </row>
    <row r="4387" spans="1:9" x14ac:dyDescent="0.2">
      <c r="A4387" s="997">
        <f t="shared" si="68"/>
        <v>4386</v>
      </c>
      <c r="B4387" s="983" t="s">
        <v>2713</v>
      </c>
      <c r="C4387" s="999"/>
      <c r="G4387" s="983" t="s">
        <v>1109</v>
      </c>
    </row>
    <row r="4388" spans="1:9" x14ac:dyDescent="0.2">
      <c r="A4388" s="997">
        <f t="shared" si="68"/>
        <v>4387</v>
      </c>
      <c r="B4388" s="983" t="s">
        <v>2713</v>
      </c>
      <c r="C4388" s="999"/>
      <c r="G4388" s="983" t="s">
        <v>1106</v>
      </c>
    </row>
    <row r="4389" spans="1:9" x14ac:dyDescent="0.2">
      <c r="A4389" s="997">
        <f t="shared" si="68"/>
        <v>4388</v>
      </c>
      <c r="B4389" s="983" t="s">
        <v>2713</v>
      </c>
      <c r="C4389" s="1000"/>
      <c r="H4389" s="983" t="s">
        <v>1107</v>
      </c>
    </row>
    <row r="4390" spans="1:9" x14ac:dyDescent="0.2">
      <c r="A4390" s="997">
        <f t="shared" si="68"/>
        <v>4389</v>
      </c>
      <c r="B4390" s="983" t="s">
        <v>2713</v>
      </c>
      <c r="C4390" s="1001"/>
      <c r="I4390" s="983" t="s">
        <v>1805</v>
      </c>
    </row>
    <row r="4391" spans="1:9" x14ac:dyDescent="0.2">
      <c r="A4391" s="997">
        <f t="shared" si="68"/>
        <v>4390</v>
      </c>
      <c r="B4391" s="983" t="s">
        <v>2713</v>
      </c>
      <c r="C4391" s="1000"/>
      <c r="H4391" s="983" t="s">
        <v>1108</v>
      </c>
    </row>
    <row r="4392" spans="1:9" x14ac:dyDescent="0.2">
      <c r="A4392" s="997">
        <f t="shared" si="68"/>
        <v>4391</v>
      </c>
      <c r="B4392" s="983" t="s">
        <v>2713</v>
      </c>
      <c r="C4392" s="1000"/>
      <c r="H4392" s="983" t="str">
        <f>CONCATENATE("&lt;valeur&gt;",Cellule_1061,"&lt;/valeur&gt;")</f>
        <v>&lt;valeur&gt;0&lt;/valeur&gt;</v>
      </c>
    </row>
    <row r="4393" spans="1:9" x14ac:dyDescent="0.2">
      <c r="A4393" s="997">
        <f t="shared" si="68"/>
        <v>4392</v>
      </c>
      <c r="B4393" s="983" t="s">
        <v>2713</v>
      </c>
      <c r="C4393" s="999"/>
      <c r="G4393" s="983" t="s">
        <v>1109</v>
      </c>
    </row>
    <row r="4394" spans="1:9" x14ac:dyDescent="0.2">
      <c r="A4394" s="997">
        <f t="shared" si="68"/>
        <v>4393</v>
      </c>
      <c r="B4394" s="983" t="s">
        <v>2713</v>
      </c>
      <c r="C4394" s="999"/>
      <c r="G4394" s="983" t="s">
        <v>1106</v>
      </c>
    </row>
    <row r="4395" spans="1:9" x14ac:dyDescent="0.2">
      <c r="A4395" s="997">
        <f t="shared" si="68"/>
        <v>4394</v>
      </c>
      <c r="B4395" s="983" t="s">
        <v>2713</v>
      </c>
      <c r="C4395" s="1000"/>
      <c r="H4395" s="983" t="s">
        <v>1107</v>
      </c>
    </row>
    <row r="4396" spans="1:9" x14ac:dyDescent="0.2">
      <c r="A4396" s="997">
        <f t="shared" si="68"/>
        <v>4395</v>
      </c>
      <c r="B4396" s="983" t="s">
        <v>2713</v>
      </c>
      <c r="C4396" s="1001"/>
      <c r="I4396" s="983" t="s">
        <v>1806</v>
      </c>
    </row>
    <row r="4397" spans="1:9" x14ac:dyDescent="0.2">
      <c r="A4397" s="997">
        <f t="shared" si="68"/>
        <v>4396</v>
      </c>
      <c r="B4397" s="983" t="s">
        <v>2713</v>
      </c>
      <c r="C4397" s="1000"/>
      <c r="H4397" s="983" t="s">
        <v>1108</v>
      </c>
    </row>
    <row r="4398" spans="1:9" x14ac:dyDescent="0.2">
      <c r="A4398" s="997">
        <f t="shared" si="68"/>
        <v>4397</v>
      </c>
      <c r="B4398" s="983" t="s">
        <v>2713</v>
      </c>
      <c r="C4398" s="1000"/>
      <c r="H4398" s="983" t="str">
        <f>CONCATENATE("&lt;valeur&gt;",Cellule_1062,"&lt;/valeur&gt;")</f>
        <v>&lt;valeur&gt;0&lt;/valeur&gt;</v>
      </c>
    </row>
    <row r="4399" spans="1:9" x14ac:dyDescent="0.2">
      <c r="A4399" s="997">
        <f t="shared" si="68"/>
        <v>4398</v>
      </c>
      <c r="B4399" s="983" t="s">
        <v>2713</v>
      </c>
      <c r="C4399" s="999"/>
      <c r="G4399" s="983" t="s">
        <v>1109</v>
      </c>
    </row>
    <row r="4400" spans="1:9" x14ac:dyDescent="0.2">
      <c r="A4400" s="997">
        <f t="shared" si="68"/>
        <v>4399</v>
      </c>
      <c r="B4400" s="983" t="s">
        <v>2713</v>
      </c>
      <c r="C4400" s="999"/>
      <c r="G4400" s="983" t="s">
        <v>1106</v>
      </c>
    </row>
    <row r="4401" spans="1:9" x14ac:dyDescent="0.2">
      <c r="A4401" s="997">
        <f t="shared" si="68"/>
        <v>4400</v>
      </c>
      <c r="B4401" s="983" t="s">
        <v>2713</v>
      </c>
      <c r="C4401" s="1000"/>
      <c r="H4401" s="983" t="s">
        <v>1107</v>
      </c>
    </row>
    <row r="4402" spans="1:9" x14ac:dyDescent="0.2">
      <c r="A4402" s="997">
        <f t="shared" si="68"/>
        <v>4401</v>
      </c>
      <c r="B4402" s="983" t="s">
        <v>2713</v>
      </c>
      <c r="C4402" s="1001"/>
      <c r="I4402" s="983" t="s">
        <v>1807</v>
      </c>
    </row>
    <row r="4403" spans="1:9" x14ac:dyDescent="0.2">
      <c r="A4403" s="997">
        <f t="shared" si="68"/>
        <v>4402</v>
      </c>
      <c r="B4403" s="983" t="s">
        <v>2713</v>
      </c>
      <c r="C4403" s="1000"/>
      <c r="H4403" s="983" t="s">
        <v>1108</v>
      </c>
    </row>
    <row r="4404" spans="1:9" x14ac:dyDescent="0.2">
      <c r="A4404" s="997">
        <f t="shared" si="68"/>
        <v>4403</v>
      </c>
      <c r="B4404" s="983" t="s">
        <v>2713</v>
      </c>
      <c r="C4404" s="1000"/>
      <c r="H4404" s="983" t="str">
        <f>CONCATENATE("&lt;valeur&gt;",Cellule_1063,"&lt;/valeur&gt;")</f>
        <v>&lt;valeur&gt;0&lt;/valeur&gt;</v>
      </c>
    </row>
    <row r="4405" spans="1:9" x14ac:dyDescent="0.2">
      <c r="A4405" s="997">
        <f t="shared" si="68"/>
        <v>4404</v>
      </c>
      <c r="B4405" s="983" t="s">
        <v>2713</v>
      </c>
      <c r="C4405" s="999"/>
      <c r="G4405" s="983" t="s">
        <v>1109</v>
      </c>
    </row>
    <row r="4406" spans="1:9" x14ac:dyDescent="0.2">
      <c r="A4406" s="997">
        <f t="shared" si="68"/>
        <v>4405</v>
      </c>
      <c r="B4406" s="983" t="s">
        <v>2713</v>
      </c>
      <c r="C4406" s="999"/>
      <c r="G4406" s="983" t="s">
        <v>1106</v>
      </c>
    </row>
    <row r="4407" spans="1:9" x14ac:dyDescent="0.2">
      <c r="A4407" s="997">
        <f t="shared" si="68"/>
        <v>4406</v>
      </c>
      <c r="B4407" s="983" t="s">
        <v>2713</v>
      </c>
      <c r="C4407" s="1000"/>
      <c r="H4407" s="983" t="s">
        <v>1107</v>
      </c>
    </row>
    <row r="4408" spans="1:9" x14ac:dyDescent="0.2">
      <c r="A4408" s="997">
        <f t="shared" si="68"/>
        <v>4407</v>
      </c>
      <c r="B4408" s="983" t="s">
        <v>2713</v>
      </c>
      <c r="C4408" s="1001"/>
      <c r="I4408" s="983" t="s">
        <v>1808</v>
      </c>
    </row>
    <row r="4409" spans="1:9" x14ac:dyDescent="0.2">
      <c r="A4409" s="997">
        <f t="shared" si="68"/>
        <v>4408</v>
      </c>
      <c r="B4409" s="983" t="s">
        <v>2713</v>
      </c>
      <c r="C4409" s="1000"/>
      <c r="H4409" s="983" t="s">
        <v>1108</v>
      </c>
    </row>
    <row r="4410" spans="1:9" x14ac:dyDescent="0.2">
      <c r="A4410" s="997">
        <f t="shared" si="68"/>
        <v>4409</v>
      </c>
      <c r="B4410" s="983" t="s">
        <v>2713</v>
      </c>
      <c r="C4410" s="1000"/>
      <c r="H4410" s="983" t="str">
        <f>CONCATENATE("&lt;valeur&gt;",Cellule_10088,"&lt;/valeur&gt;")</f>
        <v>&lt;valeur&gt;0&lt;/valeur&gt;</v>
      </c>
    </row>
    <row r="4411" spans="1:9" x14ac:dyDescent="0.2">
      <c r="A4411" s="997">
        <f t="shared" si="68"/>
        <v>4410</v>
      </c>
      <c r="B4411" s="983" t="s">
        <v>2713</v>
      </c>
      <c r="C4411" s="999"/>
      <c r="G4411" s="983" t="s">
        <v>1109</v>
      </c>
    </row>
    <row r="4412" spans="1:9" x14ac:dyDescent="0.2">
      <c r="A4412" s="997">
        <f t="shared" si="68"/>
        <v>4411</v>
      </c>
      <c r="B4412" s="983" t="s">
        <v>2713</v>
      </c>
      <c r="C4412" s="999"/>
      <c r="G4412" s="983" t="s">
        <v>1106</v>
      </c>
    </row>
    <row r="4413" spans="1:9" x14ac:dyDescent="0.2">
      <c r="A4413" s="997">
        <f t="shared" si="68"/>
        <v>4412</v>
      </c>
      <c r="B4413" s="983" t="s">
        <v>2713</v>
      </c>
      <c r="C4413" s="1000"/>
      <c r="H4413" s="983" t="s">
        <v>1107</v>
      </c>
    </row>
    <row r="4414" spans="1:9" x14ac:dyDescent="0.2">
      <c r="A4414" s="997">
        <f t="shared" si="68"/>
        <v>4413</v>
      </c>
      <c r="B4414" s="983" t="s">
        <v>2713</v>
      </c>
      <c r="C4414" s="1001"/>
      <c r="I4414" s="983" t="s">
        <v>1809</v>
      </c>
    </row>
    <row r="4415" spans="1:9" x14ac:dyDescent="0.2">
      <c r="A4415" s="997">
        <f t="shared" si="68"/>
        <v>4414</v>
      </c>
      <c r="B4415" s="983" t="s">
        <v>2713</v>
      </c>
      <c r="C4415" s="1000"/>
      <c r="H4415" s="983" t="s">
        <v>1108</v>
      </c>
    </row>
    <row r="4416" spans="1:9" x14ac:dyDescent="0.2">
      <c r="A4416" s="997">
        <f t="shared" si="68"/>
        <v>4415</v>
      </c>
      <c r="B4416" s="983" t="s">
        <v>2713</v>
      </c>
      <c r="C4416" s="1000"/>
      <c r="H4416" s="983" t="str">
        <f>CONCATENATE("&lt;valeur&gt;",Cellule_12603,"&lt;/valeur&gt;")</f>
        <v>&lt;valeur&gt;0&lt;/valeur&gt;</v>
      </c>
    </row>
    <row r="4417" spans="1:9" x14ac:dyDescent="0.2">
      <c r="A4417" s="997">
        <f t="shared" si="68"/>
        <v>4416</v>
      </c>
      <c r="B4417" s="983" t="s">
        <v>2713</v>
      </c>
      <c r="C4417" s="999"/>
      <c r="G4417" s="983" t="s">
        <v>1109</v>
      </c>
    </row>
    <row r="4418" spans="1:9" x14ac:dyDescent="0.2">
      <c r="A4418" s="997">
        <f t="shared" si="68"/>
        <v>4417</v>
      </c>
      <c r="B4418" s="983" t="s">
        <v>2713</v>
      </c>
      <c r="C4418" s="999"/>
      <c r="G4418" s="983" t="s">
        <v>1106</v>
      </c>
    </row>
    <row r="4419" spans="1:9" x14ac:dyDescent="0.2">
      <c r="A4419" s="997">
        <f t="shared" si="68"/>
        <v>4418</v>
      </c>
      <c r="B4419" s="983" t="s">
        <v>2713</v>
      </c>
      <c r="C4419" s="1000"/>
      <c r="H4419" s="983" t="s">
        <v>1107</v>
      </c>
    </row>
    <row r="4420" spans="1:9" x14ac:dyDescent="0.2">
      <c r="A4420" s="997">
        <f t="shared" ref="A4420:A4483" si="69">+A4419+1</f>
        <v>4419</v>
      </c>
      <c r="B4420" s="983" t="s">
        <v>2713</v>
      </c>
      <c r="C4420" s="1001"/>
      <c r="I4420" s="983" t="s">
        <v>1810</v>
      </c>
    </row>
    <row r="4421" spans="1:9" x14ac:dyDescent="0.2">
      <c r="A4421" s="997">
        <f t="shared" si="69"/>
        <v>4420</v>
      </c>
      <c r="B4421" s="983" t="s">
        <v>2713</v>
      </c>
      <c r="C4421" s="1000"/>
      <c r="H4421" s="983" t="s">
        <v>1108</v>
      </c>
    </row>
    <row r="4422" spans="1:9" x14ac:dyDescent="0.2">
      <c r="A4422" s="997">
        <f t="shared" si="69"/>
        <v>4421</v>
      </c>
      <c r="B4422" s="983" t="s">
        <v>2713</v>
      </c>
      <c r="C4422" s="1000"/>
      <c r="H4422" s="983" t="str">
        <f>CONCATENATE("&lt;valeur&gt;",Cellule_1071,"&lt;/valeur&gt;")</f>
        <v>&lt;valeur&gt;0&lt;/valeur&gt;</v>
      </c>
    </row>
    <row r="4423" spans="1:9" x14ac:dyDescent="0.2">
      <c r="A4423" s="997">
        <f t="shared" si="69"/>
        <v>4422</v>
      </c>
      <c r="B4423" s="983" t="s">
        <v>2713</v>
      </c>
      <c r="C4423" s="999"/>
      <c r="G4423" s="983" t="s">
        <v>1109</v>
      </c>
    </row>
    <row r="4424" spans="1:9" x14ac:dyDescent="0.2">
      <c r="A4424" s="997">
        <f t="shared" si="69"/>
        <v>4423</v>
      </c>
      <c r="B4424" s="983" t="s">
        <v>2713</v>
      </c>
      <c r="C4424" s="999"/>
      <c r="G4424" s="983" t="s">
        <v>1106</v>
      </c>
    </row>
    <row r="4425" spans="1:9" x14ac:dyDescent="0.2">
      <c r="A4425" s="997">
        <f t="shared" si="69"/>
        <v>4424</v>
      </c>
      <c r="B4425" s="983" t="s">
        <v>2713</v>
      </c>
      <c r="C4425" s="1000"/>
      <c r="H4425" s="983" t="s">
        <v>1107</v>
      </c>
    </row>
    <row r="4426" spans="1:9" x14ac:dyDescent="0.2">
      <c r="A4426" s="997">
        <f t="shared" si="69"/>
        <v>4425</v>
      </c>
      <c r="B4426" s="983" t="s">
        <v>2713</v>
      </c>
      <c r="C4426" s="1001"/>
      <c r="I4426" s="983" t="s">
        <v>1811</v>
      </c>
    </row>
    <row r="4427" spans="1:9" x14ac:dyDescent="0.2">
      <c r="A4427" s="997">
        <f t="shared" si="69"/>
        <v>4426</v>
      </c>
      <c r="B4427" s="983" t="s">
        <v>2713</v>
      </c>
      <c r="C4427" s="1000"/>
      <c r="H4427" s="983" t="s">
        <v>1108</v>
      </c>
    </row>
    <row r="4428" spans="1:9" x14ac:dyDescent="0.2">
      <c r="A4428" s="997">
        <f t="shared" si="69"/>
        <v>4427</v>
      </c>
      <c r="B4428" s="983" t="s">
        <v>2713</v>
      </c>
      <c r="C4428" s="1000"/>
      <c r="H4428" s="983" t="str">
        <f>CONCATENATE("&lt;valeur&gt;",Cellule_1072,"&lt;/valeur&gt;")</f>
        <v>&lt;valeur&gt;9700&lt;/valeur&gt;</v>
      </c>
    </row>
    <row r="4429" spans="1:9" x14ac:dyDescent="0.2">
      <c r="A4429" s="997">
        <f t="shared" si="69"/>
        <v>4428</v>
      </c>
      <c r="B4429" s="983" t="s">
        <v>2713</v>
      </c>
      <c r="C4429" s="999"/>
      <c r="G4429" s="983" t="s">
        <v>1109</v>
      </c>
    </row>
    <row r="4430" spans="1:9" x14ac:dyDescent="0.2">
      <c r="A4430" s="997">
        <f t="shared" si="69"/>
        <v>4429</v>
      </c>
      <c r="B4430" s="983" t="s">
        <v>2713</v>
      </c>
      <c r="C4430" s="999"/>
      <c r="G4430" s="983" t="s">
        <v>1106</v>
      </c>
    </row>
    <row r="4431" spans="1:9" x14ac:dyDescent="0.2">
      <c r="A4431" s="997">
        <f t="shared" si="69"/>
        <v>4430</v>
      </c>
      <c r="B4431" s="983" t="s">
        <v>2713</v>
      </c>
      <c r="C4431" s="1000"/>
      <c r="H4431" s="983" t="s">
        <v>1107</v>
      </c>
    </row>
    <row r="4432" spans="1:9" x14ac:dyDescent="0.2">
      <c r="A4432" s="997">
        <f t="shared" si="69"/>
        <v>4431</v>
      </c>
      <c r="B4432" s="983" t="s">
        <v>2713</v>
      </c>
      <c r="C4432" s="1001"/>
      <c r="I4432" s="983" t="s">
        <v>1812</v>
      </c>
    </row>
    <row r="4433" spans="1:9" x14ac:dyDescent="0.2">
      <c r="A4433" s="997">
        <f t="shared" si="69"/>
        <v>4432</v>
      </c>
      <c r="B4433" s="983" t="s">
        <v>2713</v>
      </c>
      <c r="C4433" s="1000"/>
      <c r="H4433" s="983" t="s">
        <v>1108</v>
      </c>
    </row>
    <row r="4434" spans="1:9" x14ac:dyDescent="0.2">
      <c r="A4434" s="997">
        <f t="shared" si="69"/>
        <v>4433</v>
      </c>
      <c r="B4434" s="983" t="s">
        <v>2713</v>
      </c>
      <c r="C4434" s="1000"/>
      <c r="H4434" s="983" t="str">
        <f>CONCATENATE("&lt;valeur&gt;",Cellule_1073,"&lt;/valeur&gt;")</f>
        <v>&lt;valeur&gt;0&lt;/valeur&gt;</v>
      </c>
    </row>
    <row r="4435" spans="1:9" x14ac:dyDescent="0.2">
      <c r="A4435" s="997">
        <f t="shared" si="69"/>
        <v>4434</v>
      </c>
      <c r="B4435" s="983" t="s">
        <v>2713</v>
      </c>
      <c r="C4435" s="999"/>
      <c r="G4435" s="983" t="s">
        <v>1109</v>
      </c>
    </row>
    <row r="4436" spans="1:9" x14ac:dyDescent="0.2">
      <c r="A4436" s="997">
        <f t="shared" si="69"/>
        <v>4435</v>
      </c>
      <c r="B4436" s="983" t="s">
        <v>2713</v>
      </c>
      <c r="C4436" s="999"/>
      <c r="G4436" s="983" t="s">
        <v>1106</v>
      </c>
    </row>
    <row r="4437" spans="1:9" x14ac:dyDescent="0.2">
      <c r="A4437" s="997">
        <f t="shared" si="69"/>
        <v>4436</v>
      </c>
      <c r="B4437" s="983" t="s">
        <v>2713</v>
      </c>
      <c r="C4437" s="1000"/>
      <c r="H4437" s="983" t="s">
        <v>1107</v>
      </c>
    </row>
    <row r="4438" spans="1:9" x14ac:dyDescent="0.2">
      <c r="A4438" s="997">
        <f t="shared" si="69"/>
        <v>4437</v>
      </c>
      <c r="B4438" s="983" t="s">
        <v>2713</v>
      </c>
      <c r="C4438" s="1001"/>
      <c r="I4438" s="983" t="s">
        <v>1813</v>
      </c>
    </row>
    <row r="4439" spans="1:9" x14ac:dyDescent="0.2">
      <c r="A4439" s="997">
        <f t="shared" si="69"/>
        <v>4438</v>
      </c>
      <c r="B4439" s="983" t="s">
        <v>2713</v>
      </c>
      <c r="C4439" s="1000"/>
      <c r="H4439" s="983" t="s">
        <v>1108</v>
      </c>
    </row>
    <row r="4440" spans="1:9" x14ac:dyDescent="0.2">
      <c r="A4440" s="997">
        <f t="shared" si="69"/>
        <v>4439</v>
      </c>
      <c r="B4440" s="983" t="s">
        <v>2713</v>
      </c>
      <c r="C4440" s="1000"/>
      <c r="H4440" s="983" t="str">
        <f>CONCATENATE("&lt;valeur&gt;",Cellule_1074,"&lt;/valeur&gt;")</f>
        <v>&lt;valeur&gt;1578827,58&lt;/valeur&gt;</v>
      </c>
    </row>
    <row r="4441" spans="1:9" x14ac:dyDescent="0.2">
      <c r="A4441" s="997">
        <f t="shared" si="69"/>
        <v>4440</v>
      </c>
      <c r="B4441" s="983" t="s">
        <v>2713</v>
      </c>
      <c r="C4441" s="999"/>
      <c r="G4441" s="983" t="s">
        <v>1109</v>
      </c>
    </row>
    <row r="4442" spans="1:9" x14ac:dyDescent="0.2">
      <c r="A4442" s="997">
        <f t="shared" si="69"/>
        <v>4441</v>
      </c>
      <c r="B4442" s="983" t="s">
        <v>2713</v>
      </c>
      <c r="C4442" s="999"/>
      <c r="G4442" s="983" t="s">
        <v>1106</v>
      </c>
    </row>
    <row r="4443" spans="1:9" x14ac:dyDescent="0.2">
      <c r="A4443" s="997">
        <f t="shared" si="69"/>
        <v>4442</v>
      </c>
      <c r="B4443" s="983" t="s">
        <v>2713</v>
      </c>
      <c r="C4443" s="1000"/>
      <c r="H4443" s="983" t="s">
        <v>1107</v>
      </c>
    </row>
    <row r="4444" spans="1:9" x14ac:dyDescent="0.2">
      <c r="A4444" s="997">
        <f t="shared" si="69"/>
        <v>4443</v>
      </c>
      <c r="B4444" s="983" t="s">
        <v>2713</v>
      </c>
      <c r="C4444" s="1001"/>
      <c r="I4444" s="983" t="s">
        <v>1814</v>
      </c>
    </row>
    <row r="4445" spans="1:9" x14ac:dyDescent="0.2">
      <c r="A4445" s="997">
        <f t="shared" si="69"/>
        <v>4444</v>
      </c>
      <c r="B4445" s="983" t="s">
        <v>2713</v>
      </c>
      <c r="C4445" s="1000"/>
      <c r="H4445" s="983" t="s">
        <v>1108</v>
      </c>
    </row>
    <row r="4446" spans="1:9" x14ac:dyDescent="0.2">
      <c r="A4446" s="997">
        <f t="shared" si="69"/>
        <v>4445</v>
      </c>
      <c r="B4446" s="983" t="s">
        <v>2713</v>
      </c>
      <c r="C4446" s="1000"/>
      <c r="H4446" s="983" t="str">
        <f>CONCATENATE("&lt;valeur&gt;",Cellule_1075,"&lt;/valeur&gt;")</f>
        <v>&lt;valeur&gt;0&lt;/valeur&gt;</v>
      </c>
    </row>
    <row r="4447" spans="1:9" x14ac:dyDescent="0.2">
      <c r="A4447" s="997">
        <f t="shared" si="69"/>
        <v>4446</v>
      </c>
      <c r="B4447" s="983" t="s">
        <v>2713</v>
      </c>
      <c r="C4447" s="999"/>
      <c r="G4447" s="983" t="s">
        <v>1109</v>
      </c>
    </row>
    <row r="4448" spans="1:9" x14ac:dyDescent="0.2">
      <c r="A4448" s="997">
        <f t="shared" si="69"/>
        <v>4447</v>
      </c>
      <c r="B4448" s="983" t="s">
        <v>2713</v>
      </c>
      <c r="C4448" s="999"/>
      <c r="G4448" s="983" t="s">
        <v>1106</v>
      </c>
    </row>
    <row r="4449" spans="1:9" x14ac:dyDescent="0.2">
      <c r="A4449" s="997">
        <f t="shared" si="69"/>
        <v>4448</v>
      </c>
      <c r="B4449" s="983" t="s">
        <v>2713</v>
      </c>
      <c r="C4449" s="1000"/>
      <c r="H4449" s="983" t="s">
        <v>1107</v>
      </c>
    </row>
    <row r="4450" spans="1:9" x14ac:dyDescent="0.2">
      <c r="A4450" s="997">
        <f t="shared" si="69"/>
        <v>4449</v>
      </c>
      <c r="B4450" s="983" t="s">
        <v>2713</v>
      </c>
      <c r="C4450" s="1001"/>
      <c r="I4450" s="983" t="s">
        <v>1815</v>
      </c>
    </row>
    <row r="4451" spans="1:9" x14ac:dyDescent="0.2">
      <c r="A4451" s="997">
        <f t="shared" si="69"/>
        <v>4450</v>
      </c>
      <c r="B4451" s="983" t="s">
        <v>2713</v>
      </c>
      <c r="C4451" s="1000"/>
      <c r="H4451" s="983" t="s">
        <v>1108</v>
      </c>
    </row>
    <row r="4452" spans="1:9" x14ac:dyDescent="0.2">
      <c r="A4452" s="997">
        <f t="shared" si="69"/>
        <v>4451</v>
      </c>
      <c r="B4452" s="983" t="s">
        <v>2713</v>
      </c>
      <c r="C4452" s="1000"/>
      <c r="H4452" s="983" t="str">
        <f>CONCATENATE("&lt;valeur&gt;",Cellule_1076,"&lt;/valeur&gt;")</f>
        <v>&lt;valeur&gt;0&lt;/valeur&gt;</v>
      </c>
    </row>
    <row r="4453" spans="1:9" x14ac:dyDescent="0.2">
      <c r="A4453" s="997">
        <f t="shared" si="69"/>
        <v>4452</v>
      </c>
      <c r="B4453" s="983" t="s">
        <v>2713</v>
      </c>
      <c r="C4453" s="999"/>
      <c r="G4453" s="983" t="s">
        <v>1109</v>
      </c>
    </row>
    <row r="4454" spans="1:9" x14ac:dyDescent="0.2">
      <c r="A4454" s="997">
        <f t="shared" si="69"/>
        <v>4453</v>
      </c>
      <c r="B4454" s="983" t="s">
        <v>2713</v>
      </c>
      <c r="C4454" s="999"/>
      <c r="G4454" s="983" t="s">
        <v>1106</v>
      </c>
    </row>
    <row r="4455" spans="1:9" x14ac:dyDescent="0.2">
      <c r="A4455" s="997">
        <f t="shared" si="69"/>
        <v>4454</v>
      </c>
      <c r="B4455" s="983" t="s">
        <v>2713</v>
      </c>
      <c r="C4455" s="1000"/>
      <c r="H4455" s="983" t="s">
        <v>1107</v>
      </c>
    </row>
    <row r="4456" spans="1:9" x14ac:dyDescent="0.2">
      <c r="A4456" s="997">
        <f t="shared" si="69"/>
        <v>4455</v>
      </c>
      <c r="B4456" s="983" t="s">
        <v>2713</v>
      </c>
      <c r="C4456" s="1001"/>
      <c r="I4456" s="983" t="s">
        <v>1816</v>
      </c>
    </row>
    <row r="4457" spans="1:9" x14ac:dyDescent="0.2">
      <c r="A4457" s="997">
        <f t="shared" si="69"/>
        <v>4456</v>
      </c>
      <c r="B4457" s="983" t="s">
        <v>2713</v>
      </c>
      <c r="C4457" s="1000"/>
      <c r="H4457" s="983" t="s">
        <v>1108</v>
      </c>
    </row>
    <row r="4458" spans="1:9" x14ac:dyDescent="0.2">
      <c r="A4458" s="997">
        <f t="shared" si="69"/>
        <v>4457</v>
      </c>
      <c r="B4458" s="983" t="s">
        <v>2713</v>
      </c>
      <c r="C4458" s="1000"/>
      <c r="H4458" s="983" t="str">
        <f>CONCATENATE("&lt;valeur&gt;",Cellule_1077,"&lt;/valeur&gt;")</f>
        <v>&lt;valeur&gt;0&lt;/valeur&gt;</v>
      </c>
    </row>
    <row r="4459" spans="1:9" x14ac:dyDescent="0.2">
      <c r="A4459" s="997">
        <f t="shared" si="69"/>
        <v>4458</v>
      </c>
      <c r="B4459" s="983" t="s">
        <v>2713</v>
      </c>
      <c r="C4459" s="999"/>
      <c r="G4459" s="983" t="s">
        <v>1109</v>
      </c>
    </row>
    <row r="4460" spans="1:9" x14ac:dyDescent="0.2">
      <c r="A4460" s="997">
        <f t="shared" si="69"/>
        <v>4459</v>
      </c>
      <c r="B4460" s="983" t="s">
        <v>2713</v>
      </c>
      <c r="C4460" s="999"/>
      <c r="G4460" s="983" t="s">
        <v>1106</v>
      </c>
    </row>
    <row r="4461" spans="1:9" x14ac:dyDescent="0.2">
      <c r="A4461" s="997">
        <f t="shared" si="69"/>
        <v>4460</v>
      </c>
      <c r="B4461" s="983" t="s">
        <v>2713</v>
      </c>
      <c r="C4461" s="1000"/>
      <c r="H4461" s="983" t="s">
        <v>1107</v>
      </c>
    </row>
    <row r="4462" spans="1:9" x14ac:dyDescent="0.2">
      <c r="A4462" s="997">
        <f t="shared" si="69"/>
        <v>4461</v>
      </c>
      <c r="B4462" s="983" t="s">
        <v>2713</v>
      </c>
      <c r="C4462" s="1001"/>
      <c r="I4462" s="983" t="s">
        <v>1817</v>
      </c>
    </row>
    <row r="4463" spans="1:9" x14ac:dyDescent="0.2">
      <c r="A4463" s="997">
        <f t="shared" si="69"/>
        <v>4462</v>
      </c>
      <c r="B4463" s="983" t="s">
        <v>2713</v>
      </c>
      <c r="C4463" s="1000"/>
      <c r="H4463" s="983" t="s">
        <v>1108</v>
      </c>
    </row>
    <row r="4464" spans="1:9" x14ac:dyDescent="0.2">
      <c r="A4464" s="997">
        <f t="shared" si="69"/>
        <v>4463</v>
      </c>
      <c r="B4464" s="983" t="s">
        <v>2713</v>
      </c>
      <c r="C4464" s="1000"/>
      <c r="H4464" s="983" t="str">
        <f>CONCATENATE("&lt;valeur&gt;",Cellule_10089,"&lt;/valeur&gt;")</f>
        <v>&lt;valeur&gt;1588527,58&lt;/valeur&gt;</v>
      </c>
    </row>
    <row r="4465" spans="1:9" x14ac:dyDescent="0.2">
      <c r="A4465" s="997">
        <f t="shared" si="69"/>
        <v>4464</v>
      </c>
      <c r="B4465" s="983" t="s">
        <v>2713</v>
      </c>
      <c r="C4465" s="999"/>
      <c r="G4465" s="983" t="s">
        <v>1109</v>
      </c>
    </row>
    <row r="4466" spans="1:9" x14ac:dyDescent="0.2">
      <c r="A4466" s="997">
        <f t="shared" si="69"/>
        <v>4465</v>
      </c>
      <c r="B4466" s="983" t="s">
        <v>2713</v>
      </c>
      <c r="C4466" s="999"/>
      <c r="G4466" s="983" t="s">
        <v>1106</v>
      </c>
    </row>
    <row r="4467" spans="1:9" x14ac:dyDescent="0.2">
      <c r="A4467" s="997">
        <f t="shared" si="69"/>
        <v>4466</v>
      </c>
      <c r="B4467" s="983" t="s">
        <v>2713</v>
      </c>
      <c r="C4467" s="1000"/>
      <c r="H4467" s="983" t="s">
        <v>1107</v>
      </c>
    </row>
    <row r="4468" spans="1:9" x14ac:dyDescent="0.2">
      <c r="A4468" s="997">
        <f t="shared" si="69"/>
        <v>4467</v>
      </c>
      <c r="B4468" s="983" t="s">
        <v>2713</v>
      </c>
      <c r="C4468" s="1001"/>
      <c r="I4468" s="983" t="s">
        <v>1818</v>
      </c>
    </row>
    <row r="4469" spans="1:9" x14ac:dyDescent="0.2">
      <c r="A4469" s="997">
        <f t="shared" si="69"/>
        <v>4468</v>
      </c>
      <c r="B4469" s="983" t="s">
        <v>2713</v>
      </c>
      <c r="C4469" s="1000"/>
      <c r="H4469" s="983" t="s">
        <v>1108</v>
      </c>
    </row>
    <row r="4470" spans="1:9" x14ac:dyDescent="0.2">
      <c r="A4470" s="997">
        <f t="shared" si="69"/>
        <v>4469</v>
      </c>
      <c r="B4470" s="983" t="s">
        <v>2713</v>
      </c>
      <c r="C4470" s="1000"/>
      <c r="H4470" s="983" t="str">
        <f>CONCATENATE("&lt;valeur&gt;",Cellule_12604,"&lt;/valeur&gt;")</f>
        <v>&lt;valeur&gt;&lt;/valeur&gt;</v>
      </c>
    </row>
    <row r="4471" spans="1:9" x14ac:dyDescent="0.2">
      <c r="A4471" s="997">
        <f t="shared" si="69"/>
        <v>4470</v>
      </c>
      <c r="B4471" s="983" t="s">
        <v>2713</v>
      </c>
      <c r="C4471" s="999"/>
      <c r="G4471" s="983" t="s">
        <v>1109</v>
      </c>
    </row>
    <row r="4472" spans="1:9" x14ac:dyDescent="0.2">
      <c r="A4472" s="997">
        <f t="shared" si="69"/>
        <v>4471</v>
      </c>
      <c r="B4472" s="983" t="s">
        <v>2713</v>
      </c>
      <c r="C4472" s="999"/>
      <c r="F4472" s="983" t="s">
        <v>1110</v>
      </c>
    </row>
    <row r="4473" spans="1:9" x14ac:dyDescent="0.2">
      <c r="A4473" s="997">
        <f t="shared" si="69"/>
        <v>4472</v>
      </c>
      <c r="B4473" s="983" t="s">
        <v>2713</v>
      </c>
      <c r="C4473" s="1001"/>
      <c r="F4473" s="983" t="s">
        <v>1111</v>
      </c>
    </row>
    <row r="4474" spans="1:9" x14ac:dyDescent="0.2">
      <c r="A4474" s="997">
        <f t="shared" si="69"/>
        <v>4473</v>
      </c>
      <c r="B4474" s="983" t="s">
        <v>2713</v>
      </c>
      <c r="C4474" s="1000"/>
      <c r="F4474" s="983" t="s">
        <v>1112</v>
      </c>
    </row>
    <row r="4475" spans="1:9" x14ac:dyDescent="0.2">
      <c r="A4475" s="997">
        <f t="shared" si="69"/>
        <v>4474</v>
      </c>
      <c r="B4475" s="983" t="s">
        <v>2713</v>
      </c>
      <c r="C4475" s="1000"/>
      <c r="E4475" s="983" t="s">
        <v>1113</v>
      </c>
    </row>
    <row r="4476" spans="1:9" x14ac:dyDescent="0.2">
      <c r="A4476" s="997">
        <f t="shared" si="69"/>
        <v>4475</v>
      </c>
      <c r="B4476" s="983" t="s">
        <v>2714</v>
      </c>
      <c r="C4476" s="999"/>
      <c r="E4476" s="983" t="s">
        <v>1104</v>
      </c>
    </row>
    <row r="4477" spans="1:9" x14ac:dyDescent="0.2">
      <c r="A4477" s="997">
        <f t="shared" si="69"/>
        <v>4476</v>
      </c>
      <c r="B4477" s="983" t="s">
        <v>2714</v>
      </c>
      <c r="C4477" s="999"/>
      <c r="F4477" s="983" t="s">
        <v>1819</v>
      </c>
    </row>
    <row r="4478" spans="1:9" x14ac:dyDescent="0.2">
      <c r="A4478" s="997">
        <f t="shared" si="69"/>
        <v>4477</v>
      </c>
      <c r="B4478" s="983" t="s">
        <v>2714</v>
      </c>
      <c r="C4478" s="1000"/>
      <c r="F4478" s="983" t="s">
        <v>1105</v>
      </c>
    </row>
    <row r="4479" spans="1:9" x14ac:dyDescent="0.2">
      <c r="A4479" s="997">
        <f t="shared" si="69"/>
        <v>4478</v>
      </c>
      <c r="B4479" s="983" t="s">
        <v>2714</v>
      </c>
      <c r="C4479" s="1001"/>
      <c r="G4479" s="983" t="s">
        <v>1106</v>
      </c>
    </row>
    <row r="4480" spans="1:9" x14ac:dyDescent="0.2">
      <c r="A4480" s="997">
        <f t="shared" si="69"/>
        <v>4479</v>
      </c>
      <c r="B4480" s="983" t="s">
        <v>2714</v>
      </c>
      <c r="C4480" s="1000"/>
      <c r="H4480" s="983" t="s">
        <v>1107</v>
      </c>
    </row>
    <row r="4481" spans="1:9" x14ac:dyDescent="0.2">
      <c r="A4481" s="997">
        <f t="shared" si="69"/>
        <v>4480</v>
      </c>
      <c r="B4481" s="983" t="s">
        <v>2714</v>
      </c>
      <c r="C4481" s="1000"/>
      <c r="I4481" s="983" t="s">
        <v>1820</v>
      </c>
    </row>
    <row r="4482" spans="1:9" x14ac:dyDescent="0.2">
      <c r="A4482" s="997">
        <f t="shared" si="69"/>
        <v>4481</v>
      </c>
      <c r="B4482" s="983" t="s">
        <v>2714</v>
      </c>
      <c r="C4482" s="999"/>
      <c r="H4482" s="983" t="s">
        <v>1108</v>
      </c>
    </row>
    <row r="4483" spans="1:9" x14ac:dyDescent="0.2">
      <c r="A4483" s="997">
        <f t="shared" si="69"/>
        <v>4482</v>
      </c>
      <c r="B4483" s="983" t="s">
        <v>2714</v>
      </c>
      <c r="C4483" s="999"/>
      <c r="H4483" s="983" t="str">
        <f>CONCATENATE("&lt;valeur&gt;",Cellule_1308,"&lt;/valeur&gt;")</f>
        <v>&lt;valeur&gt;0&lt;/valeur&gt;</v>
      </c>
    </row>
    <row r="4484" spans="1:9" x14ac:dyDescent="0.2">
      <c r="A4484" s="997">
        <f t="shared" ref="A4484:A4547" si="70">+A4483+1</f>
        <v>4483</v>
      </c>
      <c r="B4484" s="983" t="s">
        <v>2714</v>
      </c>
      <c r="C4484" s="1000"/>
      <c r="G4484" s="983" t="s">
        <v>1109</v>
      </c>
    </row>
    <row r="4485" spans="1:9" x14ac:dyDescent="0.2">
      <c r="A4485" s="997">
        <f t="shared" si="70"/>
        <v>4484</v>
      </c>
      <c r="B4485" s="983" t="s">
        <v>2714</v>
      </c>
      <c r="C4485" s="1001"/>
      <c r="G4485" s="983" t="s">
        <v>1106</v>
      </c>
    </row>
    <row r="4486" spans="1:9" x14ac:dyDescent="0.2">
      <c r="A4486" s="997">
        <f t="shared" si="70"/>
        <v>4485</v>
      </c>
      <c r="B4486" s="983" t="s">
        <v>2714</v>
      </c>
      <c r="C4486" s="1000"/>
      <c r="H4486" s="983" t="s">
        <v>1107</v>
      </c>
    </row>
    <row r="4487" spans="1:9" x14ac:dyDescent="0.2">
      <c r="A4487" s="997">
        <f t="shared" si="70"/>
        <v>4486</v>
      </c>
      <c r="B4487" s="983" t="s">
        <v>2714</v>
      </c>
      <c r="C4487" s="1000"/>
      <c r="I4487" s="983" t="s">
        <v>1821</v>
      </c>
    </row>
    <row r="4488" spans="1:9" x14ac:dyDescent="0.2">
      <c r="A4488" s="997">
        <f t="shared" si="70"/>
        <v>4487</v>
      </c>
      <c r="B4488" s="983" t="s">
        <v>2714</v>
      </c>
      <c r="C4488" s="999"/>
      <c r="H4488" s="983" t="s">
        <v>1108</v>
      </c>
    </row>
    <row r="4489" spans="1:9" x14ac:dyDescent="0.2">
      <c r="A4489" s="997">
        <f t="shared" si="70"/>
        <v>4488</v>
      </c>
      <c r="B4489" s="983" t="s">
        <v>2714</v>
      </c>
      <c r="C4489" s="999"/>
      <c r="H4489" s="983" t="str">
        <f>CONCATENATE("&lt;valeur&gt;",Cellule_1309,"&lt;/valeur&gt;")</f>
        <v>&lt;valeur&gt;0&lt;/valeur&gt;</v>
      </c>
    </row>
    <row r="4490" spans="1:9" x14ac:dyDescent="0.2">
      <c r="A4490" s="997">
        <f t="shared" si="70"/>
        <v>4489</v>
      </c>
      <c r="B4490" s="983" t="s">
        <v>2714</v>
      </c>
      <c r="C4490" s="1000"/>
      <c r="G4490" s="983" t="s">
        <v>1109</v>
      </c>
    </row>
    <row r="4491" spans="1:9" x14ac:dyDescent="0.2">
      <c r="A4491" s="997">
        <f t="shared" si="70"/>
        <v>4490</v>
      </c>
      <c r="B4491" s="983" t="s">
        <v>2714</v>
      </c>
      <c r="C4491" s="1001"/>
      <c r="G4491" s="983" t="s">
        <v>1106</v>
      </c>
    </row>
    <row r="4492" spans="1:9" x14ac:dyDescent="0.2">
      <c r="A4492" s="997">
        <f t="shared" si="70"/>
        <v>4491</v>
      </c>
      <c r="B4492" s="983" t="s">
        <v>2714</v>
      </c>
      <c r="C4492" s="1000"/>
      <c r="H4492" s="983" t="s">
        <v>1107</v>
      </c>
    </row>
    <row r="4493" spans="1:9" x14ac:dyDescent="0.2">
      <c r="A4493" s="997">
        <f t="shared" si="70"/>
        <v>4492</v>
      </c>
      <c r="B4493" s="983" t="s">
        <v>2714</v>
      </c>
      <c r="C4493" s="1000"/>
      <c r="I4493" s="983" t="s">
        <v>1822</v>
      </c>
    </row>
    <row r="4494" spans="1:9" x14ac:dyDescent="0.2">
      <c r="A4494" s="997">
        <f t="shared" si="70"/>
        <v>4493</v>
      </c>
      <c r="B4494" s="983" t="s">
        <v>2714</v>
      </c>
      <c r="C4494" s="999"/>
      <c r="H4494" s="983" t="s">
        <v>1108</v>
      </c>
    </row>
    <row r="4495" spans="1:9" x14ac:dyDescent="0.2">
      <c r="A4495" s="997">
        <f t="shared" si="70"/>
        <v>4494</v>
      </c>
      <c r="B4495" s="983" t="s">
        <v>2714</v>
      </c>
      <c r="C4495" s="999"/>
      <c r="H4495" s="983" t="str">
        <f>CONCATENATE("&lt;valeur&gt;",Cellule_1310,"&lt;/valeur&gt;")</f>
        <v>&lt;valeur&gt;0&lt;/valeur&gt;</v>
      </c>
    </row>
    <row r="4496" spans="1:9" x14ac:dyDescent="0.2">
      <c r="A4496" s="997">
        <f t="shared" si="70"/>
        <v>4495</v>
      </c>
      <c r="B4496" s="983" t="s">
        <v>2714</v>
      </c>
      <c r="C4496" s="1000"/>
      <c r="G4496" s="983" t="s">
        <v>1109</v>
      </c>
    </row>
    <row r="4497" spans="1:9" x14ac:dyDescent="0.2">
      <c r="A4497" s="997">
        <f t="shared" si="70"/>
        <v>4496</v>
      </c>
      <c r="B4497" s="983" t="s">
        <v>2714</v>
      </c>
      <c r="C4497" s="1001"/>
      <c r="G4497" s="983" t="s">
        <v>1106</v>
      </c>
    </row>
    <row r="4498" spans="1:9" x14ac:dyDescent="0.2">
      <c r="A4498" s="997">
        <f t="shared" si="70"/>
        <v>4497</v>
      </c>
      <c r="B4498" s="983" t="s">
        <v>2714</v>
      </c>
      <c r="C4498" s="1000"/>
      <c r="H4498" s="983" t="s">
        <v>1107</v>
      </c>
    </row>
    <row r="4499" spans="1:9" x14ac:dyDescent="0.2">
      <c r="A4499" s="997">
        <f t="shared" si="70"/>
        <v>4498</v>
      </c>
      <c r="B4499" s="983" t="s">
        <v>2714</v>
      </c>
      <c r="C4499" s="1000"/>
      <c r="I4499" s="983" t="s">
        <v>1823</v>
      </c>
    </row>
    <row r="4500" spans="1:9" x14ac:dyDescent="0.2">
      <c r="A4500" s="997">
        <f t="shared" si="70"/>
        <v>4499</v>
      </c>
      <c r="B4500" s="983" t="s">
        <v>2714</v>
      </c>
      <c r="C4500" s="999"/>
      <c r="H4500" s="983" t="s">
        <v>1108</v>
      </c>
    </row>
    <row r="4501" spans="1:9" x14ac:dyDescent="0.2">
      <c r="A4501" s="997">
        <f t="shared" si="70"/>
        <v>4500</v>
      </c>
      <c r="B4501" s="983" t="s">
        <v>2714</v>
      </c>
      <c r="C4501" s="999"/>
      <c r="H4501" s="983" t="str">
        <f>CONCATENATE("&lt;valeur&gt;",Cellule_1311,"&lt;/valeur&gt;")</f>
        <v>&lt;valeur&gt;381666,67&lt;/valeur&gt;</v>
      </c>
    </row>
    <row r="4502" spans="1:9" x14ac:dyDescent="0.2">
      <c r="A4502" s="997">
        <f t="shared" si="70"/>
        <v>4501</v>
      </c>
      <c r="B4502" s="983" t="s">
        <v>2714</v>
      </c>
      <c r="C4502" s="1000"/>
      <c r="G4502" s="983" t="s">
        <v>1109</v>
      </c>
    </row>
    <row r="4503" spans="1:9" x14ac:dyDescent="0.2">
      <c r="A4503" s="997">
        <f t="shared" si="70"/>
        <v>4502</v>
      </c>
      <c r="B4503" s="983" t="s">
        <v>2714</v>
      </c>
      <c r="C4503" s="1001"/>
      <c r="G4503" s="983" t="s">
        <v>1106</v>
      </c>
    </row>
    <row r="4504" spans="1:9" x14ac:dyDescent="0.2">
      <c r="A4504" s="997">
        <f t="shared" si="70"/>
        <v>4503</v>
      </c>
      <c r="B4504" s="983" t="s">
        <v>2714</v>
      </c>
      <c r="C4504" s="1000"/>
      <c r="H4504" s="983" t="s">
        <v>1107</v>
      </c>
    </row>
    <row r="4505" spans="1:9" x14ac:dyDescent="0.2">
      <c r="A4505" s="997">
        <f t="shared" si="70"/>
        <v>4504</v>
      </c>
      <c r="B4505" s="983" t="s">
        <v>2714</v>
      </c>
      <c r="C4505" s="1000"/>
      <c r="I4505" s="983" t="s">
        <v>1824</v>
      </c>
    </row>
    <row r="4506" spans="1:9" x14ac:dyDescent="0.2">
      <c r="A4506" s="997">
        <f t="shared" si="70"/>
        <v>4505</v>
      </c>
      <c r="B4506" s="983" t="s">
        <v>2714</v>
      </c>
      <c r="C4506" s="999"/>
      <c r="H4506" s="983" t="s">
        <v>1108</v>
      </c>
    </row>
    <row r="4507" spans="1:9" x14ac:dyDescent="0.2">
      <c r="A4507" s="997">
        <f t="shared" si="70"/>
        <v>4506</v>
      </c>
      <c r="B4507" s="983" t="s">
        <v>2714</v>
      </c>
      <c r="C4507" s="999"/>
      <c r="H4507" s="983" t="str">
        <f>CONCATENATE("&lt;valeur&gt;",Cellule_1312,"&lt;/valeur&gt;")</f>
        <v>&lt;valeur&gt;381666,67&lt;/valeur&gt;</v>
      </c>
    </row>
    <row r="4508" spans="1:9" x14ac:dyDescent="0.2">
      <c r="A4508" s="997">
        <f t="shared" si="70"/>
        <v>4507</v>
      </c>
      <c r="B4508" s="983" t="s">
        <v>2714</v>
      </c>
      <c r="C4508" s="1000"/>
      <c r="G4508" s="983" t="s">
        <v>1109</v>
      </c>
    </row>
    <row r="4509" spans="1:9" x14ac:dyDescent="0.2">
      <c r="A4509" s="997">
        <f t="shared" si="70"/>
        <v>4508</v>
      </c>
      <c r="B4509" s="983" t="s">
        <v>2714</v>
      </c>
      <c r="C4509" s="1001"/>
      <c r="G4509" s="983" t="s">
        <v>1106</v>
      </c>
    </row>
    <row r="4510" spans="1:9" x14ac:dyDescent="0.2">
      <c r="A4510" s="997">
        <f t="shared" si="70"/>
        <v>4509</v>
      </c>
      <c r="B4510" s="983" t="s">
        <v>2714</v>
      </c>
      <c r="C4510" s="1000"/>
      <c r="H4510" s="983" t="s">
        <v>1107</v>
      </c>
    </row>
    <row r="4511" spans="1:9" x14ac:dyDescent="0.2">
      <c r="A4511" s="997">
        <f t="shared" si="70"/>
        <v>4510</v>
      </c>
      <c r="B4511" s="983" t="s">
        <v>2714</v>
      </c>
      <c r="C4511" s="1000"/>
      <c r="I4511" s="983" t="s">
        <v>1825</v>
      </c>
    </row>
    <row r="4512" spans="1:9" x14ac:dyDescent="0.2">
      <c r="A4512" s="997">
        <f t="shared" si="70"/>
        <v>4511</v>
      </c>
      <c r="B4512" s="983" t="s">
        <v>2714</v>
      </c>
      <c r="C4512" s="999"/>
      <c r="H4512" s="983" t="s">
        <v>1108</v>
      </c>
    </row>
    <row r="4513" spans="1:9" x14ac:dyDescent="0.2">
      <c r="A4513" s="997">
        <f t="shared" si="70"/>
        <v>4512</v>
      </c>
      <c r="B4513" s="983" t="s">
        <v>2714</v>
      </c>
      <c r="C4513" s="999"/>
      <c r="H4513" s="983" t="str">
        <f>CONCATENATE("&lt;valeur&gt;",Cellule_1313,"&lt;/valeur&gt;")</f>
        <v>&lt;valeur&gt;0&lt;/valeur&gt;</v>
      </c>
    </row>
    <row r="4514" spans="1:9" x14ac:dyDescent="0.2">
      <c r="A4514" s="997">
        <f t="shared" si="70"/>
        <v>4513</v>
      </c>
      <c r="B4514" s="983" t="s">
        <v>2714</v>
      </c>
      <c r="C4514" s="1000"/>
      <c r="G4514" s="983" t="s">
        <v>1109</v>
      </c>
    </row>
    <row r="4515" spans="1:9" x14ac:dyDescent="0.2">
      <c r="A4515" s="997">
        <f t="shared" si="70"/>
        <v>4514</v>
      </c>
      <c r="B4515" s="983" t="s">
        <v>2714</v>
      </c>
      <c r="C4515" s="1001"/>
      <c r="G4515" s="983" t="s">
        <v>1106</v>
      </c>
    </row>
    <row r="4516" spans="1:9" x14ac:dyDescent="0.2">
      <c r="A4516" s="997">
        <f t="shared" si="70"/>
        <v>4515</v>
      </c>
      <c r="B4516" s="983" t="s">
        <v>2714</v>
      </c>
      <c r="C4516" s="1000"/>
      <c r="H4516" s="983" t="s">
        <v>1107</v>
      </c>
    </row>
    <row r="4517" spans="1:9" x14ac:dyDescent="0.2">
      <c r="A4517" s="997">
        <f t="shared" si="70"/>
        <v>4516</v>
      </c>
      <c r="B4517" s="983" t="s">
        <v>2714</v>
      </c>
      <c r="C4517" s="1000"/>
      <c r="I4517" s="983" t="s">
        <v>1826</v>
      </c>
    </row>
    <row r="4518" spans="1:9" x14ac:dyDescent="0.2">
      <c r="A4518" s="997">
        <f t="shared" si="70"/>
        <v>4517</v>
      </c>
      <c r="B4518" s="983" t="s">
        <v>2714</v>
      </c>
      <c r="C4518" s="999"/>
      <c r="H4518" s="983" t="s">
        <v>1108</v>
      </c>
    </row>
    <row r="4519" spans="1:9" x14ac:dyDescent="0.2">
      <c r="A4519" s="997">
        <f t="shared" si="70"/>
        <v>4518</v>
      </c>
      <c r="B4519" s="983" t="s">
        <v>2714</v>
      </c>
      <c r="C4519" s="998"/>
      <c r="H4519" s="983" t="str">
        <f>CONCATENATE("&lt;valeur&gt;",Cellule_1314,"&lt;/valeur&gt;")</f>
        <v>&lt;valeur&gt;0&lt;/valeur&gt;</v>
      </c>
    </row>
    <row r="4520" spans="1:9" x14ac:dyDescent="0.2">
      <c r="A4520" s="997">
        <f t="shared" si="70"/>
        <v>4519</v>
      </c>
      <c r="B4520" s="983" t="s">
        <v>2714</v>
      </c>
      <c r="C4520" s="998"/>
      <c r="G4520" s="983" t="s">
        <v>1109</v>
      </c>
    </row>
    <row r="4521" spans="1:9" x14ac:dyDescent="0.2">
      <c r="A4521" s="997">
        <f t="shared" si="70"/>
        <v>4520</v>
      </c>
      <c r="B4521" s="983" t="s">
        <v>2714</v>
      </c>
      <c r="C4521" s="995"/>
      <c r="G4521" s="983" t="s">
        <v>1106</v>
      </c>
    </row>
    <row r="4522" spans="1:9" x14ac:dyDescent="0.2">
      <c r="A4522" s="997">
        <f t="shared" si="70"/>
        <v>4521</v>
      </c>
      <c r="B4522" s="983" t="s">
        <v>2714</v>
      </c>
      <c r="C4522" s="995"/>
      <c r="H4522" s="983" t="s">
        <v>1107</v>
      </c>
    </row>
    <row r="4523" spans="1:9" x14ac:dyDescent="0.2">
      <c r="A4523" s="997">
        <f t="shared" si="70"/>
        <v>4522</v>
      </c>
      <c r="B4523" s="983" t="s">
        <v>2714</v>
      </c>
      <c r="C4523" s="998"/>
      <c r="I4523" s="983" t="s">
        <v>1827</v>
      </c>
    </row>
    <row r="4524" spans="1:9" x14ac:dyDescent="0.2">
      <c r="A4524" s="997">
        <f t="shared" si="70"/>
        <v>4523</v>
      </c>
      <c r="B4524" s="983" t="s">
        <v>2714</v>
      </c>
      <c r="C4524" s="999"/>
      <c r="H4524" s="983" t="s">
        <v>1108</v>
      </c>
    </row>
    <row r="4525" spans="1:9" x14ac:dyDescent="0.2">
      <c r="A4525" s="997">
        <f t="shared" si="70"/>
        <v>4524</v>
      </c>
      <c r="B4525" s="983" t="s">
        <v>2714</v>
      </c>
      <c r="C4525" s="998"/>
      <c r="H4525" s="983" t="str">
        <f>CONCATENATE("&lt;valeur&gt;",Cellule_1315,"&lt;/valeur&gt;")</f>
        <v>&lt;valeur&gt;78665,81&lt;/valeur&gt;</v>
      </c>
    </row>
    <row r="4526" spans="1:9" x14ac:dyDescent="0.2">
      <c r="A4526" s="997">
        <f t="shared" si="70"/>
        <v>4525</v>
      </c>
      <c r="B4526" s="983" t="s">
        <v>2714</v>
      </c>
      <c r="C4526" s="998"/>
      <c r="G4526" s="983" t="s">
        <v>1109</v>
      </c>
    </row>
    <row r="4527" spans="1:9" x14ac:dyDescent="0.2">
      <c r="A4527" s="997">
        <f t="shared" si="70"/>
        <v>4526</v>
      </c>
      <c r="B4527" s="983" t="s">
        <v>2714</v>
      </c>
      <c r="C4527" s="999"/>
      <c r="G4527" s="983" t="s">
        <v>1106</v>
      </c>
    </row>
    <row r="4528" spans="1:9" x14ac:dyDescent="0.2">
      <c r="A4528" s="997">
        <f t="shared" si="70"/>
        <v>4527</v>
      </c>
      <c r="B4528" s="983" t="s">
        <v>2714</v>
      </c>
      <c r="C4528" s="1000"/>
      <c r="H4528" s="983" t="s">
        <v>1107</v>
      </c>
    </row>
    <row r="4529" spans="1:9" x14ac:dyDescent="0.2">
      <c r="A4529" s="997">
        <f t="shared" si="70"/>
        <v>4528</v>
      </c>
      <c r="B4529" s="983" t="s">
        <v>2714</v>
      </c>
      <c r="C4529" s="1001"/>
      <c r="I4529" s="983" t="s">
        <v>1828</v>
      </c>
    </row>
    <row r="4530" spans="1:9" x14ac:dyDescent="0.2">
      <c r="A4530" s="997">
        <f t="shared" si="70"/>
        <v>4529</v>
      </c>
      <c r="B4530" s="983" t="s">
        <v>2714</v>
      </c>
      <c r="C4530" s="1000"/>
      <c r="H4530" s="983" t="s">
        <v>1108</v>
      </c>
    </row>
    <row r="4531" spans="1:9" x14ac:dyDescent="0.2">
      <c r="A4531" s="997">
        <f t="shared" si="70"/>
        <v>4530</v>
      </c>
      <c r="B4531" s="983" t="s">
        <v>2714</v>
      </c>
      <c r="C4531" s="1000"/>
      <c r="H4531" s="983" t="str">
        <f>CONCATENATE("&lt;valeur&gt;",Cellule_1316,"&lt;/valeur&gt;")</f>
        <v>&lt;valeur&gt;0&lt;/valeur&gt;</v>
      </c>
    </row>
    <row r="4532" spans="1:9" x14ac:dyDescent="0.2">
      <c r="A4532" s="997">
        <f t="shared" si="70"/>
        <v>4531</v>
      </c>
      <c r="B4532" s="983" t="s">
        <v>2714</v>
      </c>
      <c r="C4532" s="999"/>
      <c r="G4532" s="983" t="s">
        <v>1109</v>
      </c>
    </row>
    <row r="4533" spans="1:9" x14ac:dyDescent="0.2">
      <c r="A4533" s="997">
        <f t="shared" si="70"/>
        <v>4532</v>
      </c>
      <c r="B4533" s="983" t="s">
        <v>2714</v>
      </c>
      <c r="C4533" s="999"/>
      <c r="G4533" s="983" t="s">
        <v>1106</v>
      </c>
    </row>
    <row r="4534" spans="1:9" x14ac:dyDescent="0.2">
      <c r="A4534" s="997">
        <f t="shared" si="70"/>
        <v>4533</v>
      </c>
      <c r="B4534" s="983" t="s">
        <v>2714</v>
      </c>
      <c r="C4534" s="1000"/>
      <c r="H4534" s="983" t="s">
        <v>1107</v>
      </c>
    </row>
    <row r="4535" spans="1:9" x14ac:dyDescent="0.2">
      <c r="A4535" s="997">
        <f t="shared" si="70"/>
        <v>4534</v>
      </c>
      <c r="B4535" s="983" t="s">
        <v>2714</v>
      </c>
      <c r="C4535" s="1001"/>
      <c r="I4535" s="983" t="s">
        <v>1829</v>
      </c>
    </row>
    <row r="4536" spans="1:9" x14ac:dyDescent="0.2">
      <c r="A4536" s="997">
        <f t="shared" si="70"/>
        <v>4535</v>
      </c>
      <c r="B4536" s="983" t="s">
        <v>2714</v>
      </c>
      <c r="C4536" s="1000"/>
      <c r="H4536" s="983" t="s">
        <v>1108</v>
      </c>
    </row>
    <row r="4537" spans="1:9" x14ac:dyDescent="0.2">
      <c r="A4537" s="997">
        <f t="shared" si="70"/>
        <v>4536</v>
      </c>
      <c r="B4537" s="983" t="s">
        <v>2714</v>
      </c>
      <c r="C4537" s="1000"/>
      <c r="H4537" s="983" t="str">
        <f>CONCATENATE("&lt;valeur&gt;",Cellule_1317,"&lt;/valeur&gt;")</f>
        <v>&lt;valeur&gt;78665,81&lt;/valeur&gt;</v>
      </c>
    </row>
    <row r="4538" spans="1:9" x14ac:dyDescent="0.2">
      <c r="A4538" s="997">
        <f t="shared" si="70"/>
        <v>4537</v>
      </c>
      <c r="B4538" s="983" t="s">
        <v>2714</v>
      </c>
      <c r="C4538" s="999"/>
      <c r="G4538" s="983" t="s">
        <v>1109</v>
      </c>
    </row>
    <row r="4539" spans="1:9" x14ac:dyDescent="0.2">
      <c r="A4539" s="997">
        <f t="shared" si="70"/>
        <v>4538</v>
      </c>
      <c r="B4539" s="983" t="s">
        <v>2714</v>
      </c>
      <c r="C4539" s="999"/>
      <c r="G4539" s="983" t="s">
        <v>1106</v>
      </c>
    </row>
    <row r="4540" spans="1:9" x14ac:dyDescent="0.2">
      <c r="A4540" s="997">
        <f t="shared" si="70"/>
        <v>4539</v>
      </c>
      <c r="B4540" s="983" t="s">
        <v>2714</v>
      </c>
      <c r="C4540" s="1000"/>
      <c r="H4540" s="983" t="s">
        <v>1107</v>
      </c>
    </row>
    <row r="4541" spans="1:9" x14ac:dyDescent="0.2">
      <c r="A4541" s="997">
        <f t="shared" si="70"/>
        <v>4540</v>
      </c>
      <c r="B4541" s="983" t="s">
        <v>2714</v>
      </c>
      <c r="C4541" s="1001"/>
      <c r="I4541" s="983" t="s">
        <v>1830</v>
      </c>
    </row>
    <row r="4542" spans="1:9" x14ac:dyDescent="0.2">
      <c r="A4542" s="997">
        <f t="shared" si="70"/>
        <v>4541</v>
      </c>
      <c r="B4542" s="983" t="s">
        <v>2714</v>
      </c>
      <c r="C4542" s="1000"/>
      <c r="H4542" s="983" t="s">
        <v>1108</v>
      </c>
    </row>
    <row r="4543" spans="1:9" x14ac:dyDescent="0.2">
      <c r="A4543" s="997">
        <f t="shared" si="70"/>
        <v>4542</v>
      </c>
      <c r="B4543" s="983" t="s">
        <v>2714</v>
      </c>
      <c r="C4543" s="1000"/>
      <c r="H4543" s="983" t="str">
        <f>CONCATENATE("&lt;valeur&gt;",Cellule_1318,"&lt;/valeur&gt;")</f>
        <v>&lt;valeur&gt;303000,86&lt;/valeur&gt;</v>
      </c>
    </row>
    <row r="4544" spans="1:9" x14ac:dyDescent="0.2">
      <c r="A4544" s="997">
        <f t="shared" si="70"/>
        <v>4543</v>
      </c>
      <c r="B4544" s="983" t="s">
        <v>2714</v>
      </c>
      <c r="C4544" s="999"/>
      <c r="G4544" s="983" t="s">
        <v>1109</v>
      </c>
    </row>
    <row r="4545" spans="1:9" x14ac:dyDescent="0.2">
      <c r="A4545" s="997">
        <f t="shared" si="70"/>
        <v>4544</v>
      </c>
      <c r="B4545" s="983" t="s">
        <v>2714</v>
      </c>
      <c r="C4545" s="999"/>
      <c r="G4545" s="983" t="s">
        <v>1106</v>
      </c>
    </row>
    <row r="4546" spans="1:9" x14ac:dyDescent="0.2">
      <c r="A4546" s="997">
        <f t="shared" si="70"/>
        <v>4545</v>
      </c>
      <c r="B4546" s="983" t="s">
        <v>2714</v>
      </c>
      <c r="C4546" s="1000"/>
      <c r="H4546" s="983" t="s">
        <v>1107</v>
      </c>
    </row>
    <row r="4547" spans="1:9" x14ac:dyDescent="0.2">
      <c r="A4547" s="997">
        <f t="shared" si="70"/>
        <v>4546</v>
      </c>
      <c r="B4547" s="983" t="s">
        <v>2714</v>
      </c>
      <c r="C4547" s="1001"/>
      <c r="I4547" s="983" t="s">
        <v>1831</v>
      </c>
    </row>
    <row r="4548" spans="1:9" x14ac:dyDescent="0.2">
      <c r="A4548" s="997">
        <f t="shared" ref="A4548:A4611" si="71">+A4547+1</f>
        <v>4547</v>
      </c>
      <c r="B4548" s="983" t="s">
        <v>2714</v>
      </c>
      <c r="C4548" s="1000"/>
      <c r="H4548" s="983" t="s">
        <v>1108</v>
      </c>
    </row>
    <row r="4549" spans="1:9" x14ac:dyDescent="0.2">
      <c r="A4549" s="997">
        <f t="shared" si="71"/>
        <v>4548</v>
      </c>
      <c r="B4549" s="983" t="s">
        <v>2714</v>
      </c>
      <c r="C4549" s="1000"/>
      <c r="H4549" s="983" t="str">
        <f>CONCATENATE("&lt;valeur&gt;",Cellule_1319,"&lt;/valeur&gt;")</f>
        <v>&lt;valeur&gt;0&lt;/valeur&gt;</v>
      </c>
    </row>
    <row r="4550" spans="1:9" x14ac:dyDescent="0.2">
      <c r="A4550" s="997">
        <f t="shared" si="71"/>
        <v>4549</v>
      </c>
      <c r="B4550" s="983" t="s">
        <v>2714</v>
      </c>
      <c r="C4550" s="999"/>
      <c r="G4550" s="983" t="s">
        <v>1109</v>
      </c>
    </row>
    <row r="4551" spans="1:9" x14ac:dyDescent="0.2">
      <c r="A4551" s="997">
        <f t="shared" si="71"/>
        <v>4550</v>
      </c>
      <c r="B4551" s="983" t="s">
        <v>2714</v>
      </c>
      <c r="C4551" s="999"/>
      <c r="G4551" s="983" t="s">
        <v>1106</v>
      </c>
    </row>
    <row r="4552" spans="1:9" x14ac:dyDescent="0.2">
      <c r="A4552" s="997">
        <f t="shared" si="71"/>
        <v>4551</v>
      </c>
      <c r="B4552" s="983" t="s">
        <v>2714</v>
      </c>
      <c r="C4552" s="1000"/>
      <c r="H4552" s="983" t="s">
        <v>1107</v>
      </c>
    </row>
    <row r="4553" spans="1:9" x14ac:dyDescent="0.2">
      <c r="A4553" s="997">
        <f t="shared" si="71"/>
        <v>4552</v>
      </c>
      <c r="B4553" s="983" t="s">
        <v>2714</v>
      </c>
      <c r="C4553" s="1001"/>
      <c r="I4553" s="983" t="s">
        <v>1832</v>
      </c>
    </row>
    <row r="4554" spans="1:9" x14ac:dyDescent="0.2">
      <c r="A4554" s="997">
        <f t="shared" si="71"/>
        <v>4553</v>
      </c>
      <c r="B4554" s="983" t="s">
        <v>2714</v>
      </c>
      <c r="C4554" s="1000"/>
      <c r="H4554" s="983" t="s">
        <v>1108</v>
      </c>
    </row>
    <row r="4555" spans="1:9" x14ac:dyDescent="0.2">
      <c r="A4555" s="997">
        <f t="shared" si="71"/>
        <v>4554</v>
      </c>
      <c r="B4555" s="983" t="s">
        <v>2714</v>
      </c>
      <c r="C4555" s="1000"/>
      <c r="H4555" s="983" t="str">
        <f>CONCATENATE("&lt;valeur&gt;",Cellule_1320,"&lt;/valeur&gt;")</f>
        <v>&lt;valeur&gt;28187&lt;/valeur&gt;</v>
      </c>
    </row>
    <row r="4556" spans="1:9" x14ac:dyDescent="0.2">
      <c r="A4556" s="997">
        <f t="shared" si="71"/>
        <v>4555</v>
      </c>
      <c r="B4556" s="983" t="s">
        <v>2714</v>
      </c>
      <c r="C4556" s="999"/>
      <c r="G4556" s="983" t="s">
        <v>1109</v>
      </c>
    </row>
    <row r="4557" spans="1:9" x14ac:dyDescent="0.2">
      <c r="A4557" s="997">
        <f t="shared" si="71"/>
        <v>4556</v>
      </c>
      <c r="B4557" s="983" t="s">
        <v>2714</v>
      </c>
      <c r="C4557" s="999"/>
      <c r="G4557" s="983" t="s">
        <v>1106</v>
      </c>
    </row>
    <row r="4558" spans="1:9" x14ac:dyDescent="0.2">
      <c r="A4558" s="997">
        <f t="shared" si="71"/>
        <v>4557</v>
      </c>
      <c r="B4558" s="983" t="s">
        <v>2714</v>
      </c>
      <c r="C4558" s="1000"/>
      <c r="H4558" s="983" t="s">
        <v>1107</v>
      </c>
    </row>
    <row r="4559" spans="1:9" x14ac:dyDescent="0.2">
      <c r="A4559" s="997">
        <f t="shared" si="71"/>
        <v>4558</v>
      </c>
      <c r="B4559" s="983" t="s">
        <v>2714</v>
      </c>
      <c r="C4559" s="1001"/>
      <c r="I4559" s="983" t="s">
        <v>1833</v>
      </c>
    </row>
    <row r="4560" spans="1:9" x14ac:dyDescent="0.2">
      <c r="A4560" s="997">
        <f t="shared" si="71"/>
        <v>4559</v>
      </c>
      <c r="B4560" s="983" t="s">
        <v>2714</v>
      </c>
      <c r="C4560" s="1000"/>
      <c r="H4560" s="983" t="s">
        <v>1108</v>
      </c>
    </row>
    <row r="4561" spans="1:9" x14ac:dyDescent="0.2">
      <c r="A4561" s="997">
        <f t="shared" si="71"/>
        <v>4560</v>
      </c>
      <c r="B4561" s="983" t="s">
        <v>2714</v>
      </c>
      <c r="C4561" s="1000"/>
      <c r="H4561" s="983" t="str">
        <f>CONCATENATE("&lt;valeur&gt;",Cellule_1321,"&lt;/valeur&gt;")</f>
        <v>&lt;valeur&gt;34176,55&lt;/valeur&gt;</v>
      </c>
    </row>
    <row r="4562" spans="1:9" x14ac:dyDescent="0.2">
      <c r="A4562" s="997">
        <f t="shared" si="71"/>
        <v>4561</v>
      </c>
      <c r="B4562" s="983" t="s">
        <v>2714</v>
      </c>
      <c r="C4562" s="999"/>
      <c r="G4562" s="983" t="s">
        <v>1109</v>
      </c>
    </row>
    <row r="4563" spans="1:9" x14ac:dyDescent="0.2">
      <c r="A4563" s="997">
        <f t="shared" si="71"/>
        <v>4562</v>
      </c>
      <c r="B4563" s="983" t="s">
        <v>2714</v>
      </c>
      <c r="C4563" s="999"/>
      <c r="G4563" s="983" t="s">
        <v>1106</v>
      </c>
    </row>
    <row r="4564" spans="1:9" x14ac:dyDescent="0.2">
      <c r="A4564" s="997">
        <f t="shared" si="71"/>
        <v>4563</v>
      </c>
      <c r="B4564" s="983" t="s">
        <v>2714</v>
      </c>
      <c r="C4564" s="1000"/>
      <c r="H4564" s="983" t="s">
        <v>1107</v>
      </c>
    </row>
    <row r="4565" spans="1:9" x14ac:dyDescent="0.2">
      <c r="A4565" s="997">
        <f t="shared" si="71"/>
        <v>4564</v>
      </c>
      <c r="B4565" s="983" t="s">
        <v>2714</v>
      </c>
      <c r="C4565" s="1001"/>
      <c r="I4565" s="983" t="s">
        <v>1834</v>
      </c>
    </row>
    <row r="4566" spans="1:9" x14ac:dyDescent="0.2">
      <c r="A4566" s="997">
        <f t="shared" si="71"/>
        <v>4565</v>
      </c>
      <c r="B4566" s="983" t="s">
        <v>2714</v>
      </c>
      <c r="C4566" s="1000"/>
      <c r="H4566" s="983" t="s">
        <v>1108</v>
      </c>
    </row>
    <row r="4567" spans="1:9" x14ac:dyDescent="0.2">
      <c r="A4567" s="997">
        <f t="shared" si="71"/>
        <v>4566</v>
      </c>
      <c r="B4567" s="983" t="s">
        <v>2714</v>
      </c>
      <c r="C4567" s="1000"/>
      <c r="H4567" s="983" t="str">
        <f>CONCATENATE("&lt;valeur&gt;",Cellule_1324,"&lt;/valeur&gt;")</f>
        <v>&lt;valeur&gt;0&lt;/valeur&gt;</v>
      </c>
    </row>
    <row r="4568" spans="1:9" x14ac:dyDescent="0.2">
      <c r="A4568" s="997">
        <f t="shared" si="71"/>
        <v>4567</v>
      </c>
      <c r="B4568" s="983" t="s">
        <v>2714</v>
      </c>
      <c r="C4568" s="999"/>
      <c r="G4568" s="983" t="s">
        <v>1109</v>
      </c>
    </row>
    <row r="4569" spans="1:9" x14ac:dyDescent="0.2">
      <c r="A4569" s="997">
        <f t="shared" si="71"/>
        <v>4568</v>
      </c>
      <c r="B4569" s="983" t="s">
        <v>2714</v>
      </c>
      <c r="C4569" s="999"/>
      <c r="G4569" s="983" t="s">
        <v>1106</v>
      </c>
    </row>
    <row r="4570" spans="1:9" x14ac:dyDescent="0.2">
      <c r="A4570" s="997">
        <f t="shared" si="71"/>
        <v>4569</v>
      </c>
      <c r="B4570" s="983" t="s">
        <v>2714</v>
      </c>
      <c r="C4570" s="1000"/>
      <c r="H4570" s="983" t="s">
        <v>1107</v>
      </c>
    </row>
    <row r="4571" spans="1:9" x14ac:dyDescent="0.2">
      <c r="A4571" s="997">
        <f t="shared" si="71"/>
        <v>4570</v>
      </c>
      <c r="B4571" s="983" t="s">
        <v>2714</v>
      </c>
      <c r="C4571" s="1001"/>
      <c r="I4571" s="983" t="s">
        <v>1835</v>
      </c>
    </row>
    <row r="4572" spans="1:9" x14ac:dyDescent="0.2">
      <c r="A4572" s="997">
        <f t="shared" si="71"/>
        <v>4571</v>
      </c>
      <c r="B4572" s="983" t="s">
        <v>2714</v>
      </c>
      <c r="C4572" s="1000"/>
      <c r="H4572" s="983" t="s">
        <v>1108</v>
      </c>
    </row>
    <row r="4573" spans="1:9" x14ac:dyDescent="0.2">
      <c r="A4573" s="997">
        <f t="shared" si="71"/>
        <v>4572</v>
      </c>
      <c r="B4573" s="983" t="s">
        <v>2714</v>
      </c>
      <c r="C4573" s="1000"/>
      <c r="H4573" s="983" t="str">
        <f>CONCATENATE("&lt;valeur&gt;",Cellule_1325,"&lt;/valeur&gt;")</f>
        <v>&lt;valeur&gt;0&lt;/valeur&gt;</v>
      </c>
    </row>
    <row r="4574" spans="1:9" x14ac:dyDescent="0.2">
      <c r="A4574" s="997">
        <f t="shared" si="71"/>
        <v>4573</v>
      </c>
      <c r="B4574" s="983" t="s">
        <v>2714</v>
      </c>
      <c r="C4574" s="999"/>
      <c r="G4574" s="983" t="s">
        <v>1109</v>
      </c>
    </row>
    <row r="4575" spans="1:9" x14ac:dyDescent="0.2">
      <c r="A4575" s="997">
        <f t="shared" si="71"/>
        <v>4574</v>
      </c>
      <c r="B4575" s="983" t="s">
        <v>2714</v>
      </c>
      <c r="C4575" s="999"/>
      <c r="G4575" s="983" t="s">
        <v>1106</v>
      </c>
    </row>
    <row r="4576" spans="1:9" x14ac:dyDescent="0.2">
      <c r="A4576" s="997">
        <f t="shared" si="71"/>
        <v>4575</v>
      </c>
      <c r="B4576" s="983" t="s">
        <v>2714</v>
      </c>
      <c r="C4576" s="1000"/>
      <c r="H4576" s="983" t="s">
        <v>1107</v>
      </c>
    </row>
    <row r="4577" spans="1:9" x14ac:dyDescent="0.2">
      <c r="A4577" s="997">
        <f t="shared" si="71"/>
        <v>4576</v>
      </c>
      <c r="B4577" s="983" t="s">
        <v>2714</v>
      </c>
      <c r="C4577" s="1001"/>
      <c r="I4577" s="983" t="s">
        <v>1836</v>
      </c>
    </row>
    <row r="4578" spans="1:9" x14ac:dyDescent="0.2">
      <c r="A4578" s="997">
        <f t="shared" si="71"/>
        <v>4577</v>
      </c>
      <c r="B4578" s="983" t="s">
        <v>2714</v>
      </c>
      <c r="C4578" s="1000"/>
      <c r="H4578" s="983" t="s">
        <v>1108</v>
      </c>
    </row>
    <row r="4579" spans="1:9" x14ac:dyDescent="0.2">
      <c r="A4579" s="997">
        <f t="shared" si="71"/>
        <v>4578</v>
      </c>
      <c r="B4579" s="983" t="s">
        <v>2714</v>
      </c>
      <c r="C4579" s="1000"/>
      <c r="H4579" s="983" t="str">
        <f>CONCATENATE("&lt;valeur&gt;",Cellule_1326,"&lt;/valeur&gt;")</f>
        <v>&lt;valeur&gt;172843,76&lt;/valeur&gt;</v>
      </c>
    </row>
    <row r="4580" spans="1:9" x14ac:dyDescent="0.2">
      <c r="A4580" s="997">
        <f t="shared" si="71"/>
        <v>4579</v>
      </c>
      <c r="B4580" s="983" t="s">
        <v>2714</v>
      </c>
      <c r="C4580" s="999"/>
      <c r="G4580" s="983" t="s">
        <v>1109</v>
      </c>
    </row>
    <row r="4581" spans="1:9" x14ac:dyDescent="0.2">
      <c r="A4581" s="997">
        <f t="shared" si="71"/>
        <v>4580</v>
      </c>
      <c r="B4581" s="983" t="s">
        <v>2714</v>
      </c>
      <c r="C4581" s="999"/>
      <c r="G4581" s="983" t="s">
        <v>1106</v>
      </c>
    </row>
    <row r="4582" spans="1:9" x14ac:dyDescent="0.2">
      <c r="A4582" s="997">
        <f t="shared" si="71"/>
        <v>4581</v>
      </c>
      <c r="B4582" s="983" t="s">
        <v>2714</v>
      </c>
      <c r="C4582" s="1000"/>
      <c r="H4582" s="983" t="s">
        <v>1107</v>
      </c>
    </row>
    <row r="4583" spans="1:9" x14ac:dyDescent="0.2">
      <c r="A4583" s="997">
        <f t="shared" si="71"/>
        <v>4582</v>
      </c>
      <c r="B4583" s="983" t="s">
        <v>2714</v>
      </c>
      <c r="C4583" s="1001"/>
      <c r="I4583" s="983" t="s">
        <v>1837</v>
      </c>
    </row>
    <row r="4584" spans="1:9" x14ac:dyDescent="0.2">
      <c r="A4584" s="997">
        <f t="shared" si="71"/>
        <v>4583</v>
      </c>
      <c r="B4584" s="983" t="s">
        <v>2714</v>
      </c>
      <c r="C4584" s="1000"/>
      <c r="H4584" s="983" t="s">
        <v>1108</v>
      </c>
    </row>
    <row r="4585" spans="1:9" x14ac:dyDescent="0.2">
      <c r="A4585" s="997">
        <f t="shared" si="71"/>
        <v>4584</v>
      </c>
      <c r="B4585" s="983" t="s">
        <v>2714</v>
      </c>
      <c r="C4585" s="1000"/>
      <c r="H4585" s="983" t="str">
        <f>CONCATENATE("&lt;valeur&gt;",Cellule_1327,"&lt;/valeur&gt;")</f>
        <v>&lt;valeur&gt;67793,55&lt;/valeur&gt;</v>
      </c>
    </row>
    <row r="4586" spans="1:9" x14ac:dyDescent="0.2">
      <c r="A4586" s="997">
        <f t="shared" si="71"/>
        <v>4585</v>
      </c>
      <c r="B4586" s="983" t="s">
        <v>2714</v>
      </c>
      <c r="C4586" s="999"/>
      <c r="G4586" s="983" t="s">
        <v>1109</v>
      </c>
    </row>
    <row r="4587" spans="1:9" x14ac:dyDescent="0.2">
      <c r="A4587" s="997">
        <f t="shared" si="71"/>
        <v>4586</v>
      </c>
      <c r="B4587" s="983" t="s">
        <v>2714</v>
      </c>
      <c r="C4587" s="999"/>
      <c r="G4587" s="983" t="s">
        <v>1106</v>
      </c>
    </row>
    <row r="4588" spans="1:9" x14ac:dyDescent="0.2">
      <c r="A4588" s="997">
        <f t="shared" si="71"/>
        <v>4587</v>
      </c>
      <c r="B4588" s="983" t="s">
        <v>2714</v>
      </c>
      <c r="C4588" s="1000"/>
      <c r="H4588" s="983" t="s">
        <v>1107</v>
      </c>
    </row>
    <row r="4589" spans="1:9" x14ac:dyDescent="0.2">
      <c r="A4589" s="997">
        <f t="shared" si="71"/>
        <v>4588</v>
      </c>
      <c r="B4589" s="983" t="s">
        <v>2714</v>
      </c>
      <c r="C4589" s="1001"/>
      <c r="I4589" s="983" t="s">
        <v>1838</v>
      </c>
    </row>
    <row r="4590" spans="1:9" x14ac:dyDescent="0.2">
      <c r="A4590" s="997">
        <f t="shared" si="71"/>
        <v>4589</v>
      </c>
      <c r="B4590" s="983" t="s">
        <v>2714</v>
      </c>
      <c r="C4590" s="1000"/>
      <c r="H4590" s="983" t="s">
        <v>1108</v>
      </c>
    </row>
    <row r="4591" spans="1:9" x14ac:dyDescent="0.2">
      <c r="A4591" s="997">
        <f t="shared" si="71"/>
        <v>4590</v>
      </c>
      <c r="B4591" s="983" t="s">
        <v>2714</v>
      </c>
      <c r="C4591" s="1000"/>
      <c r="H4591" s="983" t="str">
        <f>CONCATENATE("&lt;valeur&gt;",Cellule_1328,"&lt;/valeur&gt;")</f>
        <v>&lt;valeur&gt;-43957,11&lt;/valeur&gt;</v>
      </c>
    </row>
    <row r="4592" spans="1:9" x14ac:dyDescent="0.2">
      <c r="A4592" s="997">
        <f t="shared" si="71"/>
        <v>4591</v>
      </c>
      <c r="B4592" s="983" t="s">
        <v>2714</v>
      </c>
      <c r="C4592" s="999"/>
      <c r="G4592" s="983" t="s">
        <v>1109</v>
      </c>
    </row>
    <row r="4593" spans="1:9" x14ac:dyDescent="0.2">
      <c r="A4593" s="997">
        <f t="shared" si="71"/>
        <v>4592</v>
      </c>
      <c r="B4593" s="983" t="s">
        <v>2714</v>
      </c>
      <c r="C4593" s="999"/>
      <c r="G4593" s="983" t="s">
        <v>1106</v>
      </c>
    </row>
    <row r="4594" spans="1:9" x14ac:dyDescent="0.2">
      <c r="A4594" s="997">
        <f t="shared" si="71"/>
        <v>4593</v>
      </c>
      <c r="B4594" s="983" t="s">
        <v>2714</v>
      </c>
      <c r="C4594" s="1000"/>
      <c r="H4594" s="983" t="s">
        <v>1107</v>
      </c>
    </row>
    <row r="4595" spans="1:9" x14ac:dyDescent="0.2">
      <c r="A4595" s="997">
        <f t="shared" si="71"/>
        <v>4594</v>
      </c>
      <c r="B4595" s="983" t="s">
        <v>2714</v>
      </c>
      <c r="C4595" s="1001"/>
      <c r="I4595" s="983" t="s">
        <v>1839</v>
      </c>
    </row>
    <row r="4596" spans="1:9" x14ac:dyDescent="0.2">
      <c r="A4596" s="997">
        <f t="shared" si="71"/>
        <v>4595</v>
      </c>
      <c r="B4596" s="983" t="s">
        <v>2714</v>
      </c>
      <c r="C4596" s="1000"/>
      <c r="H4596" s="983" t="s">
        <v>1108</v>
      </c>
    </row>
    <row r="4597" spans="1:9" x14ac:dyDescent="0.2">
      <c r="A4597" s="997">
        <f t="shared" si="71"/>
        <v>4596</v>
      </c>
      <c r="B4597" s="983" t="s">
        <v>2714</v>
      </c>
      <c r="C4597" s="1000"/>
      <c r="H4597" s="983" t="str">
        <f>CONCATENATE("&lt;valeur&gt;",Cellule_1329,"&lt;/valeur&gt;")</f>
        <v>&lt;valeur&gt;23836,44&lt;/valeur&gt;</v>
      </c>
    </row>
    <row r="4598" spans="1:9" x14ac:dyDescent="0.2">
      <c r="A4598" s="997">
        <f t="shared" si="71"/>
        <v>4597</v>
      </c>
      <c r="B4598" s="983" t="s">
        <v>2714</v>
      </c>
      <c r="C4598" s="999"/>
      <c r="G4598" s="983" t="s">
        <v>1109</v>
      </c>
    </row>
    <row r="4599" spans="1:9" x14ac:dyDescent="0.2">
      <c r="A4599" s="997">
        <f t="shared" si="71"/>
        <v>4598</v>
      </c>
      <c r="B4599" s="983" t="s">
        <v>2714</v>
      </c>
      <c r="C4599" s="999"/>
      <c r="G4599" s="983" t="s">
        <v>1106</v>
      </c>
    </row>
    <row r="4600" spans="1:9" x14ac:dyDescent="0.2">
      <c r="A4600" s="997">
        <f t="shared" si="71"/>
        <v>4599</v>
      </c>
      <c r="B4600" s="983" t="s">
        <v>2714</v>
      </c>
      <c r="C4600" s="1000"/>
      <c r="H4600" s="983" t="s">
        <v>1107</v>
      </c>
    </row>
    <row r="4601" spans="1:9" x14ac:dyDescent="0.2">
      <c r="A4601" s="997">
        <f t="shared" si="71"/>
        <v>4600</v>
      </c>
      <c r="B4601" s="983" t="s">
        <v>2714</v>
      </c>
      <c r="C4601" s="1001"/>
      <c r="I4601" s="983" t="s">
        <v>1840</v>
      </c>
    </row>
    <row r="4602" spans="1:9" x14ac:dyDescent="0.2">
      <c r="A4602" s="997">
        <f t="shared" si="71"/>
        <v>4601</v>
      </c>
      <c r="B4602" s="983" t="s">
        <v>2714</v>
      </c>
      <c r="C4602" s="1000"/>
      <c r="H4602" s="983" t="s">
        <v>1108</v>
      </c>
    </row>
    <row r="4603" spans="1:9" x14ac:dyDescent="0.2">
      <c r="A4603" s="997">
        <f t="shared" si="71"/>
        <v>4602</v>
      </c>
      <c r="B4603" s="983" t="s">
        <v>2714</v>
      </c>
      <c r="C4603" s="1000"/>
      <c r="H4603" s="983" t="str">
        <f>CONCATENATE("&lt;valeur&gt;",Cellule_1330,"&lt;/valeur&gt;")</f>
        <v>&lt;valeur&gt;0&lt;/valeur&gt;</v>
      </c>
    </row>
    <row r="4604" spans="1:9" x14ac:dyDescent="0.2">
      <c r="A4604" s="997">
        <f t="shared" si="71"/>
        <v>4603</v>
      </c>
      <c r="B4604" s="983" t="s">
        <v>2714</v>
      </c>
      <c r="C4604" s="999"/>
      <c r="G4604" s="983" t="s">
        <v>1109</v>
      </c>
    </row>
    <row r="4605" spans="1:9" x14ac:dyDescent="0.2">
      <c r="A4605" s="997">
        <f t="shared" si="71"/>
        <v>4604</v>
      </c>
      <c r="B4605" s="983" t="s">
        <v>2714</v>
      </c>
      <c r="C4605" s="999"/>
      <c r="G4605" s="983" t="s">
        <v>1106</v>
      </c>
    </row>
    <row r="4606" spans="1:9" x14ac:dyDescent="0.2">
      <c r="A4606" s="997">
        <f t="shared" si="71"/>
        <v>4605</v>
      </c>
      <c r="B4606" s="983" t="s">
        <v>2714</v>
      </c>
      <c r="C4606" s="1000"/>
      <c r="H4606" s="983" t="s">
        <v>1107</v>
      </c>
    </row>
    <row r="4607" spans="1:9" x14ac:dyDescent="0.2">
      <c r="A4607" s="997">
        <f t="shared" si="71"/>
        <v>4606</v>
      </c>
      <c r="B4607" s="983" t="s">
        <v>2714</v>
      </c>
      <c r="C4607" s="1001"/>
      <c r="I4607" s="983" t="s">
        <v>1841</v>
      </c>
    </row>
    <row r="4608" spans="1:9" x14ac:dyDescent="0.2">
      <c r="A4608" s="997">
        <f t="shared" si="71"/>
        <v>4607</v>
      </c>
      <c r="B4608" s="983" t="s">
        <v>2714</v>
      </c>
      <c r="C4608" s="1000"/>
      <c r="H4608" s="983" t="s">
        <v>1108</v>
      </c>
    </row>
    <row r="4609" spans="1:9" x14ac:dyDescent="0.2">
      <c r="A4609" s="997">
        <f t="shared" si="71"/>
        <v>4608</v>
      </c>
      <c r="B4609" s="983" t="s">
        <v>2714</v>
      </c>
      <c r="C4609" s="1000"/>
      <c r="H4609" s="983" t="str">
        <f>CONCATENATE("&lt;valeur&gt;",Cellule_1331,"&lt;/valeur&gt;")</f>
        <v>&lt;valeur&gt;2384&lt;/valeur&gt;</v>
      </c>
    </row>
    <row r="4610" spans="1:9" x14ac:dyDescent="0.2">
      <c r="A4610" s="997">
        <f t="shared" si="71"/>
        <v>4609</v>
      </c>
      <c r="B4610" s="983" t="s">
        <v>2714</v>
      </c>
      <c r="C4610" s="999"/>
      <c r="G4610" s="983" t="s">
        <v>1109</v>
      </c>
    </row>
    <row r="4611" spans="1:9" x14ac:dyDescent="0.2">
      <c r="A4611" s="997">
        <f t="shared" si="71"/>
        <v>4610</v>
      </c>
      <c r="B4611" s="983" t="s">
        <v>2714</v>
      </c>
      <c r="C4611" s="999"/>
      <c r="G4611" s="983" t="s">
        <v>1106</v>
      </c>
    </row>
    <row r="4612" spans="1:9" x14ac:dyDescent="0.2">
      <c r="A4612" s="997">
        <f t="shared" ref="A4612:A4675" si="72">+A4611+1</f>
        <v>4611</v>
      </c>
      <c r="B4612" s="983" t="s">
        <v>2714</v>
      </c>
      <c r="C4612" s="1000"/>
      <c r="H4612" s="983" t="s">
        <v>1107</v>
      </c>
    </row>
    <row r="4613" spans="1:9" x14ac:dyDescent="0.2">
      <c r="A4613" s="997">
        <f t="shared" si="72"/>
        <v>4612</v>
      </c>
      <c r="B4613" s="983" t="s">
        <v>2714</v>
      </c>
      <c r="C4613" s="1001"/>
      <c r="I4613" s="983" t="s">
        <v>1842</v>
      </c>
    </row>
    <row r="4614" spans="1:9" x14ac:dyDescent="0.2">
      <c r="A4614" s="997">
        <f t="shared" si="72"/>
        <v>4613</v>
      </c>
      <c r="B4614" s="983" t="s">
        <v>2714</v>
      </c>
      <c r="C4614" s="1000"/>
      <c r="H4614" s="983" t="s">
        <v>1108</v>
      </c>
    </row>
    <row r="4615" spans="1:9" x14ac:dyDescent="0.2">
      <c r="A4615" s="997">
        <f t="shared" si="72"/>
        <v>4614</v>
      </c>
      <c r="B4615" s="983" t="s">
        <v>2714</v>
      </c>
      <c r="C4615" s="1000"/>
      <c r="H4615" s="983" t="str">
        <f>CONCATENATE("&lt;valeur&gt;",Cellule_1332,"&lt;/valeur&gt;")</f>
        <v>&lt;valeur&gt;21452,44&lt;/valeur&gt;</v>
      </c>
    </row>
    <row r="4616" spans="1:9" x14ac:dyDescent="0.2">
      <c r="A4616" s="997">
        <f t="shared" si="72"/>
        <v>4615</v>
      </c>
      <c r="B4616" s="983" t="s">
        <v>2714</v>
      </c>
      <c r="C4616" s="999"/>
      <c r="G4616" s="983" t="s">
        <v>1109</v>
      </c>
    </row>
    <row r="4617" spans="1:9" x14ac:dyDescent="0.2">
      <c r="A4617" s="997">
        <f t="shared" si="72"/>
        <v>4616</v>
      </c>
      <c r="B4617" s="983" t="s">
        <v>2714</v>
      </c>
      <c r="C4617" s="999"/>
      <c r="G4617" s="983" t="s">
        <v>1106</v>
      </c>
    </row>
    <row r="4618" spans="1:9" x14ac:dyDescent="0.2">
      <c r="A4618" s="997">
        <f t="shared" si="72"/>
        <v>4617</v>
      </c>
      <c r="B4618" s="983" t="s">
        <v>2714</v>
      </c>
      <c r="C4618" s="1000"/>
      <c r="H4618" s="983" t="s">
        <v>1107</v>
      </c>
    </row>
    <row r="4619" spans="1:9" x14ac:dyDescent="0.2">
      <c r="A4619" s="997">
        <f t="shared" si="72"/>
        <v>4618</v>
      </c>
      <c r="B4619" s="983" t="s">
        <v>2714</v>
      </c>
      <c r="C4619" s="1001"/>
      <c r="I4619" s="983" t="s">
        <v>1843</v>
      </c>
    </row>
    <row r="4620" spans="1:9" x14ac:dyDescent="0.2">
      <c r="A4620" s="997">
        <f t="shared" si="72"/>
        <v>4619</v>
      </c>
      <c r="B4620" s="983" t="s">
        <v>2714</v>
      </c>
      <c r="C4620" s="1000"/>
      <c r="H4620" s="983" t="s">
        <v>1108</v>
      </c>
    </row>
    <row r="4621" spans="1:9" x14ac:dyDescent="0.2">
      <c r="A4621" s="997">
        <f t="shared" si="72"/>
        <v>4620</v>
      </c>
      <c r="B4621" s="983" t="s">
        <v>2714</v>
      </c>
      <c r="C4621" s="1000"/>
      <c r="H4621" s="983" t="str">
        <f>CONCATENATE("&lt;valeur&gt;",Cellule_4063,"&lt;/valeur&gt;")</f>
        <v>&lt;valeur&gt;240637,31&lt;/valeur&gt;</v>
      </c>
    </row>
    <row r="4622" spans="1:9" x14ac:dyDescent="0.2">
      <c r="A4622" s="997">
        <f t="shared" si="72"/>
        <v>4621</v>
      </c>
      <c r="B4622" s="983" t="s">
        <v>2714</v>
      </c>
      <c r="C4622" s="999"/>
      <c r="G4622" s="983" t="s">
        <v>1109</v>
      </c>
    </row>
    <row r="4623" spans="1:9" x14ac:dyDescent="0.2">
      <c r="A4623" s="997">
        <f t="shared" si="72"/>
        <v>4622</v>
      </c>
      <c r="B4623" s="983" t="s">
        <v>2714</v>
      </c>
      <c r="C4623" s="999"/>
      <c r="G4623" s="983" t="s">
        <v>1106</v>
      </c>
    </row>
    <row r="4624" spans="1:9" x14ac:dyDescent="0.2">
      <c r="A4624" s="997">
        <f t="shared" si="72"/>
        <v>4623</v>
      </c>
      <c r="B4624" s="983" t="s">
        <v>2714</v>
      </c>
      <c r="C4624" s="1000"/>
      <c r="H4624" s="983" t="s">
        <v>1107</v>
      </c>
    </row>
    <row r="4625" spans="1:9" x14ac:dyDescent="0.2">
      <c r="A4625" s="997">
        <f t="shared" si="72"/>
        <v>4624</v>
      </c>
      <c r="B4625" s="983" t="s">
        <v>2714</v>
      </c>
      <c r="C4625" s="1001"/>
      <c r="I4625" s="983" t="s">
        <v>1844</v>
      </c>
    </row>
    <row r="4626" spans="1:9" x14ac:dyDescent="0.2">
      <c r="A4626" s="997">
        <f t="shared" si="72"/>
        <v>4625</v>
      </c>
      <c r="B4626" s="983" t="s">
        <v>2714</v>
      </c>
      <c r="C4626" s="1000"/>
      <c r="H4626" s="983" t="s">
        <v>1108</v>
      </c>
    </row>
    <row r="4627" spans="1:9" x14ac:dyDescent="0.2">
      <c r="A4627" s="997">
        <f t="shared" si="72"/>
        <v>4626</v>
      </c>
      <c r="B4627" s="983" t="s">
        <v>2714</v>
      </c>
      <c r="C4627" s="1000"/>
      <c r="H4627" s="983" t="str">
        <f>CONCATENATE("&lt;valeur&gt;",Cellule_4066,"&lt;/valeur&gt;")</f>
        <v>&lt;valeur&gt;0&lt;/valeur&gt;</v>
      </c>
    </row>
    <row r="4628" spans="1:9" x14ac:dyDescent="0.2">
      <c r="A4628" s="997">
        <f t="shared" si="72"/>
        <v>4627</v>
      </c>
      <c r="B4628" s="983" t="s">
        <v>2714</v>
      </c>
      <c r="C4628" s="999"/>
      <c r="G4628" s="983" t="s">
        <v>1109</v>
      </c>
    </row>
    <row r="4629" spans="1:9" x14ac:dyDescent="0.2">
      <c r="A4629" s="997">
        <f t="shared" si="72"/>
        <v>4628</v>
      </c>
      <c r="B4629" s="983" t="s">
        <v>2714</v>
      </c>
      <c r="C4629" s="999"/>
      <c r="G4629" s="983" t="s">
        <v>1106</v>
      </c>
    </row>
    <row r="4630" spans="1:9" x14ac:dyDescent="0.2">
      <c r="A4630" s="997">
        <f t="shared" si="72"/>
        <v>4629</v>
      </c>
      <c r="B4630" s="983" t="s">
        <v>2714</v>
      </c>
      <c r="C4630" s="1000"/>
      <c r="H4630" s="983" t="s">
        <v>1107</v>
      </c>
    </row>
    <row r="4631" spans="1:9" x14ac:dyDescent="0.2">
      <c r="A4631" s="997">
        <f t="shared" si="72"/>
        <v>4630</v>
      </c>
      <c r="B4631" s="983" t="s">
        <v>2714</v>
      </c>
      <c r="C4631" s="1001"/>
      <c r="I4631" s="983" t="s">
        <v>1845</v>
      </c>
    </row>
    <row r="4632" spans="1:9" x14ac:dyDescent="0.2">
      <c r="A4632" s="997">
        <f t="shared" si="72"/>
        <v>4631</v>
      </c>
      <c r="B4632" s="983" t="s">
        <v>2714</v>
      </c>
      <c r="C4632" s="1000"/>
      <c r="H4632" s="983" t="s">
        <v>1108</v>
      </c>
    </row>
    <row r="4633" spans="1:9" x14ac:dyDescent="0.2">
      <c r="A4633" s="997">
        <f t="shared" si="72"/>
        <v>4632</v>
      </c>
      <c r="B4633" s="983" t="s">
        <v>2714</v>
      </c>
      <c r="C4633" s="1000"/>
      <c r="H4633" s="983" t="str">
        <f>CONCATENATE("&lt;valeur&gt;",Cellule_1333,"&lt;/valeur&gt;")</f>
        <v>&lt;valeur&gt;0&lt;/valeur&gt;</v>
      </c>
    </row>
    <row r="4634" spans="1:9" x14ac:dyDescent="0.2">
      <c r="A4634" s="997">
        <f t="shared" si="72"/>
        <v>4633</v>
      </c>
      <c r="B4634" s="983" t="s">
        <v>2714</v>
      </c>
      <c r="C4634" s="999"/>
      <c r="G4634" s="983" t="s">
        <v>1109</v>
      </c>
    </row>
    <row r="4635" spans="1:9" x14ac:dyDescent="0.2">
      <c r="A4635" s="997">
        <f t="shared" si="72"/>
        <v>4634</v>
      </c>
      <c r="B4635" s="983" t="s">
        <v>2714</v>
      </c>
      <c r="C4635" s="999"/>
      <c r="G4635" s="983" t="s">
        <v>1106</v>
      </c>
    </row>
    <row r="4636" spans="1:9" x14ac:dyDescent="0.2">
      <c r="A4636" s="997">
        <f t="shared" si="72"/>
        <v>4635</v>
      </c>
      <c r="B4636" s="983" t="s">
        <v>2714</v>
      </c>
      <c r="C4636" s="1000"/>
      <c r="H4636" s="983" t="s">
        <v>1107</v>
      </c>
    </row>
    <row r="4637" spans="1:9" x14ac:dyDescent="0.2">
      <c r="A4637" s="997">
        <f t="shared" si="72"/>
        <v>4636</v>
      </c>
      <c r="B4637" s="983" t="s">
        <v>2714</v>
      </c>
      <c r="C4637" s="1001"/>
      <c r="I4637" s="983" t="s">
        <v>1846</v>
      </c>
    </row>
    <row r="4638" spans="1:9" x14ac:dyDescent="0.2">
      <c r="A4638" s="997">
        <f t="shared" si="72"/>
        <v>4637</v>
      </c>
      <c r="B4638" s="983" t="s">
        <v>2714</v>
      </c>
      <c r="C4638" s="1000"/>
      <c r="H4638" s="983" t="s">
        <v>1108</v>
      </c>
    </row>
    <row r="4639" spans="1:9" x14ac:dyDescent="0.2">
      <c r="A4639" s="997">
        <f t="shared" si="72"/>
        <v>4638</v>
      </c>
      <c r="B4639" s="983" t="s">
        <v>2714</v>
      </c>
      <c r="C4639" s="1000"/>
      <c r="H4639" s="983" t="str">
        <f>CONCATENATE("&lt;valeur&gt;",Cellule_1334,"&lt;/valeur&gt;")</f>
        <v>&lt;valeur&gt;0&lt;/valeur&gt;</v>
      </c>
    </row>
    <row r="4640" spans="1:9" x14ac:dyDescent="0.2">
      <c r="A4640" s="997">
        <f t="shared" si="72"/>
        <v>4639</v>
      </c>
      <c r="B4640" s="983" t="s">
        <v>2714</v>
      </c>
      <c r="C4640" s="999"/>
      <c r="G4640" s="983" t="s">
        <v>1109</v>
      </c>
    </row>
    <row r="4641" spans="1:9" x14ac:dyDescent="0.2">
      <c r="A4641" s="997">
        <f t="shared" si="72"/>
        <v>4640</v>
      </c>
      <c r="B4641" s="983" t="s">
        <v>2714</v>
      </c>
      <c r="C4641" s="999"/>
      <c r="G4641" s="983" t="s">
        <v>1106</v>
      </c>
    </row>
    <row r="4642" spans="1:9" x14ac:dyDescent="0.2">
      <c r="A4642" s="997">
        <f t="shared" si="72"/>
        <v>4641</v>
      </c>
      <c r="B4642" s="983" t="s">
        <v>2714</v>
      </c>
      <c r="C4642" s="1000"/>
      <c r="H4642" s="983" t="s">
        <v>1107</v>
      </c>
    </row>
    <row r="4643" spans="1:9" x14ac:dyDescent="0.2">
      <c r="A4643" s="997">
        <f t="shared" si="72"/>
        <v>4642</v>
      </c>
      <c r="B4643" s="983" t="s">
        <v>2714</v>
      </c>
      <c r="C4643" s="1001"/>
      <c r="I4643" s="983" t="s">
        <v>1847</v>
      </c>
    </row>
    <row r="4644" spans="1:9" x14ac:dyDescent="0.2">
      <c r="A4644" s="997">
        <f t="shared" si="72"/>
        <v>4643</v>
      </c>
      <c r="B4644" s="983" t="s">
        <v>2714</v>
      </c>
      <c r="C4644" s="1000"/>
      <c r="H4644" s="983" t="s">
        <v>1108</v>
      </c>
    </row>
    <row r="4645" spans="1:9" x14ac:dyDescent="0.2">
      <c r="A4645" s="997">
        <f t="shared" si="72"/>
        <v>4644</v>
      </c>
      <c r="B4645" s="983" t="s">
        <v>2714</v>
      </c>
      <c r="C4645" s="1000"/>
      <c r="H4645" s="983" t="str">
        <f>CONCATENATE("&lt;valeur&gt;",Cellule_1335,"&lt;/valeur&gt;")</f>
        <v>&lt;valeur&gt;0&lt;/valeur&gt;</v>
      </c>
    </row>
    <row r="4646" spans="1:9" x14ac:dyDescent="0.2">
      <c r="A4646" s="997">
        <f t="shared" si="72"/>
        <v>4645</v>
      </c>
      <c r="B4646" s="983" t="s">
        <v>2714</v>
      </c>
      <c r="C4646" s="999"/>
      <c r="G4646" s="983" t="s">
        <v>1109</v>
      </c>
    </row>
    <row r="4647" spans="1:9" x14ac:dyDescent="0.2">
      <c r="A4647" s="997">
        <f t="shared" si="72"/>
        <v>4646</v>
      </c>
      <c r="B4647" s="983" t="s">
        <v>2714</v>
      </c>
      <c r="C4647" s="999"/>
      <c r="G4647" s="983" t="s">
        <v>1106</v>
      </c>
    </row>
    <row r="4648" spans="1:9" x14ac:dyDescent="0.2">
      <c r="A4648" s="997">
        <f t="shared" si="72"/>
        <v>4647</v>
      </c>
      <c r="B4648" s="983" t="s">
        <v>2714</v>
      </c>
      <c r="C4648" s="1000"/>
      <c r="H4648" s="983" t="s">
        <v>1107</v>
      </c>
    </row>
    <row r="4649" spans="1:9" x14ac:dyDescent="0.2">
      <c r="A4649" s="997">
        <f t="shared" si="72"/>
        <v>4648</v>
      </c>
      <c r="B4649" s="983" t="s">
        <v>2714</v>
      </c>
      <c r="C4649" s="1001"/>
      <c r="I4649" s="983" t="s">
        <v>1848</v>
      </c>
    </row>
    <row r="4650" spans="1:9" x14ac:dyDescent="0.2">
      <c r="A4650" s="997">
        <f t="shared" si="72"/>
        <v>4649</v>
      </c>
      <c r="B4650" s="983" t="s">
        <v>2714</v>
      </c>
      <c r="C4650" s="1000"/>
      <c r="H4650" s="983" t="s">
        <v>1108</v>
      </c>
    </row>
    <row r="4651" spans="1:9" x14ac:dyDescent="0.2">
      <c r="A4651" s="997">
        <f t="shared" si="72"/>
        <v>4650</v>
      </c>
      <c r="B4651" s="983" t="s">
        <v>2714</v>
      </c>
      <c r="C4651" s="1000"/>
      <c r="H4651" s="983" t="str">
        <f>CONCATENATE("&lt;valeur&gt;",Cellule_1336,"&lt;/valeur&gt;")</f>
        <v>&lt;valeur&gt;0&lt;/valeur&gt;</v>
      </c>
    </row>
    <row r="4652" spans="1:9" x14ac:dyDescent="0.2">
      <c r="A4652" s="997">
        <f t="shared" si="72"/>
        <v>4651</v>
      </c>
      <c r="B4652" s="983" t="s">
        <v>2714</v>
      </c>
      <c r="C4652" s="999"/>
      <c r="G4652" s="983" t="s">
        <v>1109</v>
      </c>
    </row>
    <row r="4653" spans="1:9" x14ac:dyDescent="0.2">
      <c r="A4653" s="997">
        <f t="shared" si="72"/>
        <v>4652</v>
      </c>
      <c r="B4653" s="983" t="s">
        <v>2714</v>
      </c>
      <c r="C4653" s="999"/>
      <c r="G4653" s="983" t="s">
        <v>1106</v>
      </c>
    </row>
    <row r="4654" spans="1:9" x14ac:dyDescent="0.2">
      <c r="A4654" s="997">
        <f t="shared" si="72"/>
        <v>4653</v>
      </c>
      <c r="B4654" s="983" t="s">
        <v>2714</v>
      </c>
      <c r="C4654" s="1000"/>
      <c r="H4654" s="983" t="s">
        <v>1107</v>
      </c>
    </row>
    <row r="4655" spans="1:9" x14ac:dyDescent="0.2">
      <c r="A4655" s="997">
        <f t="shared" si="72"/>
        <v>4654</v>
      </c>
      <c r="B4655" s="983" t="s">
        <v>2714</v>
      </c>
      <c r="C4655" s="1001"/>
      <c r="I4655" s="983" t="s">
        <v>1849</v>
      </c>
    </row>
    <row r="4656" spans="1:9" x14ac:dyDescent="0.2">
      <c r="A4656" s="997">
        <f t="shared" si="72"/>
        <v>4655</v>
      </c>
      <c r="B4656" s="983" t="s">
        <v>2714</v>
      </c>
      <c r="C4656" s="1000"/>
      <c r="H4656" s="983" t="s">
        <v>1108</v>
      </c>
    </row>
    <row r="4657" spans="1:9" x14ac:dyDescent="0.2">
      <c r="A4657" s="997">
        <f t="shared" si="72"/>
        <v>4656</v>
      </c>
      <c r="B4657" s="983" t="s">
        <v>2714</v>
      </c>
      <c r="C4657" s="1000"/>
      <c r="H4657" s="983" t="str">
        <f>CONCATENATE("&lt;valeur&gt;",Cellule_1337,"&lt;/valeur&gt;")</f>
        <v>&lt;valeur&gt;0&lt;/valeur&gt;</v>
      </c>
    </row>
    <row r="4658" spans="1:9" x14ac:dyDescent="0.2">
      <c r="A4658" s="997">
        <f t="shared" si="72"/>
        <v>4657</v>
      </c>
      <c r="B4658" s="983" t="s">
        <v>2714</v>
      </c>
      <c r="C4658" s="999"/>
      <c r="G4658" s="983" t="s">
        <v>1109</v>
      </c>
    </row>
    <row r="4659" spans="1:9" x14ac:dyDescent="0.2">
      <c r="A4659" s="997">
        <f t="shared" si="72"/>
        <v>4658</v>
      </c>
      <c r="B4659" s="983" t="s">
        <v>2714</v>
      </c>
      <c r="C4659" s="999"/>
      <c r="G4659" s="983" t="s">
        <v>1106</v>
      </c>
    </row>
    <row r="4660" spans="1:9" x14ac:dyDescent="0.2">
      <c r="A4660" s="997">
        <f t="shared" si="72"/>
        <v>4659</v>
      </c>
      <c r="B4660" s="983" t="s">
        <v>2714</v>
      </c>
      <c r="C4660" s="1000"/>
      <c r="H4660" s="983" t="s">
        <v>1107</v>
      </c>
    </row>
    <row r="4661" spans="1:9" x14ac:dyDescent="0.2">
      <c r="A4661" s="997">
        <f t="shared" si="72"/>
        <v>4660</v>
      </c>
      <c r="B4661" s="983" t="s">
        <v>2714</v>
      </c>
      <c r="C4661" s="1001"/>
      <c r="I4661" s="983" t="s">
        <v>1850</v>
      </c>
    </row>
    <row r="4662" spans="1:9" x14ac:dyDescent="0.2">
      <c r="A4662" s="997">
        <f t="shared" si="72"/>
        <v>4661</v>
      </c>
      <c r="B4662" s="983" t="s">
        <v>2714</v>
      </c>
      <c r="C4662" s="1000"/>
      <c r="H4662" s="983" t="s">
        <v>1108</v>
      </c>
    </row>
    <row r="4663" spans="1:9" x14ac:dyDescent="0.2">
      <c r="A4663" s="997">
        <f t="shared" si="72"/>
        <v>4662</v>
      </c>
      <c r="B4663" s="983" t="s">
        <v>2714</v>
      </c>
      <c r="C4663" s="1000"/>
      <c r="H4663" s="983" t="str">
        <f>CONCATENATE("&lt;valeur&gt;",Cellule_1338,"&lt;/valeur&gt;")</f>
        <v>&lt;valeur&gt;0&lt;/valeur&gt;</v>
      </c>
    </row>
    <row r="4664" spans="1:9" x14ac:dyDescent="0.2">
      <c r="A4664" s="997">
        <f t="shared" si="72"/>
        <v>4663</v>
      </c>
      <c r="B4664" s="983" t="s">
        <v>2714</v>
      </c>
      <c r="C4664" s="999"/>
      <c r="G4664" s="983" t="s">
        <v>1109</v>
      </c>
    </row>
    <row r="4665" spans="1:9" x14ac:dyDescent="0.2">
      <c r="A4665" s="997">
        <f t="shared" si="72"/>
        <v>4664</v>
      </c>
      <c r="B4665" s="983" t="s">
        <v>2714</v>
      </c>
      <c r="C4665" s="999"/>
      <c r="G4665" s="983" t="s">
        <v>1106</v>
      </c>
    </row>
    <row r="4666" spans="1:9" x14ac:dyDescent="0.2">
      <c r="A4666" s="997">
        <f t="shared" si="72"/>
        <v>4665</v>
      </c>
      <c r="B4666" s="983" t="s">
        <v>2714</v>
      </c>
      <c r="C4666" s="1000"/>
      <c r="H4666" s="983" t="s">
        <v>1107</v>
      </c>
    </row>
    <row r="4667" spans="1:9" x14ac:dyDescent="0.2">
      <c r="A4667" s="997">
        <f t="shared" si="72"/>
        <v>4666</v>
      </c>
      <c r="B4667" s="983" t="s">
        <v>2714</v>
      </c>
      <c r="C4667" s="1001"/>
      <c r="I4667" s="983" t="s">
        <v>1851</v>
      </c>
    </row>
    <row r="4668" spans="1:9" x14ac:dyDescent="0.2">
      <c r="A4668" s="997">
        <f t="shared" si="72"/>
        <v>4667</v>
      </c>
      <c r="B4668" s="983" t="s">
        <v>2714</v>
      </c>
      <c r="C4668" s="1000"/>
      <c r="H4668" s="983" t="s">
        <v>1108</v>
      </c>
    </row>
    <row r="4669" spans="1:9" x14ac:dyDescent="0.2">
      <c r="A4669" s="997">
        <f t="shared" si="72"/>
        <v>4668</v>
      </c>
      <c r="B4669" s="983" t="s">
        <v>2714</v>
      </c>
      <c r="C4669" s="1000"/>
      <c r="H4669" s="983" t="str">
        <f>CONCATENATE("&lt;valeur&gt;",Cellule_1339,"&lt;/valeur&gt;")</f>
        <v>&lt;valeur&gt;0&lt;/valeur&gt;</v>
      </c>
    </row>
    <row r="4670" spans="1:9" x14ac:dyDescent="0.2">
      <c r="A4670" s="997">
        <f t="shared" si="72"/>
        <v>4669</v>
      </c>
      <c r="B4670" s="983" t="s">
        <v>2714</v>
      </c>
      <c r="C4670" s="999"/>
      <c r="G4670" s="983" t="s">
        <v>1109</v>
      </c>
    </row>
    <row r="4671" spans="1:9" x14ac:dyDescent="0.2">
      <c r="A4671" s="997">
        <f t="shared" si="72"/>
        <v>4670</v>
      </c>
      <c r="B4671" s="983" t="s">
        <v>2714</v>
      </c>
      <c r="C4671" s="999"/>
      <c r="G4671" s="983" t="s">
        <v>1106</v>
      </c>
    </row>
    <row r="4672" spans="1:9" x14ac:dyDescent="0.2">
      <c r="A4672" s="997">
        <f t="shared" si="72"/>
        <v>4671</v>
      </c>
      <c r="B4672" s="983" t="s">
        <v>2714</v>
      </c>
      <c r="C4672" s="1000"/>
      <c r="H4672" s="983" t="s">
        <v>1107</v>
      </c>
    </row>
    <row r="4673" spans="1:9" x14ac:dyDescent="0.2">
      <c r="A4673" s="997">
        <f t="shared" si="72"/>
        <v>4672</v>
      </c>
      <c r="B4673" s="983" t="s">
        <v>2714</v>
      </c>
      <c r="C4673" s="1001"/>
      <c r="I4673" s="983" t="s">
        <v>1852</v>
      </c>
    </row>
    <row r="4674" spans="1:9" x14ac:dyDescent="0.2">
      <c r="A4674" s="997">
        <f t="shared" si="72"/>
        <v>4673</v>
      </c>
      <c r="B4674" s="983" t="s">
        <v>2714</v>
      </c>
      <c r="C4674" s="1000"/>
      <c r="H4674" s="983" t="s">
        <v>1108</v>
      </c>
    </row>
    <row r="4675" spans="1:9" x14ac:dyDescent="0.2">
      <c r="A4675" s="997">
        <f t="shared" si="72"/>
        <v>4674</v>
      </c>
      <c r="B4675" s="983" t="s">
        <v>2714</v>
      </c>
      <c r="C4675" s="1000"/>
      <c r="H4675" s="983" t="str">
        <f>CONCATENATE("&lt;valeur&gt;",Cellule_1340,"&lt;/valeur&gt;")</f>
        <v>&lt;valeur&gt;5353,3&lt;/valeur&gt;</v>
      </c>
    </row>
    <row r="4676" spans="1:9" x14ac:dyDescent="0.2">
      <c r="A4676" s="997">
        <f t="shared" ref="A4676:A4739" si="73">+A4675+1</f>
        <v>4675</v>
      </c>
      <c r="B4676" s="983" t="s">
        <v>2714</v>
      </c>
      <c r="C4676" s="999"/>
      <c r="G4676" s="983" t="s">
        <v>1109</v>
      </c>
    </row>
    <row r="4677" spans="1:9" x14ac:dyDescent="0.2">
      <c r="A4677" s="997">
        <f t="shared" si="73"/>
        <v>4676</v>
      </c>
      <c r="B4677" s="983" t="s">
        <v>2714</v>
      </c>
      <c r="C4677" s="999"/>
      <c r="G4677" s="983" t="s">
        <v>1106</v>
      </c>
    </row>
    <row r="4678" spans="1:9" x14ac:dyDescent="0.2">
      <c r="A4678" s="997">
        <f t="shared" si="73"/>
        <v>4677</v>
      </c>
      <c r="B4678" s="983" t="s">
        <v>2714</v>
      </c>
      <c r="C4678" s="1000"/>
      <c r="H4678" s="983" t="s">
        <v>1107</v>
      </c>
    </row>
    <row r="4679" spans="1:9" x14ac:dyDescent="0.2">
      <c r="A4679" s="997">
        <f t="shared" si="73"/>
        <v>4678</v>
      </c>
      <c r="B4679" s="983" t="s">
        <v>2714</v>
      </c>
      <c r="C4679" s="1001"/>
      <c r="I4679" s="983" t="s">
        <v>1853</v>
      </c>
    </row>
    <row r="4680" spans="1:9" x14ac:dyDescent="0.2">
      <c r="A4680" s="997">
        <f t="shared" si="73"/>
        <v>4679</v>
      </c>
      <c r="B4680" s="983" t="s">
        <v>2714</v>
      </c>
      <c r="C4680" s="1000"/>
      <c r="H4680" s="983" t="s">
        <v>1108</v>
      </c>
    </row>
    <row r="4681" spans="1:9" x14ac:dyDescent="0.2">
      <c r="A4681" s="997">
        <f t="shared" si="73"/>
        <v>4680</v>
      </c>
      <c r="B4681" s="983" t="s">
        <v>2714</v>
      </c>
      <c r="C4681" s="1000"/>
      <c r="H4681" s="983" t="str">
        <f>CONCATENATE("&lt;valeur&gt;",Cellule_1341,"&lt;/valeur&gt;")</f>
        <v>&lt;valeur&gt;0&lt;/valeur&gt;</v>
      </c>
    </row>
    <row r="4682" spans="1:9" x14ac:dyDescent="0.2">
      <c r="A4682" s="997">
        <f t="shared" si="73"/>
        <v>4681</v>
      </c>
      <c r="B4682" s="983" t="s">
        <v>2714</v>
      </c>
      <c r="C4682" s="999"/>
      <c r="G4682" s="983" t="s">
        <v>1109</v>
      </c>
    </row>
    <row r="4683" spans="1:9" x14ac:dyDescent="0.2">
      <c r="A4683" s="997">
        <f t="shared" si="73"/>
        <v>4682</v>
      </c>
      <c r="B4683" s="983" t="s">
        <v>2714</v>
      </c>
      <c r="C4683" s="999"/>
      <c r="G4683" s="983" t="s">
        <v>1106</v>
      </c>
    </row>
    <row r="4684" spans="1:9" x14ac:dyDescent="0.2">
      <c r="A4684" s="997">
        <f t="shared" si="73"/>
        <v>4683</v>
      </c>
      <c r="B4684" s="983" t="s">
        <v>2714</v>
      </c>
      <c r="C4684" s="1000"/>
      <c r="H4684" s="983" t="s">
        <v>1107</v>
      </c>
    </row>
    <row r="4685" spans="1:9" x14ac:dyDescent="0.2">
      <c r="A4685" s="997">
        <f t="shared" si="73"/>
        <v>4684</v>
      </c>
      <c r="B4685" s="983" t="s">
        <v>2714</v>
      </c>
      <c r="C4685" s="1001"/>
      <c r="I4685" s="983" t="s">
        <v>1854</v>
      </c>
    </row>
    <row r="4686" spans="1:9" x14ac:dyDescent="0.2">
      <c r="A4686" s="997">
        <f t="shared" si="73"/>
        <v>4685</v>
      </c>
      <c r="B4686" s="983" t="s">
        <v>2714</v>
      </c>
      <c r="C4686" s="1000"/>
      <c r="H4686" s="983" t="s">
        <v>1108</v>
      </c>
    </row>
    <row r="4687" spans="1:9" x14ac:dyDescent="0.2">
      <c r="A4687" s="997">
        <f t="shared" si="73"/>
        <v>4686</v>
      </c>
      <c r="B4687" s="983" t="s">
        <v>2714</v>
      </c>
      <c r="C4687" s="1000"/>
      <c r="H4687" s="983" t="str">
        <f>CONCATENATE("&lt;valeur&gt;",Cellule_1342,"&lt;/valeur&gt;")</f>
        <v>&lt;valeur&gt;5353,3&lt;/valeur&gt;</v>
      </c>
    </row>
    <row r="4688" spans="1:9" x14ac:dyDescent="0.2">
      <c r="A4688" s="997">
        <f t="shared" si="73"/>
        <v>4687</v>
      </c>
      <c r="B4688" s="983" t="s">
        <v>2714</v>
      </c>
      <c r="C4688" s="999"/>
      <c r="G4688" s="983" t="s">
        <v>1109</v>
      </c>
    </row>
    <row r="4689" spans="1:9" x14ac:dyDescent="0.2">
      <c r="A4689" s="997">
        <f t="shared" si="73"/>
        <v>4688</v>
      </c>
      <c r="B4689" s="983" t="s">
        <v>2714</v>
      </c>
      <c r="C4689" s="999"/>
      <c r="G4689" s="983" t="s">
        <v>1106</v>
      </c>
    </row>
    <row r="4690" spans="1:9" x14ac:dyDescent="0.2">
      <c r="A4690" s="997">
        <f t="shared" si="73"/>
        <v>4689</v>
      </c>
      <c r="B4690" s="983" t="s">
        <v>2714</v>
      </c>
      <c r="C4690" s="1000"/>
      <c r="H4690" s="983" t="s">
        <v>1107</v>
      </c>
    </row>
    <row r="4691" spans="1:9" x14ac:dyDescent="0.2">
      <c r="A4691" s="997">
        <f t="shared" si="73"/>
        <v>4690</v>
      </c>
      <c r="B4691" s="983" t="s">
        <v>2714</v>
      </c>
      <c r="C4691" s="1001"/>
      <c r="I4691" s="983" t="s">
        <v>1855</v>
      </c>
    </row>
    <row r="4692" spans="1:9" x14ac:dyDescent="0.2">
      <c r="A4692" s="997">
        <f t="shared" si="73"/>
        <v>4691</v>
      </c>
      <c r="B4692" s="983" t="s">
        <v>2714</v>
      </c>
      <c r="C4692" s="1000"/>
      <c r="H4692" s="983" t="s">
        <v>1108</v>
      </c>
    </row>
    <row r="4693" spans="1:9" x14ac:dyDescent="0.2">
      <c r="A4693" s="997">
        <f t="shared" si="73"/>
        <v>4692</v>
      </c>
      <c r="B4693" s="983" t="s">
        <v>2714</v>
      </c>
      <c r="C4693" s="1000"/>
      <c r="H4693" s="983" t="str">
        <f>CONCATENATE("&lt;valeur&gt;",Cellule_1343,"&lt;/valeur&gt;")</f>
        <v>&lt;valeur&gt;-5353,3&lt;/valeur&gt;</v>
      </c>
    </row>
    <row r="4694" spans="1:9" x14ac:dyDescent="0.2">
      <c r="A4694" s="997">
        <f t="shared" si="73"/>
        <v>4693</v>
      </c>
      <c r="B4694" s="983" t="s">
        <v>2714</v>
      </c>
      <c r="C4694" s="999"/>
      <c r="G4694" s="983" t="s">
        <v>1109</v>
      </c>
    </row>
    <row r="4695" spans="1:9" x14ac:dyDescent="0.2">
      <c r="A4695" s="997">
        <f t="shared" si="73"/>
        <v>4694</v>
      </c>
      <c r="B4695" s="983" t="s">
        <v>2714</v>
      </c>
      <c r="C4695" s="999"/>
      <c r="G4695" s="983" t="s">
        <v>1106</v>
      </c>
    </row>
    <row r="4696" spans="1:9" x14ac:dyDescent="0.2">
      <c r="A4696" s="997">
        <f t="shared" si="73"/>
        <v>4695</v>
      </c>
      <c r="B4696" s="983" t="s">
        <v>2714</v>
      </c>
      <c r="C4696" s="1000"/>
      <c r="H4696" s="983" t="s">
        <v>1107</v>
      </c>
    </row>
    <row r="4697" spans="1:9" x14ac:dyDescent="0.2">
      <c r="A4697" s="997">
        <f t="shared" si="73"/>
        <v>4696</v>
      </c>
      <c r="B4697" s="983" t="s">
        <v>2714</v>
      </c>
      <c r="C4697" s="1001"/>
      <c r="I4697" s="983" t="s">
        <v>1856</v>
      </c>
    </row>
    <row r="4698" spans="1:9" x14ac:dyDescent="0.2">
      <c r="A4698" s="997">
        <f t="shared" si="73"/>
        <v>4697</v>
      </c>
      <c r="B4698" s="983" t="s">
        <v>2714</v>
      </c>
      <c r="C4698" s="1000"/>
      <c r="H4698" s="983" t="s">
        <v>1108</v>
      </c>
    </row>
    <row r="4699" spans="1:9" x14ac:dyDescent="0.2">
      <c r="A4699" s="997">
        <f t="shared" si="73"/>
        <v>4698</v>
      </c>
      <c r="B4699" s="983" t="s">
        <v>2714</v>
      </c>
      <c r="C4699" s="1000"/>
      <c r="H4699" s="983" t="str">
        <f>CONCATENATE("&lt;valeur&gt;",Cellule_1344,"&lt;/valeur&gt;")</f>
        <v>&lt;valeur&gt;0&lt;/valeur&gt;</v>
      </c>
    </row>
    <row r="4700" spans="1:9" x14ac:dyDescent="0.2">
      <c r="A4700" s="997">
        <f t="shared" si="73"/>
        <v>4699</v>
      </c>
      <c r="B4700" s="983" t="s">
        <v>2714</v>
      </c>
      <c r="C4700" s="999"/>
      <c r="G4700" s="983" t="s">
        <v>1109</v>
      </c>
    </row>
    <row r="4701" spans="1:9" x14ac:dyDescent="0.2">
      <c r="A4701" s="997">
        <f t="shared" si="73"/>
        <v>4700</v>
      </c>
      <c r="B4701" s="983" t="s">
        <v>2714</v>
      </c>
      <c r="C4701" s="999"/>
      <c r="G4701" s="983" t="s">
        <v>1106</v>
      </c>
    </row>
    <row r="4702" spans="1:9" x14ac:dyDescent="0.2">
      <c r="A4702" s="997">
        <f t="shared" si="73"/>
        <v>4701</v>
      </c>
      <c r="B4702" s="983" t="s">
        <v>2714</v>
      </c>
      <c r="C4702" s="1000"/>
      <c r="H4702" s="983" t="s">
        <v>1107</v>
      </c>
    </row>
    <row r="4703" spans="1:9" x14ac:dyDescent="0.2">
      <c r="A4703" s="997">
        <f t="shared" si="73"/>
        <v>4702</v>
      </c>
      <c r="B4703" s="983" t="s">
        <v>2714</v>
      </c>
      <c r="C4703" s="1001"/>
      <c r="I4703" s="983" t="s">
        <v>1857</v>
      </c>
    </row>
    <row r="4704" spans="1:9" x14ac:dyDescent="0.2">
      <c r="A4704" s="997">
        <f t="shared" si="73"/>
        <v>4703</v>
      </c>
      <c r="B4704" s="983" t="s">
        <v>2714</v>
      </c>
      <c r="C4704" s="1000"/>
      <c r="H4704" s="983" t="s">
        <v>1108</v>
      </c>
    </row>
    <row r="4705" spans="1:9" x14ac:dyDescent="0.2">
      <c r="A4705" s="997">
        <f t="shared" si="73"/>
        <v>4704</v>
      </c>
      <c r="B4705" s="983" t="s">
        <v>2714</v>
      </c>
      <c r="C4705" s="1000"/>
      <c r="H4705" s="983" t="str">
        <f>CONCATENATE("&lt;valeur&gt;",Cellule_1345,"&lt;/valeur&gt;")</f>
        <v>&lt;valeur&gt;0&lt;/valeur&gt;</v>
      </c>
    </row>
    <row r="4706" spans="1:9" x14ac:dyDescent="0.2">
      <c r="A4706" s="997">
        <f t="shared" si="73"/>
        <v>4705</v>
      </c>
      <c r="B4706" s="983" t="s">
        <v>2714</v>
      </c>
      <c r="C4706" s="999"/>
      <c r="G4706" s="983" t="s">
        <v>1109</v>
      </c>
    </row>
    <row r="4707" spans="1:9" x14ac:dyDescent="0.2">
      <c r="A4707" s="997">
        <f t="shared" si="73"/>
        <v>4706</v>
      </c>
      <c r="B4707" s="983" t="s">
        <v>2714</v>
      </c>
      <c r="C4707" s="999"/>
      <c r="G4707" s="983" t="s">
        <v>1106</v>
      </c>
    </row>
    <row r="4708" spans="1:9" x14ac:dyDescent="0.2">
      <c r="A4708" s="997">
        <f t="shared" si="73"/>
        <v>4707</v>
      </c>
      <c r="B4708" s="983" t="s">
        <v>2714</v>
      </c>
      <c r="C4708" s="1000"/>
      <c r="H4708" s="983" t="s">
        <v>1107</v>
      </c>
    </row>
    <row r="4709" spans="1:9" x14ac:dyDescent="0.2">
      <c r="A4709" s="997">
        <f t="shared" si="73"/>
        <v>4708</v>
      </c>
      <c r="B4709" s="983" t="s">
        <v>2714</v>
      </c>
      <c r="C4709" s="1001"/>
      <c r="I4709" s="983" t="s">
        <v>1858</v>
      </c>
    </row>
    <row r="4710" spans="1:9" x14ac:dyDescent="0.2">
      <c r="A4710" s="997">
        <f t="shared" si="73"/>
        <v>4709</v>
      </c>
      <c r="B4710" s="983" t="s">
        <v>2714</v>
      </c>
      <c r="C4710" s="1000"/>
      <c r="H4710" s="983" t="s">
        <v>1108</v>
      </c>
    </row>
    <row r="4711" spans="1:9" x14ac:dyDescent="0.2">
      <c r="A4711" s="997">
        <f t="shared" si="73"/>
        <v>4710</v>
      </c>
      <c r="B4711" s="983" t="s">
        <v>2714</v>
      </c>
      <c r="C4711" s="1000"/>
      <c r="H4711" s="983" t="str">
        <f>CONCATENATE("&lt;valeur&gt;",Cellule_1346,"&lt;/valeur&gt;")</f>
        <v>&lt;valeur&gt;12871&lt;/valeur&gt;</v>
      </c>
    </row>
    <row r="4712" spans="1:9" x14ac:dyDescent="0.2">
      <c r="A4712" s="997">
        <f t="shared" si="73"/>
        <v>4711</v>
      </c>
      <c r="B4712" s="983" t="s">
        <v>2714</v>
      </c>
      <c r="C4712" s="999"/>
      <c r="G4712" s="983" t="s">
        <v>1109</v>
      </c>
    </row>
    <row r="4713" spans="1:9" x14ac:dyDescent="0.2">
      <c r="A4713" s="997">
        <f t="shared" si="73"/>
        <v>4712</v>
      </c>
      <c r="B4713" s="983" t="s">
        <v>2714</v>
      </c>
      <c r="C4713" s="999"/>
      <c r="G4713" s="983" t="s">
        <v>1106</v>
      </c>
    </row>
    <row r="4714" spans="1:9" x14ac:dyDescent="0.2">
      <c r="A4714" s="997">
        <f t="shared" si="73"/>
        <v>4713</v>
      </c>
      <c r="B4714" s="983" t="s">
        <v>2714</v>
      </c>
      <c r="C4714" s="1000"/>
      <c r="H4714" s="983" t="s">
        <v>1107</v>
      </c>
    </row>
    <row r="4715" spans="1:9" x14ac:dyDescent="0.2">
      <c r="A4715" s="997">
        <f t="shared" si="73"/>
        <v>4714</v>
      </c>
      <c r="B4715" s="983" t="s">
        <v>2714</v>
      </c>
      <c r="C4715" s="1001"/>
      <c r="I4715" s="983" t="s">
        <v>1859</v>
      </c>
    </row>
    <row r="4716" spans="1:9" x14ac:dyDescent="0.2">
      <c r="A4716" s="997">
        <f t="shared" si="73"/>
        <v>4715</v>
      </c>
      <c r="B4716" s="983" t="s">
        <v>2714</v>
      </c>
      <c r="C4716" s="1000"/>
      <c r="H4716" s="983" t="s">
        <v>1108</v>
      </c>
    </row>
    <row r="4717" spans="1:9" x14ac:dyDescent="0.2">
      <c r="A4717" s="997">
        <f t="shared" si="73"/>
        <v>4716</v>
      </c>
      <c r="B4717" s="983" t="s">
        <v>2714</v>
      </c>
      <c r="C4717" s="1000"/>
      <c r="H4717" s="983" t="str">
        <f>CONCATENATE("&lt;valeur&gt;",Cellule_1349,"&lt;/valeur&gt;")</f>
        <v>&lt;valeur&gt;0&lt;/valeur&gt;</v>
      </c>
    </row>
    <row r="4718" spans="1:9" x14ac:dyDescent="0.2">
      <c r="A4718" s="997">
        <f t="shared" si="73"/>
        <v>4717</v>
      </c>
      <c r="B4718" s="983" t="s">
        <v>2714</v>
      </c>
      <c r="C4718" s="999"/>
      <c r="G4718" s="983" t="s">
        <v>1109</v>
      </c>
    </row>
    <row r="4719" spans="1:9" x14ac:dyDescent="0.2">
      <c r="A4719" s="997">
        <f t="shared" si="73"/>
        <v>4718</v>
      </c>
      <c r="B4719" s="983" t="s">
        <v>2714</v>
      </c>
      <c r="C4719" s="999"/>
      <c r="G4719" s="983" t="s">
        <v>1106</v>
      </c>
    </row>
    <row r="4720" spans="1:9" x14ac:dyDescent="0.2">
      <c r="A4720" s="997">
        <f t="shared" si="73"/>
        <v>4719</v>
      </c>
      <c r="B4720" s="983" t="s">
        <v>2714</v>
      </c>
      <c r="C4720" s="1000"/>
      <c r="H4720" s="983" t="s">
        <v>1107</v>
      </c>
    </row>
    <row r="4721" spans="1:9" x14ac:dyDescent="0.2">
      <c r="A4721" s="997">
        <f t="shared" si="73"/>
        <v>4720</v>
      </c>
      <c r="B4721" s="983" t="s">
        <v>2714</v>
      </c>
      <c r="C4721" s="1001"/>
      <c r="I4721" s="983" t="s">
        <v>1860</v>
      </c>
    </row>
    <row r="4722" spans="1:9" x14ac:dyDescent="0.2">
      <c r="A4722" s="997">
        <f t="shared" si="73"/>
        <v>4721</v>
      </c>
      <c r="B4722" s="983" t="s">
        <v>2714</v>
      </c>
      <c r="C4722" s="1000"/>
      <c r="H4722" s="983" t="s">
        <v>1108</v>
      </c>
    </row>
    <row r="4723" spans="1:9" x14ac:dyDescent="0.2">
      <c r="A4723" s="997">
        <f t="shared" si="73"/>
        <v>4722</v>
      </c>
      <c r="B4723" s="983" t="s">
        <v>2714</v>
      </c>
      <c r="C4723" s="1000"/>
      <c r="H4723" s="983" t="str">
        <f>CONCATENATE("&lt;valeur&gt;",Cellule_1350,"&lt;/valeur&gt;")</f>
        <v>&lt;valeur&gt;0&lt;/valeur&gt;</v>
      </c>
    </row>
    <row r="4724" spans="1:9" x14ac:dyDescent="0.2">
      <c r="A4724" s="997">
        <f t="shared" si="73"/>
        <v>4723</v>
      </c>
      <c r="B4724" s="983" t="s">
        <v>2714</v>
      </c>
      <c r="C4724" s="999"/>
      <c r="G4724" s="983" t="s">
        <v>1109</v>
      </c>
    </row>
    <row r="4725" spans="1:9" x14ac:dyDescent="0.2">
      <c r="A4725" s="997">
        <f t="shared" si="73"/>
        <v>4724</v>
      </c>
      <c r="B4725" s="983" t="s">
        <v>2714</v>
      </c>
      <c r="C4725" s="999"/>
      <c r="G4725" s="983" t="s">
        <v>1106</v>
      </c>
    </row>
    <row r="4726" spans="1:9" x14ac:dyDescent="0.2">
      <c r="A4726" s="997">
        <f t="shared" si="73"/>
        <v>4725</v>
      </c>
      <c r="B4726" s="983" t="s">
        <v>2714</v>
      </c>
      <c r="C4726" s="1000"/>
      <c r="H4726" s="983" t="s">
        <v>1107</v>
      </c>
    </row>
    <row r="4727" spans="1:9" x14ac:dyDescent="0.2">
      <c r="A4727" s="997">
        <f t="shared" si="73"/>
        <v>4726</v>
      </c>
      <c r="B4727" s="983" t="s">
        <v>2714</v>
      </c>
      <c r="C4727" s="1001"/>
      <c r="I4727" s="983" t="s">
        <v>1861</v>
      </c>
    </row>
    <row r="4728" spans="1:9" x14ac:dyDescent="0.2">
      <c r="A4728" s="997">
        <f t="shared" si="73"/>
        <v>4727</v>
      </c>
      <c r="B4728" s="983" t="s">
        <v>2714</v>
      </c>
      <c r="C4728" s="1000"/>
      <c r="H4728" s="983" t="s">
        <v>1108</v>
      </c>
    </row>
    <row r="4729" spans="1:9" x14ac:dyDescent="0.2">
      <c r="A4729" s="997">
        <f t="shared" si="73"/>
        <v>4728</v>
      </c>
      <c r="B4729" s="983" t="s">
        <v>2714</v>
      </c>
      <c r="C4729" s="1000"/>
      <c r="H4729" s="983" t="str">
        <f>CONCATENATE("&lt;valeur&gt;",Cellule_1351,"&lt;/valeur&gt;")</f>
        <v>&lt;valeur&gt;694,37&lt;/valeur&gt;</v>
      </c>
    </row>
    <row r="4730" spans="1:9" x14ac:dyDescent="0.2">
      <c r="A4730" s="997">
        <f t="shared" si="73"/>
        <v>4729</v>
      </c>
      <c r="B4730" s="983" t="s">
        <v>2714</v>
      </c>
      <c r="C4730" s="999"/>
      <c r="G4730" s="983" t="s">
        <v>1109</v>
      </c>
    </row>
    <row r="4731" spans="1:9" x14ac:dyDescent="0.2">
      <c r="A4731" s="997">
        <f t="shared" si="73"/>
        <v>4730</v>
      </c>
      <c r="B4731" s="983" t="s">
        <v>2714</v>
      </c>
      <c r="C4731" s="999"/>
      <c r="G4731" s="983" t="s">
        <v>1106</v>
      </c>
    </row>
    <row r="4732" spans="1:9" x14ac:dyDescent="0.2">
      <c r="A4732" s="997">
        <f t="shared" si="73"/>
        <v>4731</v>
      </c>
      <c r="B4732" s="983" t="s">
        <v>2714</v>
      </c>
      <c r="C4732" s="1000"/>
      <c r="H4732" s="983" t="s">
        <v>1107</v>
      </c>
    </row>
    <row r="4733" spans="1:9" x14ac:dyDescent="0.2">
      <c r="A4733" s="997">
        <f t="shared" si="73"/>
        <v>4732</v>
      </c>
      <c r="B4733" s="983" t="s">
        <v>2714</v>
      </c>
      <c r="C4733" s="1001"/>
      <c r="I4733" s="983" t="s">
        <v>1862</v>
      </c>
    </row>
    <row r="4734" spans="1:9" x14ac:dyDescent="0.2">
      <c r="A4734" s="997">
        <f t="shared" si="73"/>
        <v>4733</v>
      </c>
      <c r="B4734" s="983" t="s">
        <v>2714</v>
      </c>
      <c r="C4734" s="1000"/>
      <c r="H4734" s="983" t="s">
        <v>1108</v>
      </c>
    </row>
    <row r="4735" spans="1:9" x14ac:dyDescent="0.2">
      <c r="A4735" s="997">
        <f t="shared" si="73"/>
        <v>4734</v>
      </c>
      <c r="B4735" s="983" t="s">
        <v>2714</v>
      </c>
      <c r="C4735" s="1000"/>
      <c r="H4735" s="983" t="str">
        <f>CONCATENATE("&lt;valeur&gt;",Cellule_1352,"&lt;/valeur&gt;")</f>
        <v>&lt;valeur&gt;-18918,67&lt;/valeur&gt;</v>
      </c>
    </row>
    <row r="4736" spans="1:9" x14ac:dyDescent="0.2">
      <c r="A4736" s="997">
        <f t="shared" si="73"/>
        <v>4735</v>
      </c>
      <c r="B4736" s="983" t="s">
        <v>2714</v>
      </c>
      <c r="C4736" s="999"/>
      <c r="G4736" s="983" t="s">
        <v>1109</v>
      </c>
    </row>
    <row r="4737" spans="1:9" x14ac:dyDescent="0.2">
      <c r="A4737" s="997">
        <f t="shared" si="73"/>
        <v>4736</v>
      </c>
      <c r="B4737" s="983" t="s">
        <v>2714</v>
      </c>
      <c r="C4737" s="999"/>
      <c r="G4737" s="983" t="s">
        <v>1106</v>
      </c>
    </row>
    <row r="4738" spans="1:9" x14ac:dyDescent="0.2">
      <c r="A4738" s="997">
        <f t="shared" si="73"/>
        <v>4737</v>
      </c>
      <c r="B4738" s="983" t="s">
        <v>2714</v>
      </c>
      <c r="C4738" s="1000"/>
      <c r="H4738" s="983" t="s">
        <v>1107</v>
      </c>
    </row>
    <row r="4739" spans="1:9" x14ac:dyDescent="0.2">
      <c r="A4739" s="997">
        <f t="shared" si="73"/>
        <v>4738</v>
      </c>
      <c r="B4739" s="983" t="s">
        <v>2714</v>
      </c>
      <c r="C4739" s="1001"/>
      <c r="I4739" s="983" t="s">
        <v>1863</v>
      </c>
    </row>
    <row r="4740" spans="1:9" x14ac:dyDescent="0.2">
      <c r="A4740" s="997">
        <f t="shared" ref="A4740:A4803" si="74">+A4739+1</f>
        <v>4739</v>
      </c>
      <c r="B4740" s="983" t="s">
        <v>2714</v>
      </c>
      <c r="C4740" s="1000"/>
      <c r="H4740" s="983" t="s">
        <v>1108</v>
      </c>
    </row>
    <row r="4741" spans="1:9" x14ac:dyDescent="0.2">
      <c r="A4741" s="997">
        <f t="shared" si="74"/>
        <v>4740</v>
      </c>
      <c r="B4741" s="983" t="s">
        <v>2714</v>
      </c>
      <c r="C4741" s="1000"/>
      <c r="H4741" s="983" t="str">
        <f>CONCATENATE("&lt;valeur&gt;",Cellule_1353,"&lt;/valeur&gt;")</f>
        <v>&lt;valeur&gt;0&lt;/valeur&gt;</v>
      </c>
    </row>
    <row r="4742" spans="1:9" x14ac:dyDescent="0.2">
      <c r="A4742" s="997">
        <f t="shared" si="74"/>
        <v>4741</v>
      </c>
      <c r="B4742" s="983" t="s">
        <v>2714</v>
      </c>
      <c r="C4742" s="999"/>
      <c r="G4742" s="983" t="s">
        <v>1109</v>
      </c>
    </row>
    <row r="4743" spans="1:9" x14ac:dyDescent="0.2">
      <c r="A4743" s="997">
        <f t="shared" si="74"/>
        <v>4742</v>
      </c>
      <c r="B4743" s="983" t="s">
        <v>2714</v>
      </c>
      <c r="C4743" s="999"/>
      <c r="G4743" s="983" t="s">
        <v>1106</v>
      </c>
    </row>
    <row r="4744" spans="1:9" x14ac:dyDescent="0.2">
      <c r="A4744" s="997">
        <f t="shared" si="74"/>
        <v>4743</v>
      </c>
      <c r="B4744" s="983" t="s">
        <v>2714</v>
      </c>
      <c r="C4744" s="1000"/>
      <c r="H4744" s="983" t="s">
        <v>1107</v>
      </c>
    </row>
    <row r="4745" spans="1:9" x14ac:dyDescent="0.2">
      <c r="A4745" s="997">
        <f t="shared" si="74"/>
        <v>4744</v>
      </c>
      <c r="B4745" s="983" t="s">
        <v>2714</v>
      </c>
      <c r="C4745" s="1001"/>
      <c r="I4745" s="983" t="s">
        <v>1864</v>
      </c>
    </row>
    <row r="4746" spans="1:9" x14ac:dyDescent="0.2">
      <c r="A4746" s="997">
        <f t="shared" si="74"/>
        <v>4745</v>
      </c>
      <c r="B4746" s="983" t="s">
        <v>2714</v>
      </c>
      <c r="C4746" s="1000"/>
      <c r="H4746" s="983" t="s">
        <v>1108</v>
      </c>
    </row>
    <row r="4747" spans="1:9" x14ac:dyDescent="0.2">
      <c r="A4747" s="997">
        <f t="shared" si="74"/>
        <v>4746</v>
      </c>
      <c r="B4747" s="983" t="s">
        <v>2714</v>
      </c>
      <c r="C4747" s="1000"/>
      <c r="H4747" s="983" t="str">
        <f>CONCATENATE("&lt;valeur&gt;",Cellule_1354,"&lt;/valeur&gt;")</f>
        <v>&lt;valeur&gt;-18918,67&lt;/valeur&gt;</v>
      </c>
    </row>
    <row r="4748" spans="1:9" x14ac:dyDescent="0.2">
      <c r="A4748" s="997">
        <f t="shared" si="74"/>
        <v>4747</v>
      </c>
      <c r="B4748" s="983" t="s">
        <v>2714</v>
      </c>
      <c r="C4748" s="999"/>
      <c r="G4748" s="983" t="s">
        <v>1109</v>
      </c>
    </row>
    <row r="4749" spans="1:9" x14ac:dyDescent="0.2">
      <c r="A4749" s="997">
        <f t="shared" si="74"/>
        <v>4748</v>
      </c>
      <c r="B4749" s="983" t="s">
        <v>2714</v>
      </c>
      <c r="C4749" s="999"/>
      <c r="G4749" s="983" t="s">
        <v>1106</v>
      </c>
    </row>
    <row r="4750" spans="1:9" x14ac:dyDescent="0.2">
      <c r="A4750" s="997">
        <f t="shared" si="74"/>
        <v>4749</v>
      </c>
      <c r="B4750" s="983" t="s">
        <v>2714</v>
      </c>
      <c r="C4750" s="1000"/>
      <c r="H4750" s="983" t="s">
        <v>1107</v>
      </c>
    </row>
    <row r="4751" spans="1:9" x14ac:dyDescent="0.2">
      <c r="A4751" s="997">
        <f t="shared" si="74"/>
        <v>4750</v>
      </c>
      <c r="B4751" s="983" t="s">
        <v>2714</v>
      </c>
      <c r="C4751" s="1001"/>
      <c r="I4751" s="983" t="s">
        <v>1865</v>
      </c>
    </row>
    <row r="4752" spans="1:9" x14ac:dyDescent="0.2">
      <c r="A4752" s="997">
        <f t="shared" si="74"/>
        <v>4751</v>
      </c>
      <c r="B4752" s="983" t="s">
        <v>2714</v>
      </c>
      <c r="C4752" s="1000"/>
      <c r="H4752" s="983" t="s">
        <v>1108</v>
      </c>
    </row>
    <row r="4753" spans="1:9" x14ac:dyDescent="0.2">
      <c r="A4753" s="997">
        <f t="shared" si="74"/>
        <v>4752</v>
      </c>
      <c r="B4753" s="983" t="s">
        <v>2714</v>
      </c>
      <c r="C4753" s="1000"/>
      <c r="H4753" s="983" t="str">
        <f>CONCATENATE("&lt;valeur&gt;",Cellule_1355,"&lt;/valeur&gt;")</f>
        <v>&lt;valeur&gt;0&lt;/valeur&gt;</v>
      </c>
    </row>
    <row r="4754" spans="1:9" x14ac:dyDescent="0.2">
      <c r="A4754" s="997">
        <f t="shared" si="74"/>
        <v>4753</v>
      </c>
      <c r="B4754" s="983" t="s">
        <v>2714</v>
      </c>
      <c r="C4754" s="999"/>
      <c r="G4754" s="983" t="s">
        <v>1109</v>
      </c>
    </row>
    <row r="4755" spans="1:9" x14ac:dyDescent="0.2">
      <c r="A4755" s="997">
        <f t="shared" si="74"/>
        <v>4754</v>
      </c>
      <c r="B4755" s="983" t="s">
        <v>2714</v>
      </c>
      <c r="C4755" s="999"/>
      <c r="G4755" s="983" t="s">
        <v>1106</v>
      </c>
    </row>
    <row r="4756" spans="1:9" x14ac:dyDescent="0.2">
      <c r="A4756" s="997">
        <f t="shared" si="74"/>
        <v>4755</v>
      </c>
      <c r="B4756" s="983" t="s">
        <v>2714</v>
      </c>
      <c r="C4756" s="1000"/>
      <c r="H4756" s="983" t="s">
        <v>1107</v>
      </c>
    </row>
    <row r="4757" spans="1:9" x14ac:dyDescent="0.2">
      <c r="A4757" s="997">
        <f t="shared" si="74"/>
        <v>4756</v>
      </c>
      <c r="B4757" s="983" t="s">
        <v>2714</v>
      </c>
      <c r="C4757" s="1001"/>
      <c r="I4757" s="983" t="s">
        <v>1866</v>
      </c>
    </row>
    <row r="4758" spans="1:9" x14ac:dyDescent="0.2">
      <c r="A4758" s="997">
        <f t="shared" si="74"/>
        <v>4757</v>
      </c>
      <c r="B4758" s="983" t="s">
        <v>2714</v>
      </c>
      <c r="C4758" s="1000"/>
      <c r="H4758" s="983" t="s">
        <v>1108</v>
      </c>
    </row>
    <row r="4759" spans="1:9" x14ac:dyDescent="0.2">
      <c r="A4759" s="997">
        <f t="shared" si="74"/>
        <v>4758</v>
      </c>
      <c r="B4759" s="983" t="s">
        <v>2714</v>
      </c>
      <c r="C4759" s="1000"/>
      <c r="H4759" s="983" t="str">
        <f>CONCATENATE("&lt;valeur&gt;",Cellule_1356,"&lt;/valeur&gt;")</f>
        <v>&lt;valeur&gt;0&lt;/valeur&gt;</v>
      </c>
    </row>
    <row r="4760" spans="1:9" x14ac:dyDescent="0.2">
      <c r="A4760" s="997">
        <f t="shared" si="74"/>
        <v>4759</v>
      </c>
      <c r="B4760" s="983" t="s">
        <v>2714</v>
      </c>
      <c r="C4760" s="999"/>
      <c r="G4760" s="983" t="s">
        <v>1109</v>
      </c>
    </row>
    <row r="4761" spans="1:9" x14ac:dyDescent="0.2">
      <c r="A4761" s="997">
        <f t="shared" si="74"/>
        <v>4760</v>
      </c>
      <c r="B4761" s="983" t="s">
        <v>2714</v>
      </c>
      <c r="C4761" s="999"/>
      <c r="G4761" s="983" t="s">
        <v>1106</v>
      </c>
    </row>
    <row r="4762" spans="1:9" x14ac:dyDescent="0.2">
      <c r="A4762" s="997">
        <f t="shared" si="74"/>
        <v>4761</v>
      </c>
      <c r="B4762" s="983" t="s">
        <v>2714</v>
      </c>
      <c r="C4762" s="1000"/>
      <c r="H4762" s="983" t="s">
        <v>1107</v>
      </c>
    </row>
    <row r="4763" spans="1:9" x14ac:dyDescent="0.2">
      <c r="A4763" s="997">
        <f t="shared" si="74"/>
        <v>4762</v>
      </c>
      <c r="B4763" s="983" t="s">
        <v>2714</v>
      </c>
      <c r="C4763" s="1001"/>
      <c r="I4763" s="983" t="s">
        <v>1867</v>
      </c>
    </row>
    <row r="4764" spans="1:9" x14ac:dyDescent="0.2">
      <c r="A4764" s="997">
        <f t="shared" si="74"/>
        <v>4763</v>
      </c>
      <c r="B4764" s="983" t="s">
        <v>2714</v>
      </c>
      <c r="C4764" s="1000"/>
      <c r="H4764" s="983" t="s">
        <v>1108</v>
      </c>
    </row>
    <row r="4765" spans="1:9" x14ac:dyDescent="0.2">
      <c r="A4765" s="997">
        <f t="shared" si="74"/>
        <v>4764</v>
      </c>
      <c r="B4765" s="983" t="s">
        <v>2714</v>
      </c>
      <c r="C4765" s="1000"/>
      <c r="H4765" s="983" t="str">
        <f>CONCATENATE("&lt;valeur&gt;",Cellule_1357,"&lt;/valeur&gt;")</f>
        <v>&lt;valeur&gt;-18918,67&lt;/valeur&gt;</v>
      </c>
    </row>
    <row r="4766" spans="1:9" x14ac:dyDescent="0.2">
      <c r="A4766" s="997">
        <f t="shared" si="74"/>
        <v>4765</v>
      </c>
      <c r="B4766" s="983" t="s">
        <v>2714</v>
      </c>
      <c r="C4766" s="999"/>
      <c r="G4766" s="983" t="s">
        <v>1109</v>
      </c>
    </row>
    <row r="4767" spans="1:9" x14ac:dyDescent="0.2">
      <c r="A4767" s="997">
        <f t="shared" si="74"/>
        <v>4766</v>
      </c>
      <c r="B4767" s="983" t="s">
        <v>2714</v>
      </c>
      <c r="C4767" s="999"/>
      <c r="G4767" s="983" t="s">
        <v>1106</v>
      </c>
    </row>
    <row r="4768" spans="1:9" x14ac:dyDescent="0.2">
      <c r="A4768" s="997">
        <f t="shared" si="74"/>
        <v>4767</v>
      </c>
      <c r="B4768" s="983" t="s">
        <v>2714</v>
      </c>
      <c r="C4768" s="1000"/>
      <c r="H4768" s="983" t="s">
        <v>1107</v>
      </c>
    </row>
    <row r="4769" spans="1:9" x14ac:dyDescent="0.2">
      <c r="A4769" s="997">
        <f t="shared" si="74"/>
        <v>4768</v>
      </c>
      <c r="B4769" s="983" t="s">
        <v>2714</v>
      </c>
      <c r="C4769" s="1001"/>
      <c r="I4769" s="983" t="s">
        <v>1868</v>
      </c>
    </row>
    <row r="4770" spans="1:9" x14ac:dyDescent="0.2">
      <c r="A4770" s="997">
        <f t="shared" si="74"/>
        <v>4769</v>
      </c>
      <c r="B4770" s="983" t="s">
        <v>2714</v>
      </c>
      <c r="C4770" s="1000"/>
      <c r="H4770" s="983" t="s">
        <v>1108</v>
      </c>
    </row>
    <row r="4771" spans="1:9" x14ac:dyDescent="0.2">
      <c r="A4771" s="997">
        <f t="shared" si="74"/>
        <v>4770</v>
      </c>
      <c r="B4771" s="983" t="s">
        <v>2714</v>
      </c>
      <c r="C4771" s="1000"/>
      <c r="H4771" s="983" t="str">
        <f>CONCATENATE("&lt;valeur&gt;",Cellule_4064,"&lt;/valeur&gt;")</f>
        <v>&lt;valeur&gt;-18224,3&lt;/valeur&gt;</v>
      </c>
    </row>
    <row r="4772" spans="1:9" x14ac:dyDescent="0.2">
      <c r="A4772" s="997">
        <f t="shared" si="74"/>
        <v>4771</v>
      </c>
      <c r="B4772" s="983" t="s">
        <v>2714</v>
      </c>
      <c r="C4772" s="999"/>
      <c r="G4772" s="983" t="s">
        <v>1109</v>
      </c>
    </row>
    <row r="4773" spans="1:9" x14ac:dyDescent="0.2">
      <c r="A4773" s="997">
        <f t="shared" si="74"/>
        <v>4772</v>
      </c>
      <c r="B4773" s="983" t="s">
        <v>2714</v>
      </c>
      <c r="C4773" s="999"/>
      <c r="G4773" s="983" t="s">
        <v>1106</v>
      </c>
    </row>
    <row r="4774" spans="1:9" x14ac:dyDescent="0.2">
      <c r="A4774" s="997">
        <f t="shared" si="74"/>
        <v>4773</v>
      </c>
      <c r="B4774" s="983" t="s">
        <v>2714</v>
      </c>
      <c r="C4774" s="1000"/>
      <c r="H4774" s="983" t="s">
        <v>1107</v>
      </c>
    </row>
    <row r="4775" spans="1:9" x14ac:dyDescent="0.2">
      <c r="A4775" s="997">
        <f t="shared" si="74"/>
        <v>4774</v>
      </c>
      <c r="B4775" s="983" t="s">
        <v>2714</v>
      </c>
      <c r="C4775" s="1001"/>
      <c r="I4775" s="983" t="s">
        <v>1869</v>
      </c>
    </row>
    <row r="4776" spans="1:9" x14ac:dyDescent="0.2">
      <c r="A4776" s="997">
        <f t="shared" si="74"/>
        <v>4775</v>
      </c>
      <c r="B4776" s="983" t="s">
        <v>2714</v>
      </c>
      <c r="C4776" s="1000"/>
      <c r="H4776" s="983" t="s">
        <v>1108</v>
      </c>
    </row>
    <row r="4777" spans="1:9" x14ac:dyDescent="0.2">
      <c r="A4777" s="997">
        <f t="shared" si="74"/>
        <v>4776</v>
      </c>
      <c r="B4777" s="983" t="s">
        <v>2714</v>
      </c>
      <c r="C4777" s="1000"/>
      <c r="H4777" s="983" t="str">
        <f>CONCATENATE("&lt;valeur&gt;",Cellule_4067,"&lt;/valeur&gt;")</f>
        <v>&lt;valeur&gt;0&lt;/valeur&gt;</v>
      </c>
    </row>
    <row r="4778" spans="1:9" x14ac:dyDescent="0.2">
      <c r="A4778" s="997">
        <f t="shared" si="74"/>
        <v>4777</v>
      </c>
      <c r="B4778" s="983" t="s">
        <v>2714</v>
      </c>
      <c r="C4778" s="999"/>
      <c r="G4778" s="983" t="s">
        <v>1109</v>
      </c>
    </row>
    <row r="4779" spans="1:9" x14ac:dyDescent="0.2">
      <c r="A4779" s="997">
        <f t="shared" si="74"/>
        <v>4778</v>
      </c>
      <c r="B4779" s="983" t="s">
        <v>2714</v>
      </c>
      <c r="C4779" s="999"/>
      <c r="G4779" s="983" t="s">
        <v>1106</v>
      </c>
    </row>
    <row r="4780" spans="1:9" x14ac:dyDescent="0.2">
      <c r="A4780" s="997">
        <f t="shared" si="74"/>
        <v>4779</v>
      </c>
      <c r="B4780" s="983" t="s">
        <v>2714</v>
      </c>
      <c r="C4780" s="1000"/>
      <c r="H4780" s="983" t="s">
        <v>1107</v>
      </c>
    </row>
    <row r="4781" spans="1:9" x14ac:dyDescent="0.2">
      <c r="A4781" s="997">
        <f t="shared" si="74"/>
        <v>4780</v>
      </c>
      <c r="B4781" s="983" t="s">
        <v>2714</v>
      </c>
      <c r="C4781" s="1001"/>
      <c r="I4781" s="983" t="s">
        <v>1870</v>
      </c>
    </row>
    <row r="4782" spans="1:9" x14ac:dyDescent="0.2">
      <c r="A4782" s="997">
        <f t="shared" si="74"/>
        <v>4781</v>
      </c>
      <c r="B4782" s="983" t="s">
        <v>2714</v>
      </c>
      <c r="C4782" s="1000"/>
      <c r="H4782" s="983" t="s">
        <v>1108</v>
      </c>
    </row>
    <row r="4783" spans="1:9" x14ac:dyDescent="0.2">
      <c r="A4783" s="997">
        <f t="shared" si="74"/>
        <v>4782</v>
      </c>
      <c r="B4783" s="983" t="s">
        <v>2714</v>
      </c>
      <c r="C4783" s="1000"/>
      <c r="H4783" s="983" t="str">
        <f>CONCATENATE("&lt;valeur&gt;",Cellule_1372,"&lt;/valeur&gt;")</f>
        <v>&lt;valeur&gt;&lt;/valeur&gt;</v>
      </c>
    </row>
    <row r="4784" spans="1:9" x14ac:dyDescent="0.2">
      <c r="A4784" s="997">
        <f t="shared" si="74"/>
        <v>4783</v>
      </c>
      <c r="B4784" s="983" t="s">
        <v>2714</v>
      </c>
      <c r="C4784" s="999"/>
      <c r="G4784" s="983" t="s">
        <v>1109</v>
      </c>
    </row>
    <row r="4785" spans="1:9" x14ac:dyDescent="0.2">
      <c r="A4785" s="997">
        <f t="shared" si="74"/>
        <v>4784</v>
      </c>
      <c r="B4785" s="983" t="s">
        <v>2714</v>
      </c>
      <c r="C4785" s="999"/>
      <c r="G4785" s="983" t="s">
        <v>1106</v>
      </c>
    </row>
    <row r="4786" spans="1:9" x14ac:dyDescent="0.2">
      <c r="A4786" s="997">
        <f t="shared" si="74"/>
        <v>4785</v>
      </c>
      <c r="B4786" s="983" t="s">
        <v>2714</v>
      </c>
      <c r="C4786" s="1000"/>
      <c r="H4786" s="983" t="s">
        <v>1107</v>
      </c>
    </row>
    <row r="4787" spans="1:9" x14ac:dyDescent="0.2">
      <c r="A4787" s="997">
        <f t="shared" si="74"/>
        <v>4786</v>
      </c>
      <c r="B4787" s="983" t="s">
        <v>2714</v>
      </c>
      <c r="C4787" s="1001"/>
      <c r="I4787" s="983" t="s">
        <v>1871</v>
      </c>
    </row>
    <row r="4788" spans="1:9" x14ac:dyDescent="0.2">
      <c r="A4788" s="997">
        <f t="shared" si="74"/>
        <v>4787</v>
      </c>
      <c r="B4788" s="983" t="s">
        <v>2714</v>
      </c>
      <c r="C4788" s="1000"/>
      <c r="H4788" s="983" t="s">
        <v>1108</v>
      </c>
    </row>
    <row r="4789" spans="1:9" x14ac:dyDescent="0.2">
      <c r="A4789" s="997">
        <f t="shared" si="74"/>
        <v>4788</v>
      </c>
      <c r="B4789" s="983" t="s">
        <v>2714</v>
      </c>
      <c r="C4789" s="1000"/>
      <c r="H4789" s="983" t="str">
        <f>CONCATENATE("&lt;valeur&gt;",Cellule_1373,"&lt;/valeur&gt;")</f>
        <v>&lt;valeur&gt;21452,44&lt;/valeur&gt;</v>
      </c>
    </row>
    <row r="4790" spans="1:9" x14ac:dyDescent="0.2">
      <c r="A4790" s="997">
        <f t="shared" si="74"/>
        <v>4789</v>
      </c>
      <c r="B4790" s="983" t="s">
        <v>2714</v>
      </c>
      <c r="C4790" s="999"/>
      <c r="G4790" s="983" t="s">
        <v>1109</v>
      </c>
    </row>
    <row r="4791" spans="1:9" x14ac:dyDescent="0.2">
      <c r="A4791" s="997">
        <f t="shared" si="74"/>
        <v>4790</v>
      </c>
      <c r="B4791" s="983" t="s">
        <v>2714</v>
      </c>
      <c r="C4791" s="999"/>
      <c r="G4791" s="983" t="s">
        <v>1106</v>
      </c>
    </row>
    <row r="4792" spans="1:9" x14ac:dyDescent="0.2">
      <c r="A4792" s="997">
        <f t="shared" si="74"/>
        <v>4791</v>
      </c>
      <c r="B4792" s="983" t="s">
        <v>2714</v>
      </c>
      <c r="C4792" s="1000"/>
      <c r="H4792" s="983" t="s">
        <v>1107</v>
      </c>
    </row>
    <row r="4793" spans="1:9" x14ac:dyDescent="0.2">
      <c r="A4793" s="997">
        <f t="shared" si="74"/>
        <v>4792</v>
      </c>
      <c r="B4793" s="983" t="s">
        <v>2714</v>
      </c>
      <c r="C4793" s="1001"/>
      <c r="I4793" s="983" t="s">
        <v>1872</v>
      </c>
    </row>
    <row r="4794" spans="1:9" x14ac:dyDescent="0.2">
      <c r="A4794" s="997">
        <f t="shared" si="74"/>
        <v>4793</v>
      </c>
      <c r="B4794" s="983" t="s">
        <v>2714</v>
      </c>
      <c r="C4794" s="1000"/>
      <c r="H4794" s="983" t="s">
        <v>1108</v>
      </c>
    </row>
    <row r="4795" spans="1:9" x14ac:dyDescent="0.2">
      <c r="A4795" s="997">
        <f t="shared" si="74"/>
        <v>4794</v>
      </c>
      <c r="B4795" s="983" t="s">
        <v>2714</v>
      </c>
      <c r="C4795" s="1000"/>
      <c r="H4795" s="983" t="str">
        <f>CONCATENATE("&lt;valeur&gt;",Cellule_1374,"&lt;/valeur&gt;")</f>
        <v>&lt;valeur&gt;0&lt;/valeur&gt;</v>
      </c>
    </row>
    <row r="4796" spans="1:9" x14ac:dyDescent="0.2">
      <c r="A4796" s="997">
        <f t="shared" si="74"/>
        <v>4795</v>
      </c>
      <c r="B4796" s="983" t="s">
        <v>2714</v>
      </c>
      <c r="C4796" s="999"/>
      <c r="G4796" s="983" t="s">
        <v>1109</v>
      </c>
    </row>
    <row r="4797" spans="1:9" x14ac:dyDescent="0.2">
      <c r="A4797" s="997">
        <f t="shared" si="74"/>
        <v>4796</v>
      </c>
      <c r="B4797" s="983" t="s">
        <v>2714</v>
      </c>
      <c r="C4797" s="999"/>
      <c r="G4797" s="983" t="s">
        <v>1106</v>
      </c>
    </row>
    <row r="4798" spans="1:9" x14ac:dyDescent="0.2">
      <c r="A4798" s="997">
        <f t="shared" si="74"/>
        <v>4797</v>
      </c>
      <c r="B4798" s="983" t="s">
        <v>2714</v>
      </c>
      <c r="C4798" s="1000"/>
      <c r="H4798" s="983" t="s">
        <v>1107</v>
      </c>
    </row>
    <row r="4799" spans="1:9" x14ac:dyDescent="0.2">
      <c r="A4799" s="997">
        <f t="shared" si="74"/>
        <v>4798</v>
      </c>
      <c r="B4799" s="983" t="s">
        <v>2714</v>
      </c>
      <c r="C4799" s="1001"/>
      <c r="I4799" s="983" t="s">
        <v>1873</v>
      </c>
    </row>
    <row r="4800" spans="1:9" x14ac:dyDescent="0.2">
      <c r="A4800" s="997">
        <f t="shared" si="74"/>
        <v>4799</v>
      </c>
      <c r="B4800" s="983" t="s">
        <v>2714</v>
      </c>
      <c r="C4800" s="1000"/>
      <c r="H4800" s="983" t="s">
        <v>1108</v>
      </c>
    </row>
    <row r="4801" spans="1:9" x14ac:dyDescent="0.2">
      <c r="A4801" s="997">
        <f t="shared" si="74"/>
        <v>4800</v>
      </c>
      <c r="B4801" s="983" t="s">
        <v>2714</v>
      </c>
      <c r="C4801" s="1000"/>
      <c r="H4801" s="983" t="str">
        <f>CONCATENATE("&lt;valeur&gt;",Cellule_1375,"&lt;/valeur&gt;")</f>
        <v>&lt;valeur&gt;172843,76&lt;/valeur&gt;</v>
      </c>
    </row>
    <row r="4802" spans="1:9" x14ac:dyDescent="0.2">
      <c r="A4802" s="997">
        <f t="shared" si="74"/>
        <v>4801</v>
      </c>
      <c r="B4802" s="983" t="s">
        <v>2714</v>
      </c>
      <c r="C4802" s="999"/>
      <c r="G4802" s="983" t="s">
        <v>1109</v>
      </c>
    </row>
    <row r="4803" spans="1:9" x14ac:dyDescent="0.2">
      <c r="A4803" s="997">
        <f t="shared" si="74"/>
        <v>4802</v>
      </c>
      <c r="B4803" s="983" t="s">
        <v>2714</v>
      </c>
      <c r="C4803" s="999"/>
      <c r="G4803" s="983" t="s">
        <v>1106</v>
      </c>
    </row>
    <row r="4804" spans="1:9" x14ac:dyDescent="0.2">
      <c r="A4804" s="997">
        <f t="shared" ref="A4804:A4867" si="75">+A4803+1</f>
        <v>4803</v>
      </c>
      <c r="B4804" s="983" t="s">
        <v>2714</v>
      </c>
      <c r="C4804" s="1000"/>
      <c r="H4804" s="983" t="s">
        <v>1107</v>
      </c>
    </row>
    <row r="4805" spans="1:9" x14ac:dyDescent="0.2">
      <c r="A4805" s="997">
        <f t="shared" si="75"/>
        <v>4804</v>
      </c>
      <c r="B4805" s="983" t="s">
        <v>2714</v>
      </c>
      <c r="C4805" s="1001"/>
      <c r="I4805" s="983" t="s">
        <v>1874</v>
      </c>
    </row>
    <row r="4806" spans="1:9" x14ac:dyDescent="0.2">
      <c r="A4806" s="997">
        <f t="shared" si="75"/>
        <v>4805</v>
      </c>
      <c r="B4806" s="983" t="s">
        <v>2714</v>
      </c>
      <c r="C4806" s="1000"/>
      <c r="H4806" s="983" t="s">
        <v>1108</v>
      </c>
    </row>
    <row r="4807" spans="1:9" x14ac:dyDescent="0.2">
      <c r="A4807" s="997">
        <f t="shared" si="75"/>
        <v>4806</v>
      </c>
      <c r="B4807" s="983" t="s">
        <v>2714</v>
      </c>
      <c r="C4807" s="1000"/>
      <c r="H4807" s="983" t="str">
        <f>CONCATENATE("&lt;valeur&gt;",Cellule_1376,"&lt;/valeur&gt;")</f>
        <v>&lt;valeur&gt;0&lt;/valeur&gt;</v>
      </c>
    </row>
    <row r="4808" spans="1:9" x14ac:dyDescent="0.2">
      <c r="A4808" s="997">
        <f t="shared" si="75"/>
        <v>4807</v>
      </c>
      <c r="B4808" s="983" t="s">
        <v>2714</v>
      </c>
      <c r="C4808" s="999"/>
      <c r="G4808" s="983" t="s">
        <v>1109</v>
      </c>
    </row>
    <row r="4809" spans="1:9" x14ac:dyDescent="0.2">
      <c r="A4809" s="997">
        <f t="shared" si="75"/>
        <v>4808</v>
      </c>
      <c r="B4809" s="983" t="s">
        <v>2714</v>
      </c>
      <c r="C4809" s="999"/>
      <c r="G4809" s="983" t="s">
        <v>1106</v>
      </c>
    </row>
    <row r="4810" spans="1:9" x14ac:dyDescent="0.2">
      <c r="A4810" s="997">
        <f t="shared" si="75"/>
        <v>4809</v>
      </c>
      <c r="B4810" s="983" t="s">
        <v>2714</v>
      </c>
      <c r="C4810" s="1000"/>
      <c r="H4810" s="983" t="s">
        <v>1107</v>
      </c>
    </row>
    <row r="4811" spans="1:9" x14ac:dyDescent="0.2">
      <c r="A4811" s="997">
        <f t="shared" si="75"/>
        <v>4810</v>
      </c>
      <c r="B4811" s="983" t="s">
        <v>2714</v>
      </c>
      <c r="C4811" s="1001"/>
      <c r="I4811" s="983" t="s">
        <v>1875</v>
      </c>
    </row>
    <row r="4812" spans="1:9" x14ac:dyDescent="0.2">
      <c r="A4812" s="997">
        <f t="shared" si="75"/>
        <v>4811</v>
      </c>
      <c r="B4812" s="983" t="s">
        <v>2714</v>
      </c>
      <c r="C4812" s="1000"/>
      <c r="H4812" s="983" t="s">
        <v>1108</v>
      </c>
    </row>
    <row r="4813" spans="1:9" x14ac:dyDescent="0.2">
      <c r="A4813" s="997">
        <f t="shared" si="75"/>
        <v>4812</v>
      </c>
      <c r="B4813" s="983" t="s">
        <v>2714</v>
      </c>
      <c r="C4813" s="1000"/>
      <c r="H4813" s="983" t="str">
        <f>CONCATENATE("&lt;valeur&gt;",Cellule_1377,"&lt;/valeur&gt;")</f>
        <v>&lt;valeur&gt;0&lt;/valeur&gt;</v>
      </c>
    </row>
    <row r="4814" spans="1:9" x14ac:dyDescent="0.2">
      <c r="A4814" s="997">
        <f t="shared" si="75"/>
        <v>4813</v>
      </c>
      <c r="B4814" s="983" t="s">
        <v>2714</v>
      </c>
      <c r="C4814" s="999"/>
      <c r="G4814" s="983" t="s">
        <v>1109</v>
      </c>
    </row>
    <row r="4815" spans="1:9" x14ac:dyDescent="0.2">
      <c r="A4815" s="997">
        <f t="shared" si="75"/>
        <v>4814</v>
      </c>
      <c r="B4815" s="983" t="s">
        <v>2714</v>
      </c>
      <c r="C4815" s="999"/>
      <c r="G4815" s="983" t="s">
        <v>1106</v>
      </c>
    </row>
    <row r="4816" spans="1:9" x14ac:dyDescent="0.2">
      <c r="A4816" s="997">
        <f t="shared" si="75"/>
        <v>4815</v>
      </c>
      <c r="B4816" s="983" t="s">
        <v>2714</v>
      </c>
      <c r="C4816" s="1000"/>
      <c r="H4816" s="983" t="s">
        <v>1107</v>
      </c>
    </row>
    <row r="4817" spans="1:9" x14ac:dyDescent="0.2">
      <c r="A4817" s="997">
        <f t="shared" si="75"/>
        <v>4816</v>
      </c>
      <c r="B4817" s="983" t="s">
        <v>2714</v>
      </c>
      <c r="C4817" s="1001"/>
      <c r="I4817" s="983" t="s">
        <v>1876</v>
      </c>
    </row>
    <row r="4818" spans="1:9" x14ac:dyDescent="0.2">
      <c r="A4818" s="997">
        <f t="shared" si="75"/>
        <v>4817</v>
      </c>
      <c r="B4818" s="983" t="s">
        <v>2714</v>
      </c>
      <c r="C4818" s="1000"/>
      <c r="H4818" s="983" t="s">
        <v>1108</v>
      </c>
    </row>
    <row r="4819" spans="1:9" x14ac:dyDescent="0.2">
      <c r="A4819" s="997">
        <f t="shared" si="75"/>
        <v>4818</v>
      </c>
      <c r="B4819" s="983" t="s">
        <v>2714</v>
      </c>
      <c r="C4819" s="1000"/>
      <c r="H4819" s="983" t="str">
        <f>CONCATENATE("&lt;valeur&gt;",Cellule_1378,"&lt;/valeur&gt;")</f>
        <v>&lt;valeur&gt;0&lt;/valeur&gt;</v>
      </c>
    </row>
    <row r="4820" spans="1:9" x14ac:dyDescent="0.2">
      <c r="A4820" s="997">
        <f t="shared" si="75"/>
        <v>4819</v>
      </c>
      <c r="B4820" s="983" t="s">
        <v>2714</v>
      </c>
      <c r="C4820" s="999"/>
      <c r="G4820" s="983" t="s">
        <v>1109</v>
      </c>
    </row>
    <row r="4821" spans="1:9" x14ac:dyDescent="0.2">
      <c r="A4821" s="997">
        <f t="shared" si="75"/>
        <v>4820</v>
      </c>
      <c r="B4821" s="983" t="s">
        <v>2714</v>
      </c>
      <c r="C4821" s="999"/>
      <c r="G4821" s="983" t="s">
        <v>1106</v>
      </c>
    </row>
    <row r="4822" spans="1:9" x14ac:dyDescent="0.2">
      <c r="A4822" s="997">
        <f t="shared" si="75"/>
        <v>4821</v>
      </c>
      <c r="B4822" s="983" t="s">
        <v>2714</v>
      </c>
      <c r="C4822" s="1000"/>
      <c r="H4822" s="983" t="s">
        <v>1107</v>
      </c>
    </row>
    <row r="4823" spans="1:9" x14ac:dyDescent="0.2">
      <c r="A4823" s="997">
        <f t="shared" si="75"/>
        <v>4822</v>
      </c>
      <c r="B4823" s="983" t="s">
        <v>2714</v>
      </c>
      <c r="C4823" s="1001"/>
      <c r="I4823" s="983" t="s">
        <v>1877</v>
      </c>
    </row>
    <row r="4824" spans="1:9" x14ac:dyDescent="0.2">
      <c r="A4824" s="997">
        <f t="shared" si="75"/>
        <v>4823</v>
      </c>
      <c r="B4824" s="983" t="s">
        <v>2714</v>
      </c>
      <c r="C4824" s="1000"/>
      <c r="H4824" s="983" t="s">
        <v>1108</v>
      </c>
    </row>
    <row r="4825" spans="1:9" x14ac:dyDescent="0.2">
      <c r="A4825" s="997">
        <f t="shared" si="75"/>
        <v>4824</v>
      </c>
      <c r="B4825" s="983" t="s">
        <v>2714</v>
      </c>
      <c r="C4825" s="1000"/>
      <c r="H4825" s="983" t="str">
        <f>CONCATENATE("&lt;valeur&gt;",Cellule_1379,"&lt;/valeur&gt;")</f>
        <v>&lt;valeur&gt;0&lt;/valeur&gt;</v>
      </c>
    </row>
    <row r="4826" spans="1:9" x14ac:dyDescent="0.2">
      <c r="A4826" s="997">
        <f t="shared" si="75"/>
        <v>4825</v>
      </c>
      <c r="B4826" s="983" t="s">
        <v>2714</v>
      </c>
      <c r="C4826" s="999"/>
      <c r="G4826" s="983" t="s">
        <v>1109</v>
      </c>
    </row>
    <row r="4827" spans="1:9" x14ac:dyDescent="0.2">
      <c r="A4827" s="997">
        <f t="shared" si="75"/>
        <v>4826</v>
      </c>
      <c r="B4827" s="983" t="s">
        <v>2714</v>
      </c>
      <c r="C4827" s="999"/>
      <c r="G4827" s="983" t="s">
        <v>1106</v>
      </c>
    </row>
    <row r="4828" spans="1:9" x14ac:dyDescent="0.2">
      <c r="A4828" s="997">
        <f t="shared" si="75"/>
        <v>4827</v>
      </c>
      <c r="B4828" s="983" t="s">
        <v>2714</v>
      </c>
      <c r="C4828" s="1000"/>
      <c r="H4828" s="983" t="s">
        <v>1107</v>
      </c>
    </row>
    <row r="4829" spans="1:9" x14ac:dyDescent="0.2">
      <c r="A4829" s="997">
        <f t="shared" si="75"/>
        <v>4828</v>
      </c>
      <c r="B4829" s="983" t="s">
        <v>2714</v>
      </c>
      <c r="C4829" s="1001"/>
      <c r="I4829" s="983" t="s">
        <v>1878</v>
      </c>
    </row>
    <row r="4830" spans="1:9" x14ac:dyDescent="0.2">
      <c r="A4830" s="997">
        <f t="shared" si="75"/>
        <v>4829</v>
      </c>
      <c r="B4830" s="983" t="s">
        <v>2714</v>
      </c>
      <c r="C4830" s="1000"/>
      <c r="H4830" s="983" t="s">
        <v>1108</v>
      </c>
    </row>
    <row r="4831" spans="1:9" x14ac:dyDescent="0.2">
      <c r="A4831" s="997">
        <f t="shared" si="75"/>
        <v>4830</v>
      </c>
      <c r="B4831" s="983" t="s">
        <v>2714</v>
      </c>
      <c r="C4831" s="1000"/>
      <c r="H4831" s="983" t="str">
        <f>CONCATENATE("&lt;valeur&gt;",Cellule_1380,"&lt;/valeur&gt;")</f>
        <v>&lt;valeur&gt;0&lt;/valeur&gt;</v>
      </c>
    </row>
    <row r="4832" spans="1:9" x14ac:dyDescent="0.2">
      <c r="A4832" s="997">
        <f t="shared" si="75"/>
        <v>4831</v>
      </c>
      <c r="B4832" s="983" t="s">
        <v>2714</v>
      </c>
      <c r="C4832" s="999"/>
      <c r="G4832" s="983" t="s">
        <v>1109</v>
      </c>
    </row>
    <row r="4833" spans="1:9" x14ac:dyDescent="0.2">
      <c r="A4833" s="997">
        <f t="shared" si="75"/>
        <v>4832</v>
      </c>
      <c r="B4833" s="983" t="s">
        <v>2714</v>
      </c>
      <c r="C4833" s="999"/>
      <c r="G4833" s="983" t="s">
        <v>1106</v>
      </c>
    </row>
    <row r="4834" spans="1:9" x14ac:dyDescent="0.2">
      <c r="A4834" s="997">
        <f t="shared" si="75"/>
        <v>4833</v>
      </c>
      <c r="B4834" s="983" t="s">
        <v>2714</v>
      </c>
      <c r="C4834" s="1000"/>
      <c r="H4834" s="983" t="s">
        <v>1107</v>
      </c>
    </row>
    <row r="4835" spans="1:9" x14ac:dyDescent="0.2">
      <c r="A4835" s="997">
        <f t="shared" si="75"/>
        <v>4834</v>
      </c>
      <c r="B4835" s="983" t="s">
        <v>2714</v>
      </c>
      <c r="C4835" s="1001"/>
      <c r="I4835" s="983" t="s">
        <v>1879</v>
      </c>
    </row>
    <row r="4836" spans="1:9" x14ac:dyDescent="0.2">
      <c r="A4836" s="997">
        <f t="shared" si="75"/>
        <v>4835</v>
      </c>
      <c r="B4836" s="983" t="s">
        <v>2714</v>
      </c>
      <c r="C4836" s="1000"/>
      <c r="H4836" s="983" t="s">
        <v>1108</v>
      </c>
    </row>
    <row r="4837" spans="1:9" x14ac:dyDescent="0.2">
      <c r="A4837" s="997">
        <f t="shared" si="75"/>
        <v>4836</v>
      </c>
      <c r="B4837" s="983" t="s">
        <v>2714</v>
      </c>
      <c r="C4837" s="1000"/>
      <c r="H4837" s="983" t="str">
        <f>CONCATENATE("&lt;valeur&gt;",Cellule_1381,"&lt;/valeur&gt;")</f>
        <v>&lt;valeur&gt;0&lt;/valeur&gt;</v>
      </c>
    </row>
    <row r="4838" spans="1:9" x14ac:dyDescent="0.2">
      <c r="A4838" s="997">
        <f t="shared" si="75"/>
        <v>4837</v>
      </c>
      <c r="B4838" s="983" t="s">
        <v>2714</v>
      </c>
      <c r="C4838" s="999"/>
      <c r="G4838" s="983" t="s">
        <v>1109</v>
      </c>
    </row>
    <row r="4839" spans="1:9" x14ac:dyDescent="0.2">
      <c r="A4839" s="997">
        <f t="shared" si="75"/>
        <v>4838</v>
      </c>
      <c r="B4839" s="983" t="s">
        <v>2714</v>
      </c>
      <c r="C4839" s="999"/>
      <c r="G4839" s="983" t="s">
        <v>1106</v>
      </c>
    </row>
    <row r="4840" spans="1:9" x14ac:dyDescent="0.2">
      <c r="A4840" s="997">
        <f t="shared" si="75"/>
        <v>4839</v>
      </c>
      <c r="B4840" s="983" t="s">
        <v>2714</v>
      </c>
      <c r="C4840" s="1000"/>
      <c r="H4840" s="983" t="s">
        <v>1107</v>
      </c>
    </row>
    <row r="4841" spans="1:9" x14ac:dyDescent="0.2">
      <c r="A4841" s="997">
        <f t="shared" si="75"/>
        <v>4840</v>
      </c>
      <c r="B4841" s="983" t="s">
        <v>2714</v>
      </c>
      <c r="C4841" s="1001"/>
      <c r="I4841" s="983" t="s">
        <v>1880</v>
      </c>
    </row>
    <row r="4842" spans="1:9" x14ac:dyDescent="0.2">
      <c r="A4842" s="997">
        <f t="shared" si="75"/>
        <v>4841</v>
      </c>
      <c r="B4842" s="983" t="s">
        <v>2714</v>
      </c>
      <c r="C4842" s="1000"/>
      <c r="H4842" s="983" t="s">
        <v>1108</v>
      </c>
    </row>
    <row r="4843" spans="1:9" x14ac:dyDescent="0.2">
      <c r="A4843" s="997">
        <f t="shared" si="75"/>
        <v>4842</v>
      </c>
      <c r="B4843" s="983" t="s">
        <v>2714</v>
      </c>
      <c r="C4843" s="1000"/>
      <c r="H4843" s="983" t="str">
        <f>CONCATENATE("&lt;valeur&gt;",Cellule_1382,"&lt;/valeur&gt;")</f>
        <v>&lt;valeur&gt;0&lt;/valeur&gt;</v>
      </c>
    </row>
    <row r="4844" spans="1:9" x14ac:dyDescent="0.2">
      <c r="A4844" s="997">
        <f t="shared" si="75"/>
        <v>4843</v>
      </c>
      <c r="B4844" s="983" t="s">
        <v>2714</v>
      </c>
      <c r="C4844" s="999"/>
      <c r="G4844" s="983" t="s">
        <v>1109</v>
      </c>
    </row>
    <row r="4845" spans="1:9" x14ac:dyDescent="0.2">
      <c r="A4845" s="997">
        <f t="shared" si="75"/>
        <v>4844</v>
      </c>
      <c r="B4845" s="983" t="s">
        <v>2714</v>
      </c>
      <c r="C4845" s="999"/>
      <c r="G4845" s="983" t="s">
        <v>1106</v>
      </c>
    </row>
    <row r="4846" spans="1:9" x14ac:dyDescent="0.2">
      <c r="A4846" s="997">
        <f t="shared" si="75"/>
        <v>4845</v>
      </c>
      <c r="B4846" s="983" t="s">
        <v>2714</v>
      </c>
      <c r="C4846" s="1000"/>
      <c r="H4846" s="983" t="s">
        <v>1107</v>
      </c>
    </row>
    <row r="4847" spans="1:9" x14ac:dyDescent="0.2">
      <c r="A4847" s="997">
        <f t="shared" si="75"/>
        <v>4846</v>
      </c>
      <c r="B4847" s="983" t="s">
        <v>2714</v>
      </c>
      <c r="C4847" s="1001"/>
      <c r="I4847" s="983" t="s">
        <v>1881</v>
      </c>
    </row>
    <row r="4848" spans="1:9" x14ac:dyDescent="0.2">
      <c r="A4848" s="997">
        <f t="shared" si="75"/>
        <v>4847</v>
      </c>
      <c r="B4848" s="983" t="s">
        <v>2714</v>
      </c>
      <c r="C4848" s="1000"/>
      <c r="H4848" s="983" t="s">
        <v>1108</v>
      </c>
    </row>
    <row r="4849" spans="1:9" x14ac:dyDescent="0.2">
      <c r="A4849" s="997">
        <f t="shared" si="75"/>
        <v>4848</v>
      </c>
      <c r="B4849" s="983" t="s">
        <v>2714</v>
      </c>
      <c r="C4849" s="1000"/>
      <c r="H4849" s="983" t="str">
        <f>CONCATENATE("&lt;valeur&gt;",Cellule_1383,"&lt;/valeur&gt;")</f>
        <v>&lt;valeur&gt;194296,2&lt;/valeur&gt;</v>
      </c>
    </row>
    <row r="4850" spans="1:9" x14ac:dyDescent="0.2">
      <c r="A4850" s="997">
        <f t="shared" si="75"/>
        <v>4849</v>
      </c>
      <c r="B4850" s="983" t="s">
        <v>2714</v>
      </c>
      <c r="C4850" s="999"/>
      <c r="G4850" s="983" t="s">
        <v>1109</v>
      </c>
    </row>
    <row r="4851" spans="1:9" x14ac:dyDescent="0.2">
      <c r="A4851" s="997">
        <f t="shared" si="75"/>
        <v>4850</v>
      </c>
      <c r="B4851" s="983" t="s">
        <v>2714</v>
      </c>
      <c r="C4851" s="999"/>
      <c r="G4851" s="983" t="s">
        <v>1106</v>
      </c>
    </row>
    <row r="4852" spans="1:9" x14ac:dyDescent="0.2">
      <c r="A4852" s="997">
        <f t="shared" si="75"/>
        <v>4851</v>
      </c>
      <c r="B4852" s="983" t="s">
        <v>2714</v>
      </c>
      <c r="C4852" s="1000"/>
      <c r="H4852" s="983" t="s">
        <v>1107</v>
      </c>
    </row>
    <row r="4853" spans="1:9" x14ac:dyDescent="0.2">
      <c r="A4853" s="997">
        <f t="shared" si="75"/>
        <v>4852</v>
      </c>
      <c r="B4853" s="983" t="s">
        <v>2714</v>
      </c>
      <c r="C4853" s="1001"/>
      <c r="I4853" s="983" t="s">
        <v>1882</v>
      </c>
    </row>
    <row r="4854" spans="1:9" x14ac:dyDescent="0.2">
      <c r="A4854" s="997">
        <f t="shared" si="75"/>
        <v>4853</v>
      </c>
      <c r="B4854" s="983" t="s">
        <v>2714</v>
      </c>
      <c r="C4854" s="1000"/>
      <c r="H4854" s="983" t="s">
        <v>1108</v>
      </c>
    </row>
    <row r="4855" spans="1:9" x14ac:dyDescent="0.2">
      <c r="A4855" s="997">
        <f t="shared" si="75"/>
        <v>4854</v>
      </c>
      <c r="B4855" s="983" t="s">
        <v>2714</v>
      </c>
      <c r="C4855" s="1000"/>
      <c r="H4855" s="983" t="str">
        <f>CONCATENATE("&lt;valeur&gt;",Cellule_1384,"&lt;/valeur&gt;")</f>
        <v>&lt;valeur&gt;0&lt;/valeur&gt;</v>
      </c>
    </row>
    <row r="4856" spans="1:9" x14ac:dyDescent="0.2">
      <c r="A4856" s="997">
        <f t="shared" si="75"/>
        <v>4855</v>
      </c>
      <c r="B4856" s="983" t="s">
        <v>2714</v>
      </c>
      <c r="C4856" s="999"/>
      <c r="G4856" s="983" t="s">
        <v>1109</v>
      </c>
    </row>
    <row r="4857" spans="1:9" x14ac:dyDescent="0.2">
      <c r="A4857" s="997">
        <f t="shared" si="75"/>
        <v>4856</v>
      </c>
      <c r="B4857" s="983" t="s">
        <v>2714</v>
      </c>
      <c r="C4857" s="999"/>
      <c r="G4857" s="983" t="s">
        <v>1106</v>
      </c>
    </row>
    <row r="4858" spans="1:9" x14ac:dyDescent="0.2">
      <c r="A4858" s="997">
        <f t="shared" si="75"/>
        <v>4857</v>
      </c>
      <c r="B4858" s="983" t="s">
        <v>2714</v>
      </c>
      <c r="C4858" s="1000"/>
      <c r="H4858" s="983" t="s">
        <v>1107</v>
      </c>
    </row>
    <row r="4859" spans="1:9" x14ac:dyDescent="0.2">
      <c r="A4859" s="997">
        <f t="shared" si="75"/>
        <v>4858</v>
      </c>
      <c r="B4859" s="983" t="s">
        <v>2714</v>
      </c>
      <c r="C4859" s="1001"/>
      <c r="I4859" s="983" t="s">
        <v>1883</v>
      </c>
    </row>
    <row r="4860" spans="1:9" x14ac:dyDescent="0.2">
      <c r="A4860" s="997">
        <f t="shared" si="75"/>
        <v>4859</v>
      </c>
      <c r="B4860" s="983" t="s">
        <v>2714</v>
      </c>
      <c r="C4860" s="1000"/>
      <c r="H4860" s="983" t="s">
        <v>1108</v>
      </c>
    </row>
    <row r="4861" spans="1:9" x14ac:dyDescent="0.2">
      <c r="A4861" s="997">
        <f t="shared" si="75"/>
        <v>4860</v>
      </c>
      <c r="B4861" s="983" t="s">
        <v>2714</v>
      </c>
      <c r="C4861" s="1000"/>
      <c r="H4861" s="983" t="str">
        <f>CONCATENATE("&lt;valeur&gt;",Cellule_1385,"&lt;/valeur&gt;")</f>
        <v>&lt;valeur&gt;194296,2&lt;/valeur&gt;</v>
      </c>
    </row>
    <row r="4862" spans="1:9" x14ac:dyDescent="0.2">
      <c r="A4862" s="997">
        <f t="shared" si="75"/>
        <v>4861</v>
      </c>
      <c r="B4862" s="983" t="s">
        <v>2714</v>
      </c>
      <c r="C4862" s="999"/>
      <c r="G4862" s="983" t="s">
        <v>1109</v>
      </c>
    </row>
    <row r="4863" spans="1:9" x14ac:dyDescent="0.2">
      <c r="A4863" s="997">
        <f t="shared" si="75"/>
        <v>4862</v>
      </c>
      <c r="B4863" s="983" t="s">
        <v>2714</v>
      </c>
      <c r="C4863" s="999"/>
      <c r="G4863" s="983" t="s">
        <v>1106</v>
      </c>
    </row>
    <row r="4864" spans="1:9" x14ac:dyDescent="0.2">
      <c r="A4864" s="997">
        <f t="shared" si="75"/>
        <v>4863</v>
      </c>
      <c r="B4864" s="983" t="s">
        <v>2714</v>
      </c>
      <c r="C4864" s="1000"/>
      <c r="H4864" s="983" t="s">
        <v>1107</v>
      </c>
    </row>
    <row r="4865" spans="1:9" x14ac:dyDescent="0.2">
      <c r="A4865" s="997">
        <f t="shared" si="75"/>
        <v>4864</v>
      </c>
      <c r="B4865" s="983" t="s">
        <v>2714</v>
      </c>
      <c r="C4865" s="1001"/>
      <c r="I4865" s="983" t="s">
        <v>1884</v>
      </c>
    </row>
    <row r="4866" spans="1:9" x14ac:dyDescent="0.2">
      <c r="A4866" s="997">
        <f t="shared" si="75"/>
        <v>4865</v>
      </c>
      <c r="B4866" s="983" t="s">
        <v>2714</v>
      </c>
      <c r="C4866" s="1000"/>
      <c r="H4866" s="983" t="s">
        <v>1108</v>
      </c>
    </row>
    <row r="4867" spans="1:9" x14ac:dyDescent="0.2">
      <c r="A4867" s="997">
        <f t="shared" si="75"/>
        <v>4866</v>
      </c>
      <c r="B4867" s="983" t="s">
        <v>2714</v>
      </c>
      <c r="C4867" s="1000"/>
      <c r="H4867" s="983" t="str">
        <f>CONCATENATE("&lt;valeur&gt;",Cellule_1386,"&lt;/valeur&gt;")</f>
        <v>&lt;valeur&gt;&lt;/valeur&gt;</v>
      </c>
    </row>
    <row r="4868" spans="1:9" x14ac:dyDescent="0.2">
      <c r="A4868" s="997">
        <f t="shared" ref="A4868:A4931" si="76">+A4867+1</f>
        <v>4867</v>
      </c>
      <c r="B4868" s="983" t="s">
        <v>2714</v>
      </c>
      <c r="C4868" s="999"/>
      <c r="G4868" s="983" t="s">
        <v>1109</v>
      </c>
    </row>
    <row r="4869" spans="1:9" x14ac:dyDescent="0.2">
      <c r="A4869" s="997">
        <f t="shared" si="76"/>
        <v>4868</v>
      </c>
      <c r="B4869" s="983" t="s">
        <v>2714</v>
      </c>
      <c r="C4869" s="999"/>
      <c r="G4869" s="983" t="s">
        <v>1106</v>
      </c>
    </row>
    <row r="4870" spans="1:9" x14ac:dyDescent="0.2">
      <c r="A4870" s="997">
        <f t="shared" si="76"/>
        <v>4869</v>
      </c>
      <c r="B4870" s="983" t="s">
        <v>2714</v>
      </c>
      <c r="C4870" s="1000"/>
      <c r="H4870" s="983" t="s">
        <v>1107</v>
      </c>
    </row>
    <row r="4871" spans="1:9" x14ac:dyDescent="0.2">
      <c r="A4871" s="997">
        <f t="shared" si="76"/>
        <v>4870</v>
      </c>
      <c r="B4871" s="983" t="s">
        <v>2714</v>
      </c>
      <c r="C4871" s="1001"/>
      <c r="I4871" s="983" t="s">
        <v>1885</v>
      </c>
    </row>
    <row r="4872" spans="1:9" x14ac:dyDescent="0.2">
      <c r="A4872" s="997">
        <f t="shared" si="76"/>
        <v>4871</v>
      </c>
      <c r="B4872" s="983" t="s">
        <v>2714</v>
      </c>
      <c r="C4872" s="1000"/>
      <c r="H4872" s="983" t="s">
        <v>1108</v>
      </c>
    </row>
    <row r="4873" spans="1:9" x14ac:dyDescent="0.2">
      <c r="A4873" s="997">
        <f t="shared" si="76"/>
        <v>4872</v>
      </c>
      <c r="B4873" s="983" t="s">
        <v>2714</v>
      </c>
      <c r="C4873" s="1000"/>
      <c r="H4873" s="983" t="str">
        <f>CONCATENATE("&lt;valeur&gt;",Cellule_1387,"&lt;/valeur&gt;")</f>
        <v>&lt;valeur&gt;0&lt;/valeur&gt;</v>
      </c>
    </row>
    <row r="4874" spans="1:9" x14ac:dyDescent="0.2">
      <c r="A4874" s="997">
        <f t="shared" si="76"/>
        <v>4873</v>
      </c>
      <c r="B4874" s="983" t="s">
        <v>2714</v>
      </c>
      <c r="C4874" s="999"/>
      <c r="G4874" s="983" t="s">
        <v>1109</v>
      </c>
    </row>
    <row r="4875" spans="1:9" x14ac:dyDescent="0.2">
      <c r="A4875" s="997">
        <f t="shared" si="76"/>
        <v>4874</v>
      </c>
      <c r="B4875" s="983" t="s">
        <v>2714</v>
      </c>
      <c r="C4875" s="999"/>
      <c r="G4875" s="983" t="s">
        <v>1106</v>
      </c>
    </row>
    <row r="4876" spans="1:9" x14ac:dyDescent="0.2">
      <c r="A4876" s="997">
        <f t="shared" si="76"/>
        <v>4875</v>
      </c>
      <c r="B4876" s="983" t="s">
        <v>2714</v>
      </c>
      <c r="C4876" s="1000"/>
      <c r="H4876" s="983" t="s">
        <v>1107</v>
      </c>
    </row>
    <row r="4877" spans="1:9" x14ac:dyDescent="0.2">
      <c r="A4877" s="997">
        <f t="shared" si="76"/>
        <v>4876</v>
      </c>
      <c r="B4877" s="983" t="s">
        <v>2714</v>
      </c>
      <c r="C4877" s="1001"/>
      <c r="I4877" s="983" t="s">
        <v>1886</v>
      </c>
    </row>
    <row r="4878" spans="1:9" x14ac:dyDescent="0.2">
      <c r="A4878" s="997">
        <f t="shared" si="76"/>
        <v>4877</v>
      </c>
      <c r="B4878" s="983" t="s">
        <v>2714</v>
      </c>
      <c r="C4878" s="1000"/>
      <c r="H4878" s="983" t="s">
        <v>1108</v>
      </c>
    </row>
    <row r="4879" spans="1:9" x14ac:dyDescent="0.2">
      <c r="A4879" s="997">
        <f t="shared" si="76"/>
        <v>4878</v>
      </c>
      <c r="B4879" s="983" t="s">
        <v>2714</v>
      </c>
      <c r="C4879" s="1000"/>
      <c r="H4879" s="983" t="str">
        <f>CONCATENATE("&lt;valeur&gt;",Cellule_1388,"&lt;/valeur&gt;")</f>
        <v>&lt;valeur&gt;-18918,67&lt;/valeur&gt;</v>
      </c>
    </row>
    <row r="4880" spans="1:9" x14ac:dyDescent="0.2">
      <c r="A4880" s="997">
        <f t="shared" si="76"/>
        <v>4879</v>
      </c>
      <c r="B4880" s="983" t="s">
        <v>2714</v>
      </c>
      <c r="C4880" s="999"/>
      <c r="G4880" s="983" t="s">
        <v>1109</v>
      </c>
    </row>
    <row r="4881" spans="1:9" x14ac:dyDescent="0.2">
      <c r="A4881" s="997">
        <f t="shared" si="76"/>
        <v>4880</v>
      </c>
      <c r="B4881" s="983" t="s">
        <v>2714</v>
      </c>
      <c r="C4881" s="999"/>
      <c r="G4881" s="983" t="s">
        <v>1106</v>
      </c>
    </row>
    <row r="4882" spans="1:9" x14ac:dyDescent="0.2">
      <c r="A4882" s="997">
        <f t="shared" si="76"/>
        <v>4881</v>
      </c>
      <c r="B4882" s="983" t="s">
        <v>2714</v>
      </c>
      <c r="C4882" s="1000"/>
      <c r="H4882" s="983" t="s">
        <v>1107</v>
      </c>
    </row>
    <row r="4883" spans="1:9" x14ac:dyDescent="0.2">
      <c r="A4883" s="997">
        <f t="shared" si="76"/>
        <v>4882</v>
      </c>
      <c r="B4883" s="983" t="s">
        <v>2714</v>
      </c>
      <c r="C4883" s="1001"/>
      <c r="I4883" s="983" t="s">
        <v>1887</v>
      </c>
    </row>
    <row r="4884" spans="1:9" x14ac:dyDescent="0.2">
      <c r="A4884" s="997">
        <f t="shared" si="76"/>
        <v>4883</v>
      </c>
      <c r="B4884" s="983" t="s">
        <v>2714</v>
      </c>
      <c r="C4884" s="1000"/>
      <c r="H4884" s="983" t="s">
        <v>1108</v>
      </c>
    </row>
    <row r="4885" spans="1:9" x14ac:dyDescent="0.2">
      <c r="A4885" s="997">
        <f t="shared" si="76"/>
        <v>4884</v>
      </c>
      <c r="B4885" s="983" t="s">
        <v>2714</v>
      </c>
      <c r="C4885" s="1000"/>
      <c r="H4885" s="983" t="str">
        <f>CONCATENATE("&lt;valeur&gt;",Cellule_1389,"&lt;/valeur&gt;")</f>
        <v>&lt;valeur&gt;694,37&lt;/valeur&gt;</v>
      </c>
    </row>
    <row r="4886" spans="1:9" x14ac:dyDescent="0.2">
      <c r="A4886" s="997">
        <f t="shared" si="76"/>
        <v>4885</v>
      </c>
      <c r="B4886" s="983" t="s">
        <v>2714</v>
      </c>
      <c r="C4886" s="999"/>
      <c r="G4886" s="983" t="s">
        <v>1109</v>
      </c>
    </row>
    <row r="4887" spans="1:9" x14ac:dyDescent="0.2">
      <c r="A4887" s="997">
        <f t="shared" si="76"/>
        <v>4886</v>
      </c>
      <c r="B4887" s="983" t="s">
        <v>2714</v>
      </c>
      <c r="C4887" s="999"/>
      <c r="G4887" s="983" t="s">
        <v>1106</v>
      </c>
    </row>
    <row r="4888" spans="1:9" x14ac:dyDescent="0.2">
      <c r="A4888" s="997">
        <f t="shared" si="76"/>
        <v>4887</v>
      </c>
      <c r="B4888" s="983" t="s">
        <v>2714</v>
      </c>
      <c r="C4888" s="1000"/>
      <c r="H4888" s="983" t="s">
        <v>1107</v>
      </c>
    </row>
    <row r="4889" spans="1:9" x14ac:dyDescent="0.2">
      <c r="A4889" s="997">
        <f t="shared" si="76"/>
        <v>4888</v>
      </c>
      <c r="B4889" s="983" t="s">
        <v>2714</v>
      </c>
      <c r="C4889" s="1001"/>
      <c r="I4889" s="983" t="s">
        <v>1888</v>
      </c>
    </row>
    <row r="4890" spans="1:9" x14ac:dyDescent="0.2">
      <c r="A4890" s="997">
        <f t="shared" si="76"/>
        <v>4889</v>
      </c>
      <c r="B4890" s="983" t="s">
        <v>2714</v>
      </c>
      <c r="C4890" s="1000"/>
      <c r="H4890" s="983" t="s">
        <v>1108</v>
      </c>
    </row>
    <row r="4891" spans="1:9" x14ac:dyDescent="0.2">
      <c r="A4891" s="997">
        <f t="shared" si="76"/>
        <v>4890</v>
      </c>
      <c r="B4891" s="983" t="s">
        <v>2714</v>
      </c>
      <c r="C4891" s="1000"/>
      <c r="H4891" s="983" t="str">
        <f>CONCATENATE("&lt;valeur&gt;",Cellule_1390,"&lt;/valeur&gt;")</f>
        <v>&lt;valeur&gt;0&lt;/valeur&gt;</v>
      </c>
    </row>
    <row r="4892" spans="1:9" x14ac:dyDescent="0.2">
      <c r="A4892" s="997">
        <f t="shared" si="76"/>
        <v>4891</v>
      </c>
      <c r="B4892" s="983" t="s">
        <v>2714</v>
      </c>
      <c r="C4892" s="999"/>
      <c r="G4892" s="983" t="s">
        <v>1109</v>
      </c>
    </row>
    <row r="4893" spans="1:9" x14ac:dyDescent="0.2">
      <c r="A4893" s="997">
        <f t="shared" si="76"/>
        <v>4892</v>
      </c>
      <c r="B4893" s="983" t="s">
        <v>2714</v>
      </c>
      <c r="C4893" s="999"/>
      <c r="G4893" s="983" t="s">
        <v>1106</v>
      </c>
    </row>
    <row r="4894" spans="1:9" x14ac:dyDescent="0.2">
      <c r="A4894" s="997">
        <f t="shared" si="76"/>
        <v>4893</v>
      </c>
      <c r="B4894" s="983" t="s">
        <v>2714</v>
      </c>
      <c r="C4894" s="1000"/>
      <c r="H4894" s="983" t="s">
        <v>1107</v>
      </c>
    </row>
    <row r="4895" spans="1:9" x14ac:dyDescent="0.2">
      <c r="A4895" s="997">
        <f t="shared" si="76"/>
        <v>4894</v>
      </c>
      <c r="B4895" s="983" t="s">
        <v>2714</v>
      </c>
      <c r="C4895" s="1001"/>
      <c r="I4895" s="983" t="s">
        <v>1889</v>
      </c>
    </row>
    <row r="4896" spans="1:9" x14ac:dyDescent="0.2">
      <c r="A4896" s="997">
        <f t="shared" si="76"/>
        <v>4895</v>
      </c>
      <c r="B4896" s="983" t="s">
        <v>2714</v>
      </c>
      <c r="C4896" s="1000"/>
      <c r="H4896" s="983" t="s">
        <v>1108</v>
      </c>
    </row>
    <row r="4897" spans="1:9" x14ac:dyDescent="0.2">
      <c r="A4897" s="997">
        <f t="shared" si="76"/>
        <v>4896</v>
      </c>
      <c r="B4897" s="983" t="s">
        <v>2714</v>
      </c>
      <c r="C4897" s="1000"/>
      <c r="H4897" s="983" t="str">
        <f>CONCATENATE("&lt;valeur&gt;",Cellule_1391,"&lt;/valeur&gt;")</f>
        <v>&lt;valeur&gt;0&lt;/valeur&gt;</v>
      </c>
    </row>
    <row r="4898" spans="1:9" x14ac:dyDescent="0.2">
      <c r="A4898" s="997">
        <f t="shared" si="76"/>
        <v>4897</v>
      </c>
      <c r="B4898" s="983" t="s">
        <v>2714</v>
      </c>
      <c r="C4898" s="999"/>
      <c r="G4898" s="983" t="s">
        <v>1109</v>
      </c>
    </row>
    <row r="4899" spans="1:9" x14ac:dyDescent="0.2">
      <c r="A4899" s="997">
        <f t="shared" si="76"/>
        <v>4898</v>
      </c>
      <c r="B4899" s="983" t="s">
        <v>2714</v>
      </c>
      <c r="C4899" s="999"/>
      <c r="G4899" s="983" t="s">
        <v>1106</v>
      </c>
    </row>
    <row r="4900" spans="1:9" x14ac:dyDescent="0.2">
      <c r="A4900" s="997">
        <f t="shared" si="76"/>
        <v>4899</v>
      </c>
      <c r="B4900" s="983" t="s">
        <v>2714</v>
      </c>
      <c r="C4900" s="1000"/>
      <c r="H4900" s="983" t="s">
        <v>1107</v>
      </c>
    </row>
    <row r="4901" spans="1:9" x14ac:dyDescent="0.2">
      <c r="A4901" s="997">
        <f t="shared" si="76"/>
        <v>4900</v>
      </c>
      <c r="B4901" s="983" t="s">
        <v>2714</v>
      </c>
      <c r="C4901" s="1001"/>
      <c r="I4901" s="983" t="s">
        <v>1890</v>
      </c>
    </row>
    <row r="4902" spans="1:9" x14ac:dyDescent="0.2">
      <c r="A4902" s="997">
        <f t="shared" si="76"/>
        <v>4901</v>
      </c>
      <c r="B4902" s="983" t="s">
        <v>2714</v>
      </c>
      <c r="C4902" s="1000"/>
      <c r="H4902" s="983" t="s">
        <v>1108</v>
      </c>
    </row>
    <row r="4903" spans="1:9" x14ac:dyDescent="0.2">
      <c r="A4903" s="997">
        <f t="shared" si="76"/>
        <v>4902</v>
      </c>
      <c r="B4903" s="983" t="s">
        <v>2714</v>
      </c>
      <c r="C4903" s="1000"/>
      <c r="H4903" s="983" t="str">
        <f>CONCATENATE("&lt;valeur&gt;",Cellule_1392,"&lt;/valeur&gt;")</f>
        <v>&lt;valeur&gt;0&lt;/valeur&gt;</v>
      </c>
    </row>
    <row r="4904" spans="1:9" x14ac:dyDescent="0.2">
      <c r="A4904" s="997">
        <f t="shared" si="76"/>
        <v>4903</v>
      </c>
      <c r="B4904" s="983" t="s">
        <v>2714</v>
      </c>
      <c r="C4904" s="999"/>
      <c r="G4904" s="983" t="s">
        <v>1109</v>
      </c>
    </row>
    <row r="4905" spans="1:9" x14ac:dyDescent="0.2">
      <c r="A4905" s="997">
        <f t="shared" si="76"/>
        <v>4904</v>
      </c>
      <c r="B4905" s="983" t="s">
        <v>2714</v>
      </c>
      <c r="C4905" s="999"/>
      <c r="G4905" s="983" t="s">
        <v>1106</v>
      </c>
    </row>
    <row r="4906" spans="1:9" x14ac:dyDescent="0.2">
      <c r="A4906" s="997">
        <f t="shared" si="76"/>
        <v>4905</v>
      </c>
      <c r="B4906" s="983" t="s">
        <v>2714</v>
      </c>
      <c r="C4906" s="1000"/>
      <c r="H4906" s="983" t="s">
        <v>1107</v>
      </c>
    </row>
    <row r="4907" spans="1:9" x14ac:dyDescent="0.2">
      <c r="A4907" s="997">
        <f t="shared" si="76"/>
        <v>4906</v>
      </c>
      <c r="B4907" s="983" t="s">
        <v>2714</v>
      </c>
      <c r="C4907" s="1001"/>
      <c r="I4907" s="983" t="s">
        <v>1891</v>
      </c>
    </row>
    <row r="4908" spans="1:9" x14ac:dyDescent="0.2">
      <c r="A4908" s="997">
        <f t="shared" si="76"/>
        <v>4907</v>
      </c>
      <c r="B4908" s="983" t="s">
        <v>2714</v>
      </c>
      <c r="C4908" s="1000"/>
      <c r="H4908" s="983" t="s">
        <v>1108</v>
      </c>
    </row>
    <row r="4909" spans="1:9" x14ac:dyDescent="0.2">
      <c r="A4909" s="997">
        <f t="shared" si="76"/>
        <v>4908</v>
      </c>
      <c r="B4909" s="983" t="s">
        <v>2714</v>
      </c>
      <c r="C4909" s="1000"/>
      <c r="H4909" s="983" t="str">
        <f>CONCATENATE("&lt;valeur&gt;",Cellule_1393,"&lt;/valeur&gt;")</f>
        <v>&lt;valeur&gt;0&lt;/valeur&gt;</v>
      </c>
    </row>
    <row r="4910" spans="1:9" x14ac:dyDescent="0.2">
      <c r="A4910" s="997">
        <f t="shared" si="76"/>
        <v>4909</v>
      </c>
      <c r="B4910" s="983" t="s">
        <v>2714</v>
      </c>
      <c r="C4910" s="999"/>
      <c r="G4910" s="983" t="s">
        <v>1109</v>
      </c>
    </row>
    <row r="4911" spans="1:9" x14ac:dyDescent="0.2">
      <c r="A4911" s="997">
        <f t="shared" si="76"/>
        <v>4910</v>
      </c>
      <c r="B4911" s="983" t="s">
        <v>2714</v>
      </c>
      <c r="C4911" s="999"/>
      <c r="G4911" s="983" t="s">
        <v>1106</v>
      </c>
    </row>
    <row r="4912" spans="1:9" x14ac:dyDescent="0.2">
      <c r="A4912" s="997">
        <f t="shared" si="76"/>
        <v>4911</v>
      </c>
      <c r="B4912" s="983" t="s">
        <v>2714</v>
      </c>
      <c r="C4912" s="1000"/>
      <c r="H4912" s="983" t="s">
        <v>1107</v>
      </c>
    </row>
    <row r="4913" spans="1:9" x14ac:dyDescent="0.2">
      <c r="A4913" s="997">
        <f t="shared" si="76"/>
        <v>4912</v>
      </c>
      <c r="B4913" s="983" t="s">
        <v>2714</v>
      </c>
      <c r="C4913" s="1001"/>
      <c r="I4913" s="983" t="s">
        <v>1892</v>
      </c>
    </row>
    <row r="4914" spans="1:9" x14ac:dyDescent="0.2">
      <c r="A4914" s="997">
        <f t="shared" si="76"/>
        <v>4913</v>
      </c>
      <c r="B4914" s="983" t="s">
        <v>2714</v>
      </c>
      <c r="C4914" s="1000"/>
      <c r="H4914" s="983" t="s">
        <v>1108</v>
      </c>
    </row>
    <row r="4915" spans="1:9" x14ac:dyDescent="0.2">
      <c r="A4915" s="997">
        <f t="shared" si="76"/>
        <v>4914</v>
      </c>
      <c r="B4915" s="983" t="s">
        <v>2714</v>
      </c>
      <c r="C4915" s="1000"/>
      <c r="H4915" s="983" t="str">
        <f>CONCATENATE("&lt;valeur&gt;",Cellule_1394,"&lt;/valeur&gt;")</f>
        <v>&lt;valeur&gt;0&lt;/valeur&gt;</v>
      </c>
    </row>
    <row r="4916" spans="1:9" x14ac:dyDescent="0.2">
      <c r="A4916" s="997">
        <f t="shared" si="76"/>
        <v>4915</v>
      </c>
      <c r="B4916" s="983" t="s">
        <v>2714</v>
      </c>
      <c r="C4916" s="999"/>
      <c r="G4916" s="983" t="s">
        <v>1109</v>
      </c>
    </row>
    <row r="4917" spans="1:9" x14ac:dyDescent="0.2">
      <c r="A4917" s="997">
        <f t="shared" si="76"/>
        <v>4916</v>
      </c>
      <c r="B4917" s="983" t="s">
        <v>2714</v>
      </c>
      <c r="C4917" s="999"/>
      <c r="G4917" s="983" t="s">
        <v>1106</v>
      </c>
    </row>
    <row r="4918" spans="1:9" x14ac:dyDescent="0.2">
      <c r="A4918" s="997">
        <f t="shared" si="76"/>
        <v>4917</v>
      </c>
      <c r="B4918" s="983" t="s">
        <v>2714</v>
      </c>
      <c r="C4918" s="1000"/>
      <c r="H4918" s="983" t="s">
        <v>1107</v>
      </c>
    </row>
    <row r="4919" spans="1:9" x14ac:dyDescent="0.2">
      <c r="A4919" s="997">
        <f t="shared" si="76"/>
        <v>4918</v>
      </c>
      <c r="B4919" s="983" t="s">
        <v>2714</v>
      </c>
      <c r="C4919" s="1001"/>
      <c r="I4919" s="983" t="s">
        <v>1893</v>
      </c>
    </row>
    <row r="4920" spans="1:9" x14ac:dyDescent="0.2">
      <c r="A4920" s="997">
        <f t="shared" si="76"/>
        <v>4919</v>
      </c>
      <c r="B4920" s="983" t="s">
        <v>2714</v>
      </c>
      <c r="C4920" s="1000"/>
      <c r="H4920" s="983" t="s">
        <v>1108</v>
      </c>
    </row>
    <row r="4921" spans="1:9" x14ac:dyDescent="0.2">
      <c r="A4921" s="997">
        <f t="shared" si="76"/>
        <v>4920</v>
      </c>
      <c r="B4921" s="983" t="s">
        <v>2714</v>
      </c>
      <c r="C4921" s="1000"/>
      <c r="H4921" s="983" t="str">
        <f>CONCATENATE("&lt;valeur&gt;",Cellule_1395,"&lt;/valeur&gt;")</f>
        <v>&lt;valeur&gt;0&lt;/valeur&gt;</v>
      </c>
    </row>
    <row r="4922" spans="1:9" x14ac:dyDescent="0.2">
      <c r="A4922" s="997">
        <f t="shared" si="76"/>
        <v>4921</v>
      </c>
      <c r="B4922" s="983" t="s">
        <v>2714</v>
      </c>
      <c r="C4922" s="999"/>
      <c r="G4922" s="983" t="s">
        <v>1109</v>
      </c>
    </row>
    <row r="4923" spans="1:9" x14ac:dyDescent="0.2">
      <c r="A4923" s="997">
        <f t="shared" si="76"/>
        <v>4922</v>
      </c>
      <c r="B4923" s="983" t="s">
        <v>2714</v>
      </c>
      <c r="C4923" s="999"/>
      <c r="G4923" s="983" t="s">
        <v>1106</v>
      </c>
    </row>
    <row r="4924" spans="1:9" x14ac:dyDescent="0.2">
      <c r="A4924" s="997">
        <f t="shared" si="76"/>
        <v>4923</v>
      </c>
      <c r="B4924" s="983" t="s">
        <v>2714</v>
      </c>
      <c r="C4924" s="1000"/>
      <c r="H4924" s="983" t="s">
        <v>1107</v>
      </c>
    </row>
    <row r="4925" spans="1:9" x14ac:dyDescent="0.2">
      <c r="A4925" s="997">
        <f t="shared" si="76"/>
        <v>4924</v>
      </c>
      <c r="B4925" s="983" t="s">
        <v>2714</v>
      </c>
      <c r="C4925" s="1001"/>
      <c r="I4925" s="983" t="s">
        <v>1894</v>
      </c>
    </row>
    <row r="4926" spans="1:9" x14ac:dyDescent="0.2">
      <c r="A4926" s="997">
        <f t="shared" si="76"/>
        <v>4925</v>
      </c>
      <c r="B4926" s="983" t="s">
        <v>2714</v>
      </c>
      <c r="C4926" s="1000"/>
      <c r="H4926" s="983" t="s">
        <v>1108</v>
      </c>
    </row>
    <row r="4927" spans="1:9" x14ac:dyDescent="0.2">
      <c r="A4927" s="997">
        <f t="shared" si="76"/>
        <v>4926</v>
      </c>
      <c r="B4927" s="983" t="s">
        <v>2714</v>
      </c>
      <c r="C4927" s="1000"/>
      <c r="H4927" s="983" t="str">
        <f>CONCATENATE("&lt;valeur&gt;",Cellule_1396,"&lt;/valeur&gt;")</f>
        <v>&lt;valeur&gt;0&lt;/valeur&gt;</v>
      </c>
    </row>
    <row r="4928" spans="1:9" x14ac:dyDescent="0.2">
      <c r="A4928" s="997">
        <f t="shared" si="76"/>
        <v>4927</v>
      </c>
      <c r="B4928" s="983" t="s">
        <v>2714</v>
      </c>
      <c r="C4928" s="999"/>
      <c r="G4928" s="983" t="s">
        <v>1109</v>
      </c>
    </row>
    <row r="4929" spans="1:9" x14ac:dyDescent="0.2">
      <c r="A4929" s="997">
        <f t="shared" si="76"/>
        <v>4928</v>
      </c>
      <c r="B4929" s="983" t="s">
        <v>2714</v>
      </c>
      <c r="C4929" s="999"/>
      <c r="G4929" s="983" t="s">
        <v>1106</v>
      </c>
    </row>
    <row r="4930" spans="1:9" x14ac:dyDescent="0.2">
      <c r="A4930" s="997">
        <f t="shared" si="76"/>
        <v>4929</v>
      </c>
      <c r="B4930" s="983" t="s">
        <v>2714</v>
      </c>
      <c r="C4930" s="1000"/>
      <c r="H4930" s="983" t="s">
        <v>1107</v>
      </c>
    </row>
    <row r="4931" spans="1:9" x14ac:dyDescent="0.2">
      <c r="A4931" s="997">
        <f t="shared" si="76"/>
        <v>4930</v>
      </c>
      <c r="B4931" s="983" t="s">
        <v>2714</v>
      </c>
      <c r="C4931" s="1001"/>
      <c r="I4931" s="983" t="s">
        <v>1895</v>
      </c>
    </row>
    <row r="4932" spans="1:9" x14ac:dyDescent="0.2">
      <c r="A4932" s="997">
        <f t="shared" ref="A4932:A4995" si="77">+A4931+1</f>
        <v>4931</v>
      </c>
      <c r="B4932" s="983" t="s">
        <v>2714</v>
      </c>
      <c r="C4932" s="1000"/>
      <c r="H4932" s="983" t="s">
        <v>1108</v>
      </c>
    </row>
    <row r="4933" spans="1:9" x14ac:dyDescent="0.2">
      <c r="A4933" s="997">
        <f t="shared" si="77"/>
        <v>4932</v>
      </c>
      <c r="B4933" s="983" t="s">
        <v>2714</v>
      </c>
      <c r="C4933" s="1000"/>
      <c r="H4933" s="983" t="str">
        <f>CONCATENATE("&lt;valeur&gt;",Cellule_1397,"&lt;/valeur&gt;")</f>
        <v>&lt;valeur&gt;-18224,3&lt;/valeur&gt;</v>
      </c>
    </row>
    <row r="4934" spans="1:9" x14ac:dyDescent="0.2">
      <c r="A4934" s="997">
        <f t="shared" si="77"/>
        <v>4933</v>
      </c>
      <c r="B4934" s="983" t="s">
        <v>2714</v>
      </c>
      <c r="C4934" s="999"/>
      <c r="G4934" s="983" t="s">
        <v>1109</v>
      </c>
    </row>
    <row r="4935" spans="1:9" x14ac:dyDescent="0.2">
      <c r="A4935" s="997">
        <f t="shared" si="77"/>
        <v>4934</v>
      </c>
      <c r="B4935" s="983" t="s">
        <v>2714</v>
      </c>
      <c r="C4935" s="999"/>
      <c r="G4935" s="983" t="s">
        <v>1106</v>
      </c>
    </row>
    <row r="4936" spans="1:9" x14ac:dyDescent="0.2">
      <c r="A4936" s="997">
        <f t="shared" si="77"/>
        <v>4935</v>
      </c>
      <c r="B4936" s="983" t="s">
        <v>2714</v>
      </c>
      <c r="C4936" s="1000"/>
      <c r="H4936" s="983" t="s">
        <v>1107</v>
      </c>
    </row>
    <row r="4937" spans="1:9" x14ac:dyDescent="0.2">
      <c r="A4937" s="997">
        <f t="shared" si="77"/>
        <v>4936</v>
      </c>
      <c r="B4937" s="983" t="s">
        <v>2714</v>
      </c>
      <c r="C4937" s="1001"/>
      <c r="I4937" s="983" t="s">
        <v>1896</v>
      </c>
    </row>
    <row r="4938" spans="1:9" x14ac:dyDescent="0.2">
      <c r="A4938" s="997">
        <f t="shared" si="77"/>
        <v>4937</v>
      </c>
      <c r="B4938" s="983" t="s">
        <v>2714</v>
      </c>
      <c r="C4938" s="1000"/>
      <c r="H4938" s="983" t="s">
        <v>1108</v>
      </c>
    </row>
    <row r="4939" spans="1:9" x14ac:dyDescent="0.2">
      <c r="A4939" s="997">
        <f t="shared" si="77"/>
        <v>4938</v>
      </c>
      <c r="B4939" s="983" t="s">
        <v>2714</v>
      </c>
      <c r="C4939" s="1000"/>
      <c r="H4939" s="983" t="str">
        <f>CONCATENATE("&lt;valeur&gt;",Cellule_1398,"&lt;/valeur&gt;")</f>
        <v>&lt;valeur&gt;0&lt;/valeur&gt;</v>
      </c>
    </row>
    <row r="4940" spans="1:9" x14ac:dyDescent="0.2">
      <c r="A4940" s="997">
        <f t="shared" si="77"/>
        <v>4939</v>
      </c>
      <c r="B4940" s="983" t="s">
        <v>2714</v>
      </c>
      <c r="C4940" s="999"/>
      <c r="G4940" s="983" t="s">
        <v>1109</v>
      </c>
    </row>
    <row r="4941" spans="1:9" x14ac:dyDescent="0.2">
      <c r="A4941" s="997">
        <f t="shared" si="77"/>
        <v>4940</v>
      </c>
      <c r="B4941" s="983" t="s">
        <v>2714</v>
      </c>
      <c r="C4941" s="999"/>
      <c r="G4941" s="983" t="s">
        <v>1106</v>
      </c>
    </row>
    <row r="4942" spans="1:9" x14ac:dyDescent="0.2">
      <c r="A4942" s="997">
        <f t="shared" si="77"/>
        <v>4941</v>
      </c>
      <c r="B4942" s="983" t="s">
        <v>2714</v>
      </c>
      <c r="C4942" s="1000"/>
      <c r="H4942" s="983" t="s">
        <v>1107</v>
      </c>
    </row>
    <row r="4943" spans="1:9" x14ac:dyDescent="0.2">
      <c r="A4943" s="997">
        <f t="shared" si="77"/>
        <v>4942</v>
      </c>
      <c r="B4943" s="983" t="s">
        <v>2714</v>
      </c>
      <c r="C4943" s="1001"/>
      <c r="I4943" s="983" t="s">
        <v>1897</v>
      </c>
    </row>
    <row r="4944" spans="1:9" x14ac:dyDescent="0.2">
      <c r="A4944" s="997">
        <f t="shared" si="77"/>
        <v>4943</v>
      </c>
      <c r="B4944" s="983" t="s">
        <v>2714</v>
      </c>
      <c r="C4944" s="1000"/>
      <c r="H4944" s="983" t="s">
        <v>1108</v>
      </c>
    </row>
    <row r="4945" spans="1:9" x14ac:dyDescent="0.2">
      <c r="A4945" s="997">
        <f t="shared" si="77"/>
        <v>4944</v>
      </c>
      <c r="B4945" s="983" t="s">
        <v>2714</v>
      </c>
      <c r="C4945" s="1000"/>
      <c r="H4945" s="983" t="str">
        <f>CONCATENATE("&lt;valeur&gt;",Cellule_1399,"&lt;/valeur&gt;")</f>
        <v>&lt;valeur&gt;-18224,3&lt;/valeur&gt;</v>
      </c>
    </row>
    <row r="4946" spans="1:9" x14ac:dyDescent="0.2">
      <c r="A4946" s="997">
        <f t="shared" si="77"/>
        <v>4945</v>
      </c>
      <c r="B4946" s="983" t="s">
        <v>2714</v>
      </c>
      <c r="C4946" s="999"/>
      <c r="G4946" s="983" t="s">
        <v>1109</v>
      </c>
    </row>
    <row r="4947" spans="1:9" x14ac:dyDescent="0.2">
      <c r="A4947" s="997">
        <f t="shared" si="77"/>
        <v>4946</v>
      </c>
      <c r="B4947" s="983" t="s">
        <v>2714</v>
      </c>
      <c r="C4947" s="999"/>
      <c r="F4947" s="983" t="s">
        <v>1110</v>
      </c>
    </row>
    <row r="4948" spans="1:9" x14ac:dyDescent="0.2">
      <c r="A4948" s="997">
        <f t="shared" si="77"/>
        <v>4947</v>
      </c>
      <c r="B4948" s="983" t="s">
        <v>2714</v>
      </c>
      <c r="C4948" s="1001"/>
      <c r="F4948" s="983" t="s">
        <v>1111</v>
      </c>
    </row>
    <row r="4949" spans="1:9" x14ac:dyDescent="0.2">
      <c r="A4949" s="997">
        <f t="shared" si="77"/>
        <v>4948</v>
      </c>
      <c r="B4949" s="983" t="s">
        <v>2714</v>
      </c>
      <c r="C4949" s="1000"/>
      <c r="F4949" s="983" t="s">
        <v>1112</v>
      </c>
    </row>
    <row r="4950" spans="1:9" x14ac:dyDescent="0.2">
      <c r="A4950" s="997">
        <f t="shared" si="77"/>
        <v>4949</v>
      </c>
      <c r="B4950" s="983" t="s">
        <v>2714</v>
      </c>
      <c r="C4950" s="1000"/>
      <c r="E4950" s="983" t="s">
        <v>1113</v>
      </c>
    </row>
    <row r="4951" spans="1:9" x14ac:dyDescent="0.2">
      <c r="A4951" s="997">
        <f t="shared" si="77"/>
        <v>4950</v>
      </c>
      <c r="B4951" s="983" t="s">
        <v>2715</v>
      </c>
      <c r="C4951" s="999"/>
      <c r="E4951" s="983" t="s">
        <v>1104</v>
      </c>
    </row>
    <row r="4952" spans="1:9" x14ac:dyDescent="0.2">
      <c r="A4952" s="997">
        <f t="shared" si="77"/>
        <v>4951</v>
      </c>
      <c r="B4952" s="983" t="s">
        <v>2715</v>
      </c>
      <c r="C4952" s="999"/>
      <c r="F4952" s="983" t="s">
        <v>1898</v>
      </c>
    </row>
    <row r="4953" spans="1:9" x14ac:dyDescent="0.2">
      <c r="A4953" s="997">
        <f t="shared" si="77"/>
        <v>4952</v>
      </c>
      <c r="B4953" s="983" t="s">
        <v>2715</v>
      </c>
      <c r="C4953" s="1000"/>
      <c r="F4953" s="983" t="s">
        <v>1105</v>
      </c>
    </row>
    <row r="4954" spans="1:9" x14ac:dyDescent="0.2">
      <c r="A4954" s="997">
        <f t="shared" si="77"/>
        <v>4953</v>
      </c>
      <c r="B4954" s="983" t="s">
        <v>2715</v>
      </c>
      <c r="C4954" s="1001"/>
      <c r="G4954" s="983" t="s">
        <v>1106</v>
      </c>
    </row>
    <row r="4955" spans="1:9" x14ac:dyDescent="0.2">
      <c r="A4955" s="997">
        <f t="shared" si="77"/>
        <v>4954</v>
      </c>
      <c r="B4955" s="983" t="s">
        <v>2715</v>
      </c>
      <c r="C4955" s="1000"/>
      <c r="H4955" s="983" t="s">
        <v>1107</v>
      </c>
    </row>
    <row r="4956" spans="1:9" x14ac:dyDescent="0.2">
      <c r="A4956" s="997">
        <f t="shared" si="77"/>
        <v>4955</v>
      </c>
      <c r="B4956" s="983" t="s">
        <v>2715</v>
      </c>
      <c r="C4956" s="1000"/>
      <c r="I4956" s="983" t="s">
        <v>1899</v>
      </c>
    </row>
    <row r="4957" spans="1:9" x14ac:dyDescent="0.2">
      <c r="A4957" s="997">
        <f t="shared" si="77"/>
        <v>4956</v>
      </c>
      <c r="B4957" s="983" t="s">
        <v>2715</v>
      </c>
      <c r="C4957" s="999"/>
      <c r="H4957" s="983" t="s">
        <v>1108</v>
      </c>
    </row>
    <row r="4958" spans="1:9" x14ac:dyDescent="0.2">
      <c r="A4958" s="997">
        <f t="shared" si="77"/>
        <v>4957</v>
      </c>
      <c r="B4958" s="983" t="s">
        <v>2715</v>
      </c>
      <c r="C4958" s="999"/>
      <c r="H4958" s="983" t="str">
        <f>CONCATENATE("&lt;valeur&gt;",Cellule_1521,"&lt;/valeur&gt;")</f>
        <v>&lt;valeur&gt;&lt;/valeur&gt;</v>
      </c>
    </row>
    <row r="4959" spans="1:9" x14ac:dyDescent="0.2">
      <c r="A4959" s="997">
        <f t="shared" si="77"/>
        <v>4958</v>
      </c>
      <c r="B4959" s="983" t="s">
        <v>2715</v>
      </c>
      <c r="C4959" s="1000"/>
      <c r="G4959" s="983" t="s">
        <v>1109</v>
      </c>
    </row>
    <row r="4960" spans="1:9" x14ac:dyDescent="0.2">
      <c r="A4960" s="997">
        <f t="shared" si="77"/>
        <v>4959</v>
      </c>
      <c r="B4960" s="983" t="s">
        <v>2715</v>
      </c>
      <c r="C4960" s="1001"/>
      <c r="G4960" s="983" t="s">
        <v>1106</v>
      </c>
    </row>
    <row r="4961" spans="1:9" x14ac:dyDescent="0.2">
      <c r="A4961" s="997">
        <f t="shared" si="77"/>
        <v>4960</v>
      </c>
      <c r="B4961" s="983" t="s">
        <v>2715</v>
      </c>
      <c r="C4961" s="1000"/>
      <c r="H4961" s="983" t="s">
        <v>1107</v>
      </c>
    </row>
    <row r="4962" spans="1:9" x14ac:dyDescent="0.2">
      <c r="A4962" s="997">
        <f t="shared" si="77"/>
        <v>4961</v>
      </c>
      <c r="B4962" s="983" t="s">
        <v>2715</v>
      </c>
      <c r="C4962" s="1000"/>
      <c r="I4962" s="983" t="s">
        <v>1900</v>
      </c>
    </row>
    <row r="4963" spans="1:9" x14ac:dyDescent="0.2">
      <c r="A4963" s="997">
        <f t="shared" si="77"/>
        <v>4962</v>
      </c>
      <c r="B4963" s="983" t="s">
        <v>2715</v>
      </c>
      <c r="C4963" s="999"/>
      <c r="H4963" s="983" t="s">
        <v>1108</v>
      </c>
    </row>
    <row r="4964" spans="1:9" x14ac:dyDescent="0.2">
      <c r="A4964" s="997">
        <f t="shared" si="77"/>
        <v>4963</v>
      </c>
      <c r="B4964" s="983" t="s">
        <v>2715</v>
      </c>
      <c r="C4964" s="999"/>
      <c r="H4964" s="983" t="str">
        <f>CONCATENATE("&lt;valeur&gt;",Cellule_1522,"&lt;/valeur&gt;")</f>
        <v>&lt;valeur&gt;0&lt;/valeur&gt;</v>
      </c>
    </row>
    <row r="4965" spans="1:9" x14ac:dyDescent="0.2">
      <c r="A4965" s="997">
        <f t="shared" si="77"/>
        <v>4964</v>
      </c>
      <c r="B4965" s="983" t="s">
        <v>2715</v>
      </c>
      <c r="C4965" s="1000"/>
      <c r="G4965" s="983" t="s">
        <v>1109</v>
      </c>
    </row>
    <row r="4966" spans="1:9" x14ac:dyDescent="0.2">
      <c r="A4966" s="997">
        <f t="shared" si="77"/>
        <v>4965</v>
      </c>
      <c r="B4966" s="983" t="s">
        <v>2715</v>
      </c>
      <c r="C4966" s="1001"/>
      <c r="G4966" s="983" t="s">
        <v>1106</v>
      </c>
    </row>
    <row r="4967" spans="1:9" x14ac:dyDescent="0.2">
      <c r="A4967" s="997">
        <f t="shared" si="77"/>
        <v>4966</v>
      </c>
      <c r="B4967" s="983" t="s">
        <v>2715</v>
      </c>
      <c r="C4967" s="1000"/>
      <c r="H4967" s="983" t="s">
        <v>1107</v>
      </c>
    </row>
    <row r="4968" spans="1:9" x14ac:dyDescent="0.2">
      <c r="A4968" s="997">
        <f t="shared" si="77"/>
        <v>4967</v>
      </c>
      <c r="B4968" s="983" t="s">
        <v>2715</v>
      </c>
      <c r="C4968" s="1000"/>
      <c r="I4968" s="983" t="s">
        <v>1901</v>
      </c>
    </row>
    <row r="4969" spans="1:9" x14ac:dyDescent="0.2">
      <c r="A4969" s="997">
        <f t="shared" si="77"/>
        <v>4968</v>
      </c>
      <c r="B4969" s="983" t="s">
        <v>2715</v>
      </c>
      <c r="C4969" s="999"/>
      <c r="H4969" s="983" t="s">
        <v>1108</v>
      </c>
    </row>
    <row r="4970" spans="1:9" x14ac:dyDescent="0.2">
      <c r="A4970" s="997">
        <f t="shared" si="77"/>
        <v>4969</v>
      </c>
      <c r="B4970" s="983" t="s">
        <v>2715</v>
      </c>
      <c r="C4970" s="999"/>
      <c r="H4970" s="983" t="str">
        <f>CONCATENATE("&lt;valeur&gt;",Cellule_1523,"&lt;/valeur&gt;")</f>
        <v>&lt;valeur&gt;0&lt;/valeur&gt;</v>
      </c>
    </row>
    <row r="4971" spans="1:9" x14ac:dyDescent="0.2">
      <c r="A4971" s="997">
        <f t="shared" si="77"/>
        <v>4970</v>
      </c>
      <c r="B4971" s="983" t="s">
        <v>2715</v>
      </c>
      <c r="C4971" s="1000"/>
      <c r="G4971" s="983" t="s">
        <v>1109</v>
      </c>
    </row>
    <row r="4972" spans="1:9" x14ac:dyDescent="0.2">
      <c r="A4972" s="997">
        <f t="shared" si="77"/>
        <v>4971</v>
      </c>
      <c r="B4972" s="983" t="s">
        <v>2715</v>
      </c>
      <c r="C4972" s="1001"/>
      <c r="G4972" s="983" t="s">
        <v>1106</v>
      </c>
    </row>
    <row r="4973" spans="1:9" x14ac:dyDescent="0.2">
      <c r="A4973" s="997">
        <f t="shared" si="77"/>
        <v>4972</v>
      </c>
      <c r="B4973" s="983" t="s">
        <v>2715</v>
      </c>
      <c r="C4973" s="1000"/>
      <c r="H4973" s="983" t="s">
        <v>1107</v>
      </c>
    </row>
    <row r="4974" spans="1:9" x14ac:dyDescent="0.2">
      <c r="A4974" s="997">
        <f t="shared" si="77"/>
        <v>4973</v>
      </c>
      <c r="B4974" s="983" t="s">
        <v>2715</v>
      </c>
      <c r="C4974" s="1000"/>
      <c r="I4974" s="983" t="s">
        <v>1902</v>
      </c>
    </row>
    <row r="4975" spans="1:9" x14ac:dyDescent="0.2">
      <c r="A4975" s="997">
        <f t="shared" si="77"/>
        <v>4974</v>
      </c>
      <c r="B4975" s="983" t="s">
        <v>2715</v>
      </c>
      <c r="C4975" s="999"/>
      <c r="H4975" s="983" t="s">
        <v>1108</v>
      </c>
    </row>
    <row r="4976" spans="1:9" x14ac:dyDescent="0.2">
      <c r="A4976" s="997">
        <f t="shared" si="77"/>
        <v>4975</v>
      </c>
      <c r="B4976" s="983" t="s">
        <v>2715</v>
      </c>
      <c r="C4976" s="999"/>
      <c r="H4976" s="983" t="str">
        <f>CONCATENATE("&lt;valeur&gt;",Cellule_1524,"&lt;/valeur&gt;")</f>
        <v>&lt;valeur&gt;0&lt;/valeur&gt;</v>
      </c>
    </row>
    <row r="4977" spans="1:9" x14ac:dyDescent="0.2">
      <c r="A4977" s="997">
        <f t="shared" si="77"/>
        <v>4976</v>
      </c>
      <c r="B4977" s="983" t="s">
        <v>2715</v>
      </c>
      <c r="C4977" s="1000"/>
      <c r="G4977" s="983" t="s">
        <v>1109</v>
      </c>
    </row>
    <row r="4978" spans="1:9" x14ac:dyDescent="0.2">
      <c r="A4978" s="997">
        <f t="shared" si="77"/>
        <v>4977</v>
      </c>
      <c r="B4978" s="983" t="s">
        <v>2715</v>
      </c>
      <c r="C4978" s="1001"/>
      <c r="G4978" s="983" t="s">
        <v>1106</v>
      </c>
    </row>
    <row r="4979" spans="1:9" x14ac:dyDescent="0.2">
      <c r="A4979" s="997">
        <f t="shared" si="77"/>
        <v>4978</v>
      </c>
      <c r="B4979" s="983" t="s">
        <v>2715</v>
      </c>
      <c r="C4979" s="1000"/>
      <c r="H4979" s="983" t="s">
        <v>1107</v>
      </c>
    </row>
    <row r="4980" spans="1:9" x14ac:dyDescent="0.2">
      <c r="A4980" s="997">
        <f t="shared" si="77"/>
        <v>4979</v>
      </c>
      <c r="B4980" s="983" t="s">
        <v>2715</v>
      </c>
      <c r="C4980" s="1000"/>
      <c r="I4980" s="983" t="s">
        <v>1903</v>
      </c>
    </row>
    <row r="4981" spans="1:9" x14ac:dyDescent="0.2">
      <c r="A4981" s="997">
        <f t="shared" si="77"/>
        <v>4980</v>
      </c>
      <c r="B4981" s="983" t="s">
        <v>2715</v>
      </c>
      <c r="C4981" s="999"/>
      <c r="H4981" s="983" t="s">
        <v>1108</v>
      </c>
    </row>
    <row r="4982" spans="1:9" x14ac:dyDescent="0.2">
      <c r="A4982" s="997">
        <f t="shared" si="77"/>
        <v>4981</v>
      </c>
      <c r="B4982" s="983" t="s">
        <v>2715</v>
      </c>
      <c r="C4982" s="999"/>
      <c r="H4982" s="983" t="str">
        <f>CONCATENATE("&lt;valeur&gt;",Cellule_1525,"&lt;/valeur&gt;")</f>
        <v>&lt;valeur&gt;&lt;/valeur&gt;</v>
      </c>
    </row>
    <row r="4983" spans="1:9" x14ac:dyDescent="0.2">
      <c r="A4983" s="997">
        <f t="shared" si="77"/>
        <v>4982</v>
      </c>
      <c r="B4983" s="983" t="s">
        <v>2715</v>
      </c>
      <c r="C4983" s="1000"/>
      <c r="G4983" s="983" t="s">
        <v>1109</v>
      </c>
    </row>
    <row r="4984" spans="1:9" x14ac:dyDescent="0.2">
      <c r="A4984" s="997">
        <f t="shared" si="77"/>
        <v>4983</v>
      </c>
      <c r="B4984" s="983" t="s">
        <v>2715</v>
      </c>
      <c r="C4984" s="1001"/>
      <c r="G4984" s="983" t="s">
        <v>1106</v>
      </c>
    </row>
    <row r="4985" spans="1:9" x14ac:dyDescent="0.2">
      <c r="A4985" s="997">
        <f t="shared" si="77"/>
        <v>4984</v>
      </c>
      <c r="B4985" s="983" t="s">
        <v>2715</v>
      </c>
      <c r="C4985" s="1000"/>
      <c r="H4985" s="983" t="s">
        <v>1107</v>
      </c>
    </row>
    <row r="4986" spans="1:9" x14ac:dyDescent="0.2">
      <c r="A4986" s="997">
        <f t="shared" si="77"/>
        <v>4985</v>
      </c>
      <c r="B4986" s="983" t="s">
        <v>2715</v>
      </c>
      <c r="C4986" s="1000"/>
      <c r="I4986" s="983" t="s">
        <v>1904</v>
      </c>
    </row>
    <row r="4987" spans="1:9" x14ac:dyDescent="0.2">
      <c r="A4987" s="997">
        <f t="shared" si="77"/>
        <v>4986</v>
      </c>
      <c r="B4987" s="983" t="s">
        <v>2715</v>
      </c>
      <c r="C4987" s="999"/>
      <c r="H4987" s="983" t="s">
        <v>1108</v>
      </c>
    </row>
    <row r="4988" spans="1:9" x14ac:dyDescent="0.2">
      <c r="A4988" s="997">
        <f t="shared" si="77"/>
        <v>4987</v>
      </c>
      <c r="B4988" s="983" t="s">
        <v>2715</v>
      </c>
      <c r="C4988" s="999"/>
      <c r="H4988" s="983" t="str">
        <f>CONCATENATE("&lt;valeur&gt;",Cellule_1526,"&lt;/valeur&gt;")</f>
        <v>&lt;valeur&gt;0&lt;/valeur&gt;</v>
      </c>
    </row>
    <row r="4989" spans="1:9" x14ac:dyDescent="0.2">
      <c r="A4989" s="997">
        <f t="shared" si="77"/>
        <v>4988</v>
      </c>
      <c r="B4989" s="983" t="s">
        <v>2715</v>
      </c>
      <c r="C4989" s="1000"/>
      <c r="G4989" s="983" t="s">
        <v>1109</v>
      </c>
    </row>
    <row r="4990" spans="1:9" x14ac:dyDescent="0.2">
      <c r="A4990" s="997">
        <f t="shared" si="77"/>
        <v>4989</v>
      </c>
      <c r="B4990" s="983" t="s">
        <v>2715</v>
      </c>
      <c r="C4990" s="1001"/>
      <c r="G4990" s="983" t="s">
        <v>1106</v>
      </c>
    </row>
    <row r="4991" spans="1:9" x14ac:dyDescent="0.2">
      <c r="A4991" s="997">
        <f t="shared" si="77"/>
        <v>4990</v>
      </c>
      <c r="B4991" s="983" t="s">
        <v>2715</v>
      </c>
      <c r="C4991" s="1000"/>
      <c r="H4991" s="983" t="s">
        <v>1107</v>
      </c>
    </row>
    <row r="4992" spans="1:9" x14ac:dyDescent="0.2">
      <c r="A4992" s="997">
        <f t="shared" si="77"/>
        <v>4991</v>
      </c>
      <c r="B4992" s="983" t="s">
        <v>2715</v>
      </c>
      <c r="C4992" s="1000"/>
      <c r="I4992" s="983" t="s">
        <v>1905</v>
      </c>
    </row>
    <row r="4993" spans="1:9" x14ac:dyDescent="0.2">
      <c r="A4993" s="997">
        <f t="shared" si="77"/>
        <v>4992</v>
      </c>
      <c r="B4993" s="983" t="s">
        <v>2715</v>
      </c>
      <c r="C4993" s="999"/>
      <c r="H4993" s="983" t="s">
        <v>1108</v>
      </c>
    </row>
    <row r="4994" spans="1:9" x14ac:dyDescent="0.2">
      <c r="A4994" s="997">
        <f t="shared" si="77"/>
        <v>4993</v>
      </c>
      <c r="B4994" s="983" t="s">
        <v>2715</v>
      </c>
      <c r="C4994" s="998"/>
      <c r="H4994" s="983" t="str">
        <f>CONCATENATE("&lt;valeur&gt;",Cellule_1527,"&lt;/valeur&gt;")</f>
        <v>&lt;valeur&gt;0&lt;/valeur&gt;</v>
      </c>
    </row>
    <row r="4995" spans="1:9" x14ac:dyDescent="0.2">
      <c r="A4995" s="997">
        <f t="shared" si="77"/>
        <v>4994</v>
      </c>
      <c r="B4995" s="983" t="s">
        <v>2715</v>
      </c>
      <c r="C4995" s="998"/>
      <c r="G4995" s="983" t="s">
        <v>1109</v>
      </c>
    </row>
    <row r="4996" spans="1:9" x14ac:dyDescent="0.2">
      <c r="A4996" s="997">
        <f t="shared" ref="A4996:A5059" si="78">+A4995+1</f>
        <v>4995</v>
      </c>
      <c r="B4996" s="983" t="s">
        <v>2715</v>
      </c>
      <c r="C4996" s="995"/>
      <c r="G4996" s="983" t="s">
        <v>1106</v>
      </c>
    </row>
    <row r="4997" spans="1:9" x14ac:dyDescent="0.2">
      <c r="A4997" s="997">
        <f t="shared" si="78"/>
        <v>4996</v>
      </c>
      <c r="B4997" s="983" t="s">
        <v>2715</v>
      </c>
      <c r="C4997" s="995"/>
      <c r="H4997" s="983" t="s">
        <v>1107</v>
      </c>
    </row>
    <row r="4998" spans="1:9" x14ac:dyDescent="0.2">
      <c r="A4998" s="997">
        <f t="shared" si="78"/>
        <v>4997</v>
      </c>
      <c r="B4998" s="983" t="s">
        <v>2715</v>
      </c>
      <c r="C4998" s="998"/>
      <c r="I4998" s="983" t="s">
        <v>1906</v>
      </c>
    </row>
    <row r="4999" spans="1:9" x14ac:dyDescent="0.2">
      <c r="A4999" s="997">
        <f t="shared" si="78"/>
        <v>4998</v>
      </c>
      <c r="B4999" s="983" t="s">
        <v>2715</v>
      </c>
      <c r="C4999" s="999"/>
      <c r="H4999" s="983" t="s">
        <v>1108</v>
      </c>
    </row>
    <row r="5000" spans="1:9" x14ac:dyDescent="0.2">
      <c r="A5000" s="997">
        <f t="shared" si="78"/>
        <v>4999</v>
      </c>
      <c r="B5000" s="983" t="s">
        <v>2715</v>
      </c>
      <c r="C5000" s="998"/>
      <c r="H5000" s="983" t="str">
        <f>CONCATENATE("&lt;valeur&gt;",Cellule_1528,"&lt;/valeur&gt;")</f>
        <v>&lt;valeur&gt;0&lt;/valeur&gt;</v>
      </c>
    </row>
    <row r="5001" spans="1:9" x14ac:dyDescent="0.2">
      <c r="A5001" s="997">
        <f t="shared" si="78"/>
        <v>5000</v>
      </c>
      <c r="B5001" s="983" t="s">
        <v>2715</v>
      </c>
      <c r="C5001" s="998"/>
      <c r="G5001" s="983" t="s">
        <v>1109</v>
      </c>
    </row>
    <row r="5002" spans="1:9" x14ac:dyDescent="0.2">
      <c r="A5002" s="997">
        <f t="shared" si="78"/>
        <v>5001</v>
      </c>
      <c r="B5002" s="983" t="s">
        <v>2715</v>
      </c>
      <c r="C5002" s="999"/>
      <c r="G5002" s="983" t="s">
        <v>1106</v>
      </c>
    </row>
    <row r="5003" spans="1:9" x14ac:dyDescent="0.2">
      <c r="A5003" s="997">
        <f t="shared" si="78"/>
        <v>5002</v>
      </c>
      <c r="B5003" s="983" t="s">
        <v>2715</v>
      </c>
      <c r="C5003" s="1000"/>
      <c r="H5003" s="983" t="s">
        <v>1107</v>
      </c>
    </row>
    <row r="5004" spans="1:9" x14ac:dyDescent="0.2">
      <c r="A5004" s="997">
        <f t="shared" si="78"/>
        <v>5003</v>
      </c>
      <c r="B5004" s="983" t="s">
        <v>2715</v>
      </c>
      <c r="C5004" s="1001"/>
      <c r="I5004" s="983" t="s">
        <v>1907</v>
      </c>
    </row>
    <row r="5005" spans="1:9" x14ac:dyDescent="0.2">
      <c r="A5005" s="997">
        <f t="shared" si="78"/>
        <v>5004</v>
      </c>
      <c r="B5005" s="983" t="s">
        <v>2715</v>
      </c>
      <c r="C5005" s="1000"/>
      <c r="H5005" s="983" t="s">
        <v>1108</v>
      </c>
    </row>
    <row r="5006" spans="1:9" x14ac:dyDescent="0.2">
      <c r="A5006" s="997">
        <f t="shared" si="78"/>
        <v>5005</v>
      </c>
      <c r="B5006" s="983" t="s">
        <v>2715</v>
      </c>
      <c r="C5006" s="1000"/>
      <c r="H5006" s="983" t="str">
        <f>CONCATENATE("&lt;valeur&gt;",Cellule_1529,"&lt;/valeur&gt;")</f>
        <v>&lt;valeur&gt;0&lt;/valeur&gt;</v>
      </c>
    </row>
    <row r="5007" spans="1:9" x14ac:dyDescent="0.2">
      <c r="A5007" s="997">
        <f t="shared" si="78"/>
        <v>5006</v>
      </c>
      <c r="B5007" s="983" t="s">
        <v>2715</v>
      </c>
      <c r="C5007" s="999"/>
      <c r="G5007" s="983" t="s">
        <v>1109</v>
      </c>
    </row>
    <row r="5008" spans="1:9" x14ac:dyDescent="0.2">
      <c r="A5008" s="997">
        <f t="shared" si="78"/>
        <v>5007</v>
      </c>
      <c r="B5008" s="983" t="s">
        <v>2715</v>
      </c>
      <c r="C5008" s="999"/>
      <c r="G5008" s="983" t="s">
        <v>1106</v>
      </c>
    </row>
    <row r="5009" spans="1:9" x14ac:dyDescent="0.2">
      <c r="A5009" s="997">
        <f t="shared" si="78"/>
        <v>5008</v>
      </c>
      <c r="B5009" s="983" t="s">
        <v>2715</v>
      </c>
      <c r="C5009" s="1000"/>
      <c r="H5009" s="983" t="s">
        <v>1107</v>
      </c>
    </row>
    <row r="5010" spans="1:9" x14ac:dyDescent="0.2">
      <c r="A5010" s="997">
        <f t="shared" si="78"/>
        <v>5009</v>
      </c>
      <c r="B5010" s="983" t="s">
        <v>2715</v>
      </c>
      <c r="C5010" s="1001"/>
      <c r="I5010" s="983" t="s">
        <v>1908</v>
      </c>
    </row>
    <row r="5011" spans="1:9" x14ac:dyDescent="0.2">
      <c r="A5011" s="997">
        <f t="shared" si="78"/>
        <v>5010</v>
      </c>
      <c r="B5011" s="983" t="s">
        <v>2715</v>
      </c>
      <c r="C5011" s="1000"/>
      <c r="H5011" s="983" t="s">
        <v>1108</v>
      </c>
    </row>
    <row r="5012" spans="1:9" x14ac:dyDescent="0.2">
      <c r="A5012" s="997">
        <f t="shared" si="78"/>
        <v>5011</v>
      </c>
      <c r="B5012" s="983" t="s">
        <v>2715</v>
      </c>
      <c r="C5012" s="1000"/>
      <c r="H5012" s="983" t="str">
        <f>CONCATENATE("&lt;valeur&gt;",Cellule_1530,"&lt;/valeur&gt;")</f>
        <v>&lt;valeur&gt;0&lt;/valeur&gt;</v>
      </c>
    </row>
    <row r="5013" spans="1:9" x14ac:dyDescent="0.2">
      <c r="A5013" s="997">
        <f t="shared" si="78"/>
        <v>5012</v>
      </c>
      <c r="B5013" s="983" t="s">
        <v>2715</v>
      </c>
      <c r="C5013" s="999"/>
      <c r="G5013" s="983" t="s">
        <v>1109</v>
      </c>
    </row>
    <row r="5014" spans="1:9" x14ac:dyDescent="0.2">
      <c r="A5014" s="997">
        <f t="shared" si="78"/>
        <v>5013</v>
      </c>
      <c r="B5014" s="983" t="s">
        <v>2715</v>
      </c>
      <c r="C5014" s="999"/>
      <c r="G5014" s="983" t="s">
        <v>1106</v>
      </c>
    </row>
    <row r="5015" spans="1:9" x14ac:dyDescent="0.2">
      <c r="A5015" s="997">
        <f t="shared" si="78"/>
        <v>5014</v>
      </c>
      <c r="B5015" s="983" t="s">
        <v>2715</v>
      </c>
      <c r="C5015" s="1000"/>
      <c r="H5015" s="983" t="s">
        <v>1107</v>
      </c>
    </row>
    <row r="5016" spans="1:9" x14ac:dyDescent="0.2">
      <c r="A5016" s="997">
        <f t="shared" si="78"/>
        <v>5015</v>
      </c>
      <c r="B5016" s="983" t="s">
        <v>2715</v>
      </c>
      <c r="C5016" s="1001"/>
      <c r="I5016" s="983" t="s">
        <v>1909</v>
      </c>
    </row>
    <row r="5017" spans="1:9" x14ac:dyDescent="0.2">
      <c r="A5017" s="997">
        <f t="shared" si="78"/>
        <v>5016</v>
      </c>
      <c r="B5017" s="983" t="s">
        <v>2715</v>
      </c>
      <c r="C5017" s="1000"/>
      <c r="H5017" s="983" t="s">
        <v>1108</v>
      </c>
    </row>
    <row r="5018" spans="1:9" x14ac:dyDescent="0.2">
      <c r="A5018" s="997">
        <f t="shared" si="78"/>
        <v>5017</v>
      </c>
      <c r="B5018" s="983" t="s">
        <v>2715</v>
      </c>
      <c r="C5018" s="1000"/>
      <c r="H5018" s="983" t="str">
        <f>CONCATENATE("&lt;valeur&gt;",Cellule_1531,"&lt;/valeur&gt;")</f>
        <v>&lt;valeur&gt;0&lt;/valeur&gt;</v>
      </c>
    </row>
    <row r="5019" spans="1:9" x14ac:dyDescent="0.2">
      <c r="A5019" s="997">
        <f t="shared" si="78"/>
        <v>5018</v>
      </c>
      <c r="B5019" s="983" t="s">
        <v>2715</v>
      </c>
      <c r="C5019" s="999"/>
      <c r="G5019" s="983" t="s">
        <v>1109</v>
      </c>
    </row>
    <row r="5020" spans="1:9" x14ac:dyDescent="0.2">
      <c r="A5020" s="997">
        <f t="shared" si="78"/>
        <v>5019</v>
      </c>
      <c r="B5020" s="983" t="s">
        <v>2715</v>
      </c>
      <c r="C5020" s="999"/>
      <c r="G5020" s="983" t="s">
        <v>1106</v>
      </c>
    </row>
    <row r="5021" spans="1:9" x14ac:dyDescent="0.2">
      <c r="A5021" s="997">
        <f t="shared" si="78"/>
        <v>5020</v>
      </c>
      <c r="B5021" s="983" t="s">
        <v>2715</v>
      </c>
      <c r="C5021" s="1000"/>
      <c r="H5021" s="983" t="s">
        <v>1107</v>
      </c>
    </row>
    <row r="5022" spans="1:9" x14ac:dyDescent="0.2">
      <c r="A5022" s="997">
        <f t="shared" si="78"/>
        <v>5021</v>
      </c>
      <c r="B5022" s="983" t="s">
        <v>2715</v>
      </c>
      <c r="C5022" s="1001"/>
      <c r="I5022" s="983" t="s">
        <v>1910</v>
      </c>
    </row>
    <row r="5023" spans="1:9" x14ac:dyDescent="0.2">
      <c r="A5023" s="997">
        <f t="shared" si="78"/>
        <v>5022</v>
      </c>
      <c r="B5023" s="983" t="s">
        <v>2715</v>
      </c>
      <c r="C5023" s="1000"/>
      <c r="H5023" s="983" t="s">
        <v>1108</v>
      </c>
    </row>
    <row r="5024" spans="1:9" x14ac:dyDescent="0.2">
      <c r="A5024" s="997">
        <f t="shared" si="78"/>
        <v>5023</v>
      </c>
      <c r="B5024" s="983" t="s">
        <v>2715</v>
      </c>
      <c r="C5024" s="1000"/>
      <c r="H5024" s="983" t="str">
        <f>CONCATENATE("&lt;valeur&gt;",Cellule_1532,"&lt;/valeur&gt;")</f>
        <v>&lt;valeur&gt;0&lt;/valeur&gt;</v>
      </c>
    </row>
    <row r="5025" spans="1:9" x14ac:dyDescent="0.2">
      <c r="A5025" s="997">
        <f t="shared" si="78"/>
        <v>5024</v>
      </c>
      <c r="B5025" s="983" t="s">
        <v>2715</v>
      </c>
      <c r="C5025" s="999"/>
      <c r="G5025" s="983" t="s">
        <v>1109</v>
      </c>
    </row>
    <row r="5026" spans="1:9" x14ac:dyDescent="0.2">
      <c r="A5026" s="997">
        <f t="shared" si="78"/>
        <v>5025</v>
      </c>
      <c r="B5026" s="983" t="s">
        <v>2715</v>
      </c>
      <c r="C5026" s="999"/>
      <c r="G5026" s="983" t="s">
        <v>1106</v>
      </c>
    </row>
    <row r="5027" spans="1:9" x14ac:dyDescent="0.2">
      <c r="A5027" s="997">
        <f t="shared" si="78"/>
        <v>5026</v>
      </c>
      <c r="B5027" s="983" t="s">
        <v>2715</v>
      </c>
      <c r="C5027" s="1000"/>
      <c r="H5027" s="983" t="s">
        <v>1107</v>
      </c>
    </row>
    <row r="5028" spans="1:9" x14ac:dyDescent="0.2">
      <c r="A5028" s="997">
        <f t="shared" si="78"/>
        <v>5027</v>
      </c>
      <c r="B5028" s="983" t="s">
        <v>2715</v>
      </c>
      <c r="C5028" s="1001"/>
      <c r="I5028" s="983" t="s">
        <v>1911</v>
      </c>
    </row>
    <row r="5029" spans="1:9" x14ac:dyDescent="0.2">
      <c r="A5029" s="997">
        <f t="shared" si="78"/>
        <v>5028</v>
      </c>
      <c r="B5029" s="983" t="s">
        <v>2715</v>
      </c>
      <c r="C5029" s="1000"/>
      <c r="H5029" s="983" t="s">
        <v>1108</v>
      </c>
    </row>
    <row r="5030" spans="1:9" x14ac:dyDescent="0.2">
      <c r="A5030" s="997">
        <f t="shared" si="78"/>
        <v>5029</v>
      </c>
      <c r="B5030" s="983" t="s">
        <v>2715</v>
      </c>
      <c r="C5030" s="1000"/>
      <c r="H5030" s="983" t="str">
        <f>CONCATENATE("&lt;valeur&gt;",Cellule_1533,"&lt;/valeur&gt;")</f>
        <v>&lt;valeur&gt;&lt;/valeur&gt;</v>
      </c>
    </row>
    <row r="5031" spans="1:9" x14ac:dyDescent="0.2">
      <c r="A5031" s="997">
        <f t="shared" si="78"/>
        <v>5030</v>
      </c>
      <c r="B5031" s="983" t="s">
        <v>2715</v>
      </c>
      <c r="C5031" s="999"/>
      <c r="G5031" s="983" t="s">
        <v>1109</v>
      </c>
    </row>
    <row r="5032" spans="1:9" x14ac:dyDescent="0.2">
      <c r="A5032" s="997">
        <f t="shared" si="78"/>
        <v>5031</v>
      </c>
      <c r="B5032" s="983" t="s">
        <v>2715</v>
      </c>
      <c r="C5032" s="999"/>
      <c r="G5032" s="983" t="s">
        <v>1106</v>
      </c>
    </row>
    <row r="5033" spans="1:9" x14ac:dyDescent="0.2">
      <c r="A5033" s="997">
        <f t="shared" si="78"/>
        <v>5032</v>
      </c>
      <c r="B5033" s="983" t="s">
        <v>2715</v>
      </c>
      <c r="C5033" s="1000"/>
      <c r="H5033" s="983" t="s">
        <v>1107</v>
      </c>
    </row>
    <row r="5034" spans="1:9" x14ac:dyDescent="0.2">
      <c r="A5034" s="997">
        <f t="shared" si="78"/>
        <v>5033</v>
      </c>
      <c r="B5034" s="983" t="s">
        <v>2715</v>
      </c>
      <c r="C5034" s="1001"/>
      <c r="I5034" s="983" t="s">
        <v>1912</v>
      </c>
    </row>
    <row r="5035" spans="1:9" x14ac:dyDescent="0.2">
      <c r="A5035" s="997">
        <f t="shared" si="78"/>
        <v>5034</v>
      </c>
      <c r="B5035" s="983" t="s">
        <v>2715</v>
      </c>
      <c r="C5035" s="1000"/>
      <c r="H5035" s="983" t="s">
        <v>1108</v>
      </c>
    </row>
    <row r="5036" spans="1:9" x14ac:dyDescent="0.2">
      <c r="A5036" s="997">
        <f t="shared" si="78"/>
        <v>5035</v>
      </c>
      <c r="B5036" s="983" t="s">
        <v>2715</v>
      </c>
      <c r="C5036" s="1000"/>
      <c r="H5036" s="983" t="str">
        <f>CONCATENATE("&lt;valeur&gt;",Cellule_1534,"&lt;/valeur&gt;")</f>
        <v>&lt;valeur&gt;12000&lt;/valeur&gt;</v>
      </c>
    </row>
    <row r="5037" spans="1:9" x14ac:dyDescent="0.2">
      <c r="A5037" s="997">
        <f t="shared" si="78"/>
        <v>5036</v>
      </c>
      <c r="B5037" s="983" t="s">
        <v>2715</v>
      </c>
      <c r="C5037" s="999"/>
      <c r="G5037" s="983" t="s">
        <v>1109</v>
      </c>
    </row>
    <row r="5038" spans="1:9" x14ac:dyDescent="0.2">
      <c r="A5038" s="997">
        <f t="shared" si="78"/>
        <v>5037</v>
      </c>
      <c r="B5038" s="983" t="s">
        <v>2715</v>
      </c>
      <c r="C5038" s="999"/>
      <c r="G5038" s="983" t="s">
        <v>1106</v>
      </c>
    </row>
    <row r="5039" spans="1:9" x14ac:dyDescent="0.2">
      <c r="A5039" s="997">
        <f t="shared" si="78"/>
        <v>5038</v>
      </c>
      <c r="B5039" s="983" t="s">
        <v>2715</v>
      </c>
      <c r="C5039" s="1000"/>
      <c r="H5039" s="983" t="s">
        <v>1107</v>
      </c>
    </row>
    <row r="5040" spans="1:9" x14ac:dyDescent="0.2">
      <c r="A5040" s="997">
        <f t="shared" si="78"/>
        <v>5039</v>
      </c>
      <c r="B5040" s="983" t="s">
        <v>2715</v>
      </c>
      <c r="C5040" s="1001"/>
      <c r="I5040" s="983" t="s">
        <v>1913</v>
      </c>
    </row>
    <row r="5041" spans="1:9" x14ac:dyDescent="0.2">
      <c r="A5041" s="997">
        <f t="shared" si="78"/>
        <v>5040</v>
      </c>
      <c r="B5041" s="983" t="s">
        <v>2715</v>
      </c>
      <c r="C5041" s="1000"/>
      <c r="H5041" s="983" t="s">
        <v>1108</v>
      </c>
    </row>
    <row r="5042" spans="1:9" x14ac:dyDescent="0.2">
      <c r="A5042" s="997">
        <f t="shared" si="78"/>
        <v>5041</v>
      </c>
      <c r="B5042" s="983" t="s">
        <v>2715</v>
      </c>
      <c r="C5042" s="1000"/>
      <c r="H5042" s="983" t="str">
        <f>CONCATENATE("&lt;valeur&gt;",Cellule_1535,"&lt;/valeur&gt;")</f>
        <v>&lt;valeur&gt;0&lt;/valeur&gt;</v>
      </c>
    </row>
    <row r="5043" spans="1:9" x14ac:dyDescent="0.2">
      <c r="A5043" s="997">
        <f t="shared" si="78"/>
        <v>5042</v>
      </c>
      <c r="B5043" s="983" t="s">
        <v>2715</v>
      </c>
      <c r="C5043" s="999"/>
      <c r="G5043" s="983" t="s">
        <v>1109</v>
      </c>
    </row>
    <row r="5044" spans="1:9" x14ac:dyDescent="0.2">
      <c r="A5044" s="997">
        <f t="shared" si="78"/>
        <v>5043</v>
      </c>
      <c r="B5044" s="983" t="s">
        <v>2715</v>
      </c>
      <c r="C5044" s="999"/>
      <c r="G5044" s="983" t="s">
        <v>1106</v>
      </c>
    </row>
    <row r="5045" spans="1:9" x14ac:dyDescent="0.2">
      <c r="A5045" s="997">
        <f t="shared" si="78"/>
        <v>5044</v>
      </c>
      <c r="B5045" s="983" t="s">
        <v>2715</v>
      </c>
      <c r="C5045" s="1000"/>
      <c r="H5045" s="983" t="s">
        <v>1107</v>
      </c>
    </row>
    <row r="5046" spans="1:9" x14ac:dyDescent="0.2">
      <c r="A5046" s="997">
        <f t="shared" si="78"/>
        <v>5045</v>
      </c>
      <c r="B5046" s="983" t="s">
        <v>2715</v>
      </c>
      <c r="C5046" s="1001"/>
      <c r="I5046" s="983" t="s">
        <v>1914</v>
      </c>
    </row>
    <row r="5047" spans="1:9" x14ac:dyDescent="0.2">
      <c r="A5047" s="997">
        <f t="shared" si="78"/>
        <v>5046</v>
      </c>
      <c r="B5047" s="983" t="s">
        <v>2715</v>
      </c>
      <c r="C5047" s="1000"/>
      <c r="H5047" s="983" t="s">
        <v>1108</v>
      </c>
    </row>
    <row r="5048" spans="1:9" x14ac:dyDescent="0.2">
      <c r="A5048" s="997">
        <f t="shared" si="78"/>
        <v>5047</v>
      </c>
      <c r="B5048" s="983" t="s">
        <v>2715</v>
      </c>
      <c r="C5048" s="1000"/>
      <c r="H5048" s="983" t="str">
        <f>CONCATENATE("&lt;valeur&gt;",Cellule_1536,"&lt;/valeur&gt;")</f>
        <v>&lt;valeur&gt;6438,04&lt;/valeur&gt;</v>
      </c>
    </row>
    <row r="5049" spans="1:9" x14ac:dyDescent="0.2">
      <c r="A5049" s="997">
        <f t="shared" si="78"/>
        <v>5048</v>
      </c>
      <c r="B5049" s="983" t="s">
        <v>2715</v>
      </c>
      <c r="C5049" s="999"/>
      <c r="G5049" s="983" t="s">
        <v>1109</v>
      </c>
    </row>
    <row r="5050" spans="1:9" x14ac:dyDescent="0.2">
      <c r="A5050" s="997">
        <f t="shared" si="78"/>
        <v>5049</v>
      </c>
      <c r="B5050" s="983" t="s">
        <v>2715</v>
      </c>
      <c r="C5050" s="999"/>
      <c r="G5050" s="983" t="s">
        <v>1106</v>
      </c>
    </row>
    <row r="5051" spans="1:9" x14ac:dyDescent="0.2">
      <c r="A5051" s="997">
        <f t="shared" si="78"/>
        <v>5050</v>
      </c>
      <c r="B5051" s="983" t="s">
        <v>2715</v>
      </c>
      <c r="C5051" s="1000"/>
      <c r="H5051" s="983" t="s">
        <v>1107</v>
      </c>
    </row>
    <row r="5052" spans="1:9" x14ac:dyDescent="0.2">
      <c r="A5052" s="997">
        <f t="shared" si="78"/>
        <v>5051</v>
      </c>
      <c r="B5052" s="983" t="s">
        <v>2715</v>
      </c>
      <c r="C5052" s="1001"/>
      <c r="I5052" s="983" t="s">
        <v>1915</v>
      </c>
    </row>
    <row r="5053" spans="1:9" x14ac:dyDescent="0.2">
      <c r="A5053" s="997">
        <f t="shared" si="78"/>
        <v>5052</v>
      </c>
      <c r="B5053" s="983" t="s">
        <v>2715</v>
      </c>
      <c r="C5053" s="1000"/>
      <c r="H5053" s="983" t="s">
        <v>1108</v>
      </c>
    </row>
    <row r="5054" spans="1:9" x14ac:dyDescent="0.2">
      <c r="A5054" s="997">
        <f t="shared" si="78"/>
        <v>5053</v>
      </c>
      <c r="B5054" s="983" t="s">
        <v>2715</v>
      </c>
      <c r="C5054" s="1000"/>
      <c r="H5054" s="983" t="str">
        <f>CONCATENATE("&lt;valeur&gt;",Cellule_1537,"&lt;/valeur&gt;")</f>
        <v>&lt;valeur&gt;49315,47&lt;/valeur&gt;</v>
      </c>
    </row>
    <row r="5055" spans="1:9" x14ac:dyDescent="0.2">
      <c r="A5055" s="997">
        <f t="shared" si="78"/>
        <v>5054</v>
      </c>
      <c r="B5055" s="983" t="s">
        <v>2715</v>
      </c>
      <c r="C5055" s="999"/>
      <c r="G5055" s="983" t="s">
        <v>1109</v>
      </c>
    </row>
    <row r="5056" spans="1:9" x14ac:dyDescent="0.2">
      <c r="A5056" s="997">
        <f t="shared" si="78"/>
        <v>5055</v>
      </c>
      <c r="B5056" s="983" t="s">
        <v>2715</v>
      </c>
      <c r="C5056" s="999"/>
      <c r="G5056" s="983" t="s">
        <v>1106</v>
      </c>
    </row>
    <row r="5057" spans="1:9" x14ac:dyDescent="0.2">
      <c r="A5057" s="997">
        <f t="shared" si="78"/>
        <v>5056</v>
      </c>
      <c r="B5057" s="983" t="s">
        <v>2715</v>
      </c>
      <c r="C5057" s="1000"/>
      <c r="H5057" s="983" t="s">
        <v>1107</v>
      </c>
    </row>
    <row r="5058" spans="1:9" x14ac:dyDescent="0.2">
      <c r="A5058" s="997">
        <f t="shared" si="78"/>
        <v>5057</v>
      </c>
      <c r="B5058" s="983" t="s">
        <v>2715</v>
      </c>
      <c r="C5058" s="1001"/>
      <c r="I5058" s="983" t="s">
        <v>1916</v>
      </c>
    </row>
    <row r="5059" spans="1:9" x14ac:dyDescent="0.2">
      <c r="A5059" s="997">
        <f t="shared" si="78"/>
        <v>5058</v>
      </c>
      <c r="B5059" s="983" t="s">
        <v>2715</v>
      </c>
      <c r="C5059" s="1000"/>
      <c r="H5059" s="983" t="s">
        <v>1108</v>
      </c>
    </row>
    <row r="5060" spans="1:9" x14ac:dyDescent="0.2">
      <c r="A5060" s="997">
        <f t="shared" ref="A5060:A5123" si="79">+A5059+1</f>
        <v>5059</v>
      </c>
      <c r="B5060" s="983" t="s">
        <v>2715</v>
      </c>
      <c r="C5060" s="1000"/>
      <c r="H5060" s="983" t="str">
        <f>CONCATENATE("&lt;valeur&gt;",Cellule_1538,"&lt;/valeur&gt;")</f>
        <v>&lt;valeur&gt;0&lt;/valeur&gt;</v>
      </c>
    </row>
    <row r="5061" spans="1:9" x14ac:dyDescent="0.2">
      <c r="A5061" s="997">
        <f t="shared" si="79"/>
        <v>5060</v>
      </c>
      <c r="B5061" s="983" t="s">
        <v>2715</v>
      </c>
      <c r="C5061" s="999"/>
      <c r="G5061" s="983" t="s">
        <v>1109</v>
      </c>
    </row>
    <row r="5062" spans="1:9" x14ac:dyDescent="0.2">
      <c r="A5062" s="997">
        <f t="shared" si="79"/>
        <v>5061</v>
      </c>
      <c r="B5062" s="983" t="s">
        <v>2715</v>
      </c>
      <c r="C5062" s="999"/>
      <c r="G5062" s="983" t="s">
        <v>1106</v>
      </c>
    </row>
    <row r="5063" spans="1:9" x14ac:dyDescent="0.2">
      <c r="A5063" s="997">
        <f t="shared" si="79"/>
        <v>5062</v>
      </c>
      <c r="B5063" s="983" t="s">
        <v>2715</v>
      </c>
      <c r="C5063" s="1000"/>
      <c r="H5063" s="983" t="s">
        <v>1107</v>
      </c>
    </row>
    <row r="5064" spans="1:9" x14ac:dyDescent="0.2">
      <c r="A5064" s="997">
        <f t="shared" si="79"/>
        <v>5063</v>
      </c>
      <c r="B5064" s="983" t="s">
        <v>2715</v>
      </c>
      <c r="C5064" s="1001"/>
      <c r="I5064" s="983" t="s">
        <v>1917</v>
      </c>
    </row>
    <row r="5065" spans="1:9" x14ac:dyDescent="0.2">
      <c r="A5065" s="997">
        <f t="shared" si="79"/>
        <v>5064</v>
      </c>
      <c r="B5065" s="983" t="s">
        <v>2715</v>
      </c>
      <c r="C5065" s="1000"/>
      <c r="H5065" s="983" t="s">
        <v>1108</v>
      </c>
    </row>
    <row r="5066" spans="1:9" x14ac:dyDescent="0.2">
      <c r="A5066" s="997">
        <f t="shared" si="79"/>
        <v>5065</v>
      </c>
      <c r="B5066" s="983" t="s">
        <v>2715</v>
      </c>
      <c r="C5066" s="1000"/>
      <c r="H5066" s="983" t="str">
        <f>CONCATENATE("&lt;valeur&gt;",Cellule_1539,"&lt;/valeur&gt;")</f>
        <v>&lt;valeur&gt;0&lt;/valeur&gt;</v>
      </c>
    </row>
    <row r="5067" spans="1:9" x14ac:dyDescent="0.2">
      <c r="A5067" s="997">
        <f t="shared" si="79"/>
        <v>5066</v>
      </c>
      <c r="B5067" s="983" t="s">
        <v>2715</v>
      </c>
      <c r="C5067" s="999"/>
      <c r="G5067" s="983" t="s">
        <v>1109</v>
      </c>
    </row>
    <row r="5068" spans="1:9" x14ac:dyDescent="0.2">
      <c r="A5068" s="997">
        <f t="shared" si="79"/>
        <v>5067</v>
      </c>
      <c r="B5068" s="983" t="s">
        <v>2715</v>
      </c>
      <c r="C5068" s="999"/>
      <c r="G5068" s="983" t="s">
        <v>1106</v>
      </c>
    </row>
    <row r="5069" spans="1:9" x14ac:dyDescent="0.2">
      <c r="A5069" s="997">
        <f t="shared" si="79"/>
        <v>5068</v>
      </c>
      <c r="B5069" s="983" t="s">
        <v>2715</v>
      </c>
      <c r="C5069" s="1000"/>
      <c r="H5069" s="983" t="s">
        <v>1107</v>
      </c>
    </row>
    <row r="5070" spans="1:9" x14ac:dyDescent="0.2">
      <c r="A5070" s="997">
        <f t="shared" si="79"/>
        <v>5069</v>
      </c>
      <c r="B5070" s="983" t="s">
        <v>2715</v>
      </c>
      <c r="C5070" s="1001"/>
      <c r="I5070" s="983" t="s">
        <v>1918</v>
      </c>
    </row>
    <row r="5071" spans="1:9" x14ac:dyDescent="0.2">
      <c r="A5071" s="997">
        <f t="shared" si="79"/>
        <v>5070</v>
      </c>
      <c r="B5071" s="983" t="s">
        <v>2715</v>
      </c>
      <c r="C5071" s="1000"/>
      <c r="H5071" s="983" t="s">
        <v>1108</v>
      </c>
    </row>
    <row r="5072" spans="1:9" x14ac:dyDescent="0.2">
      <c r="A5072" s="997">
        <f t="shared" si="79"/>
        <v>5071</v>
      </c>
      <c r="B5072" s="983" t="s">
        <v>2715</v>
      </c>
      <c r="C5072" s="1000"/>
      <c r="H5072" s="983" t="str">
        <f>CONCATENATE("&lt;valeur&gt;",Cellule_1540,"&lt;/valeur&gt;")</f>
        <v>&lt;valeur&gt;0&lt;/valeur&gt;</v>
      </c>
    </row>
    <row r="5073" spans="1:9" x14ac:dyDescent="0.2">
      <c r="A5073" s="997">
        <f t="shared" si="79"/>
        <v>5072</v>
      </c>
      <c r="B5073" s="983" t="s">
        <v>2715</v>
      </c>
      <c r="C5073" s="999"/>
      <c r="G5073" s="983" t="s">
        <v>1109</v>
      </c>
    </row>
    <row r="5074" spans="1:9" x14ac:dyDescent="0.2">
      <c r="A5074" s="997">
        <f t="shared" si="79"/>
        <v>5073</v>
      </c>
      <c r="B5074" s="983" t="s">
        <v>2715</v>
      </c>
      <c r="C5074" s="999"/>
      <c r="G5074" s="983" t="s">
        <v>1106</v>
      </c>
    </row>
    <row r="5075" spans="1:9" x14ac:dyDescent="0.2">
      <c r="A5075" s="997">
        <f t="shared" si="79"/>
        <v>5074</v>
      </c>
      <c r="B5075" s="983" t="s">
        <v>2715</v>
      </c>
      <c r="C5075" s="1000"/>
      <c r="H5075" s="983" t="s">
        <v>1107</v>
      </c>
    </row>
    <row r="5076" spans="1:9" x14ac:dyDescent="0.2">
      <c r="A5076" s="997">
        <f t="shared" si="79"/>
        <v>5075</v>
      </c>
      <c r="B5076" s="983" t="s">
        <v>2715</v>
      </c>
      <c r="C5076" s="1001"/>
      <c r="I5076" s="983" t="s">
        <v>1919</v>
      </c>
    </row>
    <row r="5077" spans="1:9" x14ac:dyDescent="0.2">
      <c r="A5077" s="997">
        <f t="shared" si="79"/>
        <v>5076</v>
      </c>
      <c r="B5077" s="983" t="s">
        <v>2715</v>
      </c>
      <c r="C5077" s="1000"/>
      <c r="H5077" s="983" t="s">
        <v>1108</v>
      </c>
    </row>
    <row r="5078" spans="1:9" x14ac:dyDescent="0.2">
      <c r="A5078" s="997">
        <f t="shared" si="79"/>
        <v>5077</v>
      </c>
      <c r="B5078" s="983" t="s">
        <v>2715</v>
      </c>
      <c r="C5078" s="1000"/>
      <c r="H5078" s="983" t="str">
        <f>CONCATENATE("&lt;valeur&gt;",Cellule_1541,"&lt;/valeur&gt;")</f>
        <v>&lt;valeur&gt;0&lt;/valeur&gt;</v>
      </c>
    </row>
    <row r="5079" spans="1:9" x14ac:dyDescent="0.2">
      <c r="A5079" s="997">
        <f t="shared" si="79"/>
        <v>5078</v>
      </c>
      <c r="B5079" s="983" t="s">
        <v>2715</v>
      </c>
      <c r="C5079" s="999"/>
      <c r="G5079" s="983" t="s">
        <v>1109</v>
      </c>
    </row>
    <row r="5080" spans="1:9" x14ac:dyDescent="0.2">
      <c r="A5080" s="997">
        <f t="shared" si="79"/>
        <v>5079</v>
      </c>
      <c r="B5080" s="983" t="s">
        <v>2715</v>
      </c>
      <c r="C5080" s="999"/>
      <c r="G5080" s="983" t="s">
        <v>1106</v>
      </c>
    </row>
    <row r="5081" spans="1:9" x14ac:dyDescent="0.2">
      <c r="A5081" s="997">
        <f t="shared" si="79"/>
        <v>5080</v>
      </c>
      <c r="B5081" s="983" t="s">
        <v>2715</v>
      </c>
      <c r="C5081" s="1000"/>
      <c r="H5081" s="983" t="s">
        <v>1107</v>
      </c>
    </row>
    <row r="5082" spans="1:9" x14ac:dyDescent="0.2">
      <c r="A5082" s="997">
        <f t="shared" si="79"/>
        <v>5081</v>
      </c>
      <c r="B5082" s="983" t="s">
        <v>2715</v>
      </c>
      <c r="C5082" s="1001"/>
      <c r="I5082" s="983" t="s">
        <v>1920</v>
      </c>
    </row>
    <row r="5083" spans="1:9" x14ac:dyDescent="0.2">
      <c r="A5083" s="997">
        <f t="shared" si="79"/>
        <v>5082</v>
      </c>
      <c r="B5083" s="983" t="s">
        <v>2715</v>
      </c>
      <c r="C5083" s="1000"/>
      <c r="H5083" s="983" t="s">
        <v>1108</v>
      </c>
    </row>
    <row r="5084" spans="1:9" x14ac:dyDescent="0.2">
      <c r="A5084" s="997">
        <f t="shared" si="79"/>
        <v>5083</v>
      </c>
      <c r="B5084" s="983" t="s">
        <v>2715</v>
      </c>
      <c r="C5084" s="1000"/>
      <c r="H5084" s="983" t="str">
        <f>CONCATENATE("&lt;valeur&gt;",Cellule_1542,"&lt;/valeur&gt;")</f>
        <v>&lt;valeur&gt;0&lt;/valeur&gt;</v>
      </c>
    </row>
    <row r="5085" spans="1:9" x14ac:dyDescent="0.2">
      <c r="A5085" s="997">
        <f t="shared" si="79"/>
        <v>5084</v>
      </c>
      <c r="B5085" s="983" t="s">
        <v>2715</v>
      </c>
      <c r="C5085" s="999"/>
      <c r="G5085" s="983" t="s">
        <v>1109</v>
      </c>
    </row>
    <row r="5086" spans="1:9" x14ac:dyDescent="0.2">
      <c r="A5086" s="997">
        <f t="shared" si="79"/>
        <v>5085</v>
      </c>
      <c r="B5086" s="983" t="s">
        <v>2715</v>
      </c>
      <c r="C5086" s="999"/>
      <c r="G5086" s="983" t="s">
        <v>1106</v>
      </c>
    </row>
    <row r="5087" spans="1:9" x14ac:dyDescent="0.2">
      <c r="A5087" s="997">
        <f t="shared" si="79"/>
        <v>5086</v>
      </c>
      <c r="B5087" s="983" t="s">
        <v>2715</v>
      </c>
      <c r="C5087" s="1000"/>
      <c r="H5087" s="983" t="s">
        <v>1107</v>
      </c>
    </row>
    <row r="5088" spans="1:9" x14ac:dyDescent="0.2">
      <c r="A5088" s="997">
        <f t="shared" si="79"/>
        <v>5087</v>
      </c>
      <c r="B5088" s="983" t="s">
        <v>2715</v>
      </c>
      <c r="C5088" s="1001"/>
      <c r="I5088" s="983" t="s">
        <v>1921</v>
      </c>
    </row>
    <row r="5089" spans="1:9" x14ac:dyDescent="0.2">
      <c r="A5089" s="997">
        <f t="shared" si="79"/>
        <v>5088</v>
      </c>
      <c r="B5089" s="983" t="s">
        <v>2715</v>
      </c>
      <c r="C5089" s="1000"/>
      <c r="H5089" s="983" t="s">
        <v>1108</v>
      </c>
    </row>
    <row r="5090" spans="1:9" x14ac:dyDescent="0.2">
      <c r="A5090" s="997">
        <f t="shared" si="79"/>
        <v>5089</v>
      </c>
      <c r="B5090" s="983" t="s">
        <v>2715</v>
      </c>
      <c r="C5090" s="1000"/>
      <c r="H5090" s="983" t="str">
        <f>CONCATENATE("&lt;valeur&gt;",Cellule_1543,"&lt;/valeur&gt;")</f>
        <v>&lt;valeur&gt;10912,3&lt;/valeur&gt;</v>
      </c>
    </row>
    <row r="5091" spans="1:9" x14ac:dyDescent="0.2">
      <c r="A5091" s="997">
        <f t="shared" si="79"/>
        <v>5090</v>
      </c>
      <c r="B5091" s="983" t="s">
        <v>2715</v>
      </c>
      <c r="C5091" s="999"/>
      <c r="G5091" s="983" t="s">
        <v>1109</v>
      </c>
    </row>
    <row r="5092" spans="1:9" x14ac:dyDescent="0.2">
      <c r="A5092" s="997">
        <f t="shared" si="79"/>
        <v>5091</v>
      </c>
      <c r="B5092" s="983" t="s">
        <v>2715</v>
      </c>
      <c r="C5092" s="999"/>
      <c r="G5092" s="983" t="s">
        <v>1106</v>
      </c>
    </row>
    <row r="5093" spans="1:9" x14ac:dyDescent="0.2">
      <c r="A5093" s="997">
        <f t="shared" si="79"/>
        <v>5092</v>
      </c>
      <c r="B5093" s="983" t="s">
        <v>2715</v>
      </c>
      <c r="C5093" s="1000"/>
      <c r="H5093" s="983" t="s">
        <v>1107</v>
      </c>
    </row>
    <row r="5094" spans="1:9" x14ac:dyDescent="0.2">
      <c r="A5094" s="997">
        <f t="shared" si="79"/>
        <v>5093</v>
      </c>
      <c r="B5094" s="983" t="s">
        <v>2715</v>
      </c>
      <c r="C5094" s="1001"/>
      <c r="I5094" s="983" t="s">
        <v>1922</v>
      </c>
    </row>
    <row r="5095" spans="1:9" x14ac:dyDescent="0.2">
      <c r="A5095" s="997">
        <f t="shared" si="79"/>
        <v>5094</v>
      </c>
      <c r="B5095" s="983" t="s">
        <v>2715</v>
      </c>
      <c r="C5095" s="1000"/>
      <c r="H5095" s="983" t="s">
        <v>1108</v>
      </c>
    </row>
    <row r="5096" spans="1:9" x14ac:dyDescent="0.2">
      <c r="A5096" s="997">
        <f t="shared" si="79"/>
        <v>5095</v>
      </c>
      <c r="B5096" s="983" t="s">
        <v>2715</v>
      </c>
      <c r="C5096" s="1000"/>
      <c r="H5096" s="983" t="str">
        <f>CONCATENATE("&lt;valeur&gt;",Cellule_1544,"&lt;/valeur&gt;")</f>
        <v>&lt;valeur&gt;78665,81&lt;/valeur&gt;</v>
      </c>
    </row>
    <row r="5097" spans="1:9" x14ac:dyDescent="0.2">
      <c r="A5097" s="997">
        <f t="shared" si="79"/>
        <v>5096</v>
      </c>
      <c r="B5097" s="983" t="s">
        <v>2715</v>
      </c>
      <c r="C5097" s="999"/>
      <c r="G5097" s="983" t="s">
        <v>1109</v>
      </c>
    </row>
    <row r="5098" spans="1:9" x14ac:dyDescent="0.2">
      <c r="A5098" s="997">
        <f t="shared" si="79"/>
        <v>5097</v>
      </c>
      <c r="B5098" s="983" t="s">
        <v>2715</v>
      </c>
      <c r="C5098" s="999"/>
      <c r="G5098" s="983" t="s">
        <v>1106</v>
      </c>
    </row>
    <row r="5099" spans="1:9" x14ac:dyDescent="0.2">
      <c r="A5099" s="997">
        <f t="shared" si="79"/>
        <v>5098</v>
      </c>
      <c r="B5099" s="983" t="s">
        <v>2715</v>
      </c>
      <c r="C5099" s="1000"/>
      <c r="H5099" s="983" t="s">
        <v>1107</v>
      </c>
    </row>
    <row r="5100" spans="1:9" x14ac:dyDescent="0.2">
      <c r="A5100" s="997">
        <f t="shared" si="79"/>
        <v>5099</v>
      </c>
      <c r="B5100" s="983" t="s">
        <v>2715</v>
      </c>
      <c r="C5100" s="1001"/>
      <c r="I5100" s="983" t="s">
        <v>1923</v>
      </c>
    </row>
    <row r="5101" spans="1:9" x14ac:dyDescent="0.2">
      <c r="A5101" s="997">
        <f t="shared" si="79"/>
        <v>5100</v>
      </c>
      <c r="B5101" s="983" t="s">
        <v>2715</v>
      </c>
      <c r="C5101" s="1000"/>
      <c r="H5101" s="983" t="s">
        <v>1108</v>
      </c>
    </row>
    <row r="5102" spans="1:9" x14ac:dyDescent="0.2">
      <c r="A5102" s="997">
        <f t="shared" si="79"/>
        <v>5101</v>
      </c>
      <c r="B5102" s="983" t="s">
        <v>2715</v>
      </c>
      <c r="C5102" s="1000"/>
      <c r="H5102" s="983" t="str">
        <f>CONCATENATE("&lt;valeur&gt;",Cellule_1545,"&lt;/valeur&gt;")</f>
        <v>&lt;valeur&gt;&lt;/valeur&gt;</v>
      </c>
    </row>
    <row r="5103" spans="1:9" x14ac:dyDescent="0.2">
      <c r="A5103" s="997">
        <f t="shared" si="79"/>
        <v>5102</v>
      </c>
      <c r="B5103" s="983" t="s">
        <v>2715</v>
      </c>
      <c r="C5103" s="999"/>
      <c r="G5103" s="983" t="s">
        <v>1109</v>
      </c>
    </row>
    <row r="5104" spans="1:9" x14ac:dyDescent="0.2">
      <c r="A5104" s="997">
        <f t="shared" si="79"/>
        <v>5103</v>
      </c>
      <c r="B5104" s="983" t="s">
        <v>2715</v>
      </c>
      <c r="C5104" s="999"/>
      <c r="G5104" s="983" t="s">
        <v>1106</v>
      </c>
    </row>
    <row r="5105" spans="1:9" x14ac:dyDescent="0.2">
      <c r="A5105" s="997">
        <f t="shared" si="79"/>
        <v>5104</v>
      </c>
      <c r="B5105" s="983" t="s">
        <v>2715</v>
      </c>
      <c r="C5105" s="1000"/>
      <c r="H5105" s="983" t="s">
        <v>1107</v>
      </c>
    </row>
    <row r="5106" spans="1:9" x14ac:dyDescent="0.2">
      <c r="A5106" s="997">
        <f t="shared" si="79"/>
        <v>5105</v>
      </c>
      <c r="B5106" s="983" t="s">
        <v>2715</v>
      </c>
      <c r="C5106" s="1001"/>
      <c r="I5106" s="983" t="s">
        <v>1924</v>
      </c>
    </row>
    <row r="5107" spans="1:9" x14ac:dyDescent="0.2">
      <c r="A5107" s="997">
        <f t="shared" si="79"/>
        <v>5106</v>
      </c>
      <c r="B5107" s="983" t="s">
        <v>2715</v>
      </c>
      <c r="C5107" s="1000"/>
      <c r="H5107" s="983" t="s">
        <v>1108</v>
      </c>
    </row>
    <row r="5108" spans="1:9" x14ac:dyDescent="0.2">
      <c r="A5108" s="997">
        <f t="shared" si="79"/>
        <v>5107</v>
      </c>
      <c r="B5108" s="983" t="s">
        <v>2715</v>
      </c>
      <c r="C5108" s="1000"/>
      <c r="H5108" s="983" t="str">
        <f>CONCATENATE("&lt;valeur&gt;",Cellule_1546,"&lt;/valeur&gt;")</f>
        <v>&lt;valeur&gt;28731&lt;/valeur&gt;</v>
      </c>
    </row>
    <row r="5109" spans="1:9" x14ac:dyDescent="0.2">
      <c r="A5109" s="997">
        <f t="shared" si="79"/>
        <v>5108</v>
      </c>
      <c r="B5109" s="983" t="s">
        <v>2715</v>
      </c>
      <c r="C5109" s="999"/>
      <c r="G5109" s="983" t="s">
        <v>1109</v>
      </c>
    </row>
    <row r="5110" spans="1:9" x14ac:dyDescent="0.2">
      <c r="A5110" s="997">
        <f t="shared" si="79"/>
        <v>5109</v>
      </c>
      <c r="B5110" s="983" t="s">
        <v>2715</v>
      </c>
      <c r="C5110" s="999"/>
      <c r="G5110" s="983" t="s">
        <v>1106</v>
      </c>
    </row>
    <row r="5111" spans="1:9" x14ac:dyDescent="0.2">
      <c r="A5111" s="997">
        <f t="shared" si="79"/>
        <v>5110</v>
      </c>
      <c r="B5111" s="983" t="s">
        <v>2715</v>
      </c>
      <c r="C5111" s="1000"/>
      <c r="H5111" s="983" t="s">
        <v>1107</v>
      </c>
    </row>
    <row r="5112" spans="1:9" x14ac:dyDescent="0.2">
      <c r="A5112" s="997">
        <f t="shared" si="79"/>
        <v>5111</v>
      </c>
      <c r="B5112" s="983" t="s">
        <v>2715</v>
      </c>
      <c r="C5112" s="1001"/>
      <c r="I5112" s="983" t="s">
        <v>1925</v>
      </c>
    </row>
    <row r="5113" spans="1:9" x14ac:dyDescent="0.2">
      <c r="A5113" s="997">
        <f t="shared" si="79"/>
        <v>5112</v>
      </c>
      <c r="B5113" s="983" t="s">
        <v>2715</v>
      </c>
      <c r="C5113" s="1000"/>
      <c r="H5113" s="983" t="s">
        <v>1108</v>
      </c>
    </row>
    <row r="5114" spans="1:9" x14ac:dyDescent="0.2">
      <c r="A5114" s="997">
        <f t="shared" si="79"/>
        <v>5113</v>
      </c>
      <c r="B5114" s="983" t="s">
        <v>2715</v>
      </c>
      <c r="C5114" s="1000"/>
      <c r="H5114" s="983" t="str">
        <f>CONCATENATE("&lt;valeur&gt;",Cellule_1547,"&lt;/valeur&gt;")</f>
        <v>&lt;valeur&gt;5445,55&lt;/valeur&gt;</v>
      </c>
    </row>
    <row r="5115" spans="1:9" x14ac:dyDescent="0.2">
      <c r="A5115" s="997">
        <f t="shared" si="79"/>
        <v>5114</v>
      </c>
      <c r="B5115" s="983" t="s">
        <v>2715</v>
      </c>
      <c r="C5115" s="999"/>
      <c r="G5115" s="983" t="s">
        <v>1109</v>
      </c>
    </row>
    <row r="5116" spans="1:9" x14ac:dyDescent="0.2">
      <c r="A5116" s="997">
        <f t="shared" si="79"/>
        <v>5115</v>
      </c>
      <c r="B5116" s="983" t="s">
        <v>2715</v>
      </c>
      <c r="C5116" s="999"/>
      <c r="G5116" s="983" t="s">
        <v>1106</v>
      </c>
    </row>
    <row r="5117" spans="1:9" x14ac:dyDescent="0.2">
      <c r="A5117" s="997">
        <f t="shared" si="79"/>
        <v>5116</v>
      </c>
      <c r="B5117" s="983" t="s">
        <v>2715</v>
      </c>
      <c r="C5117" s="1000"/>
      <c r="H5117" s="983" t="s">
        <v>1107</v>
      </c>
    </row>
    <row r="5118" spans="1:9" x14ac:dyDescent="0.2">
      <c r="A5118" s="997">
        <f t="shared" si="79"/>
        <v>5117</v>
      </c>
      <c r="B5118" s="983" t="s">
        <v>2715</v>
      </c>
      <c r="C5118" s="1001"/>
      <c r="I5118" s="983" t="s">
        <v>1926</v>
      </c>
    </row>
    <row r="5119" spans="1:9" x14ac:dyDescent="0.2">
      <c r="A5119" s="997">
        <f t="shared" si="79"/>
        <v>5118</v>
      </c>
      <c r="B5119" s="983" t="s">
        <v>2715</v>
      </c>
      <c r="C5119" s="1000"/>
      <c r="H5119" s="983" t="s">
        <v>1108</v>
      </c>
    </row>
    <row r="5120" spans="1:9" x14ac:dyDescent="0.2">
      <c r="A5120" s="997">
        <f t="shared" si="79"/>
        <v>5119</v>
      </c>
      <c r="B5120" s="983" t="s">
        <v>2715</v>
      </c>
      <c r="C5120" s="1000"/>
      <c r="H5120" s="983" t="str">
        <f>CONCATENATE("&lt;valeur&gt;",Cellule_1548,"&lt;/valeur&gt;")</f>
        <v>&lt;valeur&gt;0&lt;/valeur&gt;</v>
      </c>
    </row>
    <row r="5121" spans="1:9" x14ac:dyDescent="0.2">
      <c r="A5121" s="997">
        <f t="shared" si="79"/>
        <v>5120</v>
      </c>
      <c r="B5121" s="983" t="s">
        <v>2715</v>
      </c>
      <c r="C5121" s="999"/>
      <c r="G5121" s="983" t="s">
        <v>1109</v>
      </c>
    </row>
    <row r="5122" spans="1:9" x14ac:dyDescent="0.2">
      <c r="A5122" s="997">
        <f t="shared" si="79"/>
        <v>5121</v>
      </c>
      <c r="B5122" s="983" t="s">
        <v>2715</v>
      </c>
      <c r="C5122" s="999"/>
      <c r="G5122" s="983" t="s">
        <v>1106</v>
      </c>
    </row>
    <row r="5123" spans="1:9" x14ac:dyDescent="0.2">
      <c r="A5123" s="997">
        <f t="shared" si="79"/>
        <v>5122</v>
      </c>
      <c r="B5123" s="983" t="s">
        <v>2715</v>
      </c>
      <c r="C5123" s="1000"/>
      <c r="H5123" s="983" t="s">
        <v>1107</v>
      </c>
    </row>
    <row r="5124" spans="1:9" x14ac:dyDescent="0.2">
      <c r="A5124" s="997">
        <f t="shared" ref="A5124:A5187" si="80">+A5123+1</f>
        <v>5123</v>
      </c>
      <c r="B5124" s="983" t="s">
        <v>2715</v>
      </c>
      <c r="C5124" s="1001"/>
      <c r="I5124" s="983" t="s">
        <v>1927</v>
      </c>
    </row>
    <row r="5125" spans="1:9" x14ac:dyDescent="0.2">
      <c r="A5125" s="997">
        <f t="shared" si="80"/>
        <v>5124</v>
      </c>
      <c r="B5125" s="983" t="s">
        <v>2715</v>
      </c>
      <c r="C5125" s="1000"/>
      <c r="H5125" s="983" t="s">
        <v>1108</v>
      </c>
    </row>
    <row r="5126" spans="1:9" x14ac:dyDescent="0.2">
      <c r="A5126" s="997">
        <f t="shared" si="80"/>
        <v>5125</v>
      </c>
      <c r="B5126" s="983" t="s">
        <v>2715</v>
      </c>
      <c r="C5126" s="1000"/>
      <c r="H5126" s="983" t="str">
        <f>CONCATENATE("&lt;valeur&gt;",Cellule_1549,"&lt;/valeur&gt;")</f>
        <v>&lt;valeur&gt;34176,55&lt;/valeur&gt;</v>
      </c>
    </row>
    <row r="5127" spans="1:9" x14ac:dyDescent="0.2">
      <c r="A5127" s="997">
        <f t="shared" si="80"/>
        <v>5126</v>
      </c>
      <c r="B5127" s="983" t="s">
        <v>2715</v>
      </c>
      <c r="C5127" s="999"/>
      <c r="G5127" s="983" t="s">
        <v>1109</v>
      </c>
    </row>
    <row r="5128" spans="1:9" x14ac:dyDescent="0.2">
      <c r="A5128" s="997">
        <f t="shared" si="80"/>
        <v>5127</v>
      </c>
      <c r="B5128" s="983" t="s">
        <v>2715</v>
      </c>
      <c r="C5128" s="999"/>
      <c r="G5128" s="983" t="s">
        <v>1106</v>
      </c>
    </row>
    <row r="5129" spans="1:9" x14ac:dyDescent="0.2">
      <c r="A5129" s="997">
        <f t="shared" si="80"/>
        <v>5128</v>
      </c>
      <c r="B5129" s="983" t="s">
        <v>2715</v>
      </c>
      <c r="C5129" s="1000"/>
      <c r="H5129" s="983" t="s">
        <v>1107</v>
      </c>
    </row>
    <row r="5130" spans="1:9" x14ac:dyDescent="0.2">
      <c r="A5130" s="997">
        <f t="shared" si="80"/>
        <v>5129</v>
      </c>
      <c r="B5130" s="983" t="s">
        <v>2715</v>
      </c>
      <c r="C5130" s="1001"/>
      <c r="I5130" s="983" t="s">
        <v>1928</v>
      </c>
    </row>
    <row r="5131" spans="1:9" x14ac:dyDescent="0.2">
      <c r="A5131" s="997">
        <f t="shared" si="80"/>
        <v>5130</v>
      </c>
      <c r="B5131" s="983" t="s">
        <v>2715</v>
      </c>
      <c r="C5131" s="1000"/>
      <c r="H5131" s="983" t="s">
        <v>1108</v>
      </c>
    </row>
    <row r="5132" spans="1:9" x14ac:dyDescent="0.2">
      <c r="A5132" s="997">
        <f t="shared" si="80"/>
        <v>5131</v>
      </c>
      <c r="B5132" s="983" t="s">
        <v>2715</v>
      </c>
      <c r="C5132" s="1000"/>
      <c r="H5132" s="983" t="str">
        <f>CONCATENATE("&lt;valeur&gt;",Cellule_1552,"&lt;/valeur&gt;")</f>
        <v>&lt;valeur&gt;0&lt;/valeur&gt;</v>
      </c>
    </row>
    <row r="5133" spans="1:9" x14ac:dyDescent="0.2">
      <c r="A5133" s="997">
        <f t="shared" si="80"/>
        <v>5132</v>
      </c>
      <c r="B5133" s="983" t="s">
        <v>2715</v>
      </c>
      <c r="C5133" s="999"/>
      <c r="G5133" s="983" t="s">
        <v>1109</v>
      </c>
    </row>
    <row r="5134" spans="1:9" x14ac:dyDescent="0.2">
      <c r="A5134" s="997">
        <f t="shared" si="80"/>
        <v>5133</v>
      </c>
      <c r="B5134" s="983" t="s">
        <v>2715</v>
      </c>
      <c r="C5134" s="999"/>
      <c r="G5134" s="983" t="s">
        <v>1106</v>
      </c>
    </row>
    <row r="5135" spans="1:9" x14ac:dyDescent="0.2">
      <c r="A5135" s="997">
        <f t="shared" si="80"/>
        <v>5134</v>
      </c>
      <c r="B5135" s="983" t="s">
        <v>2715</v>
      </c>
      <c r="C5135" s="1000"/>
      <c r="H5135" s="983" t="s">
        <v>1107</v>
      </c>
    </row>
    <row r="5136" spans="1:9" x14ac:dyDescent="0.2">
      <c r="A5136" s="997">
        <f t="shared" si="80"/>
        <v>5135</v>
      </c>
      <c r="B5136" s="983" t="s">
        <v>2715</v>
      </c>
      <c r="C5136" s="1001"/>
      <c r="I5136" s="983" t="s">
        <v>1929</v>
      </c>
    </row>
    <row r="5137" spans="1:9" x14ac:dyDescent="0.2">
      <c r="A5137" s="997">
        <f t="shared" si="80"/>
        <v>5136</v>
      </c>
      <c r="B5137" s="983" t="s">
        <v>2715</v>
      </c>
      <c r="C5137" s="1000"/>
      <c r="H5137" s="983" t="s">
        <v>1108</v>
      </c>
    </row>
    <row r="5138" spans="1:9" x14ac:dyDescent="0.2">
      <c r="A5138" s="997">
        <f t="shared" si="80"/>
        <v>5137</v>
      </c>
      <c r="B5138" s="983" t="s">
        <v>2715</v>
      </c>
      <c r="C5138" s="1000"/>
      <c r="H5138" s="983" t="str">
        <f>CONCATENATE("&lt;valeur&gt;",Cellule_1553,"&lt;/valeur&gt;")</f>
        <v>&lt;valeur&gt;0&lt;/valeur&gt;</v>
      </c>
    </row>
    <row r="5139" spans="1:9" x14ac:dyDescent="0.2">
      <c r="A5139" s="997">
        <f t="shared" si="80"/>
        <v>5138</v>
      </c>
      <c r="B5139" s="983" t="s">
        <v>2715</v>
      </c>
      <c r="C5139" s="999"/>
      <c r="G5139" s="983" t="s">
        <v>1109</v>
      </c>
    </row>
    <row r="5140" spans="1:9" x14ac:dyDescent="0.2">
      <c r="A5140" s="997">
        <f t="shared" si="80"/>
        <v>5139</v>
      </c>
      <c r="B5140" s="983" t="s">
        <v>2715</v>
      </c>
      <c r="C5140" s="999"/>
      <c r="G5140" s="983" t="s">
        <v>1106</v>
      </c>
    </row>
    <row r="5141" spans="1:9" x14ac:dyDescent="0.2">
      <c r="A5141" s="997">
        <f t="shared" si="80"/>
        <v>5140</v>
      </c>
      <c r="B5141" s="983" t="s">
        <v>2715</v>
      </c>
      <c r="C5141" s="1000"/>
      <c r="H5141" s="983" t="s">
        <v>1107</v>
      </c>
    </row>
    <row r="5142" spans="1:9" x14ac:dyDescent="0.2">
      <c r="A5142" s="997">
        <f t="shared" si="80"/>
        <v>5141</v>
      </c>
      <c r="B5142" s="983" t="s">
        <v>2715</v>
      </c>
      <c r="C5142" s="1001"/>
      <c r="I5142" s="983" t="s">
        <v>1930</v>
      </c>
    </row>
    <row r="5143" spans="1:9" x14ac:dyDescent="0.2">
      <c r="A5143" s="997">
        <f t="shared" si="80"/>
        <v>5142</v>
      </c>
      <c r="B5143" s="983" t="s">
        <v>2715</v>
      </c>
      <c r="C5143" s="1000"/>
      <c r="H5143" s="983" t="s">
        <v>1108</v>
      </c>
    </row>
    <row r="5144" spans="1:9" x14ac:dyDescent="0.2">
      <c r="A5144" s="997">
        <f t="shared" si="80"/>
        <v>5143</v>
      </c>
      <c r="B5144" s="983" t="s">
        <v>2715</v>
      </c>
      <c r="C5144" s="1000"/>
      <c r="H5144" s="983" t="str">
        <f>CONCATENATE("&lt;valeur&gt;",Cellule_1550,"&lt;/valeur&gt;")</f>
        <v>&lt;valeur&gt;&lt;/valeur&gt;</v>
      </c>
    </row>
    <row r="5145" spans="1:9" x14ac:dyDescent="0.2">
      <c r="A5145" s="997">
        <f t="shared" si="80"/>
        <v>5144</v>
      </c>
      <c r="B5145" s="983" t="s">
        <v>2715</v>
      </c>
      <c r="C5145" s="999"/>
      <c r="G5145" s="983" t="s">
        <v>1109</v>
      </c>
    </row>
    <row r="5146" spans="1:9" x14ac:dyDescent="0.2">
      <c r="A5146" s="997">
        <f t="shared" si="80"/>
        <v>5145</v>
      </c>
      <c r="B5146" s="983" t="s">
        <v>2715</v>
      </c>
      <c r="C5146" s="999"/>
      <c r="G5146" s="983" t="s">
        <v>1106</v>
      </c>
    </row>
    <row r="5147" spans="1:9" x14ac:dyDescent="0.2">
      <c r="A5147" s="997">
        <f t="shared" si="80"/>
        <v>5146</v>
      </c>
      <c r="B5147" s="983" t="s">
        <v>2715</v>
      </c>
      <c r="C5147" s="1000"/>
      <c r="H5147" s="983" t="s">
        <v>1107</v>
      </c>
    </row>
    <row r="5148" spans="1:9" x14ac:dyDescent="0.2">
      <c r="A5148" s="997">
        <f t="shared" si="80"/>
        <v>5147</v>
      </c>
      <c r="B5148" s="983" t="s">
        <v>2715</v>
      </c>
      <c r="C5148" s="1001"/>
      <c r="I5148" s="983" t="s">
        <v>1931</v>
      </c>
    </row>
    <row r="5149" spans="1:9" x14ac:dyDescent="0.2">
      <c r="A5149" s="997">
        <f t="shared" si="80"/>
        <v>5148</v>
      </c>
      <c r="B5149" s="983" t="s">
        <v>2715</v>
      </c>
      <c r="C5149" s="1000"/>
      <c r="H5149" s="983" t="s">
        <v>1108</v>
      </c>
    </row>
    <row r="5150" spans="1:9" x14ac:dyDescent="0.2">
      <c r="A5150" s="997">
        <f t="shared" si="80"/>
        <v>5149</v>
      </c>
      <c r="B5150" s="983" t="s">
        <v>2715</v>
      </c>
      <c r="C5150" s="1000"/>
      <c r="H5150" s="983" t="str">
        <f>CONCATENATE("&lt;valeur&gt;",Cellule_1551,"&lt;/valeur&gt;")</f>
        <v>&lt;valeur&gt;0&lt;/valeur&gt;</v>
      </c>
    </row>
    <row r="5151" spans="1:9" x14ac:dyDescent="0.2">
      <c r="A5151" s="997">
        <f t="shared" si="80"/>
        <v>5150</v>
      </c>
      <c r="B5151" s="983" t="s">
        <v>2715</v>
      </c>
      <c r="C5151" s="999"/>
      <c r="G5151" s="983" t="s">
        <v>1109</v>
      </c>
    </row>
    <row r="5152" spans="1:9" x14ac:dyDescent="0.2">
      <c r="A5152" s="997">
        <f t="shared" si="80"/>
        <v>5151</v>
      </c>
      <c r="B5152" s="983" t="s">
        <v>2715</v>
      </c>
      <c r="C5152" s="999"/>
      <c r="G5152" s="983" t="s">
        <v>1106</v>
      </c>
    </row>
    <row r="5153" spans="1:9" x14ac:dyDescent="0.2">
      <c r="A5153" s="997">
        <f t="shared" si="80"/>
        <v>5152</v>
      </c>
      <c r="B5153" s="983" t="s">
        <v>2715</v>
      </c>
      <c r="C5153" s="1000"/>
      <c r="H5153" s="983" t="s">
        <v>1107</v>
      </c>
    </row>
    <row r="5154" spans="1:9" x14ac:dyDescent="0.2">
      <c r="A5154" s="997">
        <f t="shared" si="80"/>
        <v>5153</v>
      </c>
      <c r="B5154" s="983" t="s">
        <v>2715</v>
      </c>
      <c r="C5154" s="1001"/>
      <c r="I5154" s="983" t="s">
        <v>1932</v>
      </c>
    </row>
    <row r="5155" spans="1:9" x14ac:dyDescent="0.2">
      <c r="A5155" s="997">
        <f t="shared" si="80"/>
        <v>5154</v>
      </c>
      <c r="B5155" s="983" t="s">
        <v>2715</v>
      </c>
      <c r="C5155" s="1000"/>
      <c r="H5155" s="983" t="s">
        <v>1108</v>
      </c>
    </row>
    <row r="5156" spans="1:9" x14ac:dyDescent="0.2">
      <c r="A5156" s="997">
        <f t="shared" si="80"/>
        <v>5155</v>
      </c>
      <c r="B5156" s="983" t="s">
        <v>2715</v>
      </c>
      <c r="C5156" s="1000"/>
      <c r="H5156" s="983" t="str">
        <f>CONCATENATE("&lt;valeur&gt;",Cellule_1733,"&lt;/valeur&gt;")</f>
        <v>&lt;valeur&gt;0&lt;/valeur&gt;</v>
      </c>
    </row>
    <row r="5157" spans="1:9" x14ac:dyDescent="0.2">
      <c r="A5157" s="997">
        <f t="shared" si="80"/>
        <v>5156</v>
      </c>
      <c r="B5157" s="983" t="s">
        <v>2715</v>
      </c>
      <c r="C5157" s="999"/>
      <c r="G5157" s="983" t="s">
        <v>1109</v>
      </c>
    </row>
    <row r="5158" spans="1:9" x14ac:dyDescent="0.2">
      <c r="A5158" s="997">
        <f t="shared" si="80"/>
        <v>5157</v>
      </c>
      <c r="B5158" s="983" t="s">
        <v>2715</v>
      </c>
      <c r="C5158" s="999"/>
      <c r="G5158" s="983" t="s">
        <v>1106</v>
      </c>
    </row>
    <row r="5159" spans="1:9" x14ac:dyDescent="0.2">
      <c r="A5159" s="997">
        <f t="shared" si="80"/>
        <v>5158</v>
      </c>
      <c r="B5159" s="983" t="s">
        <v>2715</v>
      </c>
      <c r="C5159" s="1000"/>
      <c r="H5159" s="983" t="s">
        <v>1107</v>
      </c>
    </row>
    <row r="5160" spans="1:9" x14ac:dyDescent="0.2">
      <c r="A5160" s="997">
        <f t="shared" si="80"/>
        <v>5159</v>
      </c>
      <c r="B5160" s="983" t="s">
        <v>2715</v>
      </c>
      <c r="C5160" s="1001"/>
      <c r="I5160" s="983" t="s">
        <v>1933</v>
      </c>
    </row>
    <row r="5161" spans="1:9" x14ac:dyDescent="0.2">
      <c r="A5161" s="997">
        <f t="shared" si="80"/>
        <v>5160</v>
      </c>
      <c r="B5161" s="983" t="s">
        <v>2715</v>
      </c>
      <c r="C5161" s="1000"/>
      <c r="H5161" s="983" t="s">
        <v>1108</v>
      </c>
    </row>
    <row r="5162" spans="1:9" x14ac:dyDescent="0.2">
      <c r="A5162" s="997">
        <f t="shared" si="80"/>
        <v>5161</v>
      </c>
      <c r="B5162" s="983" t="s">
        <v>2715</v>
      </c>
      <c r="C5162" s="1000"/>
      <c r="H5162" s="983" t="str">
        <f>CONCATENATE("&lt;valeur&gt;",Cellule_1562,"&lt;/valeur&gt;")</f>
        <v>&lt;valeur&gt;&lt;/valeur&gt;</v>
      </c>
    </row>
    <row r="5163" spans="1:9" x14ac:dyDescent="0.2">
      <c r="A5163" s="997">
        <f t="shared" si="80"/>
        <v>5162</v>
      </c>
      <c r="B5163" s="983" t="s">
        <v>2715</v>
      </c>
      <c r="C5163" s="999"/>
      <c r="G5163" s="983" t="s">
        <v>1109</v>
      </c>
    </row>
    <row r="5164" spans="1:9" x14ac:dyDescent="0.2">
      <c r="A5164" s="997">
        <f t="shared" si="80"/>
        <v>5163</v>
      </c>
      <c r="B5164" s="983" t="s">
        <v>2715</v>
      </c>
      <c r="C5164" s="999"/>
      <c r="G5164" s="983" t="s">
        <v>1106</v>
      </c>
    </row>
    <row r="5165" spans="1:9" x14ac:dyDescent="0.2">
      <c r="A5165" s="997">
        <f t="shared" si="80"/>
        <v>5164</v>
      </c>
      <c r="B5165" s="983" t="s">
        <v>2715</v>
      </c>
      <c r="C5165" s="1000"/>
      <c r="H5165" s="983" t="s">
        <v>1107</v>
      </c>
    </row>
    <row r="5166" spans="1:9" x14ac:dyDescent="0.2">
      <c r="A5166" s="997">
        <f t="shared" si="80"/>
        <v>5165</v>
      </c>
      <c r="B5166" s="983" t="s">
        <v>2715</v>
      </c>
      <c r="C5166" s="1001"/>
      <c r="I5166" s="983" t="s">
        <v>1934</v>
      </c>
    </row>
    <row r="5167" spans="1:9" x14ac:dyDescent="0.2">
      <c r="A5167" s="997">
        <f t="shared" si="80"/>
        <v>5166</v>
      </c>
      <c r="B5167" s="983" t="s">
        <v>2715</v>
      </c>
      <c r="C5167" s="1000"/>
      <c r="H5167" s="983" t="s">
        <v>1108</v>
      </c>
    </row>
    <row r="5168" spans="1:9" x14ac:dyDescent="0.2">
      <c r="A5168" s="997">
        <f t="shared" si="80"/>
        <v>5167</v>
      </c>
      <c r="B5168" s="983" t="s">
        <v>2715</v>
      </c>
      <c r="C5168" s="1000"/>
      <c r="H5168" s="983" t="str">
        <f>CONCATENATE("&lt;valeur&gt;",Cellule_1563,"&lt;/valeur&gt;")</f>
        <v>&lt;valeur&gt;0&lt;/valeur&gt;</v>
      </c>
    </row>
    <row r="5169" spans="1:9" x14ac:dyDescent="0.2">
      <c r="A5169" s="997">
        <f t="shared" si="80"/>
        <v>5168</v>
      </c>
      <c r="B5169" s="983" t="s">
        <v>2715</v>
      </c>
      <c r="C5169" s="999"/>
      <c r="G5169" s="983" t="s">
        <v>1109</v>
      </c>
    </row>
    <row r="5170" spans="1:9" x14ac:dyDescent="0.2">
      <c r="A5170" s="997">
        <f t="shared" si="80"/>
        <v>5169</v>
      </c>
      <c r="B5170" s="983" t="s">
        <v>2715</v>
      </c>
      <c r="C5170" s="999"/>
      <c r="G5170" s="983" t="s">
        <v>1106</v>
      </c>
    </row>
    <row r="5171" spans="1:9" x14ac:dyDescent="0.2">
      <c r="A5171" s="997">
        <f t="shared" si="80"/>
        <v>5170</v>
      </c>
      <c r="B5171" s="983" t="s">
        <v>2715</v>
      </c>
      <c r="C5171" s="1000"/>
      <c r="H5171" s="983" t="s">
        <v>1107</v>
      </c>
    </row>
    <row r="5172" spans="1:9" x14ac:dyDescent="0.2">
      <c r="A5172" s="997">
        <f t="shared" si="80"/>
        <v>5171</v>
      </c>
      <c r="B5172" s="983" t="s">
        <v>2715</v>
      </c>
      <c r="C5172" s="1001"/>
      <c r="I5172" s="983" t="s">
        <v>1935</v>
      </c>
    </row>
    <row r="5173" spans="1:9" x14ac:dyDescent="0.2">
      <c r="A5173" s="997">
        <f t="shared" si="80"/>
        <v>5172</v>
      </c>
      <c r="B5173" s="983" t="s">
        <v>2715</v>
      </c>
      <c r="C5173" s="1000"/>
      <c r="H5173" s="983" t="s">
        <v>1108</v>
      </c>
    </row>
    <row r="5174" spans="1:9" x14ac:dyDescent="0.2">
      <c r="A5174" s="997">
        <f t="shared" si="80"/>
        <v>5173</v>
      </c>
      <c r="B5174" s="983" t="s">
        <v>2715</v>
      </c>
      <c r="C5174" s="1000"/>
      <c r="H5174" s="983" t="str">
        <f>CONCATENATE("&lt;valeur&gt;",Cellule_1564,"&lt;/valeur&gt;")</f>
        <v>&lt;valeur&gt;0&lt;/valeur&gt;</v>
      </c>
    </row>
    <row r="5175" spans="1:9" x14ac:dyDescent="0.2">
      <c r="A5175" s="997">
        <f t="shared" si="80"/>
        <v>5174</v>
      </c>
      <c r="B5175" s="983" t="s">
        <v>2715</v>
      </c>
      <c r="C5175" s="999"/>
      <c r="G5175" s="983" t="s">
        <v>1109</v>
      </c>
    </row>
    <row r="5176" spans="1:9" x14ac:dyDescent="0.2">
      <c r="A5176" s="997">
        <f t="shared" si="80"/>
        <v>5175</v>
      </c>
      <c r="B5176" s="983" t="s">
        <v>2715</v>
      </c>
      <c r="C5176" s="999"/>
      <c r="G5176" s="983" t="s">
        <v>1106</v>
      </c>
    </row>
    <row r="5177" spans="1:9" x14ac:dyDescent="0.2">
      <c r="A5177" s="997">
        <f t="shared" si="80"/>
        <v>5176</v>
      </c>
      <c r="B5177" s="983" t="s">
        <v>2715</v>
      </c>
      <c r="C5177" s="1000"/>
      <c r="H5177" s="983" t="s">
        <v>1107</v>
      </c>
    </row>
    <row r="5178" spans="1:9" x14ac:dyDescent="0.2">
      <c r="A5178" s="997">
        <f t="shared" si="80"/>
        <v>5177</v>
      </c>
      <c r="B5178" s="983" t="s">
        <v>2715</v>
      </c>
      <c r="C5178" s="1001"/>
      <c r="I5178" s="983" t="s">
        <v>1936</v>
      </c>
    </row>
    <row r="5179" spans="1:9" x14ac:dyDescent="0.2">
      <c r="A5179" s="997">
        <f t="shared" si="80"/>
        <v>5178</v>
      </c>
      <c r="B5179" s="983" t="s">
        <v>2715</v>
      </c>
      <c r="C5179" s="1000"/>
      <c r="H5179" s="983" t="s">
        <v>1108</v>
      </c>
    </row>
    <row r="5180" spans="1:9" x14ac:dyDescent="0.2">
      <c r="A5180" s="997">
        <f t="shared" si="80"/>
        <v>5179</v>
      </c>
      <c r="B5180" s="983" t="s">
        <v>2715</v>
      </c>
      <c r="C5180" s="1000"/>
      <c r="H5180" s="983" t="str">
        <f>CONCATENATE("&lt;valeur&gt;",Cellule_1565,"&lt;/valeur&gt;")</f>
        <v>&lt;valeur&gt;0&lt;/valeur&gt;</v>
      </c>
    </row>
    <row r="5181" spans="1:9" x14ac:dyDescent="0.2">
      <c r="A5181" s="997">
        <f t="shared" si="80"/>
        <v>5180</v>
      </c>
      <c r="B5181" s="983" t="s">
        <v>2715</v>
      </c>
      <c r="C5181" s="999"/>
      <c r="G5181" s="983" t="s">
        <v>1109</v>
      </c>
    </row>
    <row r="5182" spans="1:9" x14ac:dyDescent="0.2">
      <c r="A5182" s="997">
        <f t="shared" si="80"/>
        <v>5181</v>
      </c>
      <c r="B5182" s="983" t="s">
        <v>2715</v>
      </c>
      <c r="C5182" s="999"/>
      <c r="G5182" s="983" t="s">
        <v>1106</v>
      </c>
    </row>
    <row r="5183" spans="1:9" x14ac:dyDescent="0.2">
      <c r="A5183" s="997">
        <f t="shared" si="80"/>
        <v>5182</v>
      </c>
      <c r="B5183" s="983" t="s">
        <v>2715</v>
      </c>
      <c r="C5183" s="1000"/>
      <c r="H5183" s="983" t="s">
        <v>1107</v>
      </c>
    </row>
    <row r="5184" spans="1:9" x14ac:dyDescent="0.2">
      <c r="A5184" s="997">
        <f t="shared" si="80"/>
        <v>5183</v>
      </c>
      <c r="B5184" s="983" t="s">
        <v>2715</v>
      </c>
      <c r="C5184" s="1001"/>
      <c r="I5184" s="983" t="s">
        <v>1937</v>
      </c>
    </row>
    <row r="5185" spans="1:9" x14ac:dyDescent="0.2">
      <c r="A5185" s="997">
        <f t="shared" si="80"/>
        <v>5184</v>
      </c>
      <c r="B5185" s="983" t="s">
        <v>2715</v>
      </c>
      <c r="C5185" s="1000"/>
      <c r="H5185" s="983" t="s">
        <v>1108</v>
      </c>
    </row>
    <row r="5186" spans="1:9" x14ac:dyDescent="0.2">
      <c r="A5186" s="997">
        <f t="shared" si="80"/>
        <v>5185</v>
      </c>
      <c r="B5186" s="983" t="s">
        <v>2715</v>
      </c>
      <c r="C5186" s="1000"/>
      <c r="H5186" s="983" t="str">
        <f>CONCATENATE("&lt;valeur&gt;",Cellule_1566,"&lt;/valeur&gt;")</f>
        <v>&lt;valeur&gt;&lt;/valeur&gt;</v>
      </c>
    </row>
    <row r="5187" spans="1:9" x14ac:dyDescent="0.2">
      <c r="A5187" s="997">
        <f t="shared" si="80"/>
        <v>5186</v>
      </c>
      <c r="B5187" s="983" t="s">
        <v>2715</v>
      </c>
      <c r="C5187" s="999"/>
      <c r="G5187" s="983" t="s">
        <v>1109</v>
      </c>
    </row>
    <row r="5188" spans="1:9" x14ac:dyDescent="0.2">
      <c r="A5188" s="997">
        <f t="shared" ref="A5188:A5251" si="81">+A5187+1</f>
        <v>5187</v>
      </c>
      <c r="B5188" s="983" t="s">
        <v>2715</v>
      </c>
      <c r="C5188" s="999"/>
      <c r="G5188" s="983" t="s">
        <v>1106</v>
      </c>
    </row>
    <row r="5189" spans="1:9" x14ac:dyDescent="0.2">
      <c r="A5189" s="997">
        <f t="shared" si="81"/>
        <v>5188</v>
      </c>
      <c r="B5189" s="983" t="s">
        <v>2715</v>
      </c>
      <c r="C5189" s="1000"/>
      <c r="H5189" s="983" t="s">
        <v>1107</v>
      </c>
    </row>
    <row r="5190" spans="1:9" x14ac:dyDescent="0.2">
      <c r="A5190" s="997">
        <f t="shared" si="81"/>
        <v>5189</v>
      </c>
      <c r="B5190" s="983" t="s">
        <v>2715</v>
      </c>
      <c r="C5190" s="1001"/>
      <c r="I5190" s="983" t="s">
        <v>1938</v>
      </c>
    </row>
    <row r="5191" spans="1:9" x14ac:dyDescent="0.2">
      <c r="A5191" s="997">
        <f t="shared" si="81"/>
        <v>5190</v>
      </c>
      <c r="B5191" s="983" t="s">
        <v>2715</v>
      </c>
      <c r="C5191" s="1000"/>
      <c r="H5191" s="983" t="s">
        <v>1108</v>
      </c>
    </row>
    <row r="5192" spans="1:9" x14ac:dyDescent="0.2">
      <c r="A5192" s="997">
        <f t="shared" si="81"/>
        <v>5191</v>
      </c>
      <c r="B5192" s="983" t="s">
        <v>2715</v>
      </c>
      <c r="C5192" s="1000"/>
      <c r="H5192" s="983" t="str">
        <f>CONCATENATE("&lt;valeur&gt;",Cellule_1567,"&lt;/valeur&gt;")</f>
        <v>&lt;valeur&gt;0&lt;/valeur&gt;</v>
      </c>
    </row>
    <row r="5193" spans="1:9" x14ac:dyDescent="0.2">
      <c r="A5193" s="997">
        <f t="shared" si="81"/>
        <v>5192</v>
      </c>
      <c r="B5193" s="983" t="s">
        <v>2715</v>
      </c>
      <c r="C5193" s="999"/>
      <c r="G5193" s="983" t="s">
        <v>1109</v>
      </c>
    </row>
    <row r="5194" spans="1:9" x14ac:dyDescent="0.2">
      <c r="A5194" s="997">
        <f t="shared" si="81"/>
        <v>5193</v>
      </c>
      <c r="B5194" s="983" t="s">
        <v>2715</v>
      </c>
      <c r="C5194" s="999"/>
      <c r="G5194" s="983" t="s">
        <v>1106</v>
      </c>
    </row>
    <row r="5195" spans="1:9" x14ac:dyDescent="0.2">
      <c r="A5195" s="997">
        <f t="shared" si="81"/>
        <v>5194</v>
      </c>
      <c r="B5195" s="983" t="s">
        <v>2715</v>
      </c>
      <c r="C5195" s="1000"/>
      <c r="H5195" s="983" t="s">
        <v>1107</v>
      </c>
    </row>
    <row r="5196" spans="1:9" x14ac:dyDescent="0.2">
      <c r="A5196" s="997">
        <f t="shared" si="81"/>
        <v>5195</v>
      </c>
      <c r="B5196" s="983" t="s">
        <v>2715</v>
      </c>
      <c r="C5196" s="1001"/>
      <c r="I5196" s="983" t="s">
        <v>1939</v>
      </c>
    </row>
    <row r="5197" spans="1:9" x14ac:dyDescent="0.2">
      <c r="A5197" s="997">
        <f t="shared" si="81"/>
        <v>5196</v>
      </c>
      <c r="B5197" s="983" t="s">
        <v>2715</v>
      </c>
      <c r="C5197" s="1000"/>
      <c r="H5197" s="983" t="s">
        <v>1108</v>
      </c>
    </row>
    <row r="5198" spans="1:9" x14ac:dyDescent="0.2">
      <c r="A5198" s="997">
        <f t="shared" si="81"/>
        <v>5197</v>
      </c>
      <c r="B5198" s="983" t="s">
        <v>2715</v>
      </c>
      <c r="C5198" s="1000"/>
      <c r="H5198" s="983" t="str">
        <f>CONCATENATE("&lt;valeur&gt;",Cellule_1568,"&lt;/valeur&gt;")</f>
        <v>&lt;valeur&gt;0&lt;/valeur&gt;</v>
      </c>
    </row>
    <row r="5199" spans="1:9" x14ac:dyDescent="0.2">
      <c r="A5199" s="997">
        <f t="shared" si="81"/>
        <v>5198</v>
      </c>
      <c r="B5199" s="983" t="s">
        <v>2715</v>
      </c>
      <c r="C5199" s="999"/>
      <c r="G5199" s="983" t="s">
        <v>1109</v>
      </c>
    </row>
    <row r="5200" spans="1:9" x14ac:dyDescent="0.2">
      <c r="A5200" s="997">
        <f t="shared" si="81"/>
        <v>5199</v>
      </c>
      <c r="B5200" s="983" t="s">
        <v>2715</v>
      </c>
      <c r="C5200" s="999"/>
      <c r="G5200" s="983" t="s">
        <v>1106</v>
      </c>
    </row>
    <row r="5201" spans="1:9" x14ac:dyDescent="0.2">
      <c r="A5201" s="997">
        <f t="shared" si="81"/>
        <v>5200</v>
      </c>
      <c r="B5201" s="983" t="s">
        <v>2715</v>
      </c>
      <c r="C5201" s="1000"/>
      <c r="H5201" s="983" t="s">
        <v>1107</v>
      </c>
    </row>
    <row r="5202" spans="1:9" x14ac:dyDescent="0.2">
      <c r="A5202" s="997">
        <f t="shared" si="81"/>
        <v>5201</v>
      </c>
      <c r="B5202" s="983" t="s">
        <v>2715</v>
      </c>
      <c r="C5202" s="1001"/>
      <c r="I5202" s="983" t="s">
        <v>1940</v>
      </c>
    </row>
    <row r="5203" spans="1:9" x14ac:dyDescent="0.2">
      <c r="A5203" s="997">
        <f t="shared" si="81"/>
        <v>5202</v>
      </c>
      <c r="B5203" s="983" t="s">
        <v>2715</v>
      </c>
      <c r="C5203" s="1000"/>
      <c r="H5203" s="983" t="s">
        <v>1108</v>
      </c>
    </row>
    <row r="5204" spans="1:9" x14ac:dyDescent="0.2">
      <c r="A5204" s="997">
        <f t="shared" si="81"/>
        <v>5203</v>
      </c>
      <c r="B5204" s="983" t="s">
        <v>2715</v>
      </c>
      <c r="C5204" s="1000"/>
      <c r="H5204" s="983" t="str">
        <f>CONCATENATE("&lt;valeur&gt;",Cellule_1569,"&lt;/valeur&gt;")</f>
        <v>&lt;valeur&gt;0&lt;/valeur&gt;</v>
      </c>
    </row>
    <row r="5205" spans="1:9" x14ac:dyDescent="0.2">
      <c r="A5205" s="997">
        <f t="shared" si="81"/>
        <v>5204</v>
      </c>
      <c r="B5205" s="983" t="s">
        <v>2715</v>
      </c>
      <c r="C5205" s="999"/>
      <c r="G5205" s="983" t="s">
        <v>1109</v>
      </c>
    </row>
    <row r="5206" spans="1:9" x14ac:dyDescent="0.2">
      <c r="A5206" s="997">
        <f t="shared" si="81"/>
        <v>5205</v>
      </c>
      <c r="B5206" s="983" t="s">
        <v>2715</v>
      </c>
      <c r="C5206" s="999"/>
      <c r="G5206" s="983" t="s">
        <v>1106</v>
      </c>
    </row>
    <row r="5207" spans="1:9" x14ac:dyDescent="0.2">
      <c r="A5207" s="997">
        <f t="shared" si="81"/>
        <v>5206</v>
      </c>
      <c r="B5207" s="983" t="s">
        <v>2715</v>
      </c>
      <c r="C5207" s="1000"/>
      <c r="H5207" s="983" t="s">
        <v>1107</v>
      </c>
    </row>
    <row r="5208" spans="1:9" x14ac:dyDescent="0.2">
      <c r="A5208" s="997">
        <f t="shared" si="81"/>
        <v>5207</v>
      </c>
      <c r="B5208" s="983" t="s">
        <v>2715</v>
      </c>
      <c r="C5208" s="1001"/>
      <c r="I5208" s="983" t="s">
        <v>1941</v>
      </c>
    </row>
    <row r="5209" spans="1:9" x14ac:dyDescent="0.2">
      <c r="A5209" s="997">
        <f t="shared" si="81"/>
        <v>5208</v>
      </c>
      <c r="B5209" s="983" t="s">
        <v>2715</v>
      </c>
      <c r="C5209" s="1000"/>
      <c r="H5209" s="983" t="s">
        <v>1108</v>
      </c>
    </row>
    <row r="5210" spans="1:9" x14ac:dyDescent="0.2">
      <c r="A5210" s="997">
        <f t="shared" si="81"/>
        <v>5209</v>
      </c>
      <c r="B5210" s="983" t="s">
        <v>2715</v>
      </c>
      <c r="C5210" s="1000"/>
      <c r="H5210" s="983" t="str">
        <f>CONCATENATE("&lt;valeur&gt;",Cellule_1570,"&lt;/valeur&gt;")</f>
        <v>&lt;valeur&gt;0&lt;/valeur&gt;</v>
      </c>
    </row>
    <row r="5211" spans="1:9" x14ac:dyDescent="0.2">
      <c r="A5211" s="997">
        <f t="shared" si="81"/>
        <v>5210</v>
      </c>
      <c r="B5211" s="983" t="s">
        <v>2715</v>
      </c>
      <c r="C5211" s="999"/>
      <c r="G5211" s="983" t="s">
        <v>1109</v>
      </c>
    </row>
    <row r="5212" spans="1:9" x14ac:dyDescent="0.2">
      <c r="A5212" s="997">
        <f t="shared" si="81"/>
        <v>5211</v>
      </c>
      <c r="B5212" s="983" t="s">
        <v>2715</v>
      </c>
      <c r="C5212" s="999"/>
      <c r="G5212" s="983" t="s">
        <v>1106</v>
      </c>
    </row>
    <row r="5213" spans="1:9" x14ac:dyDescent="0.2">
      <c r="A5213" s="997">
        <f t="shared" si="81"/>
        <v>5212</v>
      </c>
      <c r="B5213" s="983" t="s">
        <v>2715</v>
      </c>
      <c r="C5213" s="1000"/>
      <c r="H5213" s="983" t="s">
        <v>1107</v>
      </c>
    </row>
    <row r="5214" spans="1:9" x14ac:dyDescent="0.2">
      <c r="A5214" s="997">
        <f t="shared" si="81"/>
        <v>5213</v>
      </c>
      <c r="B5214" s="983" t="s">
        <v>2715</v>
      </c>
      <c r="C5214" s="1001"/>
      <c r="I5214" s="983" t="s">
        <v>1942</v>
      </c>
    </row>
    <row r="5215" spans="1:9" x14ac:dyDescent="0.2">
      <c r="A5215" s="997">
        <f t="shared" si="81"/>
        <v>5214</v>
      </c>
      <c r="B5215" s="983" t="s">
        <v>2715</v>
      </c>
      <c r="C5215" s="1000"/>
      <c r="H5215" s="983" t="s">
        <v>1108</v>
      </c>
    </row>
    <row r="5216" spans="1:9" x14ac:dyDescent="0.2">
      <c r="A5216" s="997">
        <f t="shared" si="81"/>
        <v>5215</v>
      </c>
      <c r="B5216" s="983" t="s">
        <v>2715</v>
      </c>
      <c r="C5216" s="1000"/>
      <c r="H5216" s="983" t="str">
        <f>CONCATENATE("&lt;valeur&gt;",Cellule_1571,"&lt;/valeur&gt;")</f>
        <v>&lt;valeur&gt;0&lt;/valeur&gt;</v>
      </c>
    </row>
    <row r="5217" spans="1:9" x14ac:dyDescent="0.2">
      <c r="A5217" s="997">
        <f t="shared" si="81"/>
        <v>5216</v>
      </c>
      <c r="B5217" s="983" t="s">
        <v>2715</v>
      </c>
      <c r="C5217" s="999"/>
      <c r="G5217" s="983" t="s">
        <v>1109</v>
      </c>
    </row>
    <row r="5218" spans="1:9" x14ac:dyDescent="0.2">
      <c r="A5218" s="997">
        <f t="shared" si="81"/>
        <v>5217</v>
      </c>
      <c r="B5218" s="983" t="s">
        <v>2715</v>
      </c>
      <c r="C5218" s="999"/>
      <c r="G5218" s="983" t="s">
        <v>1106</v>
      </c>
    </row>
    <row r="5219" spans="1:9" x14ac:dyDescent="0.2">
      <c r="A5219" s="997">
        <f t="shared" si="81"/>
        <v>5218</v>
      </c>
      <c r="B5219" s="983" t="s">
        <v>2715</v>
      </c>
      <c r="C5219" s="1000"/>
      <c r="H5219" s="983" t="s">
        <v>1107</v>
      </c>
    </row>
    <row r="5220" spans="1:9" x14ac:dyDescent="0.2">
      <c r="A5220" s="997">
        <f t="shared" si="81"/>
        <v>5219</v>
      </c>
      <c r="B5220" s="983" t="s">
        <v>2715</v>
      </c>
      <c r="C5220" s="1001"/>
      <c r="I5220" s="983" t="s">
        <v>1943</v>
      </c>
    </row>
    <row r="5221" spans="1:9" x14ac:dyDescent="0.2">
      <c r="A5221" s="997">
        <f t="shared" si="81"/>
        <v>5220</v>
      </c>
      <c r="B5221" s="983" t="s">
        <v>2715</v>
      </c>
      <c r="C5221" s="1000"/>
      <c r="H5221" s="983" t="s">
        <v>1108</v>
      </c>
    </row>
    <row r="5222" spans="1:9" x14ac:dyDescent="0.2">
      <c r="A5222" s="997">
        <f t="shared" si="81"/>
        <v>5221</v>
      </c>
      <c r="B5222" s="983" t="s">
        <v>2715</v>
      </c>
      <c r="C5222" s="1000"/>
      <c r="H5222" s="983" t="str">
        <f>CONCATENATE("&lt;valeur&gt;",Cellule_1572,"&lt;/valeur&gt;")</f>
        <v>&lt;valeur&gt;0&lt;/valeur&gt;</v>
      </c>
    </row>
    <row r="5223" spans="1:9" x14ac:dyDescent="0.2">
      <c r="A5223" s="997">
        <f t="shared" si="81"/>
        <v>5222</v>
      </c>
      <c r="B5223" s="983" t="s">
        <v>2715</v>
      </c>
      <c r="C5223" s="999"/>
      <c r="G5223" s="983" t="s">
        <v>1109</v>
      </c>
    </row>
    <row r="5224" spans="1:9" x14ac:dyDescent="0.2">
      <c r="A5224" s="997">
        <f t="shared" si="81"/>
        <v>5223</v>
      </c>
      <c r="B5224" s="983" t="s">
        <v>2715</v>
      </c>
      <c r="C5224" s="999"/>
      <c r="G5224" s="983" t="s">
        <v>1106</v>
      </c>
    </row>
    <row r="5225" spans="1:9" x14ac:dyDescent="0.2">
      <c r="A5225" s="997">
        <f t="shared" si="81"/>
        <v>5224</v>
      </c>
      <c r="B5225" s="983" t="s">
        <v>2715</v>
      </c>
      <c r="C5225" s="1000"/>
      <c r="H5225" s="983" t="s">
        <v>1107</v>
      </c>
    </row>
    <row r="5226" spans="1:9" x14ac:dyDescent="0.2">
      <c r="A5226" s="997">
        <f t="shared" si="81"/>
        <v>5225</v>
      </c>
      <c r="B5226" s="983" t="s">
        <v>2715</v>
      </c>
      <c r="C5226" s="1001"/>
      <c r="I5226" s="983" t="s">
        <v>1944</v>
      </c>
    </row>
    <row r="5227" spans="1:9" x14ac:dyDescent="0.2">
      <c r="A5227" s="997">
        <f t="shared" si="81"/>
        <v>5226</v>
      </c>
      <c r="B5227" s="983" t="s">
        <v>2715</v>
      </c>
      <c r="C5227" s="1000"/>
      <c r="H5227" s="983" t="s">
        <v>1108</v>
      </c>
    </row>
    <row r="5228" spans="1:9" x14ac:dyDescent="0.2">
      <c r="A5228" s="997">
        <f t="shared" si="81"/>
        <v>5227</v>
      </c>
      <c r="B5228" s="983" t="s">
        <v>2715</v>
      </c>
      <c r="C5228" s="1000"/>
      <c r="H5228" s="983" t="str">
        <f>CONCATENATE("&lt;valeur&gt;",Cellule_1573,"&lt;/valeur&gt;")</f>
        <v>&lt;valeur&gt;0&lt;/valeur&gt;</v>
      </c>
    </row>
    <row r="5229" spans="1:9" x14ac:dyDescent="0.2">
      <c r="A5229" s="997">
        <f t="shared" si="81"/>
        <v>5228</v>
      </c>
      <c r="B5229" s="983" t="s">
        <v>2715</v>
      </c>
      <c r="C5229" s="999"/>
      <c r="G5229" s="983" t="s">
        <v>1109</v>
      </c>
    </row>
    <row r="5230" spans="1:9" x14ac:dyDescent="0.2">
      <c r="A5230" s="997">
        <f t="shared" si="81"/>
        <v>5229</v>
      </c>
      <c r="B5230" s="983" t="s">
        <v>2715</v>
      </c>
      <c r="C5230" s="999"/>
      <c r="G5230" s="983" t="s">
        <v>1106</v>
      </c>
    </row>
    <row r="5231" spans="1:9" x14ac:dyDescent="0.2">
      <c r="A5231" s="997">
        <f t="shared" si="81"/>
        <v>5230</v>
      </c>
      <c r="B5231" s="983" t="s">
        <v>2715</v>
      </c>
      <c r="C5231" s="1000"/>
      <c r="H5231" s="983" t="s">
        <v>1107</v>
      </c>
    </row>
    <row r="5232" spans="1:9" x14ac:dyDescent="0.2">
      <c r="A5232" s="997">
        <f t="shared" si="81"/>
        <v>5231</v>
      </c>
      <c r="B5232" s="983" t="s">
        <v>2715</v>
      </c>
      <c r="C5232" s="1001"/>
      <c r="I5232" s="983" t="s">
        <v>1945</v>
      </c>
    </row>
    <row r="5233" spans="1:9" x14ac:dyDescent="0.2">
      <c r="A5233" s="997">
        <f t="shared" si="81"/>
        <v>5232</v>
      </c>
      <c r="B5233" s="983" t="s">
        <v>2715</v>
      </c>
      <c r="C5233" s="1000"/>
      <c r="H5233" s="983" t="s">
        <v>1108</v>
      </c>
    </row>
    <row r="5234" spans="1:9" x14ac:dyDescent="0.2">
      <c r="A5234" s="997">
        <f t="shared" si="81"/>
        <v>5233</v>
      </c>
      <c r="B5234" s="983" t="s">
        <v>2715</v>
      </c>
      <c r="C5234" s="1000"/>
      <c r="H5234" s="983" t="str">
        <f>CONCATENATE("&lt;valeur&gt;",Cellule_1574,"&lt;/valeur&gt;")</f>
        <v>&lt;valeur&gt;&lt;/valeur&gt;</v>
      </c>
    </row>
    <row r="5235" spans="1:9" x14ac:dyDescent="0.2">
      <c r="A5235" s="997">
        <f t="shared" si="81"/>
        <v>5234</v>
      </c>
      <c r="B5235" s="983" t="s">
        <v>2715</v>
      </c>
      <c r="C5235" s="999"/>
      <c r="G5235" s="983" t="s">
        <v>1109</v>
      </c>
    </row>
    <row r="5236" spans="1:9" x14ac:dyDescent="0.2">
      <c r="A5236" s="997">
        <f t="shared" si="81"/>
        <v>5235</v>
      </c>
      <c r="B5236" s="983" t="s">
        <v>2715</v>
      </c>
      <c r="C5236" s="999"/>
      <c r="G5236" s="983" t="s">
        <v>1106</v>
      </c>
    </row>
    <row r="5237" spans="1:9" x14ac:dyDescent="0.2">
      <c r="A5237" s="997">
        <f t="shared" si="81"/>
        <v>5236</v>
      </c>
      <c r="B5237" s="983" t="s">
        <v>2715</v>
      </c>
      <c r="C5237" s="1000"/>
      <c r="H5237" s="983" t="s">
        <v>1107</v>
      </c>
    </row>
    <row r="5238" spans="1:9" x14ac:dyDescent="0.2">
      <c r="A5238" s="997">
        <f t="shared" si="81"/>
        <v>5237</v>
      </c>
      <c r="B5238" s="983" t="s">
        <v>2715</v>
      </c>
      <c r="C5238" s="1001"/>
      <c r="I5238" s="983" t="s">
        <v>1946</v>
      </c>
    </row>
    <row r="5239" spans="1:9" x14ac:dyDescent="0.2">
      <c r="A5239" s="997">
        <f t="shared" si="81"/>
        <v>5238</v>
      </c>
      <c r="B5239" s="983" t="s">
        <v>2715</v>
      </c>
      <c r="C5239" s="1000"/>
      <c r="H5239" s="983" t="s">
        <v>1108</v>
      </c>
    </row>
    <row r="5240" spans="1:9" x14ac:dyDescent="0.2">
      <c r="A5240" s="997">
        <f t="shared" si="81"/>
        <v>5239</v>
      </c>
      <c r="B5240" s="983" t="s">
        <v>2715</v>
      </c>
      <c r="C5240" s="1000"/>
      <c r="H5240" s="983" t="str">
        <f>CONCATENATE("&lt;valeur&gt;",Cellule_1575,"&lt;/valeur&gt;")</f>
        <v>&lt;valeur&gt;5000&lt;/valeur&gt;</v>
      </c>
    </row>
    <row r="5241" spans="1:9" x14ac:dyDescent="0.2">
      <c r="A5241" s="997">
        <f t="shared" si="81"/>
        <v>5240</v>
      </c>
      <c r="B5241" s="983" t="s">
        <v>2715</v>
      </c>
      <c r="C5241" s="999"/>
      <c r="G5241" s="983" t="s">
        <v>1109</v>
      </c>
    </row>
    <row r="5242" spans="1:9" x14ac:dyDescent="0.2">
      <c r="A5242" s="997">
        <f t="shared" si="81"/>
        <v>5241</v>
      </c>
      <c r="B5242" s="983" t="s">
        <v>2715</v>
      </c>
      <c r="C5242" s="999"/>
      <c r="G5242" s="983" t="s">
        <v>1106</v>
      </c>
    </row>
    <row r="5243" spans="1:9" x14ac:dyDescent="0.2">
      <c r="A5243" s="997">
        <f t="shared" si="81"/>
        <v>5242</v>
      </c>
      <c r="B5243" s="983" t="s">
        <v>2715</v>
      </c>
      <c r="C5243" s="1000"/>
      <c r="H5243" s="983" t="s">
        <v>1107</v>
      </c>
    </row>
    <row r="5244" spans="1:9" x14ac:dyDescent="0.2">
      <c r="A5244" s="997">
        <f t="shared" si="81"/>
        <v>5243</v>
      </c>
      <c r="B5244" s="983" t="s">
        <v>2715</v>
      </c>
      <c r="C5244" s="1001"/>
      <c r="I5244" s="983" t="s">
        <v>1947</v>
      </c>
    </row>
    <row r="5245" spans="1:9" x14ac:dyDescent="0.2">
      <c r="A5245" s="997">
        <f t="shared" si="81"/>
        <v>5244</v>
      </c>
      <c r="B5245" s="983" t="s">
        <v>2715</v>
      </c>
      <c r="C5245" s="1000"/>
      <c r="H5245" s="983" t="s">
        <v>1108</v>
      </c>
    </row>
    <row r="5246" spans="1:9" x14ac:dyDescent="0.2">
      <c r="A5246" s="997">
        <f t="shared" si="81"/>
        <v>5245</v>
      </c>
      <c r="B5246" s="983" t="s">
        <v>2715</v>
      </c>
      <c r="C5246" s="1000"/>
      <c r="H5246" s="983" t="str">
        <f>CONCATENATE("&lt;valeur&gt;",Cellule_1576,"&lt;/valeur&gt;")</f>
        <v>&lt;valeur&gt;0&lt;/valeur&gt;</v>
      </c>
    </row>
    <row r="5247" spans="1:9" x14ac:dyDescent="0.2">
      <c r="A5247" s="997">
        <f t="shared" si="81"/>
        <v>5246</v>
      </c>
      <c r="B5247" s="983" t="s">
        <v>2715</v>
      </c>
      <c r="C5247" s="999"/>
      <c r="G5247" s="983" t="s">
        <v>1109</v>
      </c>
    </row>
    <row r="5248" spans="1:9" x14ac:dyDescent="0.2">
      <c r="A5248" s="997">
        <f t="shared" si="81"/>
        <v>5247</v>
      </c>
      <c r="B5248" s="983" t="s">
        <v>2715</v>
      </c>
      <c r="C5248" s="999"/>
      <c r="G5248" s="983" t="s">
        <v>1106</v>
      </c>
    </row>
    <row r="5249" spans="1:9" x14ac:dyDescent="0.2">
      <c r="A5249" s="997">
        <f t="shared" si="81"/>
        <v>5248</v>
      </c>
      <c r="B5249" s="983" t="s">
        <v>2715</v>
      </c>
      <c r="C5249" s="1000"/>
      <c r="H5249" s="983" t="s">
        <v>1107</v>
      </c>
    </row>
    <row r="5250" spans="1:9" x14ac:dyDescent="0.2">
      <c r="A5250" s="997">
        <f t="shared" si="81"/>
        <v>5249</v>
      </c>
      <c r="B5250" s="983" t="s">
        <v>2715</v>
      </c>
      <c r="C5250" s="1001"/>
      <c r="I5250" s="983" t="s">
        <v>1948</v>
      </c>
    </row>
    <row r="5251" spans="1:9" x14ac:dyDescent="0.2">
      <c r="A5251" s="997">
        <f t="shared" si="81"/>
        <v>5250</v>
      </c>
      <c r="B5251" s="983" t="s">
        <v>2715</v>
      </c>
      <c r="C5251" s="1000"/>
      <c r="H5251" s="983" t="s">
        <v>1108</v>
      </c>
    </row>
    <row r="5252" spans="1:9" x14ac:dyDescent="0.2">
      <c r="A5252" s="997">
        <f t="shared" ref="A5252:A5315" si="82">+A5251+1</f>
        <v>5251</v>
      </c>
      <c r="B5252" s="983" t="s">
        <v>2715</v>
      </c>
      <c r="C5252" s="1000"/>
      <c r="H5252" s="983" t="str">
        <f>CONCATENATE("&lt;valeur&gt;",Cellule_1577,"&lt;/valeur&gt;")</f>
        <v>&lt;valeur&gt;0&lt;/valeur&gt;</v>
      </c>
    </row>
    <row r="5253" spans="1:9" x14ac:dyDescent="0.2">
      <c r="A5253" s="997">
        <f t="shared" si="82"/>
        <v>5252</v>
      </c>
      <c r="B5253" s="983" t="s">
        <v>2715</v>
      </c>
      <c r="C5253" s="999"/>
      <c r="G5253" s="983" t="s">
        <v>1109</v>
      </c>
    </row>
    <row r="5254" spans="1:9" x14ac:dyDescent="0.2">
      <c r="A5254" s="997">
        <f t="shared" si="82"/>
        <v>5253</v>
      </c>
      <c r="B5254" s="983" t="s">
        <v>2715</v>
      </c>
      <c r="C5254" s="999"/>
      <c r="G5254" s="983" t="s">
        <v>1106</v>
      </c>
    </row>
    <row r="5255" spans="1:9" x14ac:dyDescent="0.2">
      <c r="A5255" s="997">
        <f t="shared" si="82"/>
        <v>5254</v>
      </c>
      <c r="B5255" s="983" t="s">
        <v>2715</v>
      </c>
      <c r="C5255" s="1000"/>
      <c r="H5255" s="983" t="s">
        <v>1107</v>
      </c>
    </row>
    <row r="5256" spans="1:9" x14ac:dyDescent="0.2">
      <c r="A5256" s="997">
        <f t="shared" si="82"/>
        <v>5255</v>
      </c>
      <c r="B5256" s="983" t="s">
        <v>2715</v>
      </c>
      <c r="C5256" s="1001"/>
      <c r="I5256" s="983" t="s">
        <v>1949</v>
      </c>
    </row>
    <row r="5257" spans="1:9" x14ac:dyDescent="0.2">
      <c r="A5257" s="997">
        <f t="shared" si="82"/>
        <v>5256</v>
      </c>
      <c r="B5257" s="983" t="s">
        <v>2715</v>
      </c>
      <c r="C5257" s="1000"/>
      <c r="H5257" s="983" t="s">
        <v>1108</v>
      </c>
    </row>
    <row r="5258" spans="1:9" x14ac:dyDescent="0.2">
      <c r="A5258" s="997">
        <f t="shared" si="82"/>
        <v>5257</v>
      </c>
      <c r="B5258" s="983" t="s">
        <v>2715</v>
      </c>
      <c r="C5258" s="1000"/>
      <c r="H5258" s="983" t="str">
        <f>CONCATENATE("&lt;valeur&gt;",Cellule_1578,"&lt;/valeur&gt;")</f>
        <v>&lt;valeur&gt;0&lt;/valeur&gt;</v>
      </c>
    </row>
    <row r="5259" spans="1:9" x14ac:dyDescent="0.2">
      <c r="A5259" s="997">
        <f t="shared" si="82"/>
        <v>5258</v>
      </c>
      <c r="B5259" s="983" t="s">
        <v>2715</v>
      </c>
      <c r="C5259" s="999"/>
      <c r="G5259" s="983" t="s">
        <v>1109</v>
      </c>
    </row>
    <row r="5260" spans="1:9" x14ac:dyDescent="0.2">
      <c r="A5260" s="997">
        <f t="shared" si="82"/>
        <v>5259</v>
      </c>
      <c r="B5260" s="983" t="s">
        <v>2715</v>
      </c>
      <c r="C5260" s="999"/>
      <c r="G5260" s="983" t="s">
        <v>1106</v>
      </c>
    </row>
    <row r="5261" spans="1:9" x14ac:dyDescent="0.2">
      <c r="A5261" s="997">
        <f t="shared" si="82"/>
        <v>5260</v>
      </c>
      <c r="B5261" s="983" t="s">
        <v>2715</v>
      </c>
      <c r="C5261" s="1000"/>
      <c r="H5261" s="983" t="s">
        <v>1107</v>
      </c>
    </row>
    <row r="5262" spans="1:9" x14ac:dyDescent="0.2">
      <c r="A5262" s="997">
        <f t="shared" si="82"/>
        <v>5261</v>
      </c>
      <c r="B5262" s="983" t="s">
        <v>2715</v>
      </c>
      <c r="C5262" s="1001"/>
      <c r="I5262" s="983" t="s">
        <v>1950</v>
      </c>
    </row>
    <row r="5263" spans="1:9" x14ac:dyDescent="0.2">
      <c r="A5263" s="997">
        <f t="shared" si="82"/>
        <v>5262</v>
      </c>
      <c r="B5263" s="983" t="s">
        <v>2715</v>
      </c>
      <c r="C5263" s="1000"/>
      <c r="H5263" s="983" t="s">
        <v>1108</v>
      </c>
    </row>
    <row r="5264" spans="1:9" x14ac:dyDescent="0.2">
      <c r="A5264" s="997">
        <f t="shared" si="82"/>
        <v>5263</v>
      </c>
      <c r="B5264" s="983" t="s">
        <v>2715</v>
      </c>
      <c r="C5264" s="1000"/>
      <c r="H5264" s="983" t="str">
        <f>CONCATENATE("&lt;valeur&gt;",Cellule_1579,"&lt;/valeur&gt;")</f>
        <v>&lt;valeur&gt;0&lt;/valeur&gt;</v>
      </c>
    </row>
    <row r="5265" spans="1:9" x14ac:dyDescent="0.2">
      <c r="A5265" s="997">
        <f t="shared" si="82"/>
        <v>5264</v>
      </c>
      <c r="B5265" s="983" t="s">
        <v>2715</v>
      </c>
      <c r="C5265" s="999"/>
      <c r="G5265" s="983" t="s">
        <v>1109</v>
      </c>
    </row>
    <row r="5266" spans="1:9" x14ac:dyDescent="0.2">
      <c r="A5266" s="997">
        <f t="shared" si="82"/>
        <v>5265</v>
      </c>
      <c r="B5266" s="983" t="s">
        <v>2715</v>
      </c>
      <c r="C5266" s="999"/>
      <c r="G5266" s="983" t="s">
        <v>1106</v>
      </c>
    </row>
    <row r="5267" spans="1:9" x14ac:dyDescent="0.2">
      <c r="A5267" s="997">
        <f t="shared" si="82"/>
        <v>5266</v>
      </c>
      <c r="B5267" s="983" t="s">
        <v>2715</v>
      </c>
      <c r="C5267" s="1000"/>
      <c r="H5267" s="983" t="s">
        <v>1107</v>
      </c>
    </row>
    <row r="5268" spans="1:9" x14ac:dyDescent="0.2">
      <c r="A5268" s="997">
        <f t="shared" si="82"/>
        <v>5267</v>
      </c>
      <c r="B5268" s="983" t="s">
        <v>2715</v>
      </c>
      <c r="C5268" s="1001"/>
      <c r="I5268" s="983" t="s">
        <v>1951</v>
      </c>
    </row>
    <row r="5269" spans="1:9" x14ac:dyDescent="0.2">
      <c r="A5269" s="997">
        <f t="shared" si="82"/>
        <v>5268</v>
      </c>
      <c r="B5269" s="983" t="s">
        <v>2715</v>
      </c>
      <c r="C5269" s="1000"/>
      <c r="H5269" s="983" t="s">
        <v>1108</v>
      </c>
    </row>
    <row r="5270" spans="1:9" x14ac:dyDescent="0.2">
      <c r="A5270" s="997">
        <f t="shared" si="82"/>
        <v>5269</v>
      </c>
      <c r="B5270" s="983" t="s">
        <v>2715</v>
      </c>
      <c r="C5270" s="1000"/>
      <c r="H5270" s="983" t="str">
        <f>CONCATENATE("&lt;valeur&gt;",Cellule_1582,"&lt;/valeur&gt;")</f>
        <v>&lt;valeur&gt;0&lt;/valeur&gt;</v>
      </c>
    </row>
    <row r="5271" spans="1:9" x14ac:dyDescent="0.2">
      <c r="A5271" s="997">
        <f t="shared" si="82"/>
        <v>5270</v>
      </c>
      <c r="B5271" s="983" t="s">
        <v>2715</v>
      </c>
      <c r="C5271" s="999"/>
      <c r="G5271" s="983" t="s">
        <v>1109</v>
      </c>
    </row>
    <row r="5272" spans="1:9" x14ac:dyDescent="0.2">
      <c r="A5272" s="997">
        <f t="shared" si="82"/>
        <v>5271</v>
      </c>
      <c r="B5272" s="983" t="s">
        <v>2715</v>
      </c>
      <c r="C5272" s="999"/>
      <c r="G5272" s="983" t="s">
        <v>1106</v>
      </c>
    </row>
    <row r="5273" spans="1:9" x14ac:dyDescent="0.2">
      <c r="A5273" s="997">
        <f t="shared" si="82"/>
        <v>5272</v>
      </c>
      <c r="B5273" s="983" t="s">
        <v>2715</v>
      </c>
      <c r="C5273" s="1000"/>
      <c r="H5273" s="983" t="s">
        <v>1107</v>
      </c>
    </row>
    <row r="5274" spans="1:9" x14ac:dyDescent="0.2">
      <c r="A5274" s="997">
        <f t="shared" si="82"/>
        <v>5273</v>
      </c>
      <c r="B5274" s="983" t="s">
        <v>2715</v>
      </c>
      <c r="C5274" s="1001"/>
      <c r="I5274" s="983" t="s">
        <v>1952</v>
      </c>
    </row>
    <row r="5275" spans="1:9" x14ac:dyDescent="0.2">
      <c r="A5275" s="997">
        <f t="shared" si="82"/>
        <v>5274</v>
      </c>
      <c r="B5275" s="983" t="s">
        <v>2715</v>
      </c>
      <c r="C5275" s="1000"/>
      <c r="H5275" s="983" t="s">
        <v>1108</v>
      </c>
    </row>
    <row r="5276" spans="1:9" x14ac:dyDescent="0.2">
      <c r="A5276" s="997">
        <f t="shared" si="82"/>
        <v>5275</v>
      </c>
      <c r="B5276" s="983" t="s">
        <v>2715</v>
      </c>
      <c r="C5276" s="1000"/>
      <c r="H5276" s="983" t="str">
        <f>CONCATENATE("&lt;valeur&gt;",Cellule_1583,"&lt;/valeur&gt;")</f>
        <v>&lt;valeur&gt;0&lt;/valeur&gt;</v>
      </c>
    </row>
    <row r="5277" spans="1:9" x14ac:dyDescent="0.2">
      <c r="A5277" s="997">
        <f t="shared" si="82"/>
        <v>5276</v>
      </c>
      <c r="B5277" s="983" t="s">
        <v>2715</v>
      </c>
      <c r="C5277" s="999"/>
      <c r="G5277" s="983" t="s">
        <v>1109</v>
      </c>
    </row>
    <row r="5278" spans="1:9" x14ac:dyDescent="0.2">
      <c r="A5278" s="997">
        <f t="shared" si="82"/>
        <v>5277</v>
      </c>
      <c r="B5278" s="983" t="s">
        <v>2715</v>
      </c>
      <c r="C5278" s="999"/>
      <c r="G5278" s="983" t="s">
        <v>1106</v>
      </c>
    </row>
    <row r="5279" spans="1:9" x14ac:dyDescent="0.2">
      <c r="A5279" s="997">
        <f t="shared" si="82"/>
        <v>5278</v>
      </c>
      <c r="B5279" s="983" t="s">
        <v>2715</v>
      </c>
      <c r="C5279" s="1000"/>
      <c r="H5279" s="983" t="s">
        <v>1107</v>
      </c>
    </row>
    <row r="5280" spans="1:9" x14ac:dyDescent="0.2">
      <c r="A5280" s="997">
        <f t="shared" si="82"/>
        <v>5279</v>
      </c>
      <c r="B5280" s="983" t="s">
        <v>2715</v>
      </c>
      <c r="C5280" s="1001"/>
      <c r="I5280" s="983" t="s">
        <v>1953</v>
      </c>
    </row>
    <row r="5281" spans="1:9" x14ac:dyDescent="0.2">
      <c r="A5281" s="997">
        <f t="shared" si="82"/>
        <v>5280</v>
      </c>
      <c r="B5281" s="983" t="s">
        <v>2715</v>
      </c>
      <c r="C5281" s="1000"/>
      <c r="H5281" s="983" t="s">
        <v>1108</v>
      </c>
    </row>
    <row r="5282" spans="1:9" x14ac:dyDescent="0.2">
      <c r="A5282" s="997">
        <f t="shared" si="82"/>
        <v>5281</v>
      </c>
      <c r="B5282" s="983" t="s">
        <v>2715</v>
      </c>
      <c r="C5282" s="1000"/>
      <c r="H5282" s="983" t="str">
        <f>CONCATENATE("&lt;valeur&gt;",Cellule_1584,"&lt;/valeur&gt;")</f>
        <v>&lt;valeur&gt;353,3&lt;/valeur&gt;</v>
      </c>
    </row>
    <row r="5283" spans="1:9" x14ac:dyDescent="0.2">
      <c r="A5283" s="997">
        <f t="shared" si="82"/>
        <v>5282</v>
      </c>
      <c r="B5283" s="983" t="s">
        <v>2715</v>
      </c>
      <c r="C5283" s="999"/>
      <c r="G5283" s="983" t="s">
        <v>1109</v>
      </c>
    </row>
    <row r="5284" spans="1:9" x14ac:dyDescent="0.2">
      <c r="A5284" s="997">
        <f t="shared" si="82"/>
        <v>5283</v>
      </c>
      <c r="B5284" s="983" t="s">
        <v>2715</v>
      </c>
      <c r="C5284" s="999"/>
      <c r="G5284" s="983" t="s">
        <v>1106</v>
      </c>
    </row>
    <row r="5285" spans="1:9" x14ac:dyDescent="0.2">
      <c r="A5285" s="997">
        <f t="shared" si="82"/>
        <v>5284</v>
      </c>
      <c r="B5285" s="983" t="s">
        <v>2715</v>
      </c>
      <c r="C5285" s="1000"/>
      <c r="H5285" s="983" t="s">
        <v>1107</v>
      </c>
    </row>
    <row r="5286" spans="1:9" x14ac:dyDescent="0.2">
      <c r="A5286" s="997">
        <f t="shared" si="82"/>
        <v>5285</v>
      </c>
      <c r="B5286" s="983" t="s">
        <v>2715</v>
      </c>
      <c r="C5286" s="1001"/>
      <c r="I5286" s="983" t="s">
        <v>1954</v>
      </c>
    </row>
    <row r="5287" spans="1:9" x14ac:dyDescent="0.2">
      <c r="A5287" s="997">
        <f t="shared" si="82"/>
        <v>5286</v>
      </c>
      <c r="B5287" s="983" t="s">
        <v>2715</v>
      </c>
      <c r="C5287" s="1000"/>
      <c r="H5287" s="983" t="s">
        <v>1108</v>
      </c>
    </row>
    <row r="5288" spans="1:9" x14ac:dyDescent="0.2">
      <c r="A5288" s="997">
        <f t="shared" si="82"/>
        <v>5287</v>
      </c>
      <c r="B5288" s="983" t="s">
        <v>2715</v>
      </c>
      <c r="C5288" s="1000"/>
      <c r="H5288" s="983" t="str">
        <f>CONCATENATE("&lt;valeur&gt;",Cellule_1585,"&lt;/valeur&gt;")</f>
        <v>&lt;valeur&gt;5353,3&lt;/valeur&gt;</v>
      </c>
    </row>
    <row r="5289" spans="1:9" x14ac:dyDescent="0.2">
      <c r="A5289" s="997">
        <f t="shared" si="82"/>
        <v>5288</v>
      </c>
      <c r="B5289" s="983" t="s">
        <v>2715</v>
      </c>
      <c r="C5289" s="999"/>
      <c r="G5289" s="983" t="s">
        <v>1109</v>
      </c>
    </row>
    <row r="5290" spans="1:9" x14ac:dyDescent="0.2">
      <c r="A5290" s="997">
        <f t="shared" si="82"/>
        <v>5289</v>
      </c>
      <c r="B5290" s="983" t="s">
        <v>2715</v>
      </c>
      <c r="C5290" s="999"/>
      <c r="G5290" s="983" t="s">
        <v>1106</v>
      </c>
    </row>
    <row r="5291" spans="1:9" x14ac:dyDescent="0.2">
      <c r="A5291" s="997">
        <f t="shared" si="82"/>
        <v>5290</v>
      </c>
      <c r="B5291" s="983" t="s">
        <v>2715</v>
      </c>
      <c r="C5291" s="1000"/>
      <c r="H5291" s="983" t="s">
        <v>1107</v>
      </c>
    </row>
    <row r="5292" spans="1:9" x14ac:dyDescent="0.2">
      <c r="A5292" s="997">
        <f t="shared" si="82"/>
        <v>5291</v>
      </c>
      <c r="B5292" s="983" t="s">
        <v>2715</v>
      </c>
      <c r="C5292" s="1001"/>
      <c r="I5292" s="983" t="s">
        <v>1955</v>
      </c>
    </row>
    <row r="5293" spans="1:9" x14ac:dyDescent="0.2">
      <c r="A5293" s="997">
        <f t="shared" si="82"/>
        <v>5292</v>
      </c>
      <c r="B5293" s="983" t="s">
        <v>2715</v>
      </c>
      <c r="C5293" s="1000"/>
      <c r="H5293" s="983" t="s">
        <v>1108</v>
      </c>
    </row>
    <row r="5294" spans="1:9" x14ac:dyDescent="0.2">
      <c r="A5294" s="997">
        <f t="shared" si="82"/>
        <v>5293</v>
      </c>
      <c r="B5294" s="983" t="s">
        <v>2715</v>
      </c>
      <c r="C5294" s="1000"/>
      <c r="H5294" s="983" t="str">
        <f>CONCATENATE("&lt;valeur&gt;",Cellule_1586,"&lt;/valeur&gt;")</f>
        <v>&lt;valeur&gt;&lt;/valeur&gt;</v>
      </c>
    </row>
    <row r="5295" spans="1:9" x14ac:dyDescent="0.2">
      <c r="A5295" s="997">
        <f t="shared" si="82"/>
        <v>5294</v>
      </c>
      <c r="B5295" s="983" t="s">
        <v>2715</v>
      </c>
      <c r="C5295" s="999"/>
      <c r="G5295" s="983" t="s">
        <v>1109</v>
      </c>
    </row>
    <row r="5296" spans="1:9" x14ac:dyDescent="0.2">
      <c r="A5296" s="997">
        <f t="shared" si="82"/>
        <v>5295</v>
      </c>
      <c r="B5296" s="983" t="s">
        <v>2715</v>
      </c>
      <c r="C5296" s="999"/>
      <c r="G5296" s="983" t="s">
        <v>1106</v>
      </c>
    </row>
    <row r="5297" spans="1:9" x14ac:dyDescent="0.2">
      <c r="A5297" s="997">
        <f t="shared" si="82"/>
        <v>5296</v>
      </c>
      <c r="B5297" s="983" t="s">
        <v>2715</v>
      </c>
      <c r="C5297" s="1000"/>
      <c r="H5297" s="983" t="s">
        <v>1107</v>
      </c>
    </row>
    <row r="5298" spans="1:9" x14ac:dyDescent="0.2">
      <c r="A5298" s="997">
        <f t="shared" si="82"/>
        <v>5297</v>
      </c>
      <c r="B5298" s="983" t="s">
        <v>2715</v>
      </c>
      <c r="C5298" s="1001"/>
      <c r="I5298" s="983" t="s">
        <v>1956</v>
      </c>
    </row>
    <row r="5299" spans="1:9" x14ac:dyDescent="0.2">
      <c r="A5299" s="997">
        <f t="shared" si="82"/>
        <v>5298</v>
      </c>
      <c r="B5299" s="983" t="s">
        <v>2715</v>
      </c>
      <c r="C5299" s="1000"/>
      <c r="H5299" s="983" t="s">
        <v>1108</v>
      </c>
    </row>
    <row r="5300" spans="1:9" x14ac:dyDescent="0.2">
      <c r="A5300" s="997">
        <f t="shared" si="82"/>
        <v>5299</v>
      </c>
      <c r="B5300" s="983" t="s">
        <v>2715</v>
      </c>
      <c r="C5300" s="1000"/>
      <c r="H5300" s="983" t="str">
        <f>CONCATENATE("&lt;valeur&gt;",Cellule_1587,"&lt;/valeur&gt;")</f>
        <v>&lt;valeur&gt;10762&lt;/valeur&gt;</v>
      </c>
    </row>
    <row r="5301" spans="1:9" x14ac:dyDescent="0.2">
      <c r="A5301" s="997">
        <f t="shared" si="82"/>
        <v>5300</v>
      </c>
      <c r="B5301" s="983" t="s">
        <v>2715</v>
      </c>
      <c r="C5301" s="999"/>
      <c r="G5301" s="983" t="s">
        <v>1109</v>
      </c>
    </row>
    <row r="5302" spans="1:9" x14ac:dyDescent="0.2">
      <c r="A5302" s="997">
        <f t="shared" si="82"/>
        <v>5301</v>
      </c>
      <c r="B5302" s="983" t="s">
        <v>2715</v>
      </c>
      <c r="C5302" s="999"/>
      <c r="G5302" s="983" t="s">
        <v>1106</v>
      </c>
    </row>
    <row r="5303" spans="1:9" x14ac:dyDescent="0.2">
      <c r="A5303" s="997">
        <f t="shared" si="82"/>
        <v>5302</v>
      </c>
      <c r="B5303" s="983" t="s">
        <v>2715</v>
      </c>
      <c r="C5303" s="1000"/>
      <c r="H5303" s="983" t="s">
        <v>1107</v>
      </c>
    </row>
    <row r="5304" spans="1:9" x14ac:dyDescent="0.2">
      <c r="A5304" s="997">
        <f t="shared" si="82"/>
        <v>5303</v>
      </c>
      <c r="B5304" s="983" t="s">
        <v>2715</v>
      </c>
      <c r="C5304" s="1001"/>
      <c r="I5304" s="983" t="s">
        <v>1957</v>
      </c>
    </row>
    <row r="5305" spans="1:9" x14ac:dyDescent="0.2">
      <c r="A5305" s="997">
        <f t="shared" si="82"/>
        <v>5304</v>
      </c>
      <c r="B5305" s="983" t="s">
        <v>2715</v>
      </c>
      <c r="C5305" s="1000"/>
      <c r="H5305" s="983" t="s">
        <v>1108</v>
      </c>
    </row>
    <row r="5306" spans="1:9" x14ac:dyDescent="0.2">
      <c r="A5306" s="997">
        <f t="shared" si="82"/>
        <v>5305</v>
      </c>
      <c r="B5306" s="983" t="s">
        <v>2715</v>
      </c>
      <c r="C5306" s="1000"/>
      <c r="H5306" s="983" t="str">
        <f>CONCATENATE("&lt;valeur&gt;",Cellule_1588,"&lt;/valeur&gt;")</f>
        <v>&lt;valeur&gt;2109&lt;/valeur&gt;</v>
      </c>
    </row>
    <row r="5307" spans="1:9" x14ac:dyDescent="0.2">
      <c r="A5307" s="997">
        <f t="shared" si="82"/>
        <v>5306</v>
      </c>
      <c r="B5307" s="983" t="s">
        <v>2715</v>
      </c>
      <c r="C5307" s="999"/>
      <c r="G5307" s="983" t="s">
        <v>1109</v>
      </c>
    </row>
    <row r="5308" spans="1:9" x14ac:dyDescent="0.2">
      <c r="A5308" s="997">
        <f t="shared" si="82"/>
        <v>5307</v>
      </c>
      <c r="B5308" s="983" t="s">
        <v>2715</v>
      </c>
      <c r="C5308" s="999"/>
      <c r="G5308" s="983" t="s">
        <v>1106</v>
      </c>
    </row>
    <row r="5309" spans="1:9" x14ac:dyDescent="0.2">
      <c r="A5309" s="997">
        <f t="shared" si="82"/>
        <v>5308</v>
      </c>
      <c r="B5309" s="983" t="s">
        <v>2715</v>
      </c>
      <c r="C5309" s="1000"/>
      <c r="H5309" s="983" t="s">
        <v>1107</v>
      </c>
    </row>
    <row r="5310" spans="1:9" x14ac:dyDescent="0.2">
      <c r="A5310" s="997">
        <f t="shared" si="82"/>
        <v>5309</v>
      </c>
      <c r="B5310" s="983" t="s">
        <v>2715</v>
      </c>
      <c r="C5310" s="1001"/>
      <c r="I5310" s="983" t="s">
        <v>1958</v>
      </c>
    </row>
    <row r="5311" spans="1:9" x14ac:dyDescent="0.2">
      <c r="A5311" s="997">
        <f t="shared" si="82"/>
        <v>5310</v>
      </c>
      <c r="B5311" s="983" t="s">
        <v>2715</v>
      </c>
      <c r="C5311" s="1000"/>
      <c r="H5311" s="983" t="s">
        <v>1108</v>
      </c>
    </row>
    <row r="5312" spans="1:9" x14ac:dyDescent="0.2">
      <c r="A5312" s="997">
        <f t="shared" si="82"/>
        <v>5311</v>
      </c>
      <c r="B5312" s="983" t="s">
        <v>2715</v>
      </c>
      <c r="C5312" s="1000"/>
      <c r="H5312" s="983" t="str">
        <f>CONCATENATE("&lt;valeur&gt;",Cellule_1589,"&lt;/valeur&gt;")</f>
        <v>&lt;valeur&gt;0&lt;/valeur&gt;</v>
      </c>
    </row>
    <row r="5313" spans="1:9" x14ac:dyDescent="0.2">
      <c r="A5313" s="997">
        <f t="shared" si="82"/>
        <v>5312</v>
      </c>
      <c r="B5313" s="983" t="s">
        <v>2715</v>
      </c>
      <c r="C5313" s="999"/>
      <c r="G5313" s="983" t="s">
        <v>1109</v>
      </c>
    </row>
    <row r="5314" spans="1:9" x14ac:dyDescent="0.2">
      <c r="A5314" s="997">
        <f t="shared" si="82"/>
        <v>5313</v>
      </c>
      <c r="B5314" s="983" t="s">
        <v>2715</v>
      </c>
      <c r="C5314" s="999"/>
      <c r="G5314" s="983" t="s">
        <v>1106</v>
      </c>
    </row>
    <row r="5315" spans="1:9" x14ac:dyDescent="0.2">
      <c r="A5315" s="997">
        <f t="shared" si="82"/>
        <v>5314</v>
      </c>
      <c r="B5315" s="983" t="s">
        <v>2715</v>
      </c>
      <c r="C5315" s="1000"/>
      <c r="H5315" s="983" t="s">
        <v>1107</v>
      </c>
    </row>
    <row r="5316" spans="1:9" x14ac:dyDescent="0.2">
      <c r="A5316" s="997">
        <f t="shared" ref="A5316:A5379" si="83">+A5315+1</f>
        <v>5315</v>
      </c>
      <c r="B5316" s="983" t="s">
        <v>2715</v>
      </c>
      <c r="C5316" s="1001"/>
      <c r="I5316" s="983" t="s">
        <v>1959</v>
      </c>
    </row>
    <row r="5317" spans="1:9" x14ac:dyDescent="0.2">
      <c r="A5317" s="997">
        <f t="shared" si="83"/>
        <v>5316</v>
      </c>
      <c r="B5317" s="983" t="s">
        <v>2715</v>
      </c>
      <c r="C5317" s="1000"/>
      <c r="H5317" s="983" t="s">
        <v>1108</v>
      </c>
    </row>
    <row r="5318" spans="1:9" x14ac:dyDescent="0.2">
      <c r="A5318" s="997">
        <f t="shared" si="83"/>
        <v>5317</v>
      </c>
      <c r="B5318" s="983" t="s">
        <v>2715</v>
      </c>
      <c r="C5318" s="1000"/>
      <c r="H5318" s="983" t="str">
        <f>CONCATENATE("&lt;valeur&gt;",Cellule_1590,"&lt;/valeur&gt;")</f>
        <v>&lt;valeur&gt;12871&lt;/valeur&gt;</v>
      </c>
    </row>
    <row r="5319" spans="1:9" x14ac:dyDescent="0.2">
      <c r="A5319" s="997">
        <f t="shared" si="83"/>
        <v>5318</v>
      </c>
      <c r="B5319" s="983" t="s">
        <v>2715</v>
      </c>
      <c r="C5319" s="999"/>
      <c r="G5319" s="983" t="s">
        <v>1109</v>
      </c>
    </row>
    <row r="5320" spans="1:9" x14ac:dyDescent="0.2">
      <c r="A5320" s="997">
        <f t="shared" si="83"/>
        <v>5319</v>
      </c>
      <c r="B5320" s="983" t="s">
        <v>2715</v>
      </c>
      <c r="C5320" s="999"/>
      <c r="G5320" s="983" t="s">
        <v>1106</v>
      </c>
    </row>
    <row r="5321" spans="1:9" x14ac:dyDescent="0.2">
      <c r="A5321" s="997">
        <f t="shared" si="83"/>
        <v>5320</v>
      </c>
      <c r="B5321" s="983" t="s">
        <v>2715</v>
      </c>
      <c r="C5321" s="1000"/>
      <c r="H5321" s="983" t="s">
        <v>1107</v>
      </c>
    </row>
    <row r="5322" spans="1:9" x14ac:dyDescent="0.2">
      <c r="A5322" s="997">
        <f t="shared" si="83"/>
        <v>5321</v>
      </c>
      <c r="B5322" s="983" t="s">
        <v>2715</v>
      </c>
      <c r="C5322" s="1001"/>
      <c r="I5322" s="983" t="s">
        <v>1960</v>
      </c>
    </row>
    <row r="5323" spans="1:9" x14ac:dyDescent="0.2">
      <c r="A5323" s="997">
        <f t="shared" si="83"/>
        <v>5322</v>
      </c>
      <c r="B5323" s="983" t="s">
        <v>2715</v>
      </c>
      <c r="C5323" s="1000"/>
      <c r="H5323" s="983" t="s">
        <v>1108</v>
      </c>
    </row>
    <row r="5324" spans="1:9" x14ac:dyDescent="0.2">
      <c r="A5324" s="997">
        <f t="shared" si="83"/>
        <v>5323</v>
      </c>
      <c r="B5324" s="983" t="s">
        <v>2715</v>
      </c>
      <c r="C5324" s="1000"/>
      <c r="H5324" s="983" t="str">
        <f>CONCATENATE("&lt;valeur&gt;",Cellule_1591,"&lt;/valeur&gt;")</f>
        <v>&lt;valeur&gt;&lt;/valeur&gt;</v>
      </c>
    </row>
    <row r="5325" spans="1:9" x14ac:dyDescent="0.2">
      <c r="A5325" s="997">
        <f t="shared" si="83"/>
        <v>5324</v>
      </c>
      <c r="B5325" s="983" t="s">
        <v>2715</v>
      </c>
      <c r="C5325" s="999"/>
      <c r="G5325" s="983" t="s">
        <v>1109</v>
      </c>
    </row>
    <row r="5326" spans="1:9" x14ac:dyDescent="0.2">
      <c r="A5326" s="997">
        <f t="shared" si="83"/>
        <v>5325</v>
      </c>
      <c r="B5326" s="983" t="s">
        <v>2715</v>
      </c>
      <c r="C5326" s="999"/>
      <c r="G5326" s="983" t="s">
        <v>1106</v>
      </c>
    </row>
    <row r="5327" spans="1:9" x14ac:dyDescent="0.2">
      <c r="A5327" s="997">
        <f t="shared" si="83"/>
        <v>5326</v>
      </c>
      <c r="B5327" s="983" t="s">
        <v>2715</v>
      </c>
      <c r="C5327" s="1000"/>
      <c r="H5327" s="983" t="s">
        <v>1107</v>
      </c>
    </row>
    <row r="5328" spans="1:9" x14ac:dyDescent="0.2">
      <c r="A5328" s="997">
        <f t="shared" si="83"/>
        <v>5327</v>
      </c>
      <c r="B5328" s="983" t="s">
        <v>2715</v>
      </c>
      <c r="C5328" s="1001"/>
      <c r="I5328" s="983" t="s">
        <v>1961</v>
      </c>
    </row>
    <row r="5329" spans="1:9" x14ac:dyDescent="0.2">
      <c r="A5329" s="997">
        <f t="shared" si="83"/>
        <v>5328</v>
      </c>
      <c r="B5329" s="983" t="s">
        <v>2715</v>
      </c>
      <c r="C5329" s="1000"/>
      <c r="H5329" s="983" t="s">
        <v>1108</v>
      </c>
    </row>
    <row r="5330" spans="1:9" x14ac:dyDescent="0.2">
      <c r="A5330" s="997">
        <f t="shared" si="83"/>
        <v>5329</v>
      </c>
      <c r="B5330" s="983" t="s">
        <v>2715</v>
      </c>
      <c r="C5330" s="1000"/>
      <c r="H5330" s="983" t="str">
        <f>CONCATENATE("&lt;valeur&gt;",Cellule_1592,"&lt;/valeur&gt;")</f>
        <v>&lt;valeur&gt;0&lt;/valeur&gt;</v>
      </c>
    </row>
    <row r="5331" spans="1:9" x14ac:dyDescent="0.2">
      <c r="A5331" s="997">
        <f t="shared" si="83"/>
        <v>5330</v>
      </c>
      <c r="B5331" s="983" t="s">
        <v>2715</v>
      </c>
      <c r="C5331" s="999"/>
      <c r="G5331" s="983" t="s">
        <v>1109</v>
      </c>
    </row>
    <row r="5332" spans="1:9" x14ac:dyDescent="0.2">
      <c r="A5332" s="997">
        <f t="shared" si="83"/>
        <v>5331</v>
      </c>
      <c r="B5332" s="983" t="s">
        <v>2715</v>
      </c>
      <c r="C5332" s="999"/>
      <c r="G5332" s="983" t="s">
        <v>1106</v>
      </c>
    </row>
    <row r="5333" spans="1:9" x14ac:dyDescent="0.2">
      <c r="A5333" s="997">
        <f t="shared" si="83"/>
        <v>5332</v>
      </c>
      <c r="B5333" s="983" t="s">
        <v>2715</v>
      </c>
      <c r="C5333" s="1000"/>
      <c r="H5333" s="983" t="s">
        <v>1107</v>
      </c>
    </row>
    <row r="5334" spans="1:9" x14ac:dyDescent="0.2">
      <c r="A5334" s="997">
        <f t="shared" si="83"/>
        <v>5333</v>
      </c>
      <c r="B5334" s="983" t="s">
        <v>2715</v>
      </c>
      <c r="C5334" s="1001"/>
      <c r="I5334" s="983" t="s">
        <v>1962</v>
      </c>
    </row>
    <row r="5335" spans="1:9" x14ac:dyDescent="0.2">
      <c r="A5335" s="997">
        <f t="shared" si="83"/>
        <v>5334</v>
      </c>
      <c r="B5335" s="983" t="s">
        <v>2715</v>
      </c>
      <c r="C5335" s="1000"/>
      <c r="H5335" s="983" t="s">
        <v>1108</v>
      </c>
    </row>
    <row r="5336" spans="1:9" x14ac:dyDescent="0.2">
      <c r="A5336" s="997">
        <f t="shared" si="83"/>
        <v>5335</v>
      </c>
      <c r="B5336" s="983" t="s">
        <v>2715</v>
      </c>
      <c r="C5336" s="1000"/>
      <c r="H5336" s="983" t="str">
        <f>CONCATENATE("&lt;valeur&gt;",Cellule_1593,"&lt;/valeur&gt;")</f>
        <v>&lt;valeur&gt;0&lt;/valeur&gt;</v>
      </c>
    </row>
    <row r="5337" spans="1:9" x14ac:dyDescent="0.2">
      <c r="A5337" s="997">
        <f t="shared" si="83"/>
        <v>5336</v>
      </c>
      <c r="B5337" s="983" t="s">
        <v>2715</v>
      </c>
      <c r="C5337" s="999"/>
      <c r="G5337" s="983" t="s">
        <v>1109</v>
      </c>
    </row>
    <row r="5338" spans="1:9" x14ac:dyDescent="0.2">
      <c r="A5338" s="997">
        <f t="shared" si="83"/>
        <v>5337</v>
      </c>
      <c r="B5338" s="983" t="s">
        <v>2715</v>
      </c>
      <c r="C5338" s="999"/>
      <c r="G5338" s="983" t="s">
        <v>1106</v>
      </c>
    </row>
    <row r="5339" spans="1:9" x14ac:dyDescent="0.2">
      <c r="A5339" s="997">
        <f t="shared" si="83"/>
        <v>5338</v>
      </c>
      <c r="B5339" s="983" t="s">
        <v>2715</v>
      </c>
      <c r="C5339" s="1000"/>
      <c r="H5339" s="983" t="s">
        <v>1107</v>
      </c>
    </row>
    <row r="5340" spans="1:9" x14ac:dyDescent="0.2">
      <c r="A5340" s="997">
        <f t="shared" si="83"/>
        <v>5339</v>
      </c>
      <c r="B5340" s="983" t="s">
        <v>2715</v>
      </c>
      <c r="C5340" s="1001"/>
      <c r="I5340" s="983" t="s">
        <v>1963</v>
      </c>
    </row>
    <row r="5341" spans="1:9" x14ac:dyDescent="0.2">
      <c r="A5341" s="997">
        <f t="shared" si="83"/>
        <v>5340</v>
      </c>
      <c r="B5341" s="983" t="s">
        <v>2715</v>
      </c>
      <c r="C5341" s="1000"/>
      <c r="H5341" s="983" t="s">
        <v>1108</v>
      </c>
    </row>
    <row r="5342" spans="1:9" x14ac:dyDescent="0.2">
      <c r="A5342" s="997">
        <f t="shared" si="83"/>
        <v>5341</v>
      </c>
      <c r="B5342" s="983" t="s">
        <v>2715</v>
      </c>
      <c r="C5342" s="1000"/>
      <c r="H5342" s="983" t="str">
        <f>CONCATENATE("&lt;valeur&gt;",Cellule_1594,"&lt;/valeur&gt;")</f>
        <v>&lt;valeur&gt;0&lt;/valeur&gt;</v>
      </c>
    </row>
    <row r="5343" spans="1:9" x14ac:dyDescent="0.2">
      <c r="A5343" s="997">
        <f t="shared" si="83"/>
        <v>5342</v>
      </c>
      <c r="B5343" s="983" t="s">
        <v>2715</v>
      </c>
      <c r="C5343" s="999"/>
      <c r="G5343" s="983" t="s">
        <v>1109</v>
      </c>
    </row>
    <row r="5344" spans="1:9" x14ac:dyDescent="0.2">
      <c r="A5344" s="997">
        <f t="shared" si="83"/>
        <v>5343</v>
      </c>
      <c r="B5344" s="983" t="s">
        <v>2715</v>
      </c>
      <c r="C5344" s="999"/>
      <c r="G5344" s="983" t="s">
        <v>1106</v>
      </c>
    </row>
    <row r="5345" spans="1:9" x14ac:dyDescent="0.2">
      <c r="A5345" s="997">
        <f t="shared" si="83"/>
        <v>5344</v>
      </c>
      <c r="B5345" s="983" t="s">
        <v>2715</v>
      </c>
      <c r="C5345" s="1000"/>
      <c r="H5345" s="983" t="s">
        <v>1107</v>
      </c>
    </row>
    <row r="5346" spans="1:9" x14ac:dyDescent="0.2">
      <c r="A5346" s="997">
        <f t="shared" si="83"/>
        <v>5345</v>
      </c>
      <c r="B5346" s="983" t="s">
        <v>2715</v>
      </c>
      <c r="C5346" s="1001"/>
      <c r="I5346" s="983" t="s">
        <v>1964</v>
      </c>
    </row>
    <row r="5347" spans="1:9" x14ac:dyDescent="0.2">
      <c r="A5347" s="997">
        <f t="shared" si="83"/>
        <v>5346</v>
      </c>
      <c r="B5347" s="983" t="s">
        <v>2715</v>
      </c>
      <c r="C5347" s="1000"/>
      <c r="H5347" s="983" t="s">
        <v>1108</v>
      </c>
    </row>
    <row r="5348" spans="1:9" x14ac:dyDescent="0.2">
      <c r="A5348" s="997">
        <f t="shared" si="83"/>
        <v>5347</v>
      </c>
      <c r="B5348" s="983" t="s">
        <v>2715</v>
      </c>
      <c r="C5348" s="1000"/>
      <c r="H5348" s="983" t="str">
        <f>CONCATENATE("&lt;valeur&gt;",Cellule_1734,"&lt;/valeur&gt;")</f>
        <v>&lt;valeur&gt;0&lt;/valeur&gt;</v>
      </c>
    </row>
    <row r="5349" spans="1:9" x14ac:dyDescent="0.2">
      <c r="A5349" s="997">
        <f t="shared" si="83"/>
        <v>5348</v>
      </c>
      <c r="B5349" s="983" t="s">
        <v>2715</v>
      </c>
      <c r="C5349" s="999"/>
      <c r="G5349" s="983" t="s">
        <v>1109</v>
      </c>
    </row>
    <row r="5350" spans="1:9" x14ac:dyDescent="0.2">
      <c r="A5350" s="997">
        <f t="shared" si="83"/>
        <v>5349</v>
      </c>
      <c r="B5350" s="983" t="s">
        <v>2715</v>
      </c>
      <c r="C5350" s="999"/>
      <c r="G5350" s="983" t="s">
        <v>1106</v>
      </c>
    </row>
    <row r="5351" spans="1:9" x14ac:dyDescent="0.2">
      <c r="A5351" s="997">
        <f t="shared" si="83"/>
        <v>5350</v>
      </c>
      <c r="B5351" s="983" t="s">
        <v>2715</v>
      </c>
      <c r="C5351" s="1000"/>
      <c r="H5351" s="983" t="s">
        <v>1107</v>
      </c>
    </row>
    <row r="5352" spans="1:9" x14ac:dyDescent="0.2">
      <c r="A5352" s="997">
        <f t="shared" si="83"/>
        <v>5351</v>
      </c>
      <c r="B5352" s="983" t="s">
        <v>2715</v>
      </c>
      <c r="C5352" s="1001"/>
      <c r="I5352" s="983" t="s">
        <v>1965</v>
      </c>
    </row>
    <row r="5353" spans="1:9" x14ac:dyDescent="0.2">
      <c r="A5353" s="997">
        <f t="shared" si="83"/>
        <v>5352</v>
      </c>
      <c r="B5353" s="983" t="s">
        <v>2715</v>
      </c>
      <c r="C5353" s="1000"/>
      <c r="H5353" s="983" t="s">
        <v>1108</v>
      </c>
    </row>
    <row r="5354" spans="1:9" x14ac:dyDescent="0.2">
      <c r="A5354" s="997">
        <f t="shared" si="83"/>
        <v>5353</v>
      </c>
      <c r="B5354" s="983" t="s">
        <v>2715</v>
      </c>
      <c r="C5354" s="1000"/>
      <c r="H5354" s="983" t="str">
        <f>CONCATENATE("&lt;valeur&gt;",Cellule_10091,"&lt;/valeur&gt;")</f>
        <v>&lt;valeur&gt;0&lt;/valeur&gt;</v>
      </c>
    </row>
    <row r="5355" spans="1:9" x14ac:dyDescent="0.2">
      <c r="A5355" s="997">
        <f t="shared" si="83"/>
        <v>5354</v>
      </c>
      <c r="B5355" s="983" t="s">
        <v>2715</v>
      </c>
      <c r="C5355" s="999"/>
      <c r="G5355" s="983" t="s">
        <v>1109</v>
      </c>
    </row>
    <row r="5356" spans="1:9" x14ac:dyDescent="0.2">
      <c r="A5356" s="997">
        <f t="shared" si="83"/>
        <v>5355</v>
      </c>
      <c r="B5356" s="983" t="s">
        <v>2715</v>
      </c>
      <c r="C5356" s="999"/>
      <c r="G5356" s="983" t="s">
        <v>1106</v>
      </c>
    </row>
    <row r="5357" spans="1:9" x14ac:dyDescent="0.2">
      <c r="A5357" s="997">
        <f t="shared" si="83"/>
        <v>5356</v>
      </c>
      <c r="B5357" s="983" t="s">
        <v>2715</v>
      </c>
      <c r="C5357" s="1000"/>
      <c r="H5357" s="983" t="s">
        <v>1107</v>
      </c>
    </row>
    <row r="5358" spans="1:9" x14ac:dyDescent="0.2">
      <c r="A5358" s="997">
        <f t="shared" si="83"/>
        <v>5357</v>
      </c>
      <c r="B5358" s="983" t="s">
        <v>2715</v>
      </c>
      <c r="C5358" s="1001"/>
      <c r="I5358" s="983" t="s">
        <v>1966</v>
      </c>
    </row>
    <row r="5359" spans="1:9" x14ac:dyDescent="0.2">
      <c r="A5359" s="997">
        <f t="shared" si="83"/>
        <v>5358</v>
      </c>
      <c r="B5359" s="983" t="s">
        <v>2715</v>
      </c>
      <c r="C5359" s="1000"/>
      <c r="H5359" s="983" t="s">
        <v>1108</v>
      </c>
    </row>
    <row r="5360" spans="1:9" x14ac:dyDescent="0.2">
      <c r="A5360" s="997">
        <f t="shared" si="83"/>
        <v>5359</v>
      </c>
      <c r="B5360" s="983" t="s">
        <v>2715</v>
      </c>
      <c r="C5360" s="1000"/>
      <c r="H5360" s="983" t="str">
        <f>CONCATENATE("&lt;valeur&gt;",Cellule_10420,"&lt;/valeur&gt;")</f>
        <v>&lt;valeur&gt;0&lt;/valeur&gt;</v>
      </c>
    </row>
    <row r="5361" spans="1:9" x14ac:dyDescent="0.2">
      <c r="A5361" s="997">
        <f t="shared" si="83"/>
        <v>5360</v>
      </c>
      <c r="B5361" s="983" t="s">
        <v>2715</v>
      </c>
      <c r="C5361" s="999"/>
      <c r="G5361" s="983" t="s">
        <v>1109</v>
      </c>
    </row>
    <row r="5362" spans="1:9" x14ac:dyDescent="0.2">
      <c r="A5362" s="997">
        <f t="shared" si="83"/>
        <v>5361</v>
      </c>
      <c r="B5362" s="983" t="s">
        <v>2715</v>
      </c>
      <c r="C5362" s="999"/>
      <c r="G5362" s="983" t="s">
        <v>1106</v>
      </c>
    </row>
    <row r="5363" spans="1:9" x14ac:dyDescent="0.2">
      <c r="A5363" s="997">
        <f t="shared" si="83"/>
        <v>5362</v>
      </c>
      <c r="B5363" s="983" t="s">
        <v>2715</v>
      </c>
      <c r="C5363" s="1000"/>
      <c r="H5363" s="983" t="s">
        <v>1107</v>
      </c>
    </row>
    <row r="5364" spans="1:9" x14ac:dyDescent="0.2">
      <c r="A5364" s="997">
        <f t="shared" si="83"/>
        <v>5363</v>
      </c>
      <c r="B5364" s="983" t="s">
        <v>2715</v>
      </c>
      <c r="C5364" s="1001"/>
      <c r="I5364" s="983" t="s">
        <v>1967</v>
      </c>
    </row>
    <row r="5365" spans="1:9" x14ac:dyDescent="0.2">
      <c r="A5365" s="997">
        <f t="shared" si="83"/>
        <v>5364</v>
      </c>
      <c r="B5365" s="983" t="s">
        <v>2715</v>
      </c>
      <c r="C5365" s="1000"/>
      <c r="H5365" s="983" t="s">
        <v>1108</v>
      </c>
    </row>
    <row r="5366" spans="1:9" x14ac:dyDescent="0.2">
      <c r="A5366" s="997">
        <f t="shared" si="83"/>
        <v>5365</v>
      </c>
      <c r="B5366" s="983" t="s">
        <v>2715</v>
      </c>
      <c r="C5366" s="1000"/>
      <c r="H5366" s="983" t="str">
        <f>CONCATENATE("&lt;valeur&gt;",Cellule_1764,"&lt;/valeur&gt;")</f>
        <v>&lt;valeur&gt;&lt;/valeur&gt;</v>
      </c>
    </row>
    <row r="5367" spans="1:9" x14ac:dyDescent="0.2">
      <c r="A5367" s="997">
        <f t="shared" si="83"/>
        <v>5366</v>
      </c>
      <c r="B5367" s="983" t="s">
        <v>2715</v>
      </c>
      <c r="C5367" s="999"/>
      <c r="G5367" s="983" t="s">
        <v>1109</v>
      </c>
    </row>
    <row r="5368" spans="1:9" x14ac:dyDescent="0.2">
      <c r="A5368" s="997">
        <f t="shared" si="83"/>
        <v>5367</v>
      </c>
      <c r="B5368" s="983" t="s">
        <v>2715</v>
      </c>
      <c r="C5368" s="999"/>
      <c r="G5368" s="983" t="s">
        <v>1106</v>
      </c>
    </row>
    <row r="5369" spans="1:9" x14ac:dyDescent="0.2">
      <c r="A5369" s="997">
        <f t="shared" si="83"/>
        <v>5368</v>
      </c>
      <c r="B5369" s="983" t="s">
        <v>2715</v>
      </c>
      <c r="C5369" s="1000"/>
      <c r="H5369" s="983" t="s">
        <v>1107</v>
      </c>
    </row>
    <row r="5370" spans="1:9" x14ac:dyDescent="0.2">
      <c r="A5370" s="997">
        <f t="shared" si="83"/>
        <v>5369</v>
      </c>
      <c r="B5370" s="983" t="s">
        <v>2715</v>
      </c>
      <c r="C5370" s="1001"/>
      <c r="I5370" s="983" t="s">
        <v>1968</v>
      </c>
    </row>
    <row r="5371" spans="1:9" x14ac:dyDescent="0.2">
      <c r="A5371" s="997">
        <f t="shared" si="83"/>
        <v>5370</v>
      </c>
      <c r="B5371" s="983" t="s">
        <v>2715</v>
      </c>
      <c r="C5371" s="1000"/>
      <c r="H5371" s="983" t="s">
        <v>1108</v>
      </c>
    </row>
    <row r="5372" spans="1:9" x14ac:dyDescent="0.2">
      <c r="A5372" s="997">
        <f t="shared" si="83"/>
        <v>5371</v>
      </c>
      <c r="B5372" s="983" t="s">
        <v>2715</v>
      </c>
      <c r="C5372" s="1000"/>
      <c r="H5372" s="983" t="str">
        <f>CONCATENATE("&lt;valeur&gt;",Cellule_1765,"&lt;/valeur&gt;")</f>
        <v>&lt;valeur&gt;0&lt;/valeur&gt;</v>
      </c>
    </row>
    <row r="5373" spans="1:9" x14ac:dyDescent="0.2">
      <c r="A5373" s="997">
        <f t="shared" si="83"/>
        <v>5372</v>
      </c>
      <c r="B5373" s="983" t="s">
        <v>2715</v>
      </c>
      <c r="C5373" s="999"/>
      <c r="G5373" s="983" t="s">
        <v>1109</v>
      </c>
    </row>
    <row r="5374" spans="1:9" x14ac:dyDescent="0.2">
      <c r="A5374" s="997">
        <f t="shared" si="83"/>
        <v>5373</v>
      </c>
      <c r="B5374" s="983" t="s">
        <v>2715</v>
      </c>
      <c r="C5374" s="999"/>
      <c r="G5374" s="983" t="s">
        <v>1106</v>
      </c>
    </row>
    <row r="5375" spans="1:9" x14ac:dyDescent="0.2">
      <c r="A5375" s="997">
        <f t="shared" si="83"/>
        <v>5374</v>
      </c>
      <c r="B5375" s="983" t="s">
        <v>2715</v>
      </c>
      <c r="C5375" s="1000"/>
      <c r="H5375" s="983" t="s">
        <v>1107</v>
      </c>
    </row>
    <row r="5376" spans="1:9" x14ac:dyDescent="0.2">
      <c r="A5376" s="997">
        <f t="shared" si="83"/>
        <v>5375</v>
      </c>
      <c r="B5376" s="983" t="s">
        <v>2715</v>
      </c>
      <c r="C5376" s="1001"/>
      <c r="I5376" s="983" t="s">
        <v>1969</v>
      </c>
    </row>
    <row r="5377" spans="1:9" x14ac:dyDescent="0.2">
      <c r="A5377" s="997">
        <f t="shared" si="83"/>
        <v>5376</v>
      </c>
      <c r="B5377" s="983" t="s">
        <v>2715</v>
      </c>
      <c r="C5377" s="1000"/>
      <c r="H5377" s="983" t="s">
        <v>1108</v>
      </c>
    </row>
    <row r="5378" spans="1:9" x14ac:dyDescent="0.2">
      <c r="A5378" s="997">
        <f t="shared" si="83"/>
        <v>5377</v>
      </c>
      <c r="B5378" s="983" t="s">
        <v>2715</v>
      </c>
      <c r="C5378" s="1000"/>
      <c r="H5378" s="983" t="str">
        <f>CONCATENATE("&lt;valeur&gt;",Cellule_1766,"&lt;/valeur&gt;")</f>
        <v>&lt;valeur&gt;0&lt;/valeur&gt;</v>
      </c>
    </row>
    <row r="5379" spans="1:9" x14ac:dyDescent="0.2">
      <c r="A5379" s="997">
        <f t="shared" si="83"/>
        <v>5378</v>
      </c>
      <c r="B5379" s="983" t="s">
        <v>2715</v>
      </c>
      <c r="C5379" s="999"/>
      <c r="G5379" s="983" t="s">
        <v>1109</v>
      </c>
    </row>
    <row r="5380" spans="1:9" x14ac:dyDescent="0.2">
      <c r="A5380" s="997">
        <f t="shared" ref="A5380:A5443" si="84">+A5379+1</f>
        <v>5379</v>
      </c>
      <c r="B5380" s="983" t="s">
        <v>2715</v>
      </c>
      <c r="C5380" s="999"/>
      <c r="G5380" s="983" t="s">
        <v>1106</v>
      </c>
    </row>
    <row r="5381" spans="1:9" x14ac:dyDescent="0.2">
      <c r="A5381" s="997">
        <f t="shared" si="84"/>
        <v>5380</v>
      </c>
      <c r="B5381" s="983" t="s">
        <v>2715</v>
      </c>
      <c r="C5381" s="1000"/>
      <c r="H5381" s="983" t="s">
        <v>1107</v>
      </c>
    </row>
    <row r="5382" spans="1:9" x14ac:dyDescent="0.2">
      <c r="A5382" s="997">
        <f t="shared" si="84"/>
        <v>5381</v>
      </c>
      <c r="B5382" s="983" t="s">
        <v>2715</v>
      </c>
      <c r="C5382" s="1001"/>
      <c r="I5382" s="983" t="s">
        <v>1970</v>
      </c>
    </row>
    <row r="5383" spans="1:9" x14ac:dyDescent="0.2">
      <c r="A5383" s="997">
        <f t="shared" si="84"/>
        <v>5382</v>
      </c>
      <c r="B5383" s="983" t="s">
        <v>2715</v>
      </c>
      <c r="C5383" s="1000"/>
      <c r="H5383" s="983" t="s">
        <v>1108</v>
      </c>
    </row>
    <row r="5384" spans="1:9" x14ac:dyDescent="0.2">
      <c r="A5384" s="997">
        <f t="shared" si="84"/>
        <v>5383</v>
      </c>
      <c r="B5384" s="983" t="s">
        <v>2715</v>
      </c>
      <c r="C5384" s="1000"/>
      <c r="H5384" s="983" t="str">
        <f>CONCATENATE("&lt;valeur&gt;",Cellule_1767,"&lt;/valeur&gt;")</f>
        <v>&lt;valeur&gt;0&lt;/valeur&gt;</v>
      </c>
    </row>
    <row r="5385" spans="1:9" x14ac:dyDescent="0.2">
      <c r="A5385" s="997">
        <f t="shared" si="84"/>
        <v>5384</v>
      </c>
      <c r="B5385" s="983" t="s">
        <v>2715</v>
      </c>
      <c r="C5385" s="999"/>
      <c r="G5385" s="983" t="s">
        <v>1109</v>
      </c>
    </row>
    <row r="5386" spans="1:9" x14ac:dyDescent="0.2">
      <c r="A5386" s="997">
        <f t="shared" si="84"/>
        <v>5385</v>
      </c>
      <c r="B5386" s="983" t="s">
        <v>2715</v>
      </c>
      <c r="C5386" s="999"/>
      <c r="G5386" s="983" t="s">
        <v>1106</v>
      </c>
    </row>
    <row r="5387" spans="1:9" x14ac:dyDescent="0.2">
      <c r="A5387" s="997">
        <f t="shared" si="84"/>
        <v>5386</v>
      </c>
      <c r="B5387" s="983" t="s">
        <v>2715</v>
      </c>
      <c r="C5387" s="1000"/>
      <c r="H5387" s="983" t="s">
        <v>1107</v>
      </c>
    </row>
    <row r="5388" spans="1:9" x14ac:dyDescent="0.2">
      <c r="A5388" s="997">
        <f t="shared" si="84"/>
        <v>5387</v>
      </c>
      <c r="B5388" s="983" t="s">
        <v>2715</v>
      </c>
      <c r="C5388" s="1001"/>
      <c r="I5388" s="983" t="s">
        <v>1971</v>
      </c>
    </row>
    <row r="5389" spans="1:9" x14ac:dyDescent="0.2">
      <c r="A5389" s="997">
        <f t="shared" si="84"/>
        <v>5388</v>
      </c>
      <c r="B5389" s="983" t="s">
        <v>2715</v>
      </c>
      <c r="C5389" s="1000"/>
      <c r="H5389" s="983" t="s">
        <v>1108</v>
      </c>
    </row>
    <row r="5390" spans="1:9" x14ac:dyDescent="0.2">
      <c r="A5390" s="997">
        <f t="shared" si="84"/>
        <v>5389</v>
      </c>
      <c r="B5390" s="983" t="s">
        <v>2715</v>
      </c>
      <c r="C5390" s="1000"/>
      <c r="H5390" s="983" t="str">
        <f>CONCATENATE("&lt;valeur&gt;",Cellule_1814,"&lt;/valeur&gt;")</f>
        <v>&lt;valeur&gt;&lt;/valeur&gt;</v>
      </c>
    </row>
    <row r="5391" spans="1:9" x14ac:dyDescent="0.2">
      <c r="A5391" s="997">
        <f t="shared" si="84"/>
        <v>5390</v>
      </c>
      <c r="B5391" s="983" t="s">
        <v>2715</v>
      </c>
      <c r="C5391" s="999"/>
      <c r="G5391" s="983" t="s">
        <v>1109</v>
      </c>
    </row>
    <row r="5392" spans="1:9" x14ac:dyDescent="0.2">
      <c r="A5392" s="997">
        <f t="shared" si="84"/>
        <v>5391</v>
      </c>
      <c r="B5392" s="983" t="s">
        <v>2715</v>
      </c>
      <c r="C5392" s="999"/>
      <c r="G5392" s="983" t="s">
        <v>1106</v>
      </c>
    </row>
    <row r="5393" spans="1:9" x14ac:dyDescent="0.2">
      <c r="A5393" s="997">
        <f t="shared" si="84"/>
        <v>5392</v>
      </c>
      <c r="B5393" s="983" t="s">
        <v>2715</v>
      </c>
      <c r="C5393" s="1000"/>
      <c r="H5393" s="983" t="s">
        <v>1107</v>
      </c>
    </row>
    <row r="5394" spans="1:9" x14ac:dyDescent="0.2">
      <c r="A5394" s="997">
        <f t="shared" si="84"/>
        <v>5393</v>
      </c>
      <c r="B5394" s="983" t="s">
        <v>2715</v>
      </c>
      <c r="C5394" s="1001"/>
      <c r="I5394" s="983" t="s">
        <v>1972</v>
      </c>
    </row>
    <row r="5395" spans="1:9" x14ac:dyDescent="0.2">
      <c r="A5395" s="997">
        <f t="shared" si="84"/>
        <v>5394</v>
      </c>
      <c r="B5395" s="983" t="s">
        <v>2715</v>
      </c>
      <c r="C5395" s="1000"/>
      <c r="H5395" s="983" t="s">
        <v>1108</v>
      </c>
    </row>
    <row r="5396" spans="1:9" x14ac:dyDescent="0.2">
      <c r="A5396" s="997">
        <f t="shared" si="84"/>
        <v>5395</v>
      </c>
      <c r="B5396" s="983" t="s">
        <v>2715</v>
      </c>
      <c r="C5396" s="1000"/>
      <c r="H5396" s="983" t="str">
        <f>CONCATENATE("&lt;valeur&gt;",Cellule_1815,"&lt;/valeur&gt;")</f>
        <v>&lt;valeur&gt;0&lt;/valeur&gt;</v>
      </c>
    </row>
    <row r="5397" spans="1:9" x14ac:dyDescent="0.2">
      <c r="A5397" s="997">
        <f t="shared" si="84"/>
        <v>5396</v>
      </c>
      <c r="B5397" s="983" t="s">
        <v>2715</v>
      </c>
      <c r="C5397" s="999"/>
      <c r="G5397" s="983" t="s">
        <v>1109</v>
      </c>
    </row>
    <row r="5398" spans="1:9" x14ac:dyDescent="0.2">
      <c r="A5398" s="997">
        <f t="shared" si="84"/>
        <v>5397</v>
      </c>
      <c r="B5398" s="983" t="s">
        <v>2715</v>
      </c>
      <c r="C5398" s="999"/>
      <c r="G5398" s="983" t="s">
        <v>1106</v>
      </c>
    </row>
    <row r="5399" spans="1:9" x14ac:dyDescent="0.2">
      <c r="A5399" s="997">
        <f t="shared" si="84"/>
        <v>5398</v>
      </c>
      <c r="B5399" s="983" t="s">
        <v>2715</v>
      </c>
      <c r="C5399" s="1000"/>
      <c r="H5399" s="983" t="s">
        <v>1107</v>
      </c>
    </row>
    <row r="5400" spans="1:9" x14ac:dyDescent="0.2">
      <c r="A5400" s="997">
        <f t="shared" si="84"/>
        <v>5399</v>
      </c>
      <c r="B5400" s="983" t="s">
        <v>2715</v>
      </c>
      <c r="C5400" s="1001"/>
      <c r="I5400" s="983" t="s">
        <v>1973</v>
      </c>
    </row>
    <row r="5401" spans="1:9" x14ac:dyDescent="0.2">
      <c r="A5401" s="997">
        <f t="shared" si="84"/>
        <v>5400</v>
      </c>
      <c r="B5401" s="983" t="s">
        <v>2715</v>
      </c>
      <c r="C5401" s="1000"/>
      <c r="H5401" s="983" t="s">
        <v>1108</v>
      </c>
    </row>
    <row r="5402" spans="1:9" x14ac:dyDescent="0.2">
      <c r="A5402" s="997">
        <f t="shared" si="84"/>
        <v>5401</v>
      </c>
      <c r="B5402" s="983" t="s">
        <v>2715</v>
      </c>
      <c r="C5402" s="1000"/>
      <c r="H5402" s="983" t="str">
        <f>CONCATENATE("&lt;valeur&gt;",Cellule_1816,"&lt;/valeur&gt;")</f>
        <v>&lt;valeur&gt;0&lt;/valeur&gt;</v>
      </c>
    </row>
    <row r="5403" spans="1:9" x14ac:dyDescent="0.2">
      <c r="A5403" s="997">
        <f t="shared" si="84"/>
        <v>5402</v>
      </c>
      <c r="B5403" s="983" t="s">
        <v>2715</v>
      </c>
      <c r="C5403" s="999"/>
      <c r="G5403" s="983" t="s">
        <v>1109</v>
      </c>
    </row>
    <row r="5404" spans="1:9" x14ac:dyDescent="0.2">
      <c r="A5404" s="997">
        <f t="shared" si="84"/>
        <v>5403</v>
      </c>
      <c r="B5404" s="983" t="s">
        <v>2715</v>
      </c>
      <c r="C5404" s="999"/>
      <c r="G5404" s="983" t="s">
        <v>1106</v>
      </c>
    </row>
    <row r="5405" spans="1:9" x14ac:dyDescent="0.2">
      <c r="A5405" s="997">
        <f t="shared" si="84"/>
        <v>5404</v>
      </c>
      <c r="B5405" s="983" t="s">
        <v>2715</v>
      </c>
      <c r="C5405" s="1000"/>
      <c r="H5405" s="983" t="s">
        <v>1107</v>
      </c>
    </row>
    <row r="5406" spans="1:9" x14ac:dyDescent="0.2">
      <c r="A5406" s="997">
        <f t="shared" si="84"/>
        <v>5405</v>
      </c>
      <c r="B5406" s="983" t="s">
        <v>2715</v>
      </c>
      <c r="C5406" s="1001"/>
      <c r="I5406" s="983" t="s">
        <v>1974</v>
      </c>
    </row>
    <row r="5407" spans="1:9" x14ac:dyDescent="0.2">
      <c r="A5407" s="997">
        <f t="shared" si="84"/>
        <v>5406</v>
      </c>
      <c r="B5407" s="983" t="s">
        <v>2715</v>
      </c>
      <c r="C5407" s="1000"/>
      <c r="H5407" s="983" t="s">
        <v>1108</v>
      </c>
    </row>
    <row r="5408" spans="1:9" x14ac:dyDescent="0.2">
      <c r="A5408" s="997">
        <f t="shared" si="84"/>
        <v>5407</v>
      </c>
      <c r="B5408" s="983" t="s">
        <v>2715</v>
      </c>
      <c r="C5408" s="1000"/>
      <c r="H5408" s="983" t="str">
        <f>CONCATENATE("&lt;valeur&gt;",Cellule_1817,"&lt;/valeur&gt;")</f>
        <v>&lt;valeur&gt;0&lt;/valeur&gt;</v>
      </c>
    </row>
    <row r="5409" spans="1:9" x14ac:dyDescent="0.2">
      <c r="A5409" s="997">
        <f t="shared" si="84"/>
        <v>5408</v>
      </c>
      <c r="B5409" s="983" t="s">
        <v>2715</v>
      </c>
      <c r="C5409" s="999"/>
      <c r="G5409" s="983" t="s">
        <v>1109</v>
      </c>
    </row>
    <row r="5410" spans="1:9" x14ac:dyDescent="0.2">
      <c r="A5410" s="997">
        <f t="shared" si="84"/>
        <v>5409</v>
      </c>
      <c r="B5410" s="983" t="s">
        <v>2715</v>
      </c>
      <c r="C5410" s="999"/>
      <c r="G5410" s="983" t="s">
        <v>1106</v>
      </c>
    </row>
    <row r="5411" spans="1:9" x14ac:dyDescent="0.2">
      <c r="A5411" s="997">
        <f t="shared" si="84"/>
        <v>5410</v>
      </c>
      <c r="B5411" s="983" t="s">
        <v>2715</v>
      </c>
      <c r="C5411" s="1000"/>
      <c r="H5411" s="983" t="s">
        <v>1107</v>
      </c>
    </row>
    <row r="5412" spans="1:9" x14ac:dyDescent="0.2">
      <c r="A5412" s="997">
        <f t="shared" si="84"/>
        <v>5411</v>
      </c>
      <c r="B5412" s="983" t="s">
        <v>2715</v>
      </c>
      <c r="C5412" s="1001"/>
      <c r="I5412" s="983" t="s">
        <v>1975</v>
      </c>
    </row>
    <row r="5413" spans="1:9" x14ac:dyDescent="0.2">
      <c r="A5413" s="997">
        <f t="shared" si="84"/>
        <v>5412</v>
      </c>
      <c r="B5413" s="983" t="s">
        <v>2715</v>
      </c>
      <c r="C5413" s="1000"/>
      <c r="H5413" s="983" t="s">
        <v>1108</v>
      </c>
    </row>
    <row r="5414" spans="1:9" x14ac:dyDescent="0.2">
      <c r="A5414" s="997">
        <f t="shared" si="84"/>
        <v>5413</v>
      </c>
      <c r="B5414" s="983" t="s">
        <v>2715</v>
      </c>
      <c r="C5414" s="1000"/>
      <c r="H5414" s="983" t="str">
        <f>CONCATENATE("&lt;valeur&gt;",Cellule_1794,"&lt;/valeur&gt;")</f>
        <v>&lt;valeur&gt;0&lt;/valeur&gt;</v>
      </c>
    </row>
    <row r="5415" spans="1:9" x14ac:dyDescent="0.2">
      <c r="A5415" s="997">
        <f t="shared" si="84"/>
        <v>5414</v>
      </c>
      <c r="B5415" s="983" t="s">
        <v>2715</v>
      </c>
      <c r="C5415" s="999"/>
      <c r="G5415" s="983" t="s">
        <v>1109</v>
      </c>
    </row>
    <row r="5416" spans="1:9" x14ac:dyDescent="0.2">
      <c r="A5416" s="997">
        <f t="shared" si="84"/>
        <v>5415</v>
      </c>
      <c r="B5416" s="983" t="s">
        <v>2715</v>
      </c>
      <c r="C5416" s="999"/>
      <c r="G5416" s="983" t="s">
        <v>1106</v>
      </c>
    </row>
    <row r="5417" spans="1:9" x14ac:dyDescent="0.2">
      <c r="A5417" s="997">
        <f t="shared" si="84"/>
        <v>5416</v>
      </c>
      <c r="B5417" s="983" t="s">
        <v>2715</v>
      </c>
      <c r="C5417" s="1000"/>
      <c r="H5417" s="983" t="s">
        <v>1107</v>
      </c>
    </row>
    <row r="5418" spans="1:9" x14ac:dyDescent="0.2">
      <c r="A5418" s="997">
        <f t="shared" si="84"/>
        <v>5417</v>
      </c>
      <c r="B5418" s="983" t="s">
        <v>2715</v>
      </c>
      <c r="C5418" s="1001"/>
      <c r="I5418" s="983" t="s">
        <v>1976</v>
      </c>
    </row>
    <row r="5419" spans="1:9" x14ac:dyDescent="0.2">
      <c r="A5419" s="997">
        <f t="shared" si="84"/>
        <v>5418</v>
      </c>
      <c r="B5419" s="983" t="s">
        <v>2715</v>
      </c>
      <c r="C5419" s="1000"/>
      <c r="H5419" s="983" t="s">
        <v>1108</v>
      </c>
    </row>
    <row r="5420" spans="1:9" x14ac:dyDescent="0.2">
      <c r="A5420" s="997">
        <f t="shared" si="84"/>
        <v>5419</v>
      </c>
      <c r="B5420" s="983" t="s">
        <v>2715</v>
      </c>
      <c r="C5420" s="1000"/>
      <c r="H5420" s="983" t="str">
        <f>CONCATENATE("&lt;valeur&gt;",Cellule_1795,"&lt;/valeur&gt;")</f>
        <v>&lt;valeur&gt;0&lt;/valeur&gt;</v>
      </c>
    </row>
    <row r="5421" spans="1:9" x14ac:dyDescent="0.2">
      <c r="A5421" s="997">
        <f t="shared" si="84"/>
        <v>5420</v>
      </c>
      <c r="B5421" s="983" t="s">
        <v>2715</v>
      </c>
      <c r="C5421" s="999"/>
      <c r="G5421" s="983" t="s">
        <v>1109</v>
      </c>
    </row>
    <row r="5422" spans="1:9" x14ac:dyDescent="0.2">
      <c r="A5422" s="997">
        <f t="shared" si="84"/>
        <v>5421</v>
      </c>
      <c r="B5422" s="983" t="s">
        <v>2715</v>
      </c>
      <c r="C5422" s="999"/>
      <c r="G5422" s="983" t="s">
        <v>1106</v>
      </c>
    </row>
    <row r="5423" spans="1:9" x14ac:dyDescent="0.2">
      <c r="A5423" s="997">
        <f t="shared" si="84"/>
        <v>5422</v>
      </c>
      <c r="B5423" s="983" t="s">
        <v>2715</v>
      </c>
      <c r="C5423" s="1000"/>
      <c r="H5423" s="983" t="s">
        <v>1107</v>
      </c>
    </row>
    <row r="5424" spans="1:9" x14ac:dyDescent="0.2">
      <c r="A5424" s="997">
        <f t="shared" si="84"/>
        <v>5423</v>
      </c>
      <c r="B5424" s="983" t="s">
        <v>2715</v>
      </c>
      <c r="C5424" s="1001"/>
      <c r="I5424" s="983" t="s">
        <v>1977</v>
      </c>
    </row>
    <row r="5425" spans="1:9" x14ac:dyDescent="0.2">
      <c r="A5425" s="997">
        <f t="shared" si="84"/>
        <v>5424</v>
      </c>
      <c r="B5425" s="983" t="s">
        <v>2715</v>
      </c>
      <c r="C5425" s="1000"/>
      <c r="H5425" s="983" t="s">
        <v>1108</v>
      </c>
    </row>
    <row r="5426" spans="1:9" x14ac:dyDescent="0.2">
      <c r="A5426" s="997">
        <f t="shared" si="84"/>
        <v>5425</v>
      </c>
      <c r="B5426" s="983" t="s">
        <v>2715</v>
      </c>
      <c r="C5426" s="1000"/>
      <c r="H5426" s="983" t="str">
        <f>CONCATENATE("&lt;valeur&gt;",Cellule_1796,"&lt;/valeur&gt;")</f>
        <v>&lt;valeur&gt;0&lt;/valeur&gt;</v>
      </c>
    </row>
    <row r="5427" spans="1:9" x14ac:dyDescent="0.2">
      <c r="A5427" s="997">
        <f t="shared" si="84"/>
        <v>5426</v>
      </c>
      <c r="B5427" s="983" t="s">
        <v>2715</v>
      </c>
      <c r="C5427" s="999"/>
      <c r="G5427" s="983" t="s">
        <v>1109</v>
      </c>
    </row>
    <row r="5428" spans="1:9" x14ac:dyDescent="0.2">
      <c r="A5428" s="997">
        <f t="shared" si="84"/>
        <v>5427</v>
      </c>
      <c r="B5428" s="983" t="s">
        <v>2715</v>
      </c>
      <c r="C5428" s="999"/>
      <c r="G5428" s="983" t="s">
        <v>1106</v>
      </c>
    </row>
    <row r="5429" spans="1:9" x14ac:dyDescent="0.2">
      <c r="A5429" s="997">
        <f t="shared" si="84"/>
        <v>5428</v>
      </c>
      <c r="B5429" s="983" t="s">
        <v>2715</v>
      </c>
      <c r="C5429" s="1000"/>
      <c r="H5429" s="983" t="s">
        <v>1107</v>
      </c>
    </row>
    <row r="5430" spans="1:9" x14ac:dyDescent="0.2">
      <c r="A5430" s="997">
        <f t="shared" si="84"/>
        <v>5429</v>
      </c>
      <c r="B5430" s="983" t="s">
        <v>2715</v>
      </c>
      <c r="C5430" s="1001"/>
      <c r="I5430" s="983" t="s">
        <v>1978</v>
      </c>
    </row>
    <row r="5431" spans="1:9" x14ac:dyDescent="0.2">
      <c r="A5431" s="997">
        <f t="shared" si="84"/>
        <v>5430</v>
      </c>
      <c r="B5431" s="983" t="s">
        <v>2715</v>
      </c>
      <c r="C5431" s="1000"/>
      <c r="H5431" s="983" t="s">
        <v>1108</v>
      </c>
    </row>
    <row r="5432" spans="1:9" x14ac:dyDescent="0.2">
      <c r="A5432" s="997">
        <f t="shared" si="84"/>
        <v>5431</v>
      </c>
      <c r="B5432" s="983" t="s">
        <v>2715</v>
      </c>
      <c r="C5432" s="1000"/>
      <c r="H5432" s="983" t="str">
        <f>CONCATENATE("&lt;valeur&gt;",Cellule_1797,"&lt;/valeur&gt;")</f>
        <v>&lt;valeur&gt;0&lt;/valeur&gt;</v>
      </c>
    </row>
    <row r="5433" spans="1:9" x14ac:dyDescent="0.2">
      <c r="A5433" s="997">
        <f t="shared" si="84"/>
        <v>5432</v>
      </c>
      <c r="B5433" s="983" t="s">
        <v>2715</v>
      </c>
      <c r="C5433" s="999"/>
      <c r="G5433" s="983" t="s">
        <v>1109</v>
      </c>
    </row>
    <row r="5434" spans="1:9" x14ac:dyDescent="0.2">
      <c r="A5434" s="997">
        <f t="shared" si="84"/>
        <v>5433</v>
      </c>
      <c r="B5434" s="983" t="s">
        <v>2715</v>
      </c>
      <c r="C5434" s="999"/>
      <c r="G5434" s="983" t="s">
        <v>1106</v>
      </c>
    </row>
    <row r="5435" spans="1:9" x14ac:dyDescent="0.2">
      <c r="A5435" s="997">
        <f t="shared" si="84"/>
        <v>5434</v>
      </c>
      <c r="B5435" s="983" t="s">
        <v>2715</v>
      </c>
      <c r="C5435" s="1000"/>
      <c r="H5435" s="983" t="s">
        <v>1107</v>
      </c>
    </row>
    <row r="5436" spans="1:9" x14ac:dyDescent="0.2">
      <c r="A5436" s="997">
        <f t="shared" si="84"/>
        <v>5435</v>
      </c>
      <c r="B5436" s="983" t="s">
        <v>2715</v>
      </c>
      <c r="C5436" s="1001"/>
      <c r="I5436" s="983" t="s">
        <v>1979</v>
      </c>
    </row>
    <row r="5437" spans="1:9" x14ac:dyDescent="0.2">
      <c r="A5437" s="997">
        <f t="shared" si="84"/>
        <v>5436</v>
      </c>
      <c r="B5437" s="983" t="s">
        <v>2715</v>
      </c>
      <c r="C5437" s="1000"/>
      <c r="H5437" s="983" t="s">
        <v>1108</v>
      </c>
    </row>
    <row r="5438" spans="1:9" x14ac:dyDescent="0.2">
      <c r="A5438" s="997">
        <f t="shared" si="84"/>
        <v>5437</v>
      </c>
      <c r="B5438" s="983" t="s">
        <v>2715</v>
      </c>
      <c r="C5438" s="1000"/>
      <c r="H5438" s="983" t="str">
        <f>CONCATENATE("&lt;valeur&gt;",Cellule_1798,"&lt;/valeur&gt;")</f>
        <v>&lt;valeur&gt;0&lt;/valeur&gt;</v>
      </c>
    </row>
    <row r="5439" spans="1:9" x14ac:dyDescent="0.2">
      <c r="A5439" s="997">
        <f t="shared" si="84"/>
        <v>5438</v>
      </c>
      <c r="B5439" s="983" t="s">
        <v>2715</v>
      </c>
      <c r="C5439" s="999"/>
      <c r="G5439" s="983" t="s">
        <v>1109</v>
      </c>
    </row>
    <row r="5440" spans="1:9" x14ac:dyDescent="0.2">
      <c r="A5440" s="997">
        <f t="shared" si="84"/>
        <v>5439</v>
      </c>
      <c r="B5440" s="983" t="s">
        <v>2715</v>
      </c>
      <c r="C5440" s="999"/>
      <c r="G5440" s="983" t="s">
        <v>1106</v>
      </c>
    </row>
    <row r="5441" spans="1:9" x14ac:dyDescent="0.2">
      <c r="A5441" s="997">
        <f t="shared" si="84"/>
        <v>5440</v>
      </c>
      <c r="B5441" s="983" t="s">
        <v>2715</v>
      </c>
      <c r="C5441" s="1000"/>
      <c r="H5441" s="983" t="s">
        <v>1107</v>
      </c>
    </row>
    <row r="5442" spans="1:9" x14ac:dyDescent="0.2">
      <c r="A5442" s="997">
        <f t="shared" si="84"/>
        <v>5441</v>
      </c>
      <c r="B5442" s="983" t="s">
        <v>2715</v>
      </c>
      <c r="C5442" s="1001"/>
      <c r="I5442" s="983" t="s">
        <v>1980</v>
      </c>
    </row>
    <row r="5443" spans="1:9" x14ac:dyDescent="0.2">
      <c r="A5443" s="997">
        <f t="shared" si="84"/>
        <v>5442</v>
      </c>
      <c r="B5443" s="983" t="s">
        <v>2715</v>
      </c>
      <c r="C5443" s="1000"/>
      <c r="H5443" s="983" t="s">
        <v>1108</v>
      </c>
    </row>
    <row r="5444" spans="1:9" x14ac:dyDescent="0.2">
      <c r="A5444" s="997">
        <f t="shared" ref="A5444:A5507" si="85">+A5443+1</f>
        <v>5443</v>
      </c>
      <c r="B5444" s="983" t="s">
        <v>2715</v>
      </c>
      <c r="C5444" s="1000"/>
      <c r="H5444" s="983" t="str">
        <f>CONCATENATE("&lt;valeur&gt;",Cellule_1792,"&lt;/valeur&gt;")</f>
        <v>&lt;valeur&gt;&lt;/valeur&gt;</v>
      </c>
    </row>
    <row r="5445" spans="1:9" x14ac:dyDescent="0.2">
      <c r="A5445" s="997">
        <f t="shared" si="85"/>
        <v>5444</v>
      </c>
      <c r="B5445" s="983" t="s">
        <v>2715</v>
      </c>
      <c r="C5445" s="999"/>
      <c r="G5445" s="983" t="s">
        <v>1109</v>
      </c>
    </row>
    <row r="5446" spans="1:9" x14ac:dyDescent="0.2">
      <c r="A5446" s="997">
        <f t="shared" si="85"/>
        <v>5445</v>
      </c>
      <c r="B5446" s="983" t="s">
        <v>2715</v>
      </c>
      <c r="C5446" s="999"/>
      <c r="G5446" s="983" t="s">
        <v>1106</v>
      </c>
    </row>
    <row r="5447" spans="1:9" x14ac:dyDescent="0.2">
      <c r="A5447" s="997">
        <f t="shared" si="85"/>
        <v>5446</v>
      </c>
      <c r="B5447" s="983" t="s">
        <v>2715</v>
      </c>
      <c r="C5447" s="1000"/>
      <c r="H5447" s="983" t="s">
        <v>1107</v>
      </c>
    </row>
    <row r="5448" spans="1:9" x14ac:dyDescent="0.2">
      <c r="A5448" s="997">
        <f t="shared" si="85"/>
        <v>5447</v>
      </c>
      <c r="B5448" s="983" t="s">
        <v>2715</v>
      </c>
      <c r="C5448" s="1001"/>
      <c r="I5448" s="983" t="s">
        <v>1981</v>
      </c>
    </row>
    <row r="5449" spans="1:9" x14ac:dyDescent="0.2">
      <c r="A5449" s="997">
        <f t="shared" si="85"/>
        <v>5448</v>
      </c>
      <c r="B5449" s="983" t="s">
        <v>2715</v>
      </c>
      <c r="C5449" s="1000"/>
      <c r="H5449" s="983" t="s">
        <v>1108</v>
      </c>
    </row>
    <row r="5450" spans="1:9" x14ac:dyDescent="0.2">
      <c r="A5450" s="997">
        <f t="shared" si="85"/>
        <v>5449</v>
      </c>
      <c r="B5450" s="983" t="s">
        <v>2715</v>
      </c>
      <c r="C5450" s="1000"/>
      <c r="H5450" s="983" t="str">
        <f>CONCATENATE("&lt;valeur&gt;",Cellule_1793,"&lt;/valeur&gt;")</f>
        <v>&lt;valeur&gt;0&lt;/valeur&gt;</v>
      </c>
    </row>
    <row r="5451" spans="1:9" x14ac:dyDescent="0.2">
      <c r="A5451" s="997">
        <f t="shared" si="85"/>
        <v>5450</v>
      </c>
      <c r="B5451" s="983" t="s">
        <v>2715</v>
      </c>
      <c r="C5451" s="999"/>
      <c r="G5451" s="983" t="s">
        <v>1109</v>
      </c>
    </row>
    <row r="5452" spans="1:9" x14ac:dyDescent="0.2">
      <c r="A5452" s="997">
        <f t="shared" si="85"/>
        <v>5451</v>
      </c>
      <c r="B5452" s="983" t="s">
        <v>2715</v>
      </c>
      <c r="C5452" s="999"/>
      <c r="G5452" s="983" t="s">
        <v>1106</v>
      </c>
    </row>
    <row r="5453" spans="1:9" x14ac:dyDescent="0.2">
      <c r="A5453" s="997">
        <f t="shared" si="85"/>
        <v>5452</v>
      </c>
      <c r="B5453" s="983" t="s">
        <v>2715</v>
      </c>
      <c r="C5453" s="1000"/>
      <c r="H5453" s="983" t="s">
        <v>1107</v>
      </c>
    </row>
    <row r="5454" spans="1:9" x14ac:dyDescent="0.2">
      <c r="A5454" s="997">
        <f t="shared" si="85"/>
        <v>5453</v>
      </c>
      <c r="B5454" s="983" t="s">
        <v>2715</v>
      </c>
      <c r="C5454" s="1001"/>
      <c r="I5454" s="983" t="s">
        <v>1982</v>
      </c>
    </row>
    <row r="5455" spans="1:9" x14ac:dyDescent="0.2">
      <c r="A5455" s="997">
        <f t="shared" si="85"/>
        <v>5454</v>
      </c>
      <c r="B5455" s="983" t="s">
        <v>2715</v>
      </c>
      <c r="C5455" s="1000"/>
      <c r="H5455" s="983" t="s">
        <v>1108</v>
      </c>
    </row>
    <row r="5456" spans="1:9" x14ac:dyDescent="0.2">
      <c r="A5456" s="997">
        <f t="shared" si="85"/>
        <v>5455</v>
      </c>
      <c r="B5456" s="983" t="s">
        <v>2715</v>
      </c>
      <c r="C5456" s="1000"/>
      <c r="H5456" s="983" t="str">
        <f>CONCATENATE("&lt;valeur&gt;",Cellule_1807,"&lt;/valeur&gt;")</f>
        <v>&lt;valeur&gt;&lt;/valeur&gt;</v>
      </c>
    </row>
    <row r="5457" spans="1:9" x14ac:dyDescent="0.2">
      <c r="A5457" s="997">
        <f t="shared" si="85"/>
        <v>5456</v>
      </c>
      <c r="B5457" s="983" t="s">
        <v>2715</v>
      </c>
      <c r="C5457" s="999"/>
      <c r="G5457" s="983" t="s">
        <v>1109</v>
      </c>
    </row>
    <row r="5458" spans="1:9" x14ac:dyDescent="0.2">
      <c r="A5458" s="997">
        <f t="shared" si="85"/>
        <v>5457</v>
      </c>
      <c r="B5458" s="983" t="s">
        <v>2715</v>
      </c>
      <c r="C5458" s="999"/>
      <c r="G5458" s="983" t="s">
        <v>1106</v>
      </c>
    </row>
    <row r="5459" spans="1:9" x14ac:dyDescent="0.2">
      <c r="A5459" s="997">
        <f t="shared" si="85"/>
        <v>5458</v>
      </c>
      <c r="B5459" s="983" t="s">
        <v>2715</v>
      </c>
      <c r="C5459" s="1000"/>
      <c r="H5459" s="983" t="s">
        <v>1107</v>
      </c>
    </row>
    <row r="5460" spans="1:9" x14ac:dyDescent="0.2">
      <c r="A5460" s="997">
        <f t="shared" si="85"/>
        <v>5459</v>
      </c>
      <c r="B5460" s="983" t="s">
        <v>2715</v>
      </c>
      <c r="C5460" s="1001"/>
      <c r="I5460" s="983" t="s">
        <v>1983</v>
      </c>
    </row>
    <row r="5461" spans="1:9" x14ac:dyDescent="0.2">
      <c r="A5461" s="997">
        <f t="shared" si="85"/>
        <v>5460</v>
      </c>
      <c r="B5461" s="983" t="s">
        <v>2715</v>
      </c>
      <c r="C5461" s="1000"/>
      <c r="H5461" s="983" t="s">
        <v>1108</v>
      </c>
    </row>
    <row r="5462" spans="1:9" x14ac:dyDescent="0.2">
      <c r="A5462" s="997">
        <f t="shared" si="85"/>
        <v>5461</v>
      </c>
      <c r="B5462" s="983" t="s">
        <v>2715</v>
      </c>
      <c r="C5462" s="1000"/>
      <c r="H5462" s="983" t="str">
        <f>CONCATENATE("&lt;valeur&gt;",Cellule_1808,"&lt;/valeur&gt;")</f>
        <v>&lt;valeur&gt;0&lt;/valeur&gt;</v>
      </c>
    </row>
    <row r="5463" spans="1:9" x14ac:dyDescent="0.2">
      <c r="A5463" s="997">
        <f t="shared" si="85"/>
        <v>5462</v>
      </c>
      <c r="B5463" s="983" t="s">
        <v>2715</v>
      </c>
      <c r="C5463" s="999"/>
      <c r="G5463" s="983" t="s">
        <v>1109</v>
      </c>
    </row>
    <row r="5464" spans="1:9" x14ac:dyDescent="0.2">
      <c r="A5464" s="997">
        <f t="shared" si="85"/>
        <v>5463</v>
      </c>
      <c r="B5464" s="983" t="s">
        <v>2715</v>
      </c>
      <c r="C5464" s="999"/>
      <c r="G5464" s="983" t="s">
        <v>1106</v>
      </c>
    </row>
    <row r="5465" spans="1:9" x14ac:dyDescent="0.2">
      <c r="A5465" s="997">
        <f t="shared" si="85"/>
        <v>5464</v>
      </c>
      <c r="B5465" s="983" t="s">
        <v>2715</v>
      </c>
      <c r="C5465" s="1000"/>
      <c r="H5465" s="983" t="s">
        <v>1107</v>
      </c>
    </row>
    <row r="5466" spans="1:9" x14ac:dyDescent="0.2">
      <c r="A5466" s="997">
        <f t="shared" si="85"/>
        <v>5465</v>
      </c>
      <c r="B5466" s="983" t="s">
        <v>2715</v>
      </c>
      <c r="C5466" s="1001"/>
      <c r="I5466" s="983" t="s">
        <v>1984</v>
      </c>
    </row>
    <row r="5467" spans="1:9" x14ac:dyDescent="0.2">
      <c r="A5467" s="997">
        <f t="shared" si="85"/>
        <v>5466</v>
      </c>
      <c r="B5467" s="983" t="s">
        <v>2715</v>
      </c>
      <c r="C5467" s="1000"/>
      <c r="H5467" s="983" t="s">
        <v>1108</v>
      </c>
    </row>
    <row r="5468" spans="1:9" x14ac:dyDescent="0.2">
      <c r="A5468" s="997">
        <f t="shared" si="85"/>
        <v>5467</v>
      </c>
      <c r="B5468" s="983" t="s">
        <v>2715</v>
      </c>
      <c r="C5468" s="1000"/>
      <c r="H5468" s="983" t="str">
        <f>CONCATENATE("&lt;valeur&gt;",Cellule_1809,"&lt;/valeur&gt;")</f>
        <v>&lt;valeur&gt;0&lt;/valeur&gt;</v>
      </c>
    </row>
    <row r="5469" spans="1:9" x14ac:dyDescent="0.2">
      <c r="A5469" s="997">
        <f t="shared" si="85"/>
        <v>5468</v>
      </c>
      <c r="B5469" s="983" t="s">
        <v>2715</v>
      </c>
      <c r="C5469" s="999"/>
      <c r="G5469" s="983" t="s">
        <v>1109</v>
      </c>
    </row>
    <row r="5470" spans="1:9" x14ac:dyDescent="0.2">
      <c r="A5470" s="997">
        <f t="shared" si="85"/>
        <v>5469</v>
      </c>
      <c r="B5470" s="983" t="s">
        <v>2715</v>
      </c>
      <c r="C5470" s="999"/>
      <c r="G5470" s="983" t="s">
        <v>1106</v>
      </c>
    </row>
    <row r="5471" spans="1:9" x14ac:dyDescent="0.2">
      <c r="A5471" s="997">
        <f t="shared" si="85"/>
        <v>5470</v>
      </c>
      <c r="B5471" s="983" t="s">
        <v>2715</v>
      </c>
      <c r="C5471" s="1000"/>
      <c r="H5471" s="983" t="s">
        <v>1107</v>
      </c>
    </row>
    <row r="5472" spans="1:9" x14ac:dyDescent="0.2">
      <c r="A5472" s="997">
        <f t="shared" si="85"/>
        <v>5471</v>
      </c>
      <c r="B5472" s="983" t="s">
        <v>2715</v>
      </c>
      <c r="C5472" s="1001"/>
      <c r="I5472" s="983" t="s">
        <v>1985</v>
      </c>
    </row>
    <row r="5473" spans="1:9" x14ac:dyDescent="0.2">
      <c r="A5473" s="997">
        <f t="shared" si="85"/>
        <v>5472</v>
      </c>
      <c r="B5473" s="983" t="s">
        <v>2715</v>
      </c>
      <c r="C5473" s="1000"/>
      <c r="H5473" s="983" t="s">
        <v>1108</v>
      </c>
    </row>
    <row r="5474" spans="1:9" x14ac:dyDescent="0.2">
      <c r="A5474" s="997">
        <f t="shared" si="85"/>
        <v>5473</v>
      </c>
      <c r="B5474" s="983" t="s">
        <v>2715</v>
      </c>
      <c r="C5474" s="1000"/>
      <c r="H5474" s="983" t="str">
        <f>CONCATENATE("&lt;valeur&gt;",Cellule_1810,"&lt;/valeur&gt;")</f>
        <v>&lt;valeur&gt;0&lt;/valeur&gt;</v>
      </c>
    </row>
    <row r="5475" spans="1:9" x14ac:dyDescent="0.2">
      <c r="A5475" s="997">
        <f t="shared" si="85"/>
        <v>5474</v>
      </c>
      <c r="B5475" s="983" t="s">
        <v>2715</v>
      </c>
      <c r="C5475" s="999"/>
      <c r="G5475" s="983" t="s">
        <v>1109</v>
      </c>
    </row>
    <row r="5476" spans="1:9" x14ac:dyDescent="0.2">
      <c r="A5476" s="997">
        <f t="shared" si="85"/>
        <v>5475</v>
      </c>
      <c r="B5476" s="983" t="s">
        <v>2715</v>
      </c>
      <c r="C5476" s="999"/>
      <c r="G5476" s="983" t="s">
        <v>1106</v>
      </c>
    </row>
    <row r="5477" spans="1:9" x14ac:dyDescent="0.2">
      <c r="A5477" s="997">
        <f t="shared" si="85"/>
        <v>5476</v>
      </c>
      <c r="B5477" s="983" t="s">
        <v>2715</v>
      </c>
      <c r="C5477" s="1000"/>
      <c r="H5477" s="983" t="s">
        <v>1107</v>
      </c>
    </row>
    <row r="5478" spans="1:9" x14ac:dyDescent="0.2">
      <c r="A5478" s="997">
        <f t="shared" si="85"/>
        <v>5477</v>
      </c>
      <c r="B5478" s="983" t="s">
        <v>2715</v>
      </c>
      <c r="C5478" s="1001"/>
      <c r="I5478" s="983" t="s">
        <v>1986</v>
      </c>
    </row>
    <row r="5479" spans="1:9" x14ac:dyDescent="0.2">
      <c r="A5479" s="997">
        <f t="shared" si="85"/>
        <v>5478</v>
      </c>
      <c r="B5479" s="983" t="s">
        <v>2715</v>
      </c>
      <c r="C5479" s="1000"/>
      <c r="H5479" s="983" t="s">
        <v>1108</v>
      </c>
    </row>
    <row r="5480" spans="1:9" x14ac:dyDescent="0.2">
      <c r="A5480" s="997">
        <f t="shared" si="85"/>
        <v>5479</v>
      </c>
      <c r="B5480" s="983" t="s">
        <v>2715</v>
      </c>
      <c r="C5480" s="1000"/>
      <c r="H5480" s="983" t="str">
        <f>CONCATENATE("&lt;valeur&gt;",Cellule_1811,"&lt;/valeur&gt;")</f>
        <v>&lt;valeur&gt;0&lt;/valeur&gt;</v>
      </c>
    </row>
    <row r="5481" spans="1:9" x14ac:dyDescent="0.2">
      <c r="A5481" s="997">
        <f t="shared" si="85"/>
        <v>5480</v>
      </c>
      <c r="B5481" s="983" t="s">
        <v>2715</v>
      </c>
      <c r="C5481" s="999"/>
      <c r="G5481" s="983" t="s">
        <v>1109</v>
      </c>
    </row>
    <row r="5482" spans="1:9" x14ac:dyDescent="0.2">
      <c r="A5482" s="997">
        <f t="shared" si="85"/>
        <v>5481</v>
      </c>
      <c r="B5482" s="983" t="s">
        <v>2715</v>
      </c>
      <c r="C5482" s="999"/>
      <c r="G5482" s="983" t="s">
        <v>1106</v>
      </c>
    </row>
    <row r="5483" spans="1:9" x14ac:dyDescent="0.2">
      <c r="A5483" s="997">
        <f t="shared" si="85"/>
        <v>5482</v>
      </c>
      <c r="B5483" s="983" t="s">
        <v>2715</v>
      </c>
      <c r="C5483" s="1000"/>
      <c r="H5483" s="983" t="s">
        <v>1107</v>
      </c>
    </row>
    <row r="5484" spans="1:9" x14ac:dyDescent="0.2">
      <c r="A5484" s="997">
        <f t="shared" si="85"/>
        <v>5483</v>
      </c>
      <c r="B5484" s="983" t="s">
        <v>2715</v>
      </c>
      <c r="C5484" s="1001"/>
      <c r="I5484" s="983" t="s">
        <v>1987</v>
      </c>
    </row>
    <row r="5485" spans="1:9" x14ac:dyDescent="0.2">
      <c r="A5485" s="997">
        <f t="shared" si="85"/>
        <v>5484</v>
      </c>
      <c r="B5485" s="983" t="s">
        <v>2715</v>
      </c>
      <c r="C5485" s="1000"/>
      <c r="H5485" s="983" t="s">
        <v>1108</v>
      </c>
    </row>
    <row r="5486" spans="1:9" x14ac:dyDescent="0.2">
      <c r="A5486" s="997">
        <f t="shared" si="85"/>
        <v>5485</v>
      </c>
      <c r="B5486" s="983" t="s">
        <v>2715</v>
      </c>
      <c r="C5486" s="1000"/>
      <c r="H5486" s="983" t="str">
        <f>CONCATENATE("&lt;valeur&gt;",Cellule_1812,"&lt;/valeur&gt;")</f>
        <v>&lt;valeur&gt;0&lt;/valeur&gt;</v>
      </c>
    </row>
    <row r="5487" spans="1:9" x14ac:dyDescent="0.2">
      <c r="A5487" s="997">
        <f t="shared" si="85"/>
        <v>5486</v>
      </c>
      <c r="B5487" s="983" t="s">
        <v>2715</v>
      </c>
      <c r="C5487" s="999"/>
      <c r="G5487" s="983" t="s">
        <v>1109</v>
      </c>
    </row>
    <row r="5488" spans="1:9" x14ac:dyDescent="0.2">
      <c r="A5488" s="997">
        <f t="shared" si="85"/>
        <v>5487</v>
      </c>
      <c r="B5488" s="983" t="s">
        <v>2715</v>
      </c>
      <c r="C5488" s="999"/>
      <c r="G5488" s="983" t="s">
        <v>1106</v>
      </c>
    </row>
    <row r="5489" spans="1:9" x14ac:dyDescent="0.2">
      <c r="A5489" s="997">
        <f t="shared" si="85"/>
        <v>5488</v>
      </c>
      <c r="B5489" s="983" t="s">
        <v>2715</v>
      </c>
      <c r="C5489" s="1000"/>
      <c r="H5489" s="983" t="s">
        <v>1107</v>
      </c>
    </row>
    <row r="5490" spans="1:9" x14ac:dyDescent="0.2">
      <c r="A5490" s="997">
        <f t="shared" si="85"/>
        <v>5489</v>
      </c>
      <c r="B5490" s="983" t="s">
        <v>2715</v>
      </c>
      <c r="C5490" s="1001"/>
      <c r="I5490" s="983" t="s">
        <v>1988</v>
      </c>
    </row>
    <row r="5491" spans="1:9" x14ac:dyDescent="0.2">
      <c r="A5491" s="997">
        <f t="shared" si="85"/>
        <v>5490</v>
      </c>
      <c r="B5491" s="983" t="s">
        <v>2715</v>
      </c>
      <c r="C5491" s="1000"/>
      <c r="H5491" s="983" t="s">
        <v>1108</v>
      </c>
    </row>
    <row r="5492" spans="1:9" x14ac:dyDescent="0.2">
      <c r="A5492" s="997">
        <f t="shared" si="85"/>
        <v>5491</v>
      </c>
      <c r="B5492" s="983" t="s">
        <v>2715</v>
      </c>
      <c r="C5492" s="1000"/>
      <c r="H5492" s="983" t="str">
        <f>CONCATENATE("&lt;valeur&gt;",Cellule_1813,"&lt;/valeur&gt;")</f>
        <v>&lt;valeur&gt;0&lt;/valeur&gt;</v>
      </c>
    </row>
    <row r="5493" spans="1:9" x14ac:dyDescent="0.2">
      <c r="A5493" s="997">
        <f t="shared" si="85"/>
        <v>5492</v>
      </c>
      <c r="B5493" s="983" t="s">
        <v>2715</v>
      </c>
      <c r="C5493" s="999"/>
      <c r="G5493" s="983" t="s">
        <v>1109</v>
      </c>
    </row>
    <row r="5494" spans="1:9" x14ac:dyDescent="0.2">
      <c r="A5494" s="997">
        <f t="shared" si="85"/>
        <v>5493</v>
      </c>
      <c r="B5494" s="983" t="s">
        <v>2715</v>
      </c>
      <c r="C5494" s="999"/>
      <c r="G5494" s="983" t="s">
        <v>1106</v>
      </c>
    </row>
    <row r="5495" spans="1:9" x14ac:dyDescent="0.2">
      <c r="A5495" s="997">
        <f t="shared" si="85"/>
        <v>5494</v>
      </c>
      <c r="B5495" s="983" t="s">
        <v>2715</v>
      </c>
      <c r="C5495" s="1000"/>
      <c r="H5495" s="983" t="s">
        <v>1107</v>
      </c>
    </row>
    <row r="5496" spans="1:9" x14ac:dyDescent="0.2">
      <c r="A5496" s="997">
        <f t="shared" si="85"/>
        <v>5495</v>
      </c>
      <c r="B5496" s="983" t="s">
        <v>2715</v>
      </c>
      <c r="C5496" s="1001"/>
      <c r="I5496" s="983" t="s">
        <v>1989</v>
      </c>
    </row>
    <row r="5497" spans="1:9" x14ac:dyDescent="0.2">
      <c r="A5497" s="997">
        <f t="shared" si="85"/>
        <v>5496</v>
      </c>
      <c r="B5497" s="983" t="s">
        <v>2715</v>
      </c>
      <c r="C5497" s="1000"/>
      <c r="H5497" s="983" t="s">
        <v>1108</v>
      </c>
    </row>
    <row r="5498" spans="1:9" x14ac:dyDescent="0.2">
      <c r="A5498" s="997">
        <f t="shared" si="85"/>
        <v>5497</v>
      </c>
      <c r="B5498" s="983" t="s">
        <v>2715</v>
      </c>
      <c r="C5498" s="1000"/>
      <c r="H5498" s="983" t="str">
        <f>CONCATENATE("&lt;valeur&gt;",Cellule_1963,"&lt;/valeur&gt;")</f>
        <v>&lt;valeur&gt;&lt;/valeur&gt;</v>
      </c>
    </row>
    <row r="5499" spans="1:9" x14ac:dyDescent="0.2">
      <c r="A5499" s="997">
        <f t="shared" si="85"/>
        <v>5498</v>
      </c>
      <c r="B5499" s="983" t="s">
        <v>2715</v>
      </c>
      <c r="C5499" s="999"/>
      <c r="G5499" s="983" t="s">
        <v>1109</v>
      </c>
    </row>
    <row r="5500" spans="1:9" x14ac:dyDescent="0.2">
      <c r="A5500" s="997">
        <f t="shared" si="85"/>
        <v>5499</v>
      </c>
      <c r="B5500" s="983" t="s">
        <v>2715</v>
      </c>
      <c r="C5500" s="999"/>
      <c r="G5500" s="983" t="s">
        <v>1106</v>
      </c>
    </row>
    <row r="5501" spans="1:9" x14ac:dyDescent="0.2">
      <c r="A5501" s="997">
        <f t="shared" si="85"/>
        <v>5500</v>
      </c>
      <c r="B5501" s="983" t="s">
        <v>2715</v>
      </c>
      <c r="C5501" s="1000"/>
      <c r="H5501" s="983" t="s">
        <v>1107</v>
      </c>
    </row>
    <row r="5502" spans="1:9" x14ac:dyDescent="0.2">
      <c r="A5502" s="997">
        <f t="shared" si="85"/>
        <v>5501</v>
      </c>
      <c r="B5502" s="983" t="s">
        <v>2715</v>
      </c>
      <c r="C5502" s="1001"/>
      <c r="I5502" s="983" t="s">
        <v>1990</v>
      </c>
    </row>
    <row r="5503" spans="1:9" x14ac:dyDescent="0.2">
      <c r="A5503" s="997">
        <f t="shared" si="85"/>
        <v>5502</v>
      </c>
      <c r="B5503" s="983" t="s">
        <v>2715</v>
      </c>
      <c r="C5503" s="1000"/>
      <c r="H5503" s="983" t="s">
        <v>1108</v>
      </c>
    </row>
    <row r="5504" spans="1:9" x14ac:dyDescent="0.2">
      <c r="A5504" s="997">
        <f t="shared" si="85"/>
        <v>5503</v>
      </c>
      <c r="B5504" s="983" t="s">
        <v>2715</v>
      </c>
      <c r="C5504" s="1000"/>
      <c r="H5504" s="983" t="str">
        <f>CONCATENATE("&lt;valeur&gt;",Cellule_1964,"&lt;/valeur&gt;")</f>
        <v>&lt;valeur&gt;0&lt;/valeur&gt;</v>
      </c>
    </row>
    <row r="5505" spans="1:9" x14ac:dyDescent="0.2">
      <c r="A5505" s="997">
        <f t="shared" si="85"/>
        <v>5504</v>
      </c>
      <c r="B5505" s="983" t="s">
        <v>2715</v>
      </c>
      <c r="C5505" s="999"/>
      <c r="G5505" s="983" t="s">
        <v>1109</v>
      </c>
    </row>
    <row r="5506" spans="1:9" x14ac:dyDescent="0.2">
      <c r="A5506" s="997">
        <f t="shared" si="85"/>
        <v>5505</v>
      </c>
      <c r="B5506" s="983" t="s">
        <v>2715</v>
      </c>
      <c r="C5506" s="999"/>
      <c r="G5506" s="983" t="s">
        <v>1106</v>
      </c>
    </row>
    <row r="5507" spans="1:9" x14ac:dyDescent="0.2">
      <c r="A5507" s="997">
        <f t="shared" si="85"/>
        <v>5506</v>
      </c>
      <c r="B5507" s="983" t="s">
        <v>2715</v>
      </c>
      <c r="C5507" s="1000"/>
      <c r="H5507" s="983" t="s">
        <v>1107</v>
      </c>
    </row>
    <row r="5508" spans="1:9" x14ac:dyDescent="0.2">
      <c r="A5508" s="997">
        <f t="shared" ref="A5508:A5571" si="86">+A5507+1</f>
        <v>5507</v>
      </c>
      <c r="B5508" s="983" t="s">
        <v>2715</v>
      </c>
      <c r="C5508" s="1001"/>
      <c r="I5508" s="983" t="s">
        <v>1991</v>
      </c>
    </row>
    <row r="5509" spans="1:9" x14ac:dyDescent="0.2">
      <c r="A5509" s="997">
        <f t="shared" si="86"/>
        <v>5508</v>
      </c>
      <c r="B5509" s="983" t="s">
        <v>2715</v>
      </c>
      <c r="C5509" s="1000"/>
      <c r="H5509" s="983" t="s">
        <v>1108</v>
      </c>
    </row>
    <row r="5510" spans="1:9" x14ac:dyDescent="0.2">
      <c r="A5510" s="997">
        <f t="shared" si="86"/>
        <v>5509</v>
      </c>
      <c r="B5510" s="983" t="s">
        <v>2715</v>
      </c>
      <c r="C5510" s="1000"/>
      <c r="H5510" s="983" t="str">
        <f>CONCATENATE("&lt;valeur&gt;",Cellule_1965,"&lt;/valeur&gt;")</f>
        <v>&lt;valeur&gt;0&lt;/valeur&gt;</v>
      </c>
    </row>
    <row r="5511" spans="1:9" x14ac:dyDescent="0.2">
      <c r="A5511" s="997">
        <f t="shared" si="86"/>
        <v>5510</v>
      </c>
      <c r="B5511" s="983" t="s">
        <v>2715</v>
      </c>
      <c r="C5511" s="999"/>
      <c r="G5511" s="983" t="s">
        <v>1109</v>
      </c>
    </row>
    <row r="5512" spans="1:9" x14ac:dyDescent="0.2">
      <c r="A5512" s="997">
        <f t="shared" si="86"/>
        <v>5511</v>
      </c>
      <c r="B5512" s="983" t="s">
        <v>2715</v>
      </c>
      <c r="C5512" s="999"/>
      <c r="G5512" s="983" t="s">
        <v>1106</v>
      </c>
    </row>
    <row r="5513" spans="1:9" x14ac:dyDescent="0.2">
      <c r="A5513" s="997">
        <f t="shared" si="86"/>
        <v>5512</v>
      </c>
      <c r="B5513" s="983" t="s">
        <v>2715</v>
      </c>
      <c r="C5513" s="1000"/>
      <c r="H5513" s="983" t="s">
        <v>1107</v>
      </c>
    </row>
    <row r="5514" spans="1:9" x14ac:dyDescent="0.2">
      <c r="A5514" s="997">
        <f t="shared" si="86"/>
        <v>5513</v>
      </c>
      <c r="B5514" s="983" t="s">
        <v>2715</v>
      </c>
      <c r="C5514" s="1001"/>
      <c r="I5514" s="983" t="s">
        <v>1992</v>
      </c>
    </row>
    <row r="5515" spans="1:9" x14ac:dyDescent="0.2">
      <c r="A5515" s="997">
        <f t="shared" si="86"/>
        <v>5514</v>
      </c>
      <c r="B5515" s="983" t="s">
        <v>2715</v>
      </c>
      <c r="C5515" s="1000"/>
      <c r="H5515" s="983" t="s">
        <v>1108</v>
      </c>
    </row>
    <row r="5516" spans="1:9" x14ac:dyDescent="0.2">
      <c r="A5516" s="997">
        <f t="shared" si="86"/>
        <v>5515</v>
      </c>
      <c r="B5516" s="983" t="s">
        <v>2715</v>
      </c>
      <c r="C5516" s="1000"/>
      <c r="H5516" s="983" t="str">
        <f>CONCATENATE("&lt;valeur&gt;",Cellule_1966,"&lt;/valeur&gt;")</f>
        <v>&lt;valeur&gt;0&lt;/valeur&gt;</v>
      </c>
    </row>
    <row r="5517" spans="1:9" x14ac:dyDescent="0.2">
      <c r="A5517" s="997">
        <f t="shared" si="86"/>
        <v>5516</v>
      </c>
      <c r="B5517" s="983" t="s">
        <v>2715</v>
      </c>
      <c r="C5517" s="999"/>
      <c r="G5517" s="983" t="s">
        <v>1109</v>
      </c>
    </row>
    <row r="5518" spans="1:9" x14ac:dyDescent="0.2">
      <c r="A5518" s="997">
        <f t="shared" si="86"/>
        <v>5517</v>
      </c>
      <c r="B5518" s="983" t="s">
        <v>2715</v>
      </c>
      <c r="C5518" s="999"/>
      <c r="G5518" s="983" t="s">
        <v>1106</v>
      </c>
    </row>
    <row r="5519" spans="1:9" x14ac:dyDescent="0.2">
      <c r="A5519" s="997">
        <f t="shared" si="86"/>
        <v>5518</v>
      </c>
      <c r="B5519" s="983" t="s">
        <v>2715</v>
      </c>
      <c r="C5519" s="1000"/>
      <c r="H5519" s="983" t="s">
        <v>1107</v>
      </c>
    </row>
    <row r="5520" spans="1:9" x14ac:dyDescent="0.2">
      <c r="A5520" s="997">
        <f t="shared" si="86"/>
        <v>5519</v>
      </c>
      <c r="B5520" s="983" t="s">
        <v>2715</v>
      </c>
      <c r="C5520" s="1001"/>
      <c r="I5520" s="983" t="s">
        <v>1993</v>
      </c>
    </row>
    <row r="5521" spans="1:9" x14ac:dyDescent="0.2">
      <c r="A5521" s="997">
        <f t="shared" si="86"/>
        <v>5520</v>
      </c>
      <c r="B5521" s="983" t="s">
        <v>2715</v>
      </c>
      <c r="C5521" s="1000"/>
      <c r="H5521" s="983" t="s">
        <v>1108</v>
      </c>
    </row>
    <row r="5522" spans="1:9" x14ac:dyDescent="0.2">
      <c r="A5522" s="997">
        <f t="shared" si="86"/>
        <v>5521</v>
      </c>
      <c r="B5522" s="983" t="s">
        <v>2715</v>
      </c>
      <c r="C5522" s="1000"/>
      <c r="H5522" s="983" t="str">
        <f>CONCATENATE("&lt;valeur&gt;",Cellule_1967,"&lt;/valeur&gt;")</f>
        <v>&lt;valeur&gt;0&lt;/valeur&gt;</v>
      </c>
    </row>
    <row r="5523" spans="1:9" x14ac:dyDescent="0.2">
      <c r="A5523" s="997">
        <f t="shared" si="86"/>
        <v>5522</v>
      </c>
      <c r="B5523" s="983" t="s">
        <v>2715</v>
      </c>
      <c r="C5523" s="999"/>
      <c r="G5523" s="983" t="s">
        <v>1109</v>
      </c>
    </row>
    <row r="5524" spans="1:9" x14ac:dyDescent="0.2">
      <c r="A5524" s="997">
        <f t="shared" si="86"/>
        <v>5523</v>
      </c>
      <c r="B5524" s="983" t="s">
        <v>2715</v>
      </c>
      <c r="C5524" s="999"/>
      <c r="G5524" s="983" t="s">
        <v>1106</v>
      </c>
    </row>
    <row r="5525" spans="1:9" x14ac:dyDescent="0.2">
      <c r="A5525" s="997">
        <f t="shared" si="86"/>
        <v>5524</v>
      </c>
      <c r="B5525" s="983" t="s">
        <v>2715</v>
      </c>
      <c r="C5525" s="1000"/>
      <c r="H5525" s="983" t="s">
        <v>1107</v>
      </c>
    </row>
    <row r="5526" spans="1:9" x14ac:dyDescent="0.2">
      <c r="A5526" s="997">
        <f t="shared" si="86"/>
        <v>5525</v>
      </c>
      <c r="B5526" s="983" t="s">
        <v>2715</v>
      </c>
      <c r="C5526" s="1001"/>
      <c r="I5526" s="983" t="s">
        <v>1994</v>
      </c>
    </row>
    <row r="5527" spans="1:9" x14ac:dyDescent="0.2">
      <c r="A5527" s="997">
        <f t="shared" si="86"/>
        <v>5526</v>
      </c>
      <c r="B5527" s="983" t="s">
        <v>2715</v>
      </c>
      <c r="C5527" s="1000"/>
      <c r="H5527" s="983" t="s">
        <v>1108</v>
      </c>
    </row>
    <row r="5528" spans="1:9" x14ac:dyDescent="0.2">
      <c r="A5528" s="997">
        <f t="shared" si="86"/>
        <v>5527</v>
      </c>
      <c r="B5528" s="983" t="s">
        <v>2715</v>
      </c>
      <c r="C5528" s="1000"/>
      <c r="H5528" s="983" t="str">
        <f>CONCATENATE("&lt;valeur&gt;",Cellule_1968,"&lt;/valeur&gt;")</f>
        <v>&lt;valeur&gt;&lt;/valeur&gt;</v>
      </c>
    </row>
    <row r="5529" spans="1:9" x14ac:dyDescent="0.2">
      <c r="A5529" s="997">
        <f t="shared" si="86"/>
        <v>5528</v>
      </c>
      <c r="B5529" s="983" t="s">
        <v>2715</v>
      </c>
      <c r="C5529" s="999"/>
      <c r="G5529" s="983" t="s">
        <v>1109</v>
      </c>
    </row>
    <row r="5530" spans="1:9" x14ac:dyDescent="0.2">
      <c r="A5530" s="997">
        <f t="shared" si="86"/>
        <v>5529</v>
      </c>
      <c r="B5530" s="983" t="s">
        <v>2715</v>
      </c>
      <c r="C5530" s="999"/>
      <c r="G5530" s="983" t="s">
        <v>1106</v>
      </c>
    </row>
    <row r="5531" spans="1:9" x14ac:dyDescent="0.2">
      <c r="A5531" s="997">
        <f t="shared" si="86"/>
        <v>5530</v>
      </c>
      <c r="B5531" s="983" t="s">
        <v>2715</v>
      </c>
      <c r="C5531" s="1000"/>
      <c r="H5531" s="983" t="s">
        <v>1107</v>
      </c>
    </row>
    <row r="5532" spans="1:9" x14ac:dyDescent="0.2">
      <c r="A5532" s="997">
        <f t="shared" si="86"/>
        <v>5531</v>
      </c>
      <c r="B5532" s="983" t="s">
        <v>2715</v>
      </c>
      <c r="C5532" s="1001"/>
      <c r="I5532" s="983" t="s">
        <v>1995</v>
      </c>
    </row>
    <row r="5533" spans="1:9" x14ac:dyDescent="0.2">
      <c r="A5533" s="997">
        <f t="shared" si="86"/>
        <v>5532</v>
      </c>
      <c r="B5533" s="983" t="s">
        <v>2715</v>
      </c>
      <c r="C5533" s="1000"/>
      <c r="H5533" s="983" t="s">
        <v>1108</v>
      </c>
    </row>
    <row r="5534" spans="1:9" x14ac:dyDescent="0.2">
      <c r="A5534" s="997">
        <f t="shared" si="86"/>
        <v>5533</v>
      </c>
      <c r="B5534" s="983" t="s">
        <v>2715</v>
      </c>
      <c r="C5534" s="1000"/>
      <c r="H5534" s="983" t="str">
        <f>CONCATENATE("&lt;valeur&gt;",Cellule_1969,"&lt;/valeur&gt;")</f>
        <v>&lt;valeur&gt;0&lt;/valeur&gt;</v>
      </c>
    </row>
    <row r="5535" spans="1:9" x14ac:dyDescent="0.2">
      <c r="A5535" s="997">
        <f t="shared" si="86"/>
        <v>5534</v>
      </c>
      <c r="B5535" s="983" t="s">
        <v>2715</v>
      </c>
      <c r="C5535" s="999"/>
      <c r="G5535" s="983" t="s">
        <v>1109</v>
      </c>
    </row>
    <row r="5536" spans="1:9" x14ac:dyDescent="0.2">
      <c r="A5536" s="997">
        <f t="shared" si="86"/>
        <v>5535</v>
      </c>
      <c r="B5536" s="983" t="s">
        <v>2715</v>
      </c>
      <c r="C5536" s="999"/>
      <c r="G5536" s="983" t="s">
        <v>1106</v>
      </c>
    </row>
    <row r="5537" spans="1:9" x14ac:dyDescent="0.2">
      <c r="A5537" s="997">
        <f t="shared" si="86"/>
        <v>5536</v>
      </c>
      <c r="B5537" s="983" t="s">
        <v>2715</v>
      </c>
      <c r="C5537" s="1000"/>
      <c r="H5537" s="983" t="s">
        <v>1107</v>
      </c>
    </row>
    <row r="5538" spans="1:9" x14ac:dyDescent="0.2">
      <c r="A5538" s="997">
        <f t="shared" si="86"/>
        <v>5537</v>
      </c>
      <c r="B5538" s="983" t="s">
        <v>2715</v>
      </c>
      <c r="C5538" s="1001"/>
      <c r="I5538" s="983" t="s">
        <v>1996</v>
      </c>
    </row>
    <row r="5539" spans="1:9" x14ac:dyDescent="0.2">
      <c r="A5539" s="997">
        <f t="shared" si="86"/>
        <v>5538</v>
      </c>
      <c r="B5539" s="983" t="s">
        <v>2715</v>
      </c>
      <c r="C5539" s="1000"/>
      <c r="H5539" s="983" t="s">
        <v>1108</v>
      </c>
    </row>
    <row r="5540" spans="1:9" x14ac:dyDescent="0.2">
      <c r="A5540" s="997">
        <f t="shared" si="86"/>
        <v>5539</v>
      </c>
      <c r="B5540" s="983" t="s">
        <v>2715</v>
      </c>
      <c r="C5540" s="1000"/>
      <c r="H5540" s="983" t="str">
        <f>CONCATENATE("&lt;valeur&gt;",Cellule_1970,"&lt;/valeur&gt;")</f>
        <v>&lt;valeur&gt;0&lt;/valeur&gt;</v>
      </c>
    </row>
    <row r="5541" spans="1:9" x14ac:dyDescent="0.2">
      <c r="A5541" s="997">
        <f t="shared" si="86"/>
        <v>5540</v>
      </c>
      <c r="B5541" s="983" t="s">
        <v>2715</v>
      </c>
      <c r="C5541" s="999"/>
      <c r="G5541" s="983" t="s">
        <v>1109</v>
      </c>
    </row>
    <row r="5542" spans="1:9" x14ac:dyDescent="0.2">
      <c r="A5542" s="997">
        <f t="shared" si="86"/>
        <v>5541</v>
      </c>
      <c r="B5542" s="983" t="s">
        <v>2715</v>
      </c>
      <c r="C5542" s="999"/>
      <c r="G5542" s="983" t="s">
        <v>1106</v>
      </c>
    </row>
    <row r="5543" spans="1:9" x14ac:dyDescent="0.2">
      <c r="A5543" s="997">
        <f t="shared" si="86"/>
        <v>5542</v>
      </c>
      <c r="B5543" s="983" t="s">
        <v>2715</v>
      </c>
      <c r="C5543" s="1000"/>
      <c r="H5543" s="983" t="s">
        <v>1107</v>
      </c>
    </row>
    <row r="5544" spans="1:9" x14ac:dyDescent="0.2">
      <c r="A5544" s="997">
        <f t="shared" si="86"/>
        <v>5543</v>
      </c>
      <c r="B5544" s="983" t="s">
        <v>2715</v>
      </c>
      <c r="C5544" s="1001"/>
      <c r="I5544" s="983" t="s">
        <v>1997</v>
      </c>
    </row>
    <row r="5545" spans="1:9" x14ac:dyDescent="0.2">
      <c r="A5545" s="997">
        <f t="shared" si="86"/>
        <v>5544</v>
      </c>
      <c r="B5545" s="983" t="s">
        <v>2715</v>
      </c>
      <c r="C5545" s="1000"/>
      <c r="H5545" s="983" t="s">
        <v>1108</v>
      </c>
    </row>
    <row r="5546" spans="1:9" x14ac:dyDescent="0.2">
      <c r="A5546" s="997">
        <f t="shared" si="86"/>
        <v>5545</v>
      </c>
      <c r="B5546" s="983" t="s">
        <v>2715</v>
      </c>
      <c r="C5546" s="1000"/>
      <c r="H5546" s="983" t="str">
        <f>CONCATENATE("&lt;valeur&gt;",Cellule_1971,"&lt;/valeur&gt;")</f>
        <v>&lt;valeur&gt;381666,67&lt;/valeur&gt;</v>
      </c>
    </row>
    <row r="5547" spans="1:9" x14ac:dyDescent="0.2">
      <c r="A5547" s="997">
        <f t="shared" si="86"/>
        <v>5546</v>
      </c>
      <c r="B5547" s="983" t="s">
        <v>2715</v>
      </c>
      <c r="C5547" s="999"/>
      <c r="G5547" s="983" t="s">
        <v>1109</v>
      </c>
    </row>
    <row r="5548" spans="1:9" x14ac:dyDescent="0.2">
      <c r="A5548" s="997">
        <f t="shared" si="86"/>
        <v>5547</v>
      </c>
      <c r="B5548" s="983" t="s">
        <v>2715</v>
      </c>
      <c r="C5548" s="999"/>
      <c r="G5548" s="983" t="s">
        <v>1106</v>
      </c>
    </row>
    <row r="5549" spans="1:9" x14ac:dyDescent="0.2">
      <c r="A5549" s="997">
        <f t="shared" si="86"/>
        <v>5548</v>
      </c>
      <c r="B5549" s="983" t="s">
        <v>2715</v>
      </c>
      <c r="C5549" s="1000"/>
      <c r="H5549" s="983" t="s">
        <v>1107</v>
      </c>
    </row>
    <row r="5550" spans="1:9" x14ac:dyDescent="0.2">
      <c r="A5550" s="997">
        <f t="shared" si="86"/>
        <v>5549</v>
      </c>
      <c r="B5550" s="983" t="s">
        <v>2715</v>
      </c>
      <c r="C5550" s="1001"/>
      <c r="I5550" s="983" t="s">
        <v>1998</v>
      </c>
    </row>
    <row r="5551" spans="1:9" x14ac:dyDescent="0.2">
      <c r="A5551" s="997">
        <f t="shared" si="86"/>
        <v>5550</v>
      </c>
      <c r="B5551" s="983" t="s">
        <v>2715</v>
      </c>
      <c r="C5551" s="1000"/>
      <c r="H5551" s="983" t="s">
        <v>1108</v>
      </c>
    </row>
    <row r="5552" spans="1:9" x14ac:dyDescent="0.2">
      <c r="A5552" s="997">
        <f t="shared" si="86"/>
        <v>5551</v>
      </c>
      <c r="B5552" s="983" t="s">
        <v>2715</v>
      </c>
      <c r="C5552" s="1000"/>
      <c r="H5552" s="983" t="str">
        <f>CONCATENATE("&lt;valeur&gt;",Cellule_1974,"&lt;/valeur&gt;")</f>
        <v>&lt;valeur&gt;0&lt;/valeur&gt;</v>
      </c>
    </row>
    <row r="5553" spans="1:9" x14ac:dyDescent="0.2">
      <c r="A5553" s="997">
        <f t="shared" si="86"/>
        <v>5552</v>
      </c>
      <c r="B5553" s="983" t="s">
        <v>2715</v>
      </c>
      <c r="C5553" s="999"/>
      <c r="G5553" s="983" t="s">
        <v>1109</v>
      </c>
    </row>
    <row r="5554" spans="1:9" x14ac:dyDescent="0.2">
      <c r="A5554" s="997">
        <f t="shared" si="86"/>
        <v>5553</v>
      </c>
      <c r="B5554" s="983" t="s">
        <v>2715</v>
      </c>
      <c r="C5554" s="999"/>
      <c r="G5554" s="983" t="s">
        <v>1106</v>
      </c>
    </row>
    <row r="5555" spans="1:9" x14ac:dyDescent="0.2">
      <c r="A5555" s="997">
        <f t="shared" si="86"/>
        <v>5554</v>
      </c>
      <c r="B5555" s="983" t="s">
        <v>2715</v>
      </c>
      <c r="C5555" s="1000"/>
      <c r="H5555" s="983" t="s">
        <v>1107</v>
      </c>
    </row>
    <row r="5556" spans="1:9" x14ac:dyDescent="0.2">
      <c r="A5556" s="997">
        <f t="shared" si="86"/>
        <v>5555</v>
      </c>
      <c r="B5556" s="983" t="s">
        <v>2715</v>
      </c>
      <c r="C5556" s="1001"/>
      <c r="I5556" s="983" t="s">
        <v>1999</v>
      </c>
    </row>
    <row r="5557" spans="1:9" x14ac:dyDescent="0.2">
      <c r="A5557" s="997">
        <f t="shared" si="86"/>
        <v>5556</v>
      </c>
      <c r="B5557" s="983" t="s">
        <v>2715</v>
      </c>
      <c r="C5557" s="1000"/>
      <c r="H5557" s="983" t="s">
        <v>1108</v>
      </c>
    </row>
    <row r="5558" spans="1:9" x14ac:dyDescent="0.2">
      <c r="A5558" s="997">
        <f t="shared" si="86"/>
        <v>5557</v>
      </c>
      <c r="B5558" s="983" t="s">
        <v>2715</v>
      </c>
      <c r="C5558" s="1000"/>
      <c r="H5558" s="983" t="str">
        <f>CONCATENATE("&lt;valeur&gt;",Cellule_1975,"&lt;/valeur&gt;")</f>
        <v>&lt;valeur&gt;381666,67&lt;/valeur&gt;</v>
      </c>
    </row>
    <row r="5559" spans="1:9" x14ac:dyDescent="0.2">
      <c r="A5559" s="997">
        <f t="shared" si="86"/>
        <v>5558</v>
      </c>
      <c r="B5559" s="983" t="s">
        <v>2715</v>
      </c>
      <c r="C5559" s="999"/>
      <c r="G5559" s="983" t="s">
        <v>1109</v>
      </c>
    </row>
    <row r="5560" spans="1:9" x14ac:dyDescent="0.2">
      <c r="A5560" s="997">
        <f t="shared" si="86"/>
        <v>5559</v>
      </c>
      <c r="B5560" s="983" t="s">
        <v>2715</v>
      </c>
      <c r="C5560" s="999"/>
      <c r="G5560" s="983" t="s">
        <v>1106</v>
      </c>
    </row>
    <row r="5561" spans="1:9" x14ac:dyDescent="0.2">
      <c r="A5561" s="997">
        <f t="shared" si="86"/>
        <v>5560</v>
      </c>
      <c r="B5561" s="983" t="s">
        <v>2715</v>
      </c>
      <c r="C5561" s="1000"/>
      <c r="H5561" s="983" t="s">
        <v>1107</v>
      </c>
    </row>
    <row r="5562" spans="1:9" x14ac:dyDescent="0.2">
      <c r="A5562" s="997">
        <f t="shared" si="86"/>
        <v>5561</v>
      </c>
      <c r="B5562" s="983" t="s">
        <v>2715</v>
      </c>
      <c r="C5562" s="1001"/>
      <c r="I5562" s="983" t="s">
        <v>2000</v>
      </c>
    </row>
    <row r="5563" spans="1:9" x14ac:dyDescent="0.2">
      <c r="A5563" s="997">
        <f t="shared" si="86"/>
        <v>5562</v>
      </c>
      <c r="B5563" s="983" t="s">
        <v>2715</v>
      </c>
      <c r="C5563" s="1000"/>
      <c r="H5563" s="983" t="s">
        <v>1108</v>
      </c>
    </row>
    <row r="5564" spans="1:9" x14ac:dyDescent="0.2">
      <c r="A5564" s="997">
        <f t="shared" si="86"/>
        <v>5563</v>
      </c>
      <c r="B5564" s="983" t="s">
        <v>2715</v>
      </c>
      <c r="C5564" s="1000"/>
      <c r="H5564" s="983" t="str">
        <f>CONCATENATE("&lt;valeur&gt;",Cellule_1976,"&lt;/valeur&gt;")</f>
        <v>&lt;valeur&gt;&lt;/valeur&gt;</v>
      </c>
    </row>
    <row r="5565" spans="1:9" x14ac:dyDescent="0.2">
      <c r="A5565" s="997">
        <f t="shared" si="86"/>
        <v>5564</v>
      </c>
      <c r="B5565" s="983" t="s">
        <v>2715</v>
      </c>
      <c r="C5565" s="999"/>
      <c r="G5565" s="983" t="s">
        <v>1109</v>
      </c>
    </row>
    <row r="5566" spans="1:9" x14ac:dyDescent="0.2">
      <c r="A5566" s="997">
        <f t="shared" si="86"/>
        <v>5565</v>
      </c>
      <c r="B5566" s="983" t="s">
        <v>2715</v>
      </c>
      <c r="C5566" s="999"/>
      <c r="G5566" s="983" t="s">
        <v>1106</v>
      </c>
    </row>
    <row r="5567" spans="1:9" x14ac:dyDescent="0.2">
      <c r="A5567" s="997">
        <f t="shared" si="86"/>
        <v>5566</v>
      </c>
      <c r="B5567" s="983" t="s">
        <v>2715</v>
      </c>
      <c r="C5567" s="1000"/>
      <c r="H5567" s="983" t="s">
        <v>1107</v>
      </c>
    </row>
    <row r="5568" spans="1:9" x14ac:dyDescent="0.2">
      <c r="A5568" s="997">
        <f t="shared" si="86"/>
        <v>5567</v>
      </c>
      <c r="B5568" s="983" t="s">
        <v>2715</v>
      </c>
      <c r="C5568" s="1001"/>
      <c r="I5568" s="983" t="s">
        <v>2001</v>
      </c>
    </row>
    <row r="5569" spans="1:9" x14ac:dyDescent="0.2">
      <c r="A5569" s="997">
        <f t="shared" si="86"/>
        <v>5568</v>
      </c>
      <c r="B5569" s="983" t="s">
        <v>2715</v>
      </c>
      <c r="C5569" s="1000"/>
      <c r="H5569" s="983" t="s">
        <v>1108</v>
      </c>
    </row>
    <row r="5570" spans="1:9" x14ac:dyDescent="0.2">
      <c r="A5570" s="997">
        <f t="shared" si="86"/>
        <v>5569</v>
      </c>
      <c r="B5570" s="983" t="s">
        <v>2715</v>
      </c>
      <c r="C5570" s="1000"/>
      <c r="H5570" s="983" t="str">
        <f>CONCATENATE("&lt;valeur&gt;",Cellule_1977,"&lt;/valeur&gt;")</f>
        <v>&lt;valeur&gt;0&lt;/valeur&gt;</v>
      </c>
    </row>
    <row r="5571" spans="1:9" x14ac:dyDescent="0.2">
      <c r="A5571" s="997">
        <f t="shared" si="86"/>
        <v>5570</v>
      </c>
      <c r="B5571" s="983" t="s">
        <v>2715</v>
      </c>
      <c r="C5571" s="999"/>
      <c r="G5571" s="983" t="s">
        <v>1109</v>
      </c>
    </row>
    <row r="5572" spans="1:9" x14ac:dyDescent="0.2">
      <c r="A5572" s="997">
        <f t="shared" ref="A5572:A5635" si="87">+A5571+1</f>
        <v>5571</v>
      </c>
      <c r="B5572" s="983" t="s">
        <v>2715</v>
      </c>
      <c r="C5572" s="999"/>
      <c r="G5572" s="983" t="s">
        <v>1106</v>
      </c>
    </row>
    <row r="5573" spans="1:9" x14ac:dyDescent="0.2">
      <c r="A5573" s="997">
        <f t="shared" si="87"/>
        <v>5572</v>
      </c>
      <c r="B5573" s="983" t="s">
        <v>2715</v>
      </c>
      <c r="C5573" s="1000"/>
      <c r="H5573" s="983" t="s">
        <v>1107</v>
      </c>
    </row>
    <row r="5574" spans="1:9" x14ac:dyDescent="0.2">
      <c r="A5574" s="997">
        <f t="shared" si="87"/>
        <v>5573</v>
      </c>
      <c r="B5574" s="983" t="s">
        <v>2715</v>
      </c>
      <c r="C5574" s="1001"/>
      <c r="I5574" s="983" t="s">
        <v>2002</v>
      </c>
    </row>
    <row r="5575" spans="1:9" x14ac:dyDescent="0.2">
      <c r="A5575" s="997">
        <f t="shared" si="87"/>
        <v>5574</v>
      </c>
      <c r="B5575" s="983" t="s">
        <v>2715</v>
      </c>
      <c r="C5575" s="1000"/>
      <c r="H5575" s="983" t="s">
        <v>1108</v>
      </c>
    </row>
    <row r="5576" spans="1:9" x14ac:dyDescent="0.2">
      <c r="A5576" s="997">
        <f t="shared" si="87"/>
        <v>5575</v>
      </c>
      <c r="B5576" s="983" t="s">
        <v>2715</v>
      </c>
      <c r="C5576" s="1000"/>
      <c r="H5576" s="983" t="str">
        <f>CONCATENATE("&lt;valeur&gt;",Cellule_1978,"&lt;/valeur&gt;")</f>
        <v>&lt;valeur&gt;0&lt;/valeur&gt;</v>
      </c>
    </row>
    <row r="5577" spans="1:9" x14ac:dyDescent="0.2">
      <c r="A5577" s="997">
        <f t="shared" si="87"/>
        <v>5576</v>
      </c>
      <c r="B5577" s="983" t="s">
        <v>2715</v>
      </c>
      <c r="C5577" s="999"/>
      <c r="G5577" s="983" t="s">
        <v>1109</v>
      </c>
    </row>
    <row r="5578" spans="1:9" x14ac:dyDescent="0.2">
      <c r="A5578" s="997">
        <f t="shared" si="87"/>
        <v>5577</v>
      </c>
      <c r="B5578" s="983" t="s">
        <v>2715</v>
      </c>
      <c r="C5578" s="999"/>
      <c r="G5578" s="983" t="s">
        <v>1106</v>
      </c>
    </row>
    <row r="5579" spans="1:9" x14ac:dyDescent="0.2">
      <c r="A5579" s="997">
        <f t="shared" si="87"/>
        <v>5578</v>
      </c>
      <c r="B5579" s="983" t="s">
        <v>2715</v>
      </c>
      <c r="C5579" s="1000"/>
      <c r="H5579" s="983" t="s">
        <v>1107</v>
      </c>
    </row>
    <row r="5580" spans="1:9" x14ac:dyDescent="0.2">
      <c r="A5580" s="997">
        <f t="shared" si="87"/>
        <v>5579</v>
      </c>
      <c r="B5580" s="983" t="s">
        <v>2715</v>
      </c>
      <c r="C5580" s="1001"/>
      <c r="I5580" s="983" t="s">
        <v>2003</v>
      </c>
    </row>
    <row r="5581" spans="1:9" x14ac:dyDescent="0.2">
      <c r="A5581" s="997">
        <f t="shared" si="87"/>
        <v>5580</v>
      </c>
      <c r="B5581" s="983" t="s">
        <v>2715</v>
      </c>
      <c r="C5581" s="1000"/>
      <c r="H5581" s="983" t="s">
        <v>1108</v>
      </c>
    </row>
    <row r="5582" spans="1:9" x14ac:dyDescent="0.2">
      <c r="A5582" s="997">
        <f t="shared" si="87"/>
        <v>5581</v>
      </c>
      <c r="B5582" s="983" t="s">
        <v>2715</v>
      </c>
      <c r="C5582" s="1000"/>
      <c r="H5582" s="983" t="str">
        <f>CONCATENATE("&lt;valeur&gt;",Cellule_1979,"&lt;/valeur&gt;")</f>
        <v>&lt;valeur&gt;0&lt;/valeur&gt;</v>
      </c>
    </row>
    <row r="5583" spans="1:9" x14ac:dyDescent="0.2">
      <c r="A5583" s="997">
        <f t="shared" si="87"/>
        <v>5582</v>
      </c>
      <c r="B5583" s="983" t="s">
        <v>2715</v>
      </c>
      <c r="C5583" s="999"/>
      <c r="G5583" s="983" t="s">
        <v>1109</v>
      </c>
    </row>
    <row r="5584" spans="1:9" x14ac:dyDescent="0.2">
      <c r="A5584" s="997">
        <f t="shared" si="87"/>
        <v>5583</v>
      </c>
      <c r="B5584" s="983" t="s">
        <v>2715</v>
      </c>
      <c r="C5584" s="999"/>
      <c r="G5584" s="983" t="s">
        <v>1106</v>
      </c>
    </row>
    <row r="5585" spans="1:9" x14ac:dyDescent="0.2">
      <c r="A5585" s="997">
        <f t="shared" si="87"/>
        <v>5584</v>
      </c>
      <c r="B5585" s="983" t="s">
        <v>2715</v>
      </c>
      <c r="C5585" s="1000"/>
      <c r="H5585" s="983" t="s">
        <v>1107</v>
      </c>
    </row>
    <row r="5586" spans="1:9" x14ac:dyDescent="0.2">
      <c r="A5586" s="997">
        <f t="shared" si="87"/>
        <v>5585</v>
      </c>
      <c r="B5586" s="983" t="s">
        <v>2715</v>
      </c>
      <c r="C5586" s="1001"/>
      <c r="I5586" s="983" t="s">
        <v>2004</v>
      </c>
    </row>
    <row r="5587" spans="1:9" x14ac:dyDescent="0.2">
      <c r="A5587" s="997">
        <f t="shared" si="87"/>
        <v>5586</v>
      </c>
      <c r="B5587" s="983" t="s">
        <v>2715</v>
      </c>
      <c r="C5587" s="1000"/>
      <c r="H5587" s="983" t="s">
        <v>1108</v>
      </c>
    </row>
    <row r="5588" spans="1:9" x14ac:dyDescent="0.2">
      <c r="A5588" s="997">
        <f t="shared" si="87"/>
        <v>5587</v>
      </c>
      <c r="B5588" s="983" t="s">
        <v>2715</v>
      </c>
      <c r="C5588" s="1000"/>
      <c r="H5588" s="983" t="str">
        <f>CONCATENATE("&lt;valeur&gt;",Cellule_1980,"&lt;/valeur&gt;")</f>
        <v>&lt;valeur&gt;0&lt;/valeur&gt;</v>
      </c>
    </row>
    <row r="5589" spans="1:9" x14ac:dyDescent="0.2">
      <c r="A5589" s="997">
        <f t="shared" si="87"/>
        <v>5588</v>
      </c>
      <c r="B5589" s="983" t="s">
        <v>2715</v>
      </c>
      <c r="C5589" s="999"/>
      <c r="G5589" s="983" t="s">
        <v>1109</v>
      </c>
    </row>
    <row r="5590" spans="1:9" x14ac:dyDescent="0.2">
      <c r="A5590" s="997">
        <f t="shared" si="87"/>
        <v>5589</v>
      </c>
      <c r="B5590" s="983" t="s">
        <v>2715</v>
      </c>
      <c r="C5590" s="999"/>
      <c r="G5590" s="983" t="s">
        <v>1106</v>
      </c>
    </row>
    <row r="5591" spans="1:9" x14ac:dyDescent="0.2">
      <c r="A5591" s="997">
        <f t="shared" si="87"/>
        <v>5590</v>
      </c>
      <c r="B5591" s="983" t="s">
        <v>2715</v>
      </c>
      <c r="C5591" s="1000"/>
      <c r="H5591" s="983" t="s">
        <v>1107</v>
      </c>
    </row>
    <row r="5592" spans="1:9" x14ac:dyDescent="0.2">
      <c r="A5592" s="997">
        <f t="shared" si="87"/>
        <v>5591</v>
      </c>
      <c r="B5592" s="983" t="s">
        <v>2715</v>
      </c>
      <c r="C5592" s="1001"/>
      <c r="I5592" s="983" t="s">
        <v>2005</v>
      </c>
    </row>
    <row r="5593" spans="1:9" x14ac:dyDescent="0.2">
      <c r="A5593" s="997">
        <f t="shared" si="87"/>
        <v>5592</v>
      </c>
      <c r="B5593" s="983" t="s">
        <v>2715</v>
      </c>
      <c r="C5593" s="1000"/>
      <c r="H5593" s="983" t="s">
        <v>1108</v>
      </c>
    </row>
    <row r="5594" spans="1:9" x14ac:dyDescent="0.2">
      <c r="A5594" s="997">
        <f t="shared" si="87"/>
        <v>5593</v>
      </c>
      <c r="B5594" s="983" t="s">
        <v>2715</v>
      </c>
      <c r="C5594" s="1000"/>
      <c r="H5594" s="983" t="str">
        <f>CONCATENATE("&lt;valeur&gt;",Cellule_1981,"&lt;/valeur&gt;")</f>
        <v>&lt;valeur&gt;&lt;/valeur&gt;</v>
      </c>
    </row>
    <row r="5595" spans="1:9" x14ac:dyDescent="0.2">
      <c r="A5595" s="997">
        <f t="shared" si="87"/>
        <v>5594</v>
      </c>
      <c r="B5595" s="983" t="s">
        <v>2715</v>
      </c>
      <c r="C5595" s="999"/>
      <c r="G5595" s="983" t="s">
        <v>1109</v>
      </c>
    </row>
    <row r="5596" spans="1:9" x14ac:dyDescent="0.2">
      <c r="A5596" s="997">
        <f t="shared" si="87"/>
        <v>5595</v>
      </c>
      <c r="B5596" s="983" t="s">
        <v>2715</v>
      </c>
      <c r="C5596" s="999"/>
      <c r="G5596" s="983" t="s">
        <v>1106</v>
      </c>
    </row>
    <row r="5597" spans="1:9" x14ac:dyDescent="0.2">
      <c r="A5597" s="997">
        <f t="shared" si="87"/>
        <v>5596</v>
      </c>
      <c r="B5597" s="983" t="s">
        <v>2715</v>
      </c>
      <c r="C5597" s="1000"/>
      <c r="H5597" s="983" t="s">
        <v>1107</v>
      </c>
    </row>
    <row r="5598" spans="1:9" x14ac:dyDescent="0.2">
      <c r="A5598" s="997">
        <f t="shared" si="87"/>
        <v>5597</v>
      </c>
      <c r="B5598" s="983" t="s">
        <v>2715</v>
      </c>
      <c r="C5598" s="1001"/>
      <c r="I5598" s="983" t="s">
        <v>2006</v>
      </c>
    </row>
    <row r="5599" spans="1:9" x14ac:dyDescent="0.2">
      <c r="A5599" s="997">
        <f t="shared" si="87"/>
        <v>5598</v>
      </c>
      <c r="B5599" s="983" t="s">
        <v>2715</v>
      </c>
      <c r="C5599" s="1000"/>
      <c r="H5599" s="983" t="s">
        <v>1108</v>
      </c>
    </row>
    <row r="5600" spans="1:9" x14ac:dyDescent="0.2">
      <c r="A5600" s="997">
        <f t="shared" si="87"/>
        <v>5599</v>
      </c>
      <c r="B5600" s="983" t="s">
        <v>2715</v>
      </c>
      <c r="C5600" s="1000"/>
      <c r="H5600" s="983" t="str">
        <f>CONCATENATE("&lt;valeur&gt;",Cellule_1982,"&lt;/valeur&gt;")</f>
        <v>&lt;valeur&gt;0&lt;/valeur&gt;</v>
      </c>
    </row>
    <row r="5601" spans="1:9" x14ac:dyDescent="0.2">
      <c r="A5601" s="997">
        <f t="shared" si="87"/>
        <v>5600</v>
      </c>
      <c r="B5601" s="983" t="s">
        <v>2715</v>
      </c>
      <c r="C5601" s="999"/>
      <c r="G5601" s="983" t="s">
        <v>1109</v>
      </c>
    </row>
    <row r="5602" spans="1:9" x14ac:dyDescent="0.2">
      <c r="A5602" s="997">
        <f t="shared" si="87"/>
        <v>5601</v>
      </c>
      <c r="B5602" s="983" t="s">
        <v>2715</v>
      </c>
      <c r="C5602" s="999"/>
      <c r="G5602" s="983" t="s">
        <v>1106</v>
      </c>
    </row>
    <row r="5603" spans="1:9" x14ac:dyDescent="0.2">
      <c r="A5603" s="997">
        <f t="shared" si="87"/>
        <v>5602</v>
      </c>
      <c r="B5603" s="983" t="s">
        <v>2715</v>
      </c>
      <c r="C5603" s="1000"/>
      <c r="H5603" s="983" t="s">
        <v>1107</v>
      </c>
    </row>
    <row r="5604" spans="1:9" x14ac:dyDescent="0.2">
      <c r="A5604" s="997">
        <f t="shared" si="87"/>
        <v>5603</v>
      </c>
      <c r="B5604" s="983" t="s">
        <v>2715</v>
      </c>
      <c r="C5604" s="1001"/>
      <c r="I5604" s="983" t="s">
        <v>2007</v>
      </c>
    </row>
    <row r="5605" spans="1:9" x14ac:dyDescent="0.2">
      <c r="A5605" s="997">
        <f t="shared" si="87"/>
        <v>5604</v>
      </c>
      <c r="B5605" s="983" t="s">
        <v>2715</v>
      </c>
      <c r="C5605" s="1000"/>
      <c r="H5605" s="983" t="s">
        <v>1108</v>
      </c>
    </row>
    <row r="5606" spans="1:9" x14ac:dyDescent="0.2">
      <c r="A5606" s="997">
        <f t="shared" si="87"/>
        <v>5605</v>
      </c>
      <c r="B5606" s="983" t="s">
        <v>2715</v>
      </c>
      <c r="C5606" s="1000"/>
      <c r="H5606" s="983" t="str">
        <f>CONCATENATE("&lt;valeur&gt;",Cellule_1983,"&lt;/valeur&gt;")</f>
        <v>&lt;valeur&gt;0&lt;/valeur&gt;</v>
      </c>
    </row>
    <row r="5607" spans="1:9" x14ac:dyDescent="0.2">
      <c r="A5607" s="997">
        <f t="shared" si="87"/>
        <v>5606</v>
      </c>
      <c r="B5607" s="983" t="s">
        <v>2715</v>
      </c>
      <c r="C5607" s="999"/>
      <c r="G5607" s="983" t="s">
        <v>1109</v>
      </c>
    </row>
    <row r="5608" spans="1:9" x14ac:dyDescent="0.2">
      <c r="A5608" s="997">
        <f t="shared" si="87"/>
        <v>5607</v>
      </c>
      <c r="B5608" s="983" t="s">
        <v>2715</v>
      </c>
      <c r="C5608" s="999"/>
      <c r="G5608" s="983" t="s">
        <v>1106</v>
      </c>
    </row>
    <row r="5609" spans="1:9" x14ac:dyDescent="0.2">
      <c r="A5609" s="997">
        <f t="shared" si="87"/>
        <v>5608</v>
      </c>
      <c r="B5609" s="983" t="s">
        <v>2715</v>
      </c>
      <c r="C5609" s="1000"/>
      <c r="H5609" s="983" t="s">
        <v>1107</v>
      </c>
    </row>
    <row r="5610" spans="1:9" x14ac:dyDescent="0.2">
      <c r="A5610" s="997">
        <f t="shared" si="87"/>
        <v>5609</v>
      </c>
      <c r="B5610" s="983" t="s">
        <v>2715</v>
      </c>
      <c r="C5610" s="1001"/>
      <c r="I5610" s="983" t="s">
        <v>2008</v>
      </c>
    </row>
    <row r="5611" spans="1:9" x14ac:dyDescent="0.2">
      <c r="A5611" s="997">
        <f t="shared" si="87"/>
        <v>5610</v>
      </c>
      <c r="B5611" s="983" t="s">
        <v>2715</v>
      </c>
      <c r="C5611" s="1000"/>
      <c r="H5611" s="983" t="s">
        <v>1108</v>
      </c>
    </row>
    <row r="5612" spans="1:9" x14ac:dyDescent="0.2">
      <c r="A5612" s="997">
        <f t="shared" si="87"/>
        <v>5611</v>
      </c>
      <c r="B5612" s="983" t="s">
        <v>2715</v>
      </c>
      <c r="C5612" s="1000"/>
      <c r="H5612" s="983" t="str">
        <f>CONCATENATE("&lt;valeur&gt;",Cellule_1984,"&lt;/valeur&gt;")</f>
        <v>&lt;valeur&gt;0&lt;/valeur&gt;</v>
      </c>
    </row>
    <row r="5613" spans="1:9" x14ac:dyDescent="0.2">
      <c r="A5613" s="997">
        <f t="shared" si="87"/>
        <v>5612</v>
      </c>
      <c r="B5613" s="983" t="s">
        <v>2715</v>
      </c>
      <c r="C5613" s="999"/>
      <c r="G5613" s="983" t="s">
        <v>1109</v>
      </c>
    </row>
    <row r="5614" spans="1:9" x14ac:dyDescent="0.2">
      <c r="A5614" s="997">
        <f t="shared" si="87"/>
        <v>5613</v>
      </c>
      <c r="B5614" s="983" t="s">
        <v>2715</v>
      </c>
      <c r="C5614" s="999"/>
      <c r="G5614" s="983" t="s">
        <v>1106</v>
      </c>
    </row>
    <row r="5615" spans="1:9" x14ac:dyDescent="0.2">
      <c r="A5615" s="997">
        <f t="shared" si="87"/>
        <v>5614</v>
      </c>
      <c r="B5615" s="983" t="s">
        <v>2715</v>
      </c>
      <c r="C5615" s="1000"/>
      <c r="H5615" s="983" t="s">
        <v>1107</v>
      </c>
    </row>
    <row r="5616" spans="1:9" x14ac:dyDescent="0.2">
      <c r="A5616" s="997">
        <f t="shared" si="87"/>
        <v>5615</v>
      </c>
      <c r="B5616" s="983" t="s">
        <v>2715</v>
      </c>
      <c r="C5616" s="1001"/>
      <c r="I5616" s="983" t="s">
        <v>2009</v>
      </c>
    </row>
    <row r="5617" spans="1:9" x14ac:dyDescent="0.2">
      <c r="A5617" s="997">
        <f t="shared" si="87"/>
        <v>5616</v>
      </c>
      <c r="B5617" s="983" t="s">
        <v>2715</v>
      </c>
      <c r="C5617" s="1000"/>
      <c r="H5617" s="983" t="s">
        <v>1108</v>
      </c>
    </row>
    <row r="5618" spans="1:9" x14ac:dyDescent="0.2">
      <c r="A5618" s="997">
        <f t="shared" si="87"/>
        <v>5617</v>
      </c>
      <c r="B5618" s="983" t="s">
        <v>2715</v>
      </c>
      <c r="C5618" s="1000"/>
      <c r="H5618" s="983" t="str">
        <f>CONCATENATE("&lt;valeur&gt;",Cellule_1985,"&lt;/valeur&gt;")</f>
        <v>&lt;valeur&gt;&lt;/valeur&gt;</v>
      </c>
    </row>
    <row r="5619" spans="1:9" x14ac:dyDescent="0.2">
      <c r="A5619" s="997">
        <f t="shared" si="87"/>
        <v>5618</v>
      </c>
      <c r="B5619" s="983" t="s">
        <v>2715</v>
      </c>
      <c r="C5619" s="999"/>
      <c r="G5619" s="983" t="s">
        <v>1109</v>
      </c>
    </row>
    <row r="5620" spans="1:9" x14ac:dyDescent="0.2">
      <c r="A5620" s="997">
        <f t="shared" si="87"/>
        <v>5619</v>
      </c>
      <c r="B5620" s="983" t="s">
        <v>2715</v>
      </c>
      <c r="C5620" s="999"/>
      <c r="G5620" s="983" t="s">
        <v>1106</v>
      </c>
    </row>
    <row r="5621" spans="1:9" x14ac:dyDescent="0.2">
      <c r="A5621" s="997">
        <f t="shared" si="87"/>
        <v>5620</v>
      </c>
      <c r="B5621" s="983" t="s">
        <v>2715</v>
      </c>
      <c r="C5621" s="1000"/>
      <c r="H5621" s="983" t="s">
        <v>1107</v>
      </c>
    </row>
    <row r="5622" spans="1:9" x14ac:dyDescent="0.2">
      <c r="A5622" s="997">
        <f t="shared" si="87"/>
        <v>5621</v>
      </c>
      <c r="B5622" s="983" t="s">
        <v>2715</v>
      </c>
      <c r="C5622" s="1001"/>
      <c r="I5622" s="983" t="s">
        <v>2010</v>
      </c>
    </row>
    <row r="5623" spans="1:9" x14ac:dyDescent="0.2">
      <c r="A5623" s="997">
        <f t="shared" si="87"/>
        <v>5622</v>
      </c>
      <c r="B5623" s="983" t="s">
        <v>2715</v>
      </c>
      <c r="C5623" s="1000"/>
      <c r="H5623" s="983" t="s">
        <v>1108</v>
      </c>
    </row>
    <row r="5624" spans="1:9" x14ac:dyDescent="0.2">
      <c r="A5624" s="997">
        <f t="shared" si="87"/>
        <v>5623</v>
      </c>
      <c r="B5624" s="983" t="s">
        <v>2715</v>
      </c>
      <c r="C5624" s="1000"/>
      <c r="H5624" s="983" t="str">
        <f>CONCATENATE("&lt;valeur&gt;",Cellule_1986,"&lt;/valeur&gt;")</f>
        <v>&lt;valeur&gt;0&lt;/valeur&gt;</v>
      </c>
    </row>
    <row r="5625" spans="1:9" x14ac:dyDescent="0.2">
      <c r="A5625" s="997">
        <f t="shared" si="87"/>
        <v>5624</v>
      </c>
      <c r="B5625" s="983" t="s">
        <v>2715</v>
      </c>
      <c r="C5625" s="999"/>
      <c r="G5625" s="983" t="s">
        <v>1109</v>
      </c>
    </row>
    <row r="5626" spans="1:9" x14ac:dyDescent="0.2">
      <c r="A5626" s="997">
        <f t="shared" si="87"/>
        <v>5625</v>
      </c>
      <c r="B5626" s="983" t="s">
        <v>2715</v>
      </c>
      <c r="C5626" s="999"/>
      <c r="G5626" s="983" t="s">
        <v>1106</v>
      </c>
    </row>
    <row r="5627" spans="1:9" x14ac:dyDescent="0.2">
      <c r="A5627" s="997">
        <f t="shared" si="87"/>
        <v>5626</v>
      </c>
      <c r="B5627" s="983" t="s">
        <v>2715</v>
      </c>
      <c r="C5627" s="1000"/>
      <c r="H5627" s="983" t="s">
        <v>1107</v>
      </c>
    </row>
    <row r="5628" spans="1:9" x14ac:dyDescent="0.2">
      <c r="A5628" s="997">
        <f t="shared" si="87"/>
        <v>5627</v>
      </c>
      <c r="B5628" s="983" t="s">
        <v>2715</v>
      </c>
      <c r="C5628" s="1001"/>
      <c r="I5628" s="983" t="s">
        <v>2011</v>
      </c>
    </row>
    <row r="5629" spans="1:9" x14ac:dyDescent="0.2">
      <c r="A5629" s="997">
        <f t="shared" si="87"/>
        <v>5628</v>
      </c>
      <c r="B5629" s="983" t="s">
        <v>2715</v>
      </c>
      <c r="C5629" s="1000"/>
      <c r="H5629" s="983" t="s">
        <v>1108</v>
      </c>
    </row>
    <row r="5630" spans="1:9" x14ac:dyDescent="0.2">
      <c r="A5630" s="997">
        <f t="shared" si="87"/>
        <v>5629</v>
      </c>
      <c r="B5630" s="983" t="s">
        <v>2715</v>
      </c>
      <c r="C5630" s="1000"/>
      <c r="H5630" s="983" t="str">
        <f>CONCATENATE("&lt;valeur&gt;",Cellule_1987,"&lt;/valeur&gt;")</f>
        <v>&lt;valeur&gt;0&lt;/valeur&gt;</v>
      </c>
    </row>
    <row r="5631" spans="1:9" x14ac:dyDescent="0.2">
      <c r="A5631" s="997">
        <f t="shared" si="87"/>
        <v>5630</v>
      </c>
      <c r="B5631" s="983" t="s">
        <v>2715</v>
      </c>
      <c r="C5631" s="999"/>
      <c r="G5631" s="983" t="s">
        <v>1109</v>
      </c>
    </row>
    <row r="5632" spans="1:9" x14ac:dyDescent="0.2">
      <c r="A5632" s="997">
        <f t="shared" si="87"/>
        <v>5631</v>
      </c>
      <c r="B5632" s="983" t="s">
        <v>2715</v>
      </c>
      <c r="C5632" s="999"/>
      <c r="G5632" s="983" t="s">
        <v>1106</v>
      </c>
    </row>
    <row r="5633" spans="1:9" x14ac:dyDescent="0.2">
      <c r="A5633" s="997">
        <f t="shared" si="87"/>
        <v>5632</v>
      </c>
      <c r="B5633" s="983" t="s">
        <v>2715</v>
      </c>
      <c r="C5633" s="1000"/>
      <c r="H5633" s="983" t="s">
        <v>1107</v>
      </c>
    </row>
    <row r="5634" spans="1:9" x14ac:dyDescent="0.2">
      <c r="A5634" s="997">
        <f t="shared" si="87"/>
        <v>5633</v>
      </c>
      <c r="B5634" s="983" t="s">
        <v>2715</v>
      </c>
      <c r="C5634" s="1001"/>
      <c r="I5634" s="983" t="s">
        <v>2012</v>
      </c>
    </row>
    <row r="5635" spans="1:9" x14ac:dyDescent="0.2">
      <c r="A5635" s="997">
        <f t="shared" si="87"/>
        <v>5634</v>
      </c>
      <c r="B5635" s="983" t="s">
        <v>2715</v>
      </c>
      <c r="C5635" s="1000"/>
      <c r="H5635" s="983" t="s">
        <v>1108</v>
      </c>
    </row>
    <row r="5636" spans="1:9" x14ac:dyDescent="0.2">
      <c r="A5636" s="997">
        <f t="shared" ref="A5636:A5699" si="88">+A5635+1</f>
        <v>5635</v>
      </c>
      <c r="B5636" s="983" t="s">
        <v>2715</v>
      </c>
      <c r="C5636" s="1000"/>
      <c r="H5636" s="983" t="str">
        <f>CONCATENATE("&lt;valeur&gt;",Cellule_1988,"&lt;/valeur&gt;")</f>
        <v>&lt;valeur&gt;0&lt;/valeur&gt;</v>
      </c>
    </row>
    <row r="5637" spans="1:9" x14ac:dyDescent="0.2">
      <c r="A5637" s="997">
        <f t="shared" si="88"/>
        <v>5636</v>
      </c>
      <c r="B5637" s="983" t="s">
        <v>2715</v>
      </c>
      <c r="C5637" s="999"/>
      <c r="G5637" s="983" t="s">
        <v>1109</v>
      </c>
    </row>
    <row r="5638" spans="1:9" x14ac:dyDescent="0.2">
      <c r="A5638" s="997">
        <f t="shared" si="88"/>
        <v>5637</v>
      </c>
      <c r="B5638" s="983" t="s">
        <v>2715</v>
      </c>
      <c r="C5638" s="999"/>
      <c r="G5638" s="983" t="s">
        <v>1106</v>
      </c>
    </row>
    <row r="5639" spans="1:9" x14ac:dyDescent="0.2">
      <c r="A5639" s="997">
        <f t="shared" si="88"/>
        <v>5638</v>
      </c>
      <c r="B5639" s="983" t="s">
        <v>2715</v>
      </c>
      <c r="C5639" s="1000"/>
      <c r="H5639" s="983" t="s">
        <v>1107</v>
      </c>
    </row>
    <row r="5640" spans="1:9" x14ac:dyDescent="0.2">
      <c r="A5640" s="997">
        <f t="shared" si="88"/>
        <v>5639</v>
      </c>
      <c r="B5640" s="983" t="s">
        <v>2715</v>
      </c>
      <c r="C5640" s="1001"/>
      <c r="I5640" s="983" t="s">
        <v>2013</v>
      </c>
    </row>
    <row r="5641" spans="1:9" x14ac:dyDescent="0.2">
      <c r="A5641" s="997">
        <f t="shared" si="88"/>
        <v>5640</v>
      </c>
      <c r="B5641" s="983" t="s">
        <v>2715</v>
      </c>
      <c r="C5641" s="1000"/>
      <c r="H5641" s="983" t="s">
        <v>1108</v>
      </c>
    </row>
    <row r="5642" spans="1:9" x14ac:dyDescent="0.2">
      <c r="A5642" s="997">
        <f t="shared" si="88"/>
        <v>5641</v>
      </c>
      <c r="B5642" s="983" t="s">
        <v>2715</v>
      </c>
      <c r="C5642" s="1000"/>
      <c r="H5642" s="983" t="str">
        <f>CONCATENATE("&lt;valeur&gt;",Cellule_1972,"&lt;/valeur&gt;")</f>
        <v>&lt;valeur&gt;0&lt;/valeur&gt;</v>
      </c>
    </row>
    <row r="5643" spans="1:9" x14ac:dyDescent="0.2">
      <c r="A5643" s="997">
        <f t="shared" si="88"/>
        <v>5642</v>
      </c>
      <c r="B5643" s="983" t="s">
        <v>2715</v>
      </c>
      <c r="C5643" s="999"/>
      <c r="G5643" s="983" t="s">
        <v>1109</v>
      </c>
    </row>
    <row r="5644" spans="1:9" x14ac:dyDescent="0.2">
      <c r="A5644" s="997">
        <f t="shared" si="88"/>
        <v>5643</v>
      </c>
      <c r="B5644" s="983" t="s">
        <v>2715</v>
      </c>
      <c r="C5644" s="999"/>
      <c r="G5644" s="983" t="s">
        <v>1106</v>
      </c>
    </row>
    <row r="5645" spans="1:9" x14ac:dyDescent="0.2">
      <c r="A5645" s="997">
        <f t="shared" si="88"/>
        <v>5644</v>
      </c>
      <c r="B5645" s="983" t="s">
        <v>2715</v>
      </c>
      <c r="C5645" s="1000"/>
      <c r="H5645" s="983" t="s">
        <v>1107</v>
      </c>
    </row>
    <row r="5646" spans="1:9" x14ac:dyDescent="0.2">
      <c r="A5646" s="997">
        <f t="shared" si="88"/>
        <v>5645</v>
      </c>
      <c r="B5646" s="983" t="s">
        <v>2715</v>
      </c>
      <c r="C5646" s="1001"/>
      <c r="I5646" s="983" t="s">
        <v>2014</v>
      </c>
    </row>
    <row r="5647" spans="1:9" x14ac:dyDescent="0.2">
      <c r="A5647" s="997">
        <f t="shared" si="88"/>
        <v>5646</v>
      </c>
      <c r="B5647" s="983" t="s">
        <v>2715</v>
      </c>
      <c r="C5647" s="1000"/>
      <c r="H5647" s="983" t="s">
        <v>1108</v>
      </c>
    </row>
    <row r="5648" spans="1:9" x14ac:dyDescent="0.2">
      <c r="A5648" s="997">
        <f t="shared" si="88"/>
        <v>5647</v>
      </c>
      <c r="B5648" s="983" t="s">
        <v>2715</v>
      </c>
      <c r="C5648" s="1000"/>
      <c r="H5648" s="983" t="str">
        <f>CONCATENATE("&lt;valeur&gt;",Cellule_1973,"&lt;/valeur&gt;")</f>
        <v>&lt;valeur&gt;0&lt;/valeur&gt;</v>
      </c>
    </row>
    <row r="5649" spans="1:9" x14ac:dyDescent="0.2">
      <c r="A5649" s="997">
        <f t="shared" si="88"/>
        <v>5648</v>
      </c>
      <c r="B5649" s="983" t="s">
        <v>2715</v>
      </c>
      <c r="C5649" s="999"/>
      <c r="G5649" s="983" t="s">
        <v>1109</v>
      </c>
    </row>
    <row r="5650" spans="1:9" x14ac:dyDescent="0.2">
      <c r="A5650" s="997">
        <f t="shared" si="88"/>
        <v>5649</v>
      </c>
      <c r="B5650" s="983" t="s">
        <v>2715</v>
      </c>
      <c r="C5650" s="999"/>
      <c r="G5650" s="983" t="s">
        <v>1106</v>
      </c>
    </row>
    <row r="5651" spans="1:9" x14ac:dyDescent="0.2">
      <c r="A5651" s="997">
        <f t="shared" si="88"/>
        <v>5650</v>
      </c>
      <c r="B5651" s="983" t="s">
        <v>2715</v>
      </c>
      <c r="C5651" s="1000"/>
      <c r="H5651" s="983" t="s">
        <v>1107</v>
      </c>
    </row>
    <row r="5652" spans="1:9" x14ac:dyDescent="0.2">
      <c r="A5652" s="997">
        <f t="shared" si="88"/>
        <v>5651</v>
      </c>
      <c r="B5652" s="983" t="s">
        <v>2715</v>
      </c>
      <c r="C5652" s="1001"/>
      <c r="I5652" s="983" t="s">
        <v>2015</v>
      </c>
    </row>
    <row r="5653" spans="1:9" x14ac:dyDescent="0.2">
      <c r="A5653" s="997">
        <f t="shared" si="88"/>
        <v>5652</v>
      </c>
      <c r="B5653" s="983" t="s">
        <v>2715</v>
      </c>
      <c r="C5653" s="1000"/>
      <c r="H5653" s="983" t="s">
        <v>1108</v>
      </c>
    </row>
    <row r="5654" spans="1:9" x14ac:dyDescent="0.2">
      <c r="A5654" s="997">
        <f t="shared" si="88"/>
        <v>5653</v>
      </c>
      <c r="B5654" s="983" t="s">
        <v>2715</v>
      </c>
      <c r="C5654" s="1000"/>
      <c r="H5654" s="983" t="str">
        <f>CONCATENATE("&lt;valeur&gt;",Cellule_1989,"&lt;/valeur&gt;")</f>
        <v>&lt;valeur&gt;&lt;/valeur&gt;</v>
      </c>
    </row>
    <row r="5655" spans="1:9" x14ac:dyDescent="0.2">
      <c r="A5655" s="997">
        <f t="shared" si="88"/>
        <v>5654</v>
      </c>
      <c r="B5655" s="983" t="s">
        <v>2715</v>
      </c>
      <c r="C5655" s="999"/>
      <c r="G5655" s="983" t="s">
        <v>1109</v>
      </c>
    </row>
    <row r="5656" spans="1:9" x14ac:dyDescent="0.2">
      <c r="A5656" s="997">
        <f t="shared" si="88"/>
        <v>5655</v>
      </c>
      <c r="B5656" s="983" t="s">
        <v>2715</v>
      </c>
      <c r="C5656" s="999"/>
      <c r="G5656" s="983" t="s">
        <v>1106</v>
      </c>
    </row>
    <row r="5657" spans="1:9" x14ac:dyDescent="0.2">
      <c r="A5657" s="997">
        <f t="shared" si="88"/>
        <v>5656</v>
      </c>
      <c r="B5657" s="983" t="s">
        <v>2715</v>
      </c>
      <c r="C5657" s="1000"/>
      <c r="H5657" s="983" t="s">
        <v>1107</v>
      </c>
    </row>
    <row r="5658" spans="1:9" x14ac:dyDescent="0.2">
      <c r="A5658" s="997">
        <f t="shared" si="88"/>
        <v>5657</v>
      </c>
      <c r="B5658" s="983" t="s">
        <v>2715</v>
      </c>
      <c r="C5658" s="1001"/>
      <c r="I5658" s="983" t="s">
        <v>2016</v>
      </c>
    </row>
    <row r="5659" spans="1:9" x14ac:dyDescent="0.2">
      <c r="A5659" s="997">
        <f t="shared" si="88"/>
        <v>5658</v>
      </c>
      <c r="B5659" s="983" t="s">
        <v>2715</v>
      </c>
      <c r="C5659" s="1000"/>
      <c r="H5659" s="983" t="s">
        <v>1108</v>
      </c>
    </row>
    <row r="5660" spans="1:9" x14ac:dyDescent="0.2">
      <c r="A5660" s="997">
        <f t="shared" si="88"/>
        <v>5659</v>
      </c>
      <c r="B5660" s="983" t="s">
        <v>2715</v>
      </c>
      <c r="C5660" s="1000"/>
      <c r="H5660" s="983" t="str">
        <f>CONCATENATE("&lt;valeur&gt;",Cellule_1990,"&lt;/valeur&gt;")</f>
        <v>&lt;valeur&gt;0&lt;/valeur&gt;</v>
      </c>
    </row>
    <row r="5661" spans="1:9" x14ac:dyDescent="0.2">
      <c r="A5661" s="997">
        <f t="shared" si="88"/>
        <v>5660</v>
      </c>
      <c r="B5661" s="983" t="s">
        <v>2715</v>
      </c>
      <c r="C5661" s="999"/>
      <c r="G5661" s="983" t="s">
        <v>1109</v>
      </c>
    </row>
    <row r="5662" spans="1:9" x14ac:dyDescent="0.2">
      <c r="A5662" s="997">
        <f t="shared" si="88"/>
        <v>5661</v>
      </c>
      <c r="B5662" s="983" t="s">
        <v>2715</v>
      </c>
      <c r="C5662" s="999"/>
      <c r="G5662" s="983" t="s">
        <v>1106</v>
      </c>
    </row>
    <row r="5663" spans="1:9" x14ac:dyDescent="0.2">
      <c r="A5663" s="997">
        <f t="shared" si="88"/>
        <v>5662</v>
      </c>
      <c r="B5663" s="983" t="s">
        <v>2715</v>
      </c>
      <c r="C5663" s="1000"/>
      <c r="H5663" s="983" t="s">
        <v>1107</v>
      </c>
    </row>
    <row r="5664" spans="1:9" x14ac:dyDescent="0.2">
      <c r="A5664" s="997">
        <f t="shared" si="88"/>
        <v>5663</v>
      </c>
      <c r="B5664" s="983" t="s">
        <v>2715</v>
      </c>
      <c r="C5664" s="1001"/>
      <c r="I5664" s="983" t="s">
        <v>2017</v>
      </c>
    </row>
    <row r="5665" spans="1:9" x14ac:dyDescent="0.2">
      <c r="A5665" s="997">
        <f t="shared" si="88"/>
        <v>5664</v>
      </c>
      <c r="B5665" s="983" t="s">
        <v>2715</v>
      </c>
      <c r="C5665" s="1000"/>
      <c r="H5665" s="983" t="s">
        <v>1108</v>
      </c>
    </row>
    <row r="5666" spans="1:9" x14ac:dyDescent="0.2">
      <c r="A5666" s="997">
        <f t="shared" si="88"/>
        <v>5665</v>
      </c>
      <c r="B5666" s="983" t="s">
        <v>2715</v>
      </c>
      <c r="C5666" s="1000"/>
      <c r="H5666" s="983" t="str">
        <f>CONCATENATE("&lt;valeur&gt;",Cellule_1991,"&lt;/valeur&gt;")</f>
        <v>&lt;valeur&gt;0&lt;/valeur&gt;</v>
      </c>
    </row>
    <row r="5667" spans="1:9" x14ac:dyDescent="0.2">
      <c r="A5667" s="997">
        <f t="shared" si="88"/>
        <v>5666</v>
      </c>
      <c r="B5667" s="983" t="s">
        <v>2715</v>
      </c>
      <c r="C5667" s="999"/>
      <c r="G5667" s="983" t="s">
        <v>1109</v>
      </c>
    </row>
    <row r="5668" spans="1:9" x14ac:dyDescent="0.2">
      <c r="A5668" s="997">
        <f t="shared" si="88"/>
        <v>5667</v>
      </c>
      <c r="B5668" s="983" t="s">
        <v>2715</v>
      </c>
      <c r="C5668" s="999"/>
      <c r="G5668" s="983" t="s">
        <v>1106</v>
      </c>
    </row>
    <row r="5669" spans="1:9" x14ac:dyDescent="0.2">
      <c r="A5669" s="997">
        <f t="shared" si="88"/>
        <v>5668</v>
      </c>
      <c r="B5669" s="983" t="s">
        <v>2715</v>
      </c>
      <c r="C5669" s="1000"/>
      <c r="H5669" s="983" t="s">
        <v>1107</v>
      </c>
    </row>
    <row r="5670" spans="1:9" x14ac:dyDescent="0.2">
      <c r="A5670" s="997">
        <f t="shared" si="88"/>
        <v>5669</v>
      </c>
      <c r="B5670" s="983" t="s">
        <v>2715</v>
      </c>
      <c r="C5670" s="1001"/>
      <c r="I5670" s="983" t="s">
        <v>2018</v>
      </c>
    </row>
    <row r="5671" spans="1:9" x14ac:dyDescent="0.2">
      <c r="A5671" s="997">
        <f t="shared" si="88"/>
        <v>5670</v>
      </c>
      <c r="B5671" s="983" t="s">
        <v>2715</v>
      </c>
      <c r="C5671" s="1000"/>
      <c r="H5671" s="983" t="s">
        <v>1108</v>
      </c>
    </row>
    <row r="5672" spans="1:9" x14ac:dyDescent="0.2">
      <c r="A5672" s="997">
        <f t="shared" si="88"/>
        <v>5671</v>
      </c>
      <c r="B5672" s="983" t="s">
        <v>2715</v>
      </c>
      <c r="C5672" s="1000"/>
      <c r="H5672" s="983" t="str">
        <f>CONCATENATE("&lt;valeur&gt;",Cellule_1992,"&lt;/valeur&gt;")</f>
        <v>&lt;valeur&gt;0&lt;/valeur&gt;</v>
      </c>
    </row>
    <row r="5673" spans="1:9" x14ac:dyDescent="0.2">
      <c r="A5673" s="997">
        <f t="shared" si="88"/>
        <v>5672</v>
      </c>
      <c r="B5673" s="983" t="s">
        <v>2715</v>
      </c>
      <c r="C5673" s="999"/>
      <c r="G5673" s="983" t="s">
        <v>1109</v>
      </c>
    </row>
    <row r="5674" spans="1:9" x14ac:dyDescent="0.2">
      <c r="A5674" s="997">
        <f t="shared" si="88"/>
        <v>5673</v>
      </c>
      <c r="B5674" s="983" t="s">
        <v>2715</v>
      </c>
      <c r="C5674" s="999"/>
      <c r="G5674" s="983" t="s">
        <v>1106</v>
      </c>
    </row>
    <row r="5675" spans="1:9" x14ac:dyDescent="0.2">
      <c r="A5675" s="997">
        <f t="shared" si="88"/>
        <v>5674</v>
      </c>
      <c r="B5675" s="983" t="s">
        <v>2715</v>
      </c>
      <c r="C5675" s="1000"/>
      <c r="H5675" s="983" t="s">
        <v>1107</v>
      </c>
    </row>
    <row r="5676" spans="1:9" x14ac:dyDescent="0.2">
      <c r="A5676" s="997">
        <f t="shared" si="88"/>
        <v>5675</v>
      </c>
      <c r="B5676" s="983" t="s">
        <v>2715</v>
      </c>
      <c r="C5676" s="1001"/>
      <c r="I5676" s="983" t="s">
        <v>2019</v>
      </c>
    </row>
    <row r="5677" spans="1:9" x14ac:dyDescent="0.2">
      <c r="A5677" s="997">
        <f t="shared" si="88"/>
        <v>5676</v>
      </c>
      <c r="B5677" s="983" t="s">
        <v>2715</v>
      </c>
      <c r="C5677" s="1000"/>
      <c r="H5677" s="983" t="s">
        <v>1108</v>
      </c>
    </row>
    <row r="5678" spans="1:9" x14ac:dyDescent="0.2">
      <c r="A5678" s="997">
        <f t="shared" si="88"/>
        <v>5677</v>
      </c>
      <c r="B5678" s="983" t="s">
        <v>2715</v>
      </c>
      <c r="C5678" s="1000"/>
      <c r="H5678" s="983" t="str">
        <f>CONCATENATE("&lt;valeur&gt;",Cellule_1993,"&lt;/valeur&gt;")</f>
        <v>&lt;valeur&gt;0&lt;/valeur&gt;</v>
      </c>
    </row>
    <row r="5679" spans="1:9" x14ac:dyDescent="0.2">
      <c r="A5679" s="997">
        <f t="shared" si="88"/>
        <v>5678</v>
      </c>
      <c r="B5679" s="983" t="s">
        <v>2715</v>
      </c>
      <c r="C5679" s="999"/>
      <c r="G5679" s="983" t="s">
        <v>1109</v>
      </c>
    </row>
    <row r="5680" spans="1:9" x14ac:dyDescent="0.2">
      <c r="A5680" s="997">
        <f t="shared" si="88"/>
        <v>5679</v>
      </c>
      <c r="B5680" s="983" t="s">
        <v>2715</v>
      </c>
      <c r="C5680" s="999"/>
      <c r="G5680" s="983" t="s">
        <v>1106</v>
      </c>
    </row>
    <row r="5681" spans="1:9" x14ac:dyDescent="0.2">
      <c r="A5681" s="997">
        <f t="shared" si="88"/>
        <v>5680</v>
      </c>
      <c r="B5681" s="983" t="s">
        <v>2715</v>
      </c>
      <c r="C5681" s="1000"/>
      <c r="H5681" s="983" t="s">
        <v>1107</v>
      </c>
    </row>
    <row r="5682" spans="1:9" x14ac:dyDescent="0.2">
      <c r="A5682" s="997">
        <f t="shared" si="88"/>
        <v>5681</v>
      </c>
      <c r="B5682" s="983" t="s">
        <v>2715</v>
      </c>
      <c r="C5682" s="1001"/>
      <c r="I5682" s="983" t="s">
        <v>2020</v>
      </c>
    </row>
    <row r="5683" spans="1:9" x14ac:dyDescent="0.2">
      <c r="A5683" s="997">
        <f t="shared" si="88"/>
        <v>5682</v>
      </c>
      <c r="B5683" s="983" t="s">
        <v>2715</v>
      </c>
      <c r="C5683" s="1000"/>
      <c r="H5683" s="983" t="s">
        <v>1108</v>
      </c>
    </row>
    <row r="5684" spans="1:9" x14ac:dyDescent="0.2">
      <c r="A5684" s="997">
        <f t="shared" si="88"/>
        <v>5683</v>
      </c>
      <c r="B5684" s="983" t="s">
        <v>2715</v>
      </c>
      <c r="C5684" s="1000"/>
      <c r="H5684" s="983" t="str">
        <f>CONCATENATE("&lt;valeur&gt;",Cellule_1994,"&lt;/valeur&gt;")</f>
        <v>&lt;valeur&gt;&lt;/valeur&gt;</v>
      </c>
    </row>
    <row r="5685" spans="1:9" x14ac:dyDescent="0.2">
      <c r="A5685" s="997">
        <f t="shared" si="88"/>
        <v>5684</v>
      </c>
      <c r="B5685" s="983" t="s">
        <v>2715</v>
      </c>
      <c r="C5685" s="999"/>
      <c r="G5685" s="983" t="s">
        <v>1109</v>
      </c>
    </row>
    <row r="5686" spans="1:9" x14ac:dyDescent="0.2">
      <c r="A5686" s="997">
        <f t="shared" si="88"/>
        <v>5685</v>
      </c>
      <c r="B5686" s="983" t="s">
        <v>2715</v>
      </c>
      <c r="C5686" s="999"/>
      <c r="G5686" s="983" t="s">
        <v>1106</v>
      </c>
    </row>
    <row r="5687" spans="1:9" x14ac:dyDescent="0.2">
      <c r="A5687" s="997">
        <f t="shared" si="88"/>
        <v>5686</v>
      </c>
      <c r="B5687" s="983" t="s">
        <v>2715</v>
      </c>
      <c r="C5687" s="1000"/>
      <c r="H5687" s="983" t="s">
        <v>1107</v>
      </c>
    </row>
    <row r="5688" spans="1:9" x14ac:dyDescent="0.2">
      <c r="A5688" s="997">
        <f t="shared" si="88"/>
        <v>5687</v>
      </c>
      <c r="B5688" s="983" t="s">
        <v>2715</v>
      </c>
      <c r="C5688" s="1001"/>
      <c r="I5688" s="983" t="s">
        <v>2021</v>
      </c>
    </row>
    <row r="5689" spans="1:9" x14ac:dyDescent="0.2">
      <c r="A5689" s="997">
        <f t="shared" si="88"/>
        <v>5688</v>
      </c>
      <c r="B5689" s="983" t="s">
        <v>2715</v>
      </c>
      <c r="C5689" s="1000"/>
      <c r="H5689" s="983" t="s">
        <v>1108</v>
      </c>
    </row>
    <row r="5690" spans="1:9" x14ac:dyDescent="0.2">
      <c r="A5690" s="997">
        <f t="shared" si="88"/>
        <v>5689</v>
      </c>
      <c r="B5690" s="983" t="s">
        <v>2715</v>
      </c>
      <c r="C5690" s="1000"/>
      <c r="H5690" s="983" t="str">
        <f>CONCATENATE("&lt;valeur&gt;",Cellule_1995,"&lt;/valeur&gt;")</f>
        <v>&lt;valeur&gt;0&lt;/valeur&gt;</v>
      </c>
    </row>
    <row r="5691" spans="1:9" x14ac:dyDescent="0.2">
      <c r="A5691" s="997">
        <f t="shared" si="88"/>
        <v>5690</v>
      </c>
      <c r="B5691" s="983" t="s">
        <v>2715</v>
      </c>
      <c r="C5691" s="999"/>
      <c r="G5691" s="983" t="s">
        <v>1109</v>
      </c>
    </row>
    <row r="5692" spans="1:9" x14ac:dyDescent="0.2">
      <c r="A5692" s="997">
        <f t="shared" si="88"/>
        <v>5691</v>
      </c>
      <c r="B5692" s="983" t="s">
        <v>2715</v>
      </c>
      <c r="C5692" s="999"/>
      <c r="G5692" s="983" t="s">
        <v>1106</v>
      </c>
    </row>
    <row r="5693" spans="1:9" x14ac:dyDescent="0.2">
      <c r="A5693" s="997">
        <f t="shared" si="88"/>
        <v>5692</v>
      </c>
      <c r="B5693" s="983" t="s">
        <v>2715</v>
      </c>
      <c r="C5693" s="1000"/>
      <c r="H5693" s="983" t="s">
        <v>1107</v>
      </c>
    </row>
    <row r="5694" spans="1:9" x14ac:dyDescent="0.2">
      <c r="A5694" s="997">
        <f t="shared" si="88"/>
        <v>5693</v>
      </c>
      <c r="B5694" s="983" t="s">
        <v>2715</v>
      </c>
      <c r="C5694" s="1001"/>
      <c r="I5694" s="983" t="s">
        <v>2022</v>
      </c>
    </row>
    <row r="5695" spans="1:9" x14ac:dyDescent="0.2">
      <c r="A5695" s="997">
        <f t="shared" si="88"/>
        <v>5694</v>
      </c>
      <c r="B5695" s="983" t="s">
        <v>2715</v>
      </c>
      <c r="C5695" s="1000"/>
      <c r="H5695" s="983" t="s">
        <v>1108</v>
      </c>
    </row>
    <row r="5696" spans="1:9" x14ac:dyDescent="0.2">
      <c r="A5696" s="997">
        <f t="shared" si="88"/>
        <v>5695</v>
      </c>
      <c r="B5696" s="983" t="s">
        <v>2715</v>
      </c>
      <c r="C5696" s="1000"/>
      <c r="H5696" s="983" t="str">
        <f>CONCATENATE("&lt;valeur&gt;",Cellule_1996,"&lt;/valeur&gt;")</f>
        <v>&lt;valeur&gt;0&lt;/valeur&gt;</v>
      </c>
    </row>
    <row r="5697" spans="1:9" x14ac:dyDescent="0.2">
      <c r="A5697" s="997">
        <f t="shared" si="88"/>
        <v>5696</v>
      </c>
      <c r="B5697" s="983" t="s">
        <v>2715</v>
      </c>
      <c r="C5697" s="999"/>
      <c r="G5697" s="983" t="s">
        <v>1109</v>
      </c>
    </row>
    <row r="5698" spans="1:9" x14ac:dyDescent="0.2">
      <c r="A5698" s="997">
        <f t="shared" si="88"/>
        <v>5697</v>
      </c>
      <c r="B5698" s="983" t="s">
        <v>2715</v>
      </c>
      <c r="C5698" s="999"/>
      <c r="G5698" s="983" t="s">
        <v>1106</v>
      </c>
    </row>
    <row r="5699" spans="1:9" x14ac:dyDescent="0.2">
      <c r="A5699" s="997">
        <f t="shared" si="88"/>
        <v>5698</v>
      </c>
      <c r="B5699" s="983" t="s">
        <v>2715</v>
      </c>
      <c r="C5699" s="1000"/>
      <c r="H5699" s="983" t="s">
        <v>1107</v>
      </c>
    </row>
    <row r="5700" spans="1:9" x14ac:dyDescent="0.2">
      <c r="A5700" s="997">
        <f t="shared" ref="A5700:A5763" si="89">+A5699+1</f>
        <v>5699</v>
      </c>
      <c r="B5700" s="983" t="s">
        <v>2715</v>
      </c>
      <c r="C5700" s="1001"/>
      <c r="I5700" s="983" t="s">
        <v>2023</v>
      </c>
    </row>
    <row r="5701" spans="1:9" x14ac:dyDescent="0.2">
      <c r="A5701" s="997">
        <f t="shared" si="89"/>
        <v>5700</v>
      </c>
      <c r="B5701" s="983" t="s">
        <v>2715</v>
      </c>
      <c r="C5701" s="1000"/>
      <c r="H5701" s="983" t="s">
        <v>1108</v>
      </c>
    </row>
    <row r="5702" spans="1:9" x14ac:dyDescent="0.2">
      <c r="A5702" s="997">
        <f t="shared" si="89"/>
        <v>5701</v>
      </c>
      <c r="B5702" s="983" t="s">
        <v>2715</v>
      </c>
      <c r="C5702" s="1000"/>
      <c r="H5702" s="983" t="str">
        <f>CONCATENATE("&lt;valeur&gt;",Cellule_1997,"&lt;/valeur&gt;")</f>
        <v>&lt;valeur&gt;0&lt;/valeur&gt;</v>
      </c>
    </row>
    <row r="5703" spans="1:9" x14ac:dyDescent="0.2">
      <c r="A5703" s="997">
        <f t="shared" si="89"/>
        <v>5702</v>
      </c>
      <c r="B5703" s="983" t="s">
        <v>2715</v>
      </c>
      <c r="C5703" s="999"/>
      <c r="G5703" s="983" t="s">
        <v>1109</v>
      </c>
    </row>
    <row r="5704" spans="1:9" x14ac:dyDescent="0.2">
      <c r="A5704" s="997">
        <f t="shared" si="89"/>
        <v>5703</v>
      </c>
      <c r="B5704" s="983" t="s">
        <v>2715</v>
      </c>
      <c r="C5704" s="999"/>
      <c r="G5704" s="983" t="s">
        <v>1106</v>
      </c>
    </row>
    <row r="5705" spans="1:9" x14ac:dyDescent="0.2">
      <c r="A5705" s="997">
        <f t="shared" si="89"/>
        <v>5704</v>
      </c>
      <c r="B5705" s="983" t="s">
        <v>2715</v>
      </c>
      <c r="C5705" s="1000"/>
      <c r="H5705" s="983" t="s">
        <v>1107</v>
      </c>
    </row>
    <row r="5706" spans="1:9" x14ac:dyDescent="0.2">
      <c r="A5706" s="997">
        <f t="shared" si="89"/>
        <v>5705</v>
      </c>
      <c r="B5706" s="983" t="s">
        <v>2715</v>
      </c>
      <c r="C5706" s="1001"/>
      <c r="I5706" s="983" t="s">
        <v>2024</v>
      </c>
    </row>
    <row r="5707" spans="1:9" x14ac:dyDescent="0.2">
      <c r="A5707" s="997">
        <f t="shared" si="89"/>
        <v>5706</v>
      </c>
      <c r="B5707" s="983" t="s">
        <v>2715</v>
      </c>
      <c r="C5707" s="1000"/>
      <c r="H5707" s="983" t="s">
        <v>1108</v>
      </c>
    </row>
    <row r="5708" spans="1:9" x14ac:dyDescent="0.2">
      <c r="A5708" s="997">
        <f t="shared" si="89"/>
        <v>5707</v>
      </c>
      <c r="B5708" s="983" t="s">
        <v>2715</v>
      </c>
      <c r="C5708" s="1000"/>
      <c r="H5708" s="983" t="str">
        <f>CONCATENATE("&lt;valeur&gt;",Cellule_1998,"&lt;/valeur&gt;")</f>
        <v>&lt;valeur&gt;0&lt;/valeur&gt;</v>
      </c>
    </row>
    <row r="5709" spans="1:9" x14ac:dyDescent="0.2">
      <c r="A5709" s="997">
        <f t="shared" si="89"/>
        <v>5708</v>
      </c>
      <c r="B5709" s="983" t="s">
        <v>2715</v>
      </c>
      <c r="C5709" s="999"/>
      <c r="G5709" s="983" t="s">
        <v>1109</v>
      </c>
    </row>
    <row r="5710" spans="1:9" x14ac:dyDescent="0.2">
      <c r="A5710" s="997">
        <f t="shared" si="89"/>
        <v>5709</v>
      </c>
      <c r="B5710" s="983" t="s">
        <v>2715</v>
      </c>
      <c r="C5710" s="999"/>
      <c r="G5710" s="983" t="s">
        <v>1106</v>
      </c>
    </row>
    <row r="5711" spans="1:9" x14ac:dyDescent="0.2">
      <c r="A5711" s="997">
        <f t="shared" si="89"/>
        <v>5710</v>
      </c>
      <c r="B5711" s="983" t="s">
        <v>2715</v>
      </c>
      <c r="C5711" s="1000"/>
      <c r="H5711" s="983" t="s">
        <v>1107</v>
      </c>
    </row>
    <row r="5712" spans="1:9" x14ac:dyDescent="0.2">
      <c r="A5712" s="997">
        <f t="shared" si="89"/>
        <v>5711</v>
      </c>
      <c r="B5712" s="983" t="s">
        <v>2715</v>
      </c>
      <c r="C5712" s="1001"/>
      <c r="I5712" s="983" t="s">
        <v>2025</v>
      </c>
    </row>
    <row r="5713" spans="1:9" x14ac:dyDescent="0.2">
      <c r="A5713" s="997">
        <f t="shared" si="89"/>
        <v>5712</v>
      </c>
      <c r="B5713" s="983" t="s">
        <v>2715</v>
      </c>
      <c r="C5713" s="1000"/>
      <c r="H5713" s="983" t="s">
        <v>1108</v>
      </c>
    </row>
    <row r="5714" spans="1:9" x14ac:dyDescent="0.2">
      <c r="A5714" s="997">
        <f t="shared" si="89"/>
        <v>5713</v>
      </c>
      <c r="B5714" s="983" t="s">
        <v>2715</v>
      </c>
      <c r="C5714" s="1000"/>
      <c r="H5714" s="983" t="str">
        <f>CONCATENATE("&lt;valeur&gt;",Cellule_1999,"&lt;/valeur&gt;")</f>
        <v>&lt;valeur&gt;0&lt;/valeur&gt;</v>
      </c>
    </row>
    <row r="5715" spans="1:9" x14ac:dyDescent="0.2">
      <c r="A5715" s="997">
        <f t="shared" si="89"/>
        <v>5714</v>
      </c>
      <c r="B5715" s="983" t="s">
        <v>2715</v>
      </c>
      <c r="C5715" s="999"/>
      <c r="G5715" s="983" t="s">
        <v>1109</v>
      </c>
    </row>
    <row r="5716" spans="1:9" x14ac:dyDescent="0.2">
      <c r="A5716" s="997">
        <f t="shared" si="89"/>
        <v>5715</v>
      </c>
      <c r="B5716" s="983" t="s">
        <v>2715</v>
      </c>
      <c r="C5716" s="999"/>
      <c r="G5716" s="983" t="s">
        <v>1106</v>
      </c>
    </row>
    <row r="5717" spans="1:9" x14ac:dyDescent="0.2">
      <c r="A5717" s="997">
        <f t="shared" si="89"/>
        <v>5716</v>
      </c>
      <c r="B5717" s="983" t="s">
        <v>2715</v>
      </c>
      <c r="C5717" s="1000"/>
      <c r="H5717" s="983" t="s">
        <v>1107</v>
      </c>
    </row>
    <row r="5718" spans="1:9" x14ac:dyDescent="0.2">
      <c r="A5718" s="997">
        <f t="shared" si="89"/>
        <v>5717</v>
      </c>
      <c r="B5718" s="983" t="s">
        <v>2715</v>
      </c>
      <c r="C5718" s="1001"/>
      <c r="I5718" s="983" t="s">
        <v>2026</v>
      </c>
    </row>
    <row r="5719" spans="1:9" x14ac:dyDescent="0.2">
      <c r="A5719" s="997">
        <f t="shared" si="89"/>
        <v>5718</v>
      </c>
      <c r="B5719" s="983" t="s">
        <v>2715</v>
      </c>
      <c r="C5719" s="1000"/>
      <c r="H5719" s="983" t="s">
        <v>1108</v>
      </c>
    </row>
    <row r="5720" spans="1:9" x14ac:dyDescent="0.2">
      <c r="A5720" s="997">
        <f t="shared" si="89"/>
        <v>5719</v>
      </c>
      <c r="B5720" s="983" t="s">
        <v>2715</v>
      </c>
      <c r="C5720" s="1000"/>
      <c r="H5720" s="983" t="str">
        <f>CONCATENATE("&lt;valeur&gt;",Cellule_2000,"&lt;/valeur&gt;")</f>
        <v>&lt;valeur&gt;0&lt;/valeur&gt;</v>
      </c>
    </row>
    <row r="5721" spans="1:9" x14ac:dyDescent="0.2">
      <c r="A5721" s="997">
        <f t="shared" si="89"/>
        <v>5720</v>
      </c>
      <c r="B5721" s="983" t="s">
        <v>2715</v>
      </c>
      <c r="C5721" s="999"/>
      <c r="G5721" s="983" t="s">
        <v>1109</v>
      </c>
    </row>
    <row r="5722" spans="1:9" x14ac:dyDescent="0.2">
      <c r="A5722" s="997">
        <f t="shared" si="89"/>
        <v>5721</v>
      </c>
      <c r="B5722" s="983" t="s">
        <v>2715</v>
      </c>
      <c r="C5722" s="999"/>
      <c r="G5722" s="983" t="s">
        <v>1106</v>
      </c>
    </row>
    <row r="5723" spans="1:9" x14ac:dyDescent="0.2">
      <c r="A5723" s="997">
        <f t="shared" si="89"/>
        <v>5722</v>
      </c>
      <c r="B5723" s="983" t="s">
        <v>2715</v>
      </c>
      <c r="C5723" s="1000"/>
      <c r="H5723" s="983" t="s">
        <v>1107</v>
      </c>
    </row>
    <row r="5724" spans="1:9" x14ac:dyDescent="0.2">
      <c r="A5724" s="997">
        <f t="shared" si="89"/>
        <v>5723</v>
      </c>
      <c r="B5724" s="983" t="s">
        <v>2715</v>
      </c>
      <c r="C5724" s="1001"/>
      <c r="I5724" s="983" t="s">
        <v>2027</v>
      </c>
    </row>
    <row r="5725" spans="1:9" x14ac:dyDescent="0.2">
      <c r="A5725" s="997">
        <f t="shared" si="89"/>
        <v>5724</v>
      </c>
      <c r="B5725" s="983" t="s">
        <v>2715</v>
      </c>
      <c r="C5725" s="1000"/>
      <c r="H5725" s="983" t="s">
        <v>1108</v>
      </c>
    </row>
    <row r="5726" spans="1:9" x14ac:dyDescent="0.2">
      <c r="A5726" s="997">
        <f t="shared" si="89"/>
        <v>5725</v>
      </c>
      <c r="B5726" s="983" t="s">
        <v>2715</v>
      </c>
      <c r="C5726" s="1000"/>
      <c r="H5726" s="983" t="str">
        <f>CONCATENATE("&lt;valeur&gt;",Cellule_2001,"&lt;/valeur&gt;")</f>
        <v>&lt;valeur&gt;0&lt;/valeur&gt;</v>
      </c>
    </row>
    <row r="5727" spans="1:9" x14ac:dyDescent="0.2">
      <c r="A5727" s="997">
        <f t="shared" si="89"/>
        <v>5726</v>
      </c>
      <c r="B5727" s="983" t="s">
        <v>2715</v>
      </c>
      <c r="C5727" s="999"/>
      <c r="G5727" s="983" t="s">
        <v>1109</v>
      </c>
    </row>
    <row r="5728" spans="1:9" x14ac:dyDescent="0.2">
      <c r="A5728" s="997">
        <f t="shared" si="89"/>
        <v>5727</v>
      </c>
      <c r="B5728" s="983" t="s">
        <v>2715</v>
      </c>
      <c r="C5728" s="999"/>
      <c r="G5728" s="983" t="s">
        <v>1106</v>
      </c>
    </row>
    <row r="5729" spans="1:9" x14ac:dyDescent="0.2">
      <c r="A5729" s="997">
        <f t="shared" si="89"/>
        <v>5728</v>
      </c>
      <c r="B5729" s="983" t="s">
        <v>2715</v>
      </c>
      <c r="C5729" s="1000"/>
      <c r="H5729" s="983" t="s">
        <v>1107</v>
      </c>
    </row>
    <row r="5730" spans="1:9" x14ac:dyDescent="0.2">
      <c r="A5730" s="997">
        <f t="shared" si="89"/>
        <v>5729</v>
      </c>
      <c r="B5730" s="983" t="s">
        <v>2715</v>
      </c>
      <c r="C5730" s="1001"/>
      <c r="I5730" s="983" t="s">
        <v>2028</v>
      </c>
    </row>
    <row r="5731" spans="1:9" x14ac:dyDescent="0.2">
      <c r="A5731" s="997">
        <f t="shared" si="89"/>
        <v>5730</v>
      </c>
      <c r="B5731" s="983" t="s">
        <v>2715</v>
      </c>
      <c r="C5731" s="1000"/>
      <c r="H5731" s="983" t="s">
        <v>1108</v>
      </c>
    </row>
    <row r="5732" spans="1:9" x14ac:dyDescent="0.2">
      <c r="A5732" s="997">
        <f t="shared" si="89"/>
        <v>5731</v>
      </c>
      <c r="B5732" s="983" t="s">
        <v>2715</v>
      </c>
      <c r="C5732" s="1000"/>
      <c r="H5732" s="983" t="str">
        <f>CONCATENATE("&lt;valeur&gt;",Cellule_2002,"&lt;/valeur&gt;")</f>
        <v>&lt;valeur&gt;&lt;/valeur&gt;</v>
      </c>
    </row>
    <row r="5733" spans="1:9" x14ac:dyDescent="0.2">
      <c r="A5733" s="997">
        <f t="shared" si="89"/>
        <v>5732</v>
      </c>
      <c r="B5733" s="983" t="s">
        <v>2715</v>
      </c>
      <c r="C5733" s="999"/>
      <c r="G5733" s="983" t="s">
        <v>1109</v>
      </c>
    </row>
    <row r="5734" spans="1:9" x14ac:dyDescent="0.2">
      <c r="A5734" s="997">
        <f t="shared" si="89"/>
        <v>5733</v>
      </c>
      <c r="B5734" s="983" t="s">
        <v>2715</v>
      </c>
      <c r="C5734" s="999"/>
      <c r="G5734" s="983" t="s">
        <v>1106</v>
      </c>
    </row>
    <row r="5735" spans="1:9" x14ac:dyDescent="0.2">
      <c r="A5735" s="997">
        <f t="shared" si="89"/>
        <v>5734</v>
      </c>
      <c r="B5735" s="983" t="s">
        <v>2715</v>
      </c>
      <c r="C5735" s="1000"/>
      <c r="H5735" s="983" t="s">
        <v>1107</v>
      </c>
    </row>
    <row r="5736" spans="1:9" x14ac:dyDescent="0.2">
      <c r="A5736" s="997">
        <f t="shared" si="89"/>
        <v>5735</v>
      </c>
      <c r="B5736" s="983" t="s">
        <v>2715</v>
      </c>
      <c r="C5736" s="1001"/>
      <c r="I5736" s="983" t="s">
        <v>2029</v>
      </c>
    </row>
    <row r="5737" spans="1:9" x14ac:dyDescent="0.2">
      <c r="A5737" s="997">
        <f t="shared" si="89"/>
        <v>5736</v>
      </c>
      <c r="B5737" s="983" t="s">
        <v>2715</v>
      </c>
      <c r="C5737" s="1000"/>
      <c r="H5737" s="983" t="s">
        <v>1108</v>
      </c>
    </row>
    <row r="5738" spans="1:9" x14ac:dyDescent="0.2">
      <c r="A5738" s="997">
        <f t="shared" si="89"/>
        <v>5737</v>
      </c>
      <c r="B5738" s="983" t="s">
        <v>2715</v>
      </c>
      <c r="C5738" s="1000"/>
      <c r="H5738" s="983" t="str">
        <f>CONCATENATE("&lt;valeur&gt;",Cellule_2003,"&lt;/valeur&gt;")</f>
        <v>&lt;valeur&gt;0&lt;/valeur&gt;</v>
      </c>
    </row>
    <row r="5739" spans="1:9" x14ac:dyDescent="0.2">
      <c r="A5739" s="997">
        <f t="shared" si="89"/>
        <v>5738</v>
      </c>
      <c r="B5739" s="983" t="s">
        <v>2715</v>
      </c>
      <c r="C5739" s="999"/>
      <c r="G5739" s="983" t="s">
        <v>1109</v>
      </c>
    </row>
    <row r="5740" spans="1:9" x14ac:dyDescent="0.2">
      <c r="A5740" s="997">
        <f t="shared" si="89"/>
        <v>5739</v>
      </c>
      <c r="B5740" s="983" t="s">
        <v>2715</v>
      </c>
      <c r="C5740" s="999"/>
      <c r="G5740" s="983" t="s">
        <v>1106</v>
      </c>
    </row>
    <row r="5741" spans="1:9" x14ac:dyDescent="0.2">
      <c r="A5741" s="997">
        <f t="shared" si="89"/>
        <v>5740</v>
      </c>
      <c r="B5741" s="983" t="s">
        <v>2715</v>
      </c>
      <c r="C5741" s="1000"/>
      <c r="H5741" s="983" t="s">
        <v>1107</v>
      </c>
    </row>
    <row r="5742" spans="1:9" x14ac:dyDescent="0.2">
      <c r="A5742" s="997">
        <f t="shared" si="89"/>
        <v>5741</v>
      </c>
      <c r="B5742" s="983" t="s">
        <v>2715</v>
      </c>
      <c r="C5742" s="1001"/>
      <c r="I5742" s="983" t="s">
        <v>2030</v>
      </c>
    </row>
    <row r="5743" spans="1:9" x14ac:dyDescent="0.2">
      <c r="A5743" s="997">
        <f t="shared" si="89"/>
        <v>5742</v>
      </c>
      <c r="B5743" s="983" t="s">
        <v>2715</v>
      </c>
      <c r="C5743" s="1000"/>
      <c r="H5743" s="983" t="s">
        <v>1108</v>
      </c>
    </row>
    <row r="5744" spans="1:9" x14ac:dyDescent="0.2">
      <c r="A5744" s="997">
        <f t="shared" si="89"/>
        <v>5743</v>
      </c>
      <c r="B5744" s="983" t="s">
        <v>2715</v>
      </c>
      <c r="C5744" s="1000"/>
      <c r="H5744" s="983" t="str">
        <f>CONCATENATE("&lt;valeur&gt;",Cellule_2004,"&lt;/valeur&gt;")</f>
        <v>&lt;valeur&gt;0&lt;/valeur&gt;</v>
      </c>
    </row>
    <row r="5745" spans="1:9" x14ac:dyDescent="0.2">
      <c r="A5745" s="997">
        <f t="shared" si="89"/>
        <v>5744</v>
      </c>
      <c r="B5745" s="983" t="s">
        <v>2715</v>
      </c>
      <c r="C5745" s="999"/>
      <c r="G5745" s="983" t="s">
        <v>1109</v>
      </c>
    </row>
    <row r="5746" spans="1:9" x14ac:dyDescent="0.2">
      <c r="A5746" s="997">
        <f t="shared" si="89"/>
        <v>5745</v>
      </c>
      <c r="B5746" s="983" t="s">
        <v>2715</v>
      </c>
      <c r="C5746" s="999"/>
      <c r="G5746" s="983" t="s">
        <v>1106</v>
      </c>
    </row>
    <row r="5747" spans="1:9" x14ac:dyDescent="0.2">
      <c r="A5747" s="997">
        <f t="shared" si="89"/>
        <v>5746</v>
      </c>
      <c r="B5747" s="983" t="s">
        <v>2715</v>
      </c>
      <c r="C5747" s="1000"/>
      <c r="H5747" s="983" t="s">
        <v>1107</v>
      </c>
    </row>
    <row r="5748" spans="1:9" x14ac:dyDescent="0.2">
      <c r="A5748" s="997">
        <f t="shared" si="89"/>
        <v>5747</v>
      </c>
      <c r="B5748" s="983" t="s">
        <v>2715</v>
      </c>
      <c r="C5748" s="1001"/>
      <c r="I5748" s="983" t="s">
        <v>2031</v>
      </c>
    </row>
    <row r="5749" spans="1:9" x14ac:dyDescent="0.2">
      <c r="A5749" s="997">
        <f t="shared" si="89"/>
        <v>5748</v>
      </c>
      <c r="B5749" s="983" t="s">
        <v>2715</v>
      </c>
      <c r="C5749" s="1000"/>
      <c r="H5749" s="983" t="s">
        <v>1108</v>
      </c>
    </row>
    <row r="5750" spans="1:9" x14ac:dyDescent="0.2">
      <c r="A5750" s="997">
        <f t="shared" si="89"/>
        <v>5749</v>
      </c>
      <c r="B5750" s="983" t="s">
        <v>2715</v>
      </c>
      <c r="C5750" s="1000"/>
      <c r="H5750" s="983" t="str">
        <f>CONCATENATE("&lt;valeur&gt;",Cellule_2005,"&lt;/valeur&gt;")</f>
        <v>&lt;valeur&gt;0&lt;/valeur&gt;</v>
      </c>
    </row>
    <row r="5751" spans="1:9" x14ac:dyDescent="0.2">
      <c r="A5751" s="997">
        <f t="shared" si="89"/>
        <v>5750</v>
      </c>
      <c r="B5751" s="983" t="s">
        <v>2715</v>
      </c>
      <c r="C5751" s="999"/>
      <c r="G5751" s="983" t="s">
        <v>1109</v>
      </c>
    </row>
    <row r="5752" spans="1:9" x14ac:dyDescent="0.2">
      <c r="A5752" s="997">
        <f t="shared" si="89"/>
        <v>5751</v>
      </c>
      <c r="B5752" s="983" t="s">
        <v>2715</v>
      </c>
      <c r="C5752" s="999"/>
      <c r="G5752" s="983" t="s">
        <v>1106</v>
      </c>
    </row>
    <row r="5753" spans="1:9" x14ac:dyDescent="0.2">
      <c r="A5753" s="997">
        <f t="shared" si="89"/>
        <v>5752</v>
      </c>
      <c r="B5753" s="983" t="s">
        <v>2715</v>
      </c>
      <c r="C5753" s="1000"/>
      <c r="H5753" s="983" t="s">
        <v>1107</v>
      </c>
    </row>
    <row r="5754" spans="1:9" x14ac:dyDescent="0.2">
      <c r="A5754" s="997">
        <f t="shared" si="89"/>
        <v>5753</v>
      </c>
      <c r="B5754" s="983" t="s">
        <v>2715</v>
      </c>
      <c r="C5754" s="1001"/>
      <c r="I5754" s="983" t="s">
        <v>2032</v>
      </c>
    </row>
    <row r="5755" spans="1:9" x14ac:dyDescent="0.2">
      <c r="A5755" s="997">
        <f t="shared" si="89"/>
        <v>5754</v>
      </c>
      <c r="B5755" s="983" t="s">
        <v>2715</v>
      </c>
      <c r="C5755" s="1000"/>
      <c r="H5755" s="983" t="s">
        <v>1108</v>
      </c>
    </row>
    <row r="5756" spans="1:9" x14ac:dyDescent="0.2">
      <c r="A5756" s="997">
        <f t="shared" si="89"/>
        <v>5755</v>
      </c>
      <c r="B5756" s="983" t="s">
        <v>2715</v>
      </c>
      <c r="C5756" s="1000"/>
      <c r="H5756" s="983" t="str">
        <f>CONCATENATE("&lt;valeur&gt;",Cellule_2006,"&lt;/valeur&gt;")</f>
        <v>&lt;valeur&gt;0&lt;/valeur&gt;</v>
      </c>
    </row>
    <row r="5757" spans="1:9" x14ac:dyDescent="0.2">
      <c r="A5757" s="997">
        <f t="shared" si="89"/>
        <v>5756</v>
      </c>
      <c r="B5757" s="983" t="s">
        <v>2715</v>
      </c>
      <c r="C5757" s="999"/>
      <c r="G5757" s="983" t="s">
        <v>1109</v>
      </c>
    </row>
    <row r="5758" spans="1:9" x14ac:dyDescent="0.2">
      <c r="A5758" s="997">
        <f t="shared" si="89"/>
        <v>5757</v>
      </c>
      <c r="B5758" s="983" t="s">
        <v>2715</v>
      </c>
      <c r="C5758" s="999"/>
      <c r="G5758" s="983" t="s">
        <v>1106</v>
      </c>
    </row>
    <row r="5759" spans="1:9" x14ac:dyDescent="0.2">
      <c r="A5759" s="997">
        <f t="shared" si="89"/>
        <v>5758</v>
      </c>
      <c r="B5759" s="983" t="s">
        <v>2715</v>
      </c>
      <c r="C5759" s="1000"/>
      <c r="H5759" s="983" t="s">
        <v>1107</v>
      </c>
    </row>
    <row r="5760" spans="1:9" x14ac:dyDescent="0.2">
      <c r="A5760" s="997">
        <f t="shared" si="89"/>
        <v>5759</v>
      </c>
      <c r="B5760" s="983" t="s">
        <v>2715</v>
      </c>
      <c r="C5760" s="1001"/>
      <c r="I5760" s="983" t="s">
        <v>2033</v>
      </c>
    </row>
    <row r="5761" spans="1:9" x14ac:dyDescent="0.2">
      <c r="A5761" s="997">
        <f t="shared" si="89"/>
        <v>5760</v>
      </c>
      <c r="B5761" s="983" t="s">
        <v>2715</v>
      </c>
      <c r="C5761" s="1000"/>
      <c r="H5761" s="983" t="s">
        <v>1108</v>
      </c>
    </row>
    <row r="5762" spans="1:9" x14ac:dyDescent="0.2">
      <c r="A5762" s="997">
        <f t="shared" si="89"/>
        <v>5761</v>
      </c>
      <c r="B5762" s="983" t="s">
        <v>2715</v>
      </c>
      <c r="C5762" s="1000"/>
      <c r="H5762" s="983" t="str">
        <f>CONCATENATE("&lt;valeur&gt;",Cellule_2007,"&lt;/valeur&gt;")</f>
        <v>&lt;valeur&gt;&lt;/valeur&gt;</v>
      </c>
    </row>
    <row r="5763" spans="1:9" x14ac:dyDescent="0.2">
      <c r="A5763" s="997">
        <f t="shared" si="89"/>
        <v>5762</v>
      </c>
      <c r="B5763" s="983" t="s">
        <v>2715</v>
      </c>
      <c r="C5763" s="999"/>
      <c r="G5763" s="983" t="s">
        <v>1109</v>
      </c>
    </row>
    <row r="5764" spans="1:9" x14ac:dyDescent="0.2">
      <c r="A5764" s="997">
        <f t="shared" ref="A5764:A5827" si="90">+A5763+1</f>
        <v>5763</v>
      </c>
      <c r="B5764" s="983" t="s">
        <v>2715</v>
      </c>
      <c r="C5764" s="999"/>
      <c r="G5764" s="983" t="s">
        <v>1106</v>
      </c>
    </row>
    <row r="5765" spans="1:9" x14ac:dyDescent="0.2">
      <c r="A5765" s="997">
        <f t="shared" si="90"/>
        <v>5764</v>
      </c>
      <c r="B5765" s="983" t="s">
        <v>2715</v>
      </c>
      <c r="C5765" s="1000"/>
      <c r="H5765" s="983" t="s">
        <v>1107</v>
      </c>
    </row>
    <row r="5766" spans="1:9" x14ac:dyDescent="0.2">
      <c r="A5766" s="997">
        <f t="shared" si="90"/>
        <v>5765</v>
      </c>
      <c r="B5766" s="983" t="s">
        <v>2715</v>
      </c>
      <c r="C5766" s="1001"/>
      <c r="I5766" s="983" t="s">
        <v>2034</v>
      </c>
    </row>
    <row r="5767" spans="1:9" x14ac:dyDescent="0.2">
      <c r="A5767" s="997">
        <f t="shared" si="90"/>
        <v>5766</v>
      </c>
      <c r="B5767" s="983" t="s">
        <v>2715</v>
      </c>
      <c r="C5767" s="1000"/>
      <c r="H5767" s="983" t="s">
        <v>1108</v>
      </c>
    </row>
    <row r="5768" spans="1:9" x14ac:dyDescent="0.2">
      <c r="A5768" s="997">
        <f t="shared" si="90"/>
        <v>5767</v>
      </c>
      <c r="B5768" s="983" t="s">
        <v>2715</v>
      </c>
      <c r="C5768" s="1000"/>
      <c r="H5768" s="983" t="str">
        <f>CONCATENATE("&lt;valeur&gt;",Cellule_2008,"&lt;/valeur&gt;")</f>
        <v>&lt;valeur&gt;0&lt;/valeur&gt;</v>
      </c>
    </row>
    <row r="5769" spans="1:9" x14ac:dyDescent="0.2">
      <c r="A5769" s="997">
        <f t="shared" si="90"/>
        <v>5768</v>
      </c>
      <c r="B5769" s="983" t="s">
        <v>2715</v>
      </c>
      <c r="C5769" s="999"/>
      <c r="G5769" s="983" t="s">
        <v>1109</v>
      </c>
    </row>
    <row r="5770" spans="1:9" x14ac:dyDescent="0.2">
      <c r="A5770" s="997">
        <f t="shared" si="90"/>
        <v>5769</v>
      </c>
      <c r="B5770" s="983" t="s">
        <v>2715</v>
      </c>
      <c r="C5770" s="999"/>
      <c r="G5770" s="983" t="s">
        <v>1106</v>
      </c>
    </row>
    <row r="5771" spans="1:9" x14ac:dyDescent="0.2">
      <c r="A5771" s="997">
        <f t="shared" si="90"/>
        <v>5770</v>
      </c>
      <c r="B5771" s="983" t="s">
        <v>2715</v>
      </c>
      <c r="C5771" s="1000"/>
      <c r="H5771" s="983" t="s">
        <v>1107</v>
      </c>
    </row>
    <row r="5772" spans="1:9" x14ac:dyDescent="0.2">
      <c r="A5772" s="997">
        <f t="shared" si="90"/>
        <v>5771</v>
      </c>
      <c r="B5772" s="983" t="s">
        <v>2715</v>
      </c>
      <c r="C5772" s="1001"/>
      <c r="I5772" s="983" t="s">
        <v>2035</v>
      </c>
    </row>
    <row r="5773" spans="1:9" x14ac:dyDescent="0.2">
      <c r="A5773" s="997">
        <f t="shared" si="90"/>
        <v>5772</v>
      </c>
      <c r="B5773" s="983" t="s">
        <v>2715</v>
      </c>
      <c r="C5773" s="1000"/>
      <c r="H5773" s="983" t="s">
        <v>1108</v>
      </c>
    </row>
    <row r="5774" spans="1:9" x14ac:dyDescent="0.2">
      <c r="A5774" s="997">
        <f t="shared" si="90"/>
        <v>5773</v>
      </c>
      <c r="B5774" s="983" t="s">
        <v>2715</v>
      </c>
      <c r="C5774" s="1000"/>
      <c r="H5774" s="983" t="str">
        <f>CONCATENATE("&lt;valeur&gt;",Cellule_2009,"&lt;/valeur&gt;")</f>
        <v>&lt;valeur&gt;0&lt;/valeur&gt;</v>
      </c>
    </row>
    <row r="5775" spans="1:9" x14ac:dyDescent="0.2">
      <c r="A5775" s="997">
        <f t="shared" si="90"/>
        <v>5774</v>
      </c>
      <c r="B5775" s="983" t="s">
        <v>2715</v>
      </c>
      <c r="C5775" s="999"/>
      <c r="G5775" s="983" t="s">
        <v>1109</v>
      </c>
    </row>
    <row r="5776" spans="1:9" x14ac:dyDescent="0.2">
      <c r="A5776" s="997">
        <f t="shared" si="90"/>
        <v>5775</v>
      </c>
      <c r="B5776" s="983" t="s">
        <v>2715</v>
      </c>
      <c r="C5776" s="999"/>
      <c r="G5776" s="983" t="s">
        <v>1106</v>
      </c>
    </row>
    <row r="5777" spans="1:9" x14ac:dyDescent="0.2">
      <c r="A5777" s="997">
        <f t="shared" si="90"/>
        <v>5776</v>
      </c>
      <c r="B5777" s="983" t="s">
        <v>2715</v>
      </c>
      <c r="C5777" s="1000"/>
      <c r="H5777" s="983" t="s">
        <v>1107</v>
      </c>
    </row>
    <row r="5778" spans="1:9" x14ac:dyDescent="0.2">
      <c r="A5778" s="997">
        <f t="shared" si="90"/>
        <v>5777</v>
      </c>
      <c r="B5778" s="983" t="s">
        <v>2715</v>
      </c>
      <c r="C5778" s="1001"/>
      <c r="I5778" s="983" t="s">
        <v>2036</v>
      </c>
    </row>
    <row r="5779" spans="1:9" x14ac:dyDescent="0.2">
      <c r="A5779" s="997">
        <f t="shared" si="90"/>
        <v>5778</v>
      </c>
      <c r="B5779" s="983" t="s">
        <v>2715</v>
      </c>
      <c r="C5779" s="1000"/>
      <c r="H5779" s="983" t="s">
        <v>1108</v>
      </c>
    </row>
    <row r="5780" spans="1:9" x14ac:dyDescent="0.2">
      <c r="A5780" s="997">
        <f t="shared" si="90"/>
        <v>5779</v>
      </c>
      <c r="B5780" s="983" t="s">
        <v>2715</v>
      </c>
      <c r="C5780" s="1000"/>
      <c r="H5780" s="983" t="str">
        <f>CONCATENATE("&lt;valeur&gt;",Cellule_2010,"&lt;/valeur&gt;")</f>
        <v>&lt;valeur&gt;0&lt;/valeur&gt;</v>
      </c>
    </row>
    <row r="5781" spans="1:9" x14ac:dyDescent="0.2">
      <c r="A5781" s="997">
        <f t="shared" si="90"/>
        <v>5780</v>
      </c>
      <c r="B5781" s="983" t="s">
        <v>2715</v>
      </c>
      <c r="C5781" s="999"/>
      <c r="G5781" s="983" t="s">
        <v>1109</v>
      </c>
    </row>
    <row r="5782" spans="1:9" x14ac:dyDescent="0.2">
      <c r="A5782" s="997">
        <f t="shared" si="90"/>
        <v>5781</v>
      </c>
      <c r="B5782" s="983" t="s">
        <v>2715</v>
      </c>
      <c r="C5782" s="999"/>
      <c r="G5782" s="983" t="s">
        <v>1106</v>
      </c>
    </row>
    <row r="5783" spans="1:9" x14ac:dyDescent="0.2">
      <c r="A5783" s="997">
        <f t="shared" si="90"/>
        <v>5782</v>
      </c>
      <c r="B5783" s="983" t="s">
        <v>2715</v>
      </c>
      <c r="C5783" s="1000"/>
      <c r="H5783" s="983" t="s">
        <v>1107</v>
      </c>
    </row>
    <row r="5784" spans="1:9" x14ac:dyDescent="0.2">
      <c r="A5784" s="997">
        <f t="shared" si="90"/>
        <v>5783</v>
      </c>
      <c r="B5784" s="983" t="s">
        <v>2715</v>
      </c>
      <c r="C5784" s="1001"/>
      <c r="I5784" s="983" t="s">
        <v>2037</v>
      </c>
    </row>
    <row r="5785" spans="1:9" x14ac:dyDescent="0.2">
      <c r="A5785" s="997">
        <f t="shared" si="90"/>
        <v>5784</v>
      </c>
      <c r="B5785" s="983" t="s">
        <v>2715</v>
      </c>
      <c r="C5785" s="1000"/>
      <c r="H5785" s="983" t="s">
        <v>1108</v>
      </c>
    </row>
    <row r="5786" spans="1:9" x14ac:dyDescent="0.2">
      <c r="A5786" s="997">
        <f t="shared" si="90"/>
        <v>5785</v>
      </c>
      <c r="B5786" s="983" t="s">
        <v>2715</v>
      </c>
      <c r="C5786" s="1000"/>
      <c r="H5786" s="983" t="str">
        <f>CONCATENATE("&lt;valeur&gt;",Cellule_2011,"&lt;/valeur&gt;")</f>
        <v>&lt;valeur&gt;&lt;/valeur&gt;</v>
      </c>
    </row>
    <row r="5787" spans="1:9" x14ac:dyDescent="0.2">
      <c r="A5787" s="997">
        <f t="shared" si="90"/>
        <v>5786</v>
      </c>
      <c r="B5787" s="983" t="s">
        <v>2715</v>
      </c>
      <c r="C5787" s="999"/>
      <c r="G5787" s="983" t="s">
        <v>1109</v>
      </c>
    </row>
    <row r="5788" spans="1:9" x14ac:dyDescent="0.2">
      <c r="A5788" s="997">
        <f t="shared" si="90"/>
        <v>5787</v>
      </c>
      <c r="B5788" s="983" t="s">
        <v>2715</v>
      </c>
      <c r="C5788" s="999"/>
      <c r="G5788" s="983" t="s">
        <v>1106</v>
      </c>
    </row>
    <row r="5789" spans="1:9" x14ac:dyDescent="0.2">
      <c r="A5789" s="997">
        <f t="shared" si="90"/>
        <v>5788</v>
      </c>
      <c r="B5789" s="983" t="s">
        <v>2715</v>
      </c>
      <c r="C5789" s="1000"/>
      <c r="H5789" s="983" t="s">
        <v>1107</v>
      </c>
    </row>
    <row r="5790" spans="1:9" x14ac:dyDescent="0.2">
      <c r="A5790" s="997">
        <f t="shared" si="90"/>
        <v>5789</v>
      </c>
      <c r="B5790" s="983" t="s">
        <v>2715</v>
      </c>
      <c r="C5790" s="1001"/>
      <c r="I5790" s="983" t="s">
        <v>2038</v>
      </c>
    </row>
    <row r="5791" spans="1:9" x14ac:dyDescent="0.2">
      <c r="A5791" s="997">
        <f t="shared" si="90"/>
        <v>5790</v>
      </c>
      <c r="B5791" s="983" t="s">
        <v>2715</v>
      </c>
      <c r="C5791" s="1000"/>
      <c r="H5791" s="983" t="s">
        <v>1108</v>
      </c>
    </row>
    <row r="5792" spans="1:9" x14ac:dyDescent="0.2">
      <c r="A5792" s="997">
        <f t="shared" si="90"/>
        <v>5791</v>
      </c>
      <c r="B5792" s="983" t="s">
        <v>2715</v>
      </c>
      <c r="C5792" s="1000"/>
      <c r="H5792" s="983" t="str">
        <f>CONCATENATE("&lt;valeur&gt;",Cellule_2012,"&lt;/valeur&gt;")</f>
        <v>&lt;valeur&gt;0&lt;/valeur&gt;</v>
      </c>
    </row>
    <row r="5793" spans="1:9" x14ac:dyDescent="0.2">
      <c r="A5793" s="997">
        <f t="shared" si="90"/>
        <v>5792</v>
      </c>
      <c r="B5793" s="983" t="s">
        <v>2715</v>
      </c>
      <c r="C5793" s="999"/>
      <c r="G5793" s="983" t="s">
        <v>1109</v>
      </c>
    </row>
    <row r="5794" spans="1:9" x14ac:dyDescent="0.2">
      <c r="A5794" s="997">
        <f t="shared" si="90"/>
        <v>5793</v>
      </c>
      <c r="B5794" s="983" t="s">
        <v>2715</v>
      </c>
      <c r="C5794" s="999"/>
      <c r="G5794" s="983" t="s">
        <v>1106</v>
      </c>
    </row>
    <row r="5795" spans="1:9" x14ac:dyDescent="0.2">
      <c r="A5795" s="997">
        <f t="shared" si="90"/>
        <v>5794</v>
      </c>
      <c r="B5795" s="983" t="s">
        <v>2715</v>
      </c>
      <c r="C5795" s="1000"/>
      <c r="H5795" s="983" t="s">
        <v>1107</v>
      </c>
    </row>
    <row r="5796" spans="1:9" x14ac:dyDescent="0.2">
      <c r="A5796" s="997">
        <f t="shared" si="90"/>
        <v>5795</v>
      </c>
      <c r="B5796" s="983" t="s">
        <v>2715</v>
      </c>
      <c r="C5796" s="1001"/>
      <c r="I5796" s="983" t="s">
        <v>2039</v>
      </c>
    </row>
    <row r="5797" spans="1:9" x14ac:dyDescent="0.2">
      <c r="A5797" s="997">
        <f t="shared" si="90"/>
        <v>5796</v>
      </c>
      <c r="B5797" s="983" t="s">
        <v>2715</v>
      </c>
      <c r="C5797" s="1000"/>
      <c r="H5797" s="983" t="s">
        <v>1108</v>
      </c>
    </row>
    <row r="5798" spans="1:9" x14ac:dyDescent="0.2">
      <c r="A5798" s="997">
        <f t="shared" si="90"/>
        <v>5797</v>
      </c>
      <c r="B5798" s="983" t="s">
        <v>2715</v>
      </c>
      <c r="C5798" s="1000"/>
      <c r="H5798" s="983" t="str">
        <f>CONCATENATE("&lt;valeur&gt;",Cellule_2013,"&lt;/valeur&gt;")</f>
        <v>&lt;valeur&gt;0&lt;/valeur&gt;</v>
      </c>
    </row>
    <row r="5799" spans="1:9" x14ac:dyDescent="0.2">
      <c r="A5799" s="997">
        <f t="shared" si="90"/>
        <v>5798</v>
      </c>
      <c r="B5799" s="983" t="s">
        <v>2715</v>
      </c>
      <c r="C5799" s="999"/>
      <c r="G5799" s="983" t="s">
        <v>1109</v>
      </c>
    </row>
    <row r="5800" spans="1:9" x14ac:dyDescent="0.2">
      <c r="A5800" s="997">
        <f t="shared" si="90"/>
        <v>5799</v>
      </c>
      <c r="B5800" s="983" t="s">
        <v>2715</v>
      </c>
      <c r="C5800" s="999"/>
      <c r="G5800" s="983" t="s">
        <v>1106</v>
      </c>
    </row>
    <row r="5801" spans="1:9" x14ac:dyDescent="0.2">
      <c r="A5801" s="997">
        <f t="shared" si="90"/>
        <v>5800</v>
      </c>
      <c r="B5801" s="983" t="s">
        <v>2715</v>
      </c>
      <c r="C5801" s="1000"/>
      <c r="H5801" s="983" t="s">
        <v>1107</v>
      </c>
    </row>
    <row r="5802" spans="1:9" x14ac:dyDescent="0.2">
      <c r="A5802" s="997">
        <f t="shared" si="90"/>
        <v>5801</v>
      </c>
      <c r="B5802" s="983" t="s">
        <v>2715</v>
      </c>
      <c r="C5802" s="1001"/>
      <c r="I5802" s="983" t="s">
        <v>2040</v>
      </c>
    </row>
    <row r="5803" spans="1:9" x14ac:dyDescent="0.2">
      <c r="A5803" s="997">
        <f t="shared" si="90"/>
        <v>5802</v>
      </c>
      <c r="B5803" s="983" t="s">
        <v>2715</v>
      </c>
      <c r="C5803" s="1000"/>
      <c r="H5803" s="983" t="s">
        <v>1108</v>
      </c>
    </row>
    <row r="5804" spans="1:9" x14ac:dyDescent="0.2">
      <c r="A5804" s="997">
        <f t="shared" si="90"/>
        <v>5803</v>
      </c>
      <c r="B5804" s="983" t="s">
        <v>2715</v>
      </c>
      <c r="C5804" s="1000"/>
      <c r="H5804" s="983" t="str">
        <f>CONCATENATE("&lt;valeur&gt;",Cellule_2014,"&lt;/valeur&gt;")</f>
        <v>&lt;valeur&gt;0&lt;/valeur&gt;</v>
      </c>
    </row>
    <row r="5805" spans="1:9" x14ac:dyDescent="0.2">
      <c r="A5805" s="997">
        <f t="shared" si="90"/>
        <v>5804</v>
      </c>
      <c r="B5805" s="983" t="s">
        <v>2715</v>
      </c>
      <c r="C5805" s="999"/>
      <c r="G5805" s="983" t="s">
        <v>1109</v>
      </c>
    </row>
    <row r="5806" spans="1:9" x14ac:dyDescent="0.2">
      <c r="A5806" s="997">
        <f t="shared" si="90"/>
        <v>5805</v>
      </c>
      <c r="B5806" s="983" t="s">
        <v>2715</v>
      </c>
      <c r="C5806" s="999"/>
      <c r="G5806" s="983" t="s">
        <v>1106</v>
      </c>
    </row>
    <row r="5807" spans="1:9" x14ac:dyDescent="0.2">
      <c r="A5807" s="997">
        <f t="shared" si="90"/>
        <v>5806</v>
      </c>
      <c r="B5807" s="983" t="s">
        <v>2715</v>
      </c>
      <c r="C5807" s="1000"/>
      <c r="H5807" s="983" t="s">
        <v>1107</v>
      </c>
    </row>
    <row r="5808" spans="1:9" x14ac:dyDescent="0.2">
      <c r="A5808" s="997">
        <f t="shared" si="90"/>
        <v>5807</v>
      </c>
      <c r="B5808" s="983" t="s">
        <v>2715</v>
      </c>
      <c r="C5808" s="1001"/>
      <c r="I5808" s="983" t="s">
        <v>2041</v>
      </c>
    </row>
    <row r="5809" spans="1:9" x14ac:dyDescent="0.2">
      <c r="A5809" s="997">
        <f t="shared" si="90"/>
        <v>5808</v>
      </c>
      <c r="B5809" s="983" t="s">
        <v>2715</v>
      </c>
      <c r="C5809" s="1000"/>
      <c r="H5809" s="983" t="s">
        <v>1108</v>
      </c>
    </row>
    <row r="5810" spans="1:9" x14ac:dyDescent="0.2">
      <c r="A5810" s="997">
        <f t="shared" si="90"/>
        <v>5809</v>
      </c>
      <c r="B5810" s="983" t="s">
        <v>2715</v>
      </c>
      <c r="C5810" s="1000"/>
      <c r="H5810" s="983" t="str">
        <f>CONCATENATE("&lt;valeur&gt;",Cellule_2022,"&lt;/valeur&gt;")</f>
        <v>&lt;valeur&gt;&lt;/valeur&gt;</v>
      </c>
    </row>
    <row r="5811" spans="1:9" x14ac:dyDescent="0.2">
      <c r="A5811" s="997">
        <f t="shared" si="90"/>
        <v>5810</v>
      </c>
      <c r="B5811" s="983" t="s">
        <v>2715</v>
      </c>
      <c r="C5811" s="999"/>
      <c r="G5811" s="983" t="s">
        <v>1109</v>
      </c>
    </row>
    <row r="5812" spans="1:9" x14ac:dyDescent="0.2">
      <c r="A5812" s="997">
        <f t="shared" si="90"/>
        <v>5811</v>
      </c>
      <c r="B5812" s="983" t="s">
        <v>2715</v>
      </c>
      <c r="C5812" s="999"/>
      <c r="G5812" s="983" t="s">
        <v>1106</v>
      </c>
    </row>
    <row r="5813" spans="1:9" x14ac:dyDescent="0.2">
      <c r="A5813" s="997">
        <f t="shared" si="90"/>
        <v>5812</v>
      </c>
      <c r="B5813" s="983" t="s">
        <v>2715</v>
      </c>
      <c r="C5813" s="1000"/>
      <c r="H5813" s="983" t="s">
        <v>1107</v>
      </c>
    </row>
    <row r="5814" spans="1:9" x14ac:dyDescent="0.2">
      <c r="A5814" s="997">
        <f t="shared" si="90"/>
        <v>5813</v>
      </c>
      <c r="B5814" s="983" t="s">
        <v>2715</v>
      </c>
      <c r="C5814" s="1001"/>
      <c r="I5814" s="983" t="s">
        <v>2042</v>
      </c>
    </row>
    <row r="5815" spans="1:9" x14ac:dyDescent="0.2">
      <c r="A5815" s="997">
        <f t="shared" si="90"/>
        <v>5814</v>
      </c>
      <c r="B5815" s="983" t="s">
        <v>2715</v>
      </c>
      <c r="C5815" s="1000"/>
      <c r="H5815" s="983" t="s">
        <v>1108</v>
      </c>
    </row>
    <row r="5816" spans="1:9" x14ac:dyDescent="0.2">
      <c r="A5816" s="997">
        <f t="shared" si="90"/>
        <v>5815</v>
      </c>
      <c r="B5816" s="983" t="s">
        <v>2715</v>
      </c>
      <c r="C5816" s="1000"/>
      <c r="H5816" s="983" t="str">
        <f>CONCATENATE("&lt;valeur&gt;",Cellule_2024,"&lt;/valeur&gt;")</f>
        <v>&lt;valeur&gt;0&lt;/valeur&gt;</v>
      </c>
    </row>
    <row r="5817" spans="1:9" x14ac:dyDescent="0.2">
      <c r="A5817" s="997">
        <f t="shared" si="90"/>
        <v>5816</v>
      </c>
      <c r="B5817" s="983" t="s">
        <v>2715</v>
      </c>
      <c r="C5817" s="999"/>
      <c r="G5817" s="983" t="s">
        <v>1109</v>
      </c>
    </row>
    <row r="5818" spans="1:9" x14ac:dyDescent="0.2">
      <c r="A5818" s="997">
        <f t="shared" si="90"/>
        <v>5817</v>
      </c>
      <c r="B5818" s="983" t="s">
        <v>2715</v>
      </c>
      <c r="C5818" s="999"/>
      <c r="G5818" s="983" t="s">
        <v>1106</v>
      </c>
    </row>
    <row r="5819" spans="1:9" x14ac:dyDescent="0.2">
      <c r="A5819" s="997">
        <f t="shared" si="90"/>
        <v>5818</v>
      </c>
      <c r="B5819" s="983" t="s">
        <v>2715</v>
      </c>
      <c r="C5819" s="1000"/>
      <c r="H5819" s="983" t="s">
        <v>1107</v>
      </c>
    </row>
    <row r="5820" spans="1:9" x14ac:dyDescent="0.2">
      <c r="A5820" s="997">
        <f t="shared" si="90"/>
        <v>5819</v>
      </c>
      <c r="B5820" s="983" t="s">
        <v>2715</v>
      </c>
      <c r="C5820" s="1001"/>
      <c r="I5820" s="983" t="s">
        <v>2043</v>
      </c>
    </row>
    <row r="5821" spans="1:9" x14ac:dyDescent="0.2">
      <c r="A5821" s="997">
        <f t="shared" si="90"/>
        <v>5820</v>
      </c>
      <c r="B5821" s="983" t="s">
        <v>2715</v>
      </c>
      <c r="C5821" s="1000"/>
      <c r="H5821" s="983" t="s">
        <v>1108</v>
      </c>
    </row>
    <row r="5822" spans="1:9" x14ac:dyDescent="0.2">
      <c r="A5822" s="997">
        <f t="shared" si="90"/>
        <v>5821</v>
      </c>
      <c r="B5822" s="983" t="s">
        <v>2715</v>
      </c>
      <c r="C5822" s="1000"/>
      <c r="H5822" s="983" t="str">
        <f>CONCATENATE("&lt;valeur&gt;",Cellule_2025,"&lt;/valeur&gt;")</f>
        <v>&lt;valeur&gt;0&lt;/valeur&gt;</v>
      </c>
    </row>
    <row r="5823" spans="1:9" x14ac:dyDescent="0.2">
      <c r="A5823" s="997">
        <f t="shared" si="90"/>
        <v>5822</v>
      </c>
      <c r="B5823" s="983" t="s">
        <v>2715</v>
      </c>
      <c r="C5823" s="999"/>
      <c r="G5823" s="983" t="s">
        <v>1109</v>
      </c>
    </row>
    <row r="5824" spans="1:9" x14ac:dyDescent="0.2">
      <c r="A5824" s="997">
        <f t="shared" si="90"/>
        <v>5823</v>
      </c>
      <c r="B5824" s="983" t="s">
        <v>2715</v>
      </c>
      <c r="C5824" s="999"/>
      <c r="G5824" s="983" t="s">
        <v>1106</v>
      </c>
    </row>
    <row r="5825" spans="1:9" x14ac:dyDescent="0.2">
      <c r="A5825" s="997">
        <f t="shared" si="90"/>
        <v>5824</v>
      </c>
      <c r="B5825" s="983" t="s">
        <v>2715</v>
      </c>
      <c r="C5825" s="1000"/>
      <c r="H5825" s="983" t="s">
        <v>1107</v>
      </c>
    </row>
    <row r="5826" spans="1:9" x14ac:dyDescent="0.2">
      <c r="A5826" s="997">
        <f t="shared" si="90"/>
        <v>5825</v>
      </c>
      <c r="B5826" s="983" t="s">
        <v>2715</v>
      </c>
      <c r="C5826" s="1001"/>
      <c r="I5826" s="983" t="s">
        <v>2044</v>
      </c>
    </row>
    <row r="5827" spans="1:9" x14ac:dyDescent="0.2">
      <c r="A5827" s="997">
        <f t="shared" si="90"/>
        <v>5826</v>
      </c>
      <c r="B5827" s="983" t="s">
        <v>2715</v>
      </c>
      <c r="C5827" s="1000"/>
      <c r="H5827" s="983" t="s">
        <v>1108</v>
      </c>
    </row>
    <row r="5828" spans="1:9" x14ac:dyDescent="0.2">
      <c r="A5828" s="997">
        <f t="shared" ref="A5828:A5891" si="91">+A5827+1</f>
        <v>5827</v>
      </c>
      <c r="B5828" s="983" t="s">
        <v>2715</v>
      </c>
      <c r="C5828" s="1000"/>
      <c r="H5828" s="983" t="str">
        <f>CONCATENATE("&lt;valeur&gt;",Cellule_2026,"&lt;/valeur&gt;")</f>
        <v>&lt;valeur&gt;0&lt;/valeur&gt;</v>
      </c>
    </row>
    <row r="5829" spans="1:9" x14ac:dyDescent="0.2">
      <c r="A5829" s="997">
        <f t="shared" si="91"/>
        <v>5828</v>
      </c>
      <c r="B5829" s="983" t="s">
        <v>2715</v>
      </c>
      <c r="C5829" s="999"/>
      <c r="G5829" s="983" t="s">
        <v>1109</v>
      </c>
    </row>
    <row r="5830" spans="1:9" x14ac:dyDescent="0.2">
      <c r="A5830" s="997">
        <f t="shared" si="91"/>
        <v>5829</v>
      </c>
      <c r="B5830" s="983" t="s">
        <v>2715</v>
      </c>
      <c r="C5830" s="999"/>
      <c r="G5830" s="983" t="s">
        <v>1106</v>
      </c>
    </row>
    <row r="5831" spans="1:9" x14ac:dyDescent="0.2">
      <c r="A5831" s="997">
        <f t="shared" si="91"/>
        <v>5830</v>
      </c>
      <c r="B5831" s="983" t="s">
        <v>2715</v>
      </c>
      <c r="C5831" s="1000"/>
      <c r="H5831" s="983" t="s">
        <v>1107</v>
      </c>
    </row>
    <row r="5832" spans="1:9" x14ac:dyDescent="0.2">
      <c r="A5832" s="997">
        <f t="shared" si="91"/>
        <v>5831</v>
      </c>
      <c r="B5832" s="983" t="s">
        <v>2715</v>
      </c>
      <c r="C5832" s="1001"/>
      <c r="I5832" s="983" t="s">
        <v>2045</v>
      </c>
    </row>
    <row r="5833" spans="1:9" x14ac:dyDescent="0.2">
      <c r="A5833" s="997">
        <f t="shared" si="91"/>
        <v>5832</v>
      </c>
      <c r="B5833" s="983" t="s">
        <v>2715</v>
      </c>
      <c r="C5833" s="1000"/>
      <c r="H5833" s="983" t="s">
        <v>1108</v>
      </c>
    </row>
    <row r="5834" spans="1:9" x14ac:dyDescent="0.2">
      <c r="A5834" s="997">
        <f t="shared" si="91"/>
        <v>5833</v>
      </c>
      <c r="B5834" s="983" t="s">
        <v>2715</v>
      </c>
      <c r="C5834" s="1000"/>
      <c r="H5834" s="983" t="str">
        <f>CONCATENATE("&lt;valeur&gt;",Cellule_2027,"&lt;/valeur&gt;")</f>
        <v>&lt;valeur&gt;0&lt;/valeur&gt;</v>
      </c>
    </row>
    <row r="5835" spans="1:9" x14ac:dyDescent="0.2">
      <c r="A5835" s="997">
        <f t="shared" si="91"/>
        <v>5834</v>
      </c>
      <c r="B5835" s="983" t="s">
        <v>2715</v>
      </c>
      <c r="C5835" s="999"/>
      <c r="G5835" s="983" t="s">
        <v>1109</v>
      </c>
    </row>
    <row r="5836" spans="1:9" x14ac:dyDescent="0.2">
      <c r="A5836" s="997">
        <f t="shared" si="91"/>
        <v>5835</v>
      </c>
      <c r="B5836" s="983" t="s">
        <v>2715</v>
      </c>
      <c r="C5836" s="999"/>
      <c r="G5836" s="983" t="s">
        <v>1106</v>
      </c>
    </row>
    <row r="5837" spans="1:9" x14ac:dyDescent="0.2">
      <c r="A5837" s="997">
        <f t="shared" si="91"/>
        <v>5836</v>
      </c>
      <c r="B5837" s="983" t="s">
        <v>2715</v>
      </c>
      <c r="C5837" s="1000"/>
      <c r="H5837" s="983" t="s">
        <v>1107</v>
      </c>
    </row>
    <row r="5838" spans="1:9" x14ac:dyDescent="0.2">
      <c r="A5838" s="997">
        <f t="shared" si="91"/>
        <v>5837</v>
      </c>
      <c r="B5838" s="983" t="s">
        <v>2715</v>
      </c>
      <c r="C5838" s="1001"/>
      <c r="I5838" s="983" t="s">
        <v>2046</v>
      </c>
    </row>
    <row r="5839" spans="1:9" x14ac:dyDescent="0.2">
      <c r="A5839" s="997">
        <f t="shared" si="91"/>
        <v>5838</v>
      </c>
      <c r="B5839" s="983" t="s">
        <v>2715</v>
      </c>
      <c r="C5839" s="1000"/>
      <c r="H5839" s="983" t="s">
        <v>1108</v>
      </c>
    </row>
    <row r="5840" spans="1:9" x14ac:dyDescent="0.2">
      <c r="A5840" s="997">
        <f t="shared" si="91"/>
        <v>5839</v>
      </c>
      <c r="B5840" s="983" t="s">
        <v>2715</v>
      </c>
      <c r="C5840" s="1000"/>
      <c r="H5840" s="983" t="str">
        <f>CONCATENATE("&lt;valeur&gt;",Cellule_2028,"&lt;/valeur&gt;")</f>
        <v>&lt;valeur&gt;0&lt;/valeur&gt;</v>
      </c>
    </row>
    <row r="5841" spans="1:9" x14ac:dyDescent="0.2">
      <c r="A5841" s="997">
        <f t="shared" si="91"/>
        <v>5840</v>
      </c>
      <c r="B5841" s="983" t="s">
        <v>2715</v>
      </c>
      <c r="C5841" s="999"/>
      <c r="G5841" s="983" t="s">
        <v>1109</v>
      </c>
    </row>
    <row r="5842" spans="1:9" x14ac:dyDescent="0.2">
      <c r="A5842" s="997">
        <f t="shared" si="91"/>
        <v>5841</v>
      </c>
      <c r="B5842" s="983" t="s">
        <v>2715</v>
      </c>
      <c r="C5842" s="999"/>
      <c r="G5842" s="983" t="s">
        <v>1106</v>
      </c>
    </row>
    <row r="5843" spans="1:9" x14ac:dyDescent="0.2">
      <c r="A5843" s="997">
        <f t="shared" si="91"/>
        <v>5842</v>
      </c>
      <c r="B5843" s="983" t="s">
        <v>2715</v>
      </c>
      <c r="C5843" s="1000"/>
      <c r="H5843" s="983" t="s">
        <v>1107</v>
      </c>
    </row>
    <row r="5844" spans="1:9" x14ac:dyDescent="0.2">
      <c r="A5844" s="997">
        <f t="shared" si="91"/>
        <v>5843</v>
      </c>
      <c r="B5844" s="983" t="s">
        <v>2715</v>
      </c>
      <c r="C5844" s="1001"/>
      <c r="I5844" s="983" t="s">
        <v>2047</v>
      </c>
    </row>
    <row r="5845" spans="1:9" x14ac:dyDescent="0.2">
      <c r="A5845" s="997">
        <f t="shared" si="91"/>
        <v>5844</v>
      </c>
      <c r="B5845" s="983" t="s">
        <v>2715</v>
      </c>
      <c r="C5845" s="1000"/>
      <c r="H5845" s="983" t="s">
        <v>1108</v>
      </c>
    </row>
    <row r="5846" spans="1:9" x14ac:dyDescent="0.2">
      <c r="A5846" s="997">
        <f t="shared" si="91"/>
        <v>5845</v>
      </c>
      <c r="B5846" s="983" t="s">
        <v>2715</v>
      </c>
      <c r="C5846" s="1000"/>
      <c r="H5846" s="983" t="str">
        <f>CONCATENATE("&lt;valeur&gt;",Cellule_2029,"&lt;/valeur&gt;")</f>
        <v>&lt;valeur&gt;&lt;/valeur&gt;</v>
      </c>
    </row>
    <row r="5847" spans="1:9" x14ac:dyDescent="0.2">
      <c r="A5847" s="997">
        <f t="shared" si="91"/>
        <v>5846</v>
      </c>
      <c r="B5847" s="983" t="s">
        <v>2715</v>
      </c>
      <c r="C5847" s="999"/>
      <c r="G5847" s="983" t="s">
        <v>1109</v>
      </c>
    </row>
    <row r="5848" spans="1:9" x14ac:dyDescent="0.2">
      <c r="A5848" s="997">
        <f t="shared" si="91"/>
        <v>5847</v>
      </c>
      <c r="B5848" s="983" t="s">
        <v>2715</v>
      </c>
      <c r="C5848" s="999"/>
      <c r="G5848" s="983" t="s">
        <v>1106</v>
      </c>
    </row>
    <row r="5849" spans="1:9" x14ac:dyDescent="0.2">
      <c r="A5849" s="997">
        <f t="shared" si="91"/>
        <v>5848</v>
      </c>
      <c r="B5849" s="983" t="s">
        <v>2715</v>
      </c>
      <c r="C5849" s="1000"/>
      <c r="H5849" s="983" t="s">
        <v>1107</v>
      </c>
    </row>
    <row r="5850" spans="1:9" x14ac:dyDescent="0.2">
      <c r="A5850" s="997">
        <f t="shared" si="91"/>
        <v>5849</v>
      </c>
      <c r="B5850" s="983" t="s">
        <v>2715</v>
      </c>
      <c r="C5850" s="1001"/>
      <c r="I5850" s="983" t="s">
        <v>2048</v>
      </c>
    </row>
    <row r="5851" spans="1:9" x14ac:dyDescent="0.2">
      <c r="A5851" s="997">
        <f t="shared" si="91"/>
        <v>5850</v>
      </c>
      <c r="B5851" s="983" t="s">
        <v>2715</v>
      </c>
      <c r="C5851" s="1000"/>
      <c r="H5851" s="983" t="s">
        <v>1108</v>
      </c>
    </row>
    <row r="5852" spans="1:9" x14ac:dyDescent="0.2">
      <c r="A5852" s="997">
        <f t="shared" si="91"/>
        <v>5851</v>
      </c>
      <c r="B5852" s="983" t="s">
        <v>2715</v>
      </c>
      <c r="C5852" s="1000"/>
      <c r="H5852" s="983" t="str">
        <f>CONCATENATE("&lt;valeur&gt;",Cellule_2031,"&lt;/valeur&gt;")</f>
        <v>&lt;valeur&gt;0&lt;/valeur&gt;</v>
      </c>
    </row>
    <row r="5853" spans="1:9" x14ac:dyDescent="0.2">
      <c r="A5853" s="997">
        <f t="shared" si="91"/>
        <v>5852</v>
      </c>
      <c r="B5853" s="983" t="s">
        <v>2715</v>
      </c>
      <c r="C5853" s="999"/>
      <c r="G5853" s="983" t="s">
        <v>1109</v>
      </c>
    </row>
    <row r="5854" spans="1:9" x14ac:dyDescent="0.2">
      <c r="A5854" s="997">
        <f t="shared" si="91"/>
        <v>5853</v>
      </c>
      <c r="B5854" s="983" t="s">
        <v>2715</v>
      </c>
      <c r="C5854" s="999"/>
      <c r="G5854" s="983" t="s">
        <v>1106</v>
      </c>
    </row>
    <row r="5855" spans="1:9" x14ac:dyDescent="0.2">
      <c r="A5855" s="997">
        <f t="shared" si="91"/>
        <v>5854</v>
      </c>
      <c r="B5855" s="983" t="s">
        <v>2715</v>
      </c>
      <c r="C5855" s="1000"/>
      <c r="H5855" s="983" t="s">
        <v>1107</v>
      </c>
    </row>
    <row r="5856" spans="1:9" x14ac:dyDescent="0.2">
      <c r="A5856" s="997">
        <f t="shared" si="91"/>
        <v>5855</v>
      </c>
      <c r="B5856" s="983" t="s">
        <v>2715</v>
      </c>
      <c r="C5856" s="1001"/>
      <c r="I5856" s="983" t="s">
        <v>2049</v>
      </c>
    </row>
    <row r="5857" spans="1:9" x14ac:dyDescent="0.2">
      <c r="A5857" s="997">
        <f t="shared" si="91"/>
        <v>5856</v>
      </c>
      <c r="B5857" s="983" t="s">
        <v>2715</v>
      </c>
      <c r="C5857" s="1000"/>
      <c r="H5857" s="983" t="s">
        <v>1108</v>
      </c>
    </row>
    <row r="5858" spans="1:9" x14ac:dyDescent="0.2">
      <c r="A5858" s="997">
        <f t="shared" si="91"/>
        <v>5857</v>
      </c>
      <c r="B5858" s="983" t="s">
        <v>2715</v>
      </c>
      <c r="C5858" s="1000"/>
      <c r="H5858" s="983" t="str">
        <f>CONCATENATE("&lt;valeur&gt;",Cellule_2032,"&lt;/valeur&gt;")</f>
        <v>&lt;valeur&gt;0&lt;/valeur&gt;</v>
      </c>
    </row>
    <row r="5859" spans="1:9" x14ac:dyDescent="0.2">
      <c r="A5859" s="997">
        <f t="shared" si="91"/>
        <v>5858</v>
      </c>
      <c r="B5859" s="983" t="s">
        <v>2715</v>
      </c>
      <c r="C5859" s="999"/>
      <c r="G5859" s="983" t="s">
        <v>1109</v>
      </c>
    </row>
    <row r="5860" spans="1:9" x14ac:dyDescent="0.2">
      <c r="A5860" s="997">
        <f t="shared" si="91"/>
        <v>5859</v>
      </c>
      <c r="B5860" s="983" t="s">
        <v>2715</v>
      </c>
      <c r="C5860" s="999"/>
      <c r="G5860" s="983" t="s">
        <v>1106</v>
      </c>
    </row>
    <row r="5861" spans="1:9" x14ac:dyDescent="0.2">
      <c r="A5861" s="997">
        <f t="shared" si="91"/>
        <v>5860</v>
      </c>
      <c r="B5861" s="983" t="s">
        <v>2715</v>
      </c>
      <c r="C5861" s="1000"/>
      <c r="H5861" s="983" t="s">
        <v>1107</v>
      </c>
    </row>
    <row r="5862" spans="1:9" x14ac:dyDescent="0.2">
      <c r="A5862" s="997">
        <f t="shared" si="91"/>
        <v>5861</v>
      </c>
      <c r="B5862" s="983" t="s">
        <v>2715</v>
      </c>
      <c r="C5862" s="1001"/>
      <c r="I5862" s="983" t="s">
        <v>2050</v>
      </c>
    </row>
    <row r="5863" spans="1:9" x14ac:dyDescent="0.2">
      <c r="A5863" s="997">
        <f t="shared" si="91"/>
        <v>5862</v>
      </c>
      <c r="B5863" s="983" t="s">
        <v>2715</v>
      </c>
      <c r="C5863" s="1000"/>
      <c r="H5863" s="983" t="s">
        <v>1108</v>
      </c>
    </row>
    <row r="5864" spans="1:9" x14ac:dyDescent="0.2">
      <c r="A5864" s="997">
        <f t="shared" si="91"/>
        <v>5863</v>
      </c>
      <c r="B5864" s="983" t="s">
        <v>2715</v>
      </c>
      <c r="C5864" s="1000"/>
      <c r="H5864" s="983" t="str">
        <f>CONCATENATE("&lt;valeur&gt;",Cellule_2033,"&lt;/valeur&gt;")</f>
        <v>&lt;valeur&gt;0&lt;/valeur&gt;</v>
      </c>
    </row>
    <row r="5865" spans="1:9" x14ac:dyDescent="0.2">
      <c r="A5865" s="997">
        <f t="shared" si="91"/>
        <v>5864</v>
      </c>
      <c r="B5865" s="983" t="s">
        <v>2715</v>
      </c>
      <c r="C5865" s="999"/>
      <c r="G5865" s="983" t="s">
        <v>1109</v>
      </c>
    </row>
    <row r="5866" spans="1:9" x14ac:dyDescent="0.2">
      <c r="A5866" s="997">
        <f t="shared" si="91"/>
        <v>5865</v>
      </c>
      <c r="B5866" s="983" t="s">
        <v>2715</v>
      </c>
      <c r="C5866" s="999"/>
      <c r="G5866" s="983" t="s">
        <v>1106</v>
      </c>
    </row>
    <row r="5867" spans="1:9" x14ac:dyDescent="0.2">
      <c r="A5867" s="997">
        <f t="shared" si="91"/>
        <v>5866</v>
      </c>
      <c r="B5867" s="983" t="s">
        <v>2715</v>
      </c>
      <c r="C5867" s="1000"/>
      <c r="H5867" s="983" t="s">
        <v>1107</v>
      </c>
    </row>
    <row r="5868" spans="1:9" x14ac:dyDescent="0.2">
      <c r="A5868" s="997">
        <f t="shared" si="91"/>
        <v>5867</v>
      </c>
      <c r="B5868" s="983" t="s">
        <v>2715</v>
      </c>
      <c r="C5868" s="1001"/>
      <c r="I5868" s="983" t="s">
        <v>2051</v>
      </c>
    </row>
    <row r="5869" spans="1:9" x14ac:dyDescent="0.2">
      <c r="A5869" s="997">
        <f t="shared" si="91"/>
        <v>5868</v>
      </c>
      <c r="B5869" s="983" t="s">
        <v>2715</v>
      </c>
      <c r="C5869" s="1000"/>
      <c r="H5869" s="983" t="s">
        <v>1108</v>
      </c>
    </row>
    <row r="5870" spans="1:9" x14ac:dyDescent="0.2">
      <c r="A5870" s="997">
        <f t="shared" si="91"/>
        <v>5869</v>
      </c>
      <c r="B5870" s="983" t="s">
        <v>2715</v>
      </c>
      <c r="C5870" s="1000"/>
      <c r="H5870" s="983" t="str">
        <f>CONCATENATE("&lt;valeur&gt;",Cellule_2034,"&lt;/valeur&gt;")</f>
        <v>&lt;valeur&gt;0&lt;/valeur&gt;</v>
      </c>
    </row>
    <row r="5871" spans="1:9" x14ac:dyDescent="0.2">
      <c r="A5871" s="997">
        <f t="shared" si="91"/>
        <v>5870</v>
      </c>
      <c r="B5871" s="983" t="s">
        <v>2715</v>
      </c>
      <c r="C5871" s="999"/>
      <c r="G5871" s="983" t="s">
        <v>1109</v>
      </c>
    </row>
    <row r="5872" spans="1:9" x14ac:dyDescent="0.2">
      <c r="A5872" s="997">
        <f t="shared" si="91"/>
        <v>5871</v>
      </c>
      <c r="B5872" s="983" t="s">
        <v>2715</v>
      </c>
      <c r="C5872" s="999"/>
      <c r="G5872" s="983" t="s">
        <v>1106</v>
      </c>
    </row>
    <row r="5873" spans="1:9" x14ac:dyDescent="0.2">
      <c r="A5873" s="997">
        <f t="shared" si="91"/>
        <v>5872</v>
      </c>
      <c r="B5873" s="983" t="s">
        <v>2715</v>
      </c>
      <c r="C5873" s="1000"/>
      <c r="H5873" s="983" t="s">
        <v>1107</v>
      </c>
    </row>
    <row r="5874" spans="1:9" x14ac:dyDescent="0.2">
      <c r="A5874" s="997">
        <f t="shared" si="91"/>
        <v>5873</v>
      </c>
      <c r="B5874" s="983" t="s">
        <v>2715</v>
      </c>
      <c r="C5874" s="1001"/>
      <c r="I5874" s="983" t="s">
        <v>2052</v>
      </c>
    </row>
    <row r="5875" spans="1:9" x14ac:dyDescent="0.2">
      <c r="A5875" s="997">
        <f t="shared" si="91"/>
        <v>5874</v>
      </c>
      <c r="B5875" s="983" t="s">
        <v>2715</v>
      </c>
      <c r="C5875" s="1000"/>
      <c r="H5875" s="983" t="s">
        <v>1108</v>
      </c>
    </row>
    <row r="5876" spans="1:9" x14ac:dyDescent="0.2">
      <c r="A5876" s="997">
        <f t="shared" si="91"/>
        <v>5875</v>
      </c>
      <c r="B5876" s="983" t="s">
        <v>2715</v>
      </c>
      <c r="C5876" s="1000"/>
      <c r="H5876" s="983" t="str">
        <f>CONCATENATE("&lt;valeur&gt;",Cellule_2035,"&lt;/valeur&gt;")</f>
        <v>&lt;valeur&gt;0&lt;/valeur&gt;</v>
      </c>
    </row>
    <row r="5877" spans="1:9" x14ac:dyDescent="0.2">
      <c r="A5877" s="997">
        <f t="shared" si="91"/>
        <v>5876</v>
      </c>
      <c r="B5877" s="983" t="s">
        <v>2715</v>
      </c>
      <c r="C5877" s="999"/>
      <c r="G5877" s="983" t="s">
        <v>1109</v>
      </c>
    </row>
    <row r="5878" spans="1:9" x14ac:dyDescent="0.2">
      <c r="A5878" s="997">
        <f t="shared" si="91"/>
        <v>5877</v>
      </c>
      <c r="B5878" s="983" t="s">
        <v>2715</v>
      </c>
      <c r="C5878" s="999"/>
      <c r="F5878" s="983" t="s">
        <v>1110</v>
      </c>
    </row>
    <row r="5879" spans="1:9" x14ac:dyDescent="0.2">
      <c r="A5879" s="997">
        <f t="shared" si="91"/>
        <v>5878</v>
      </c>
      <c r="B5879" s="983" t="s">
        <v>2715</v>
      </c>
      <c r="C5879" s="1001"/>
      <c r="F5879" s="983" t="s">
        <v>1111</v>
      </c>
    </row>
    <row r="5880" spans="1:9" x14ac:dyDescent="0.2">
      <c r="A5880" s="997">
        <f t="shared" si="91"/>
        <v>5879</v>
      </c>
      <c r="B5880" s="983" t="s">
        <v>2715</v>
      </c>
      <c r="C5880" s="1000"/>
      <c r="G5880" s="983" t="s">
        <v>1114</v>
      </c>
    </row>
    <row r="5881" spans="1:9" x14ac:dyDescent="0.2">
      <c r="A5881" s="997">
        <f t="shared" si="91"/>
        <v>5880</v>
      </c>
      <c r="B5881" s="983" t="s">
        <v>2715</v>
      </c>
      <c r="C5881" s="1000"/>
      <c r="H5881" s="983" t="s">
        <v>1115</v>
      </c>
    </row>
    <row r="5882" spans="1:9" x14ac:dyDescent="0.2">
      <c r="A5882" s="997">
        <f t="shared" si="91"/>
        <v>5881</v>
      </c>
      <c r="B5882" s="983" t="s">
        <v>2715</v>
      </c>
      <c r="C5882" s="999"/>
      <c r="I5882" s="983" t="s">
        <v>2053</v>
      </c>
    </row>
    <row r="5883" spans="1:9" x14ac:dyDescent="0.2">
      <c r="A5883" s="997">
        <f t="shared" si="91"/>
        <v>5882</v>
      </c>
      <c r="B5883" s="983" t="s">
        <v>2715</v>
      </c>
      <c r="C5883" s="999"/>
      <c r="H5883" s="983" t="s">
        <v>1116</v>
      </c>
    </row>
    <row r="5884" spans="1:9" x14ac:dyDescent="0.2">
      <c r="A5884" s="997">
        <f t="shared" si="91"/>
        <v>5883</v>
      </c>
      <c r="B5884" s="983" t="s">
        <v>2715</v>
      </c>
      <c r="C5884" s="1000"/>
      <c r="H5884" s="983" t="str">
        <f>CONCATENATE("&lt;valeur&gt;",Cellule_70,"&lt;/valeur&gt;")</f>
        <v>&lt;valeur&gt;31/12/2022&lt;/valeur&gt;</v>
      </c>
    </row>
    <row r="5885" spans="1:9" x14ac:dyDescent="0.2">
      <c r="A5885" s="997">
        <f t="shared" si="91"/>
        <v>5884</v>
      </c>
      <c r="B5885" s="983" t="s">
        <v>2715</v>
      </c>
      <c r="C5885" s="1001"/>
      <c r="G5885" s="983" t="s">
        <v>1117</v>
      </c>
    </row>
    <row r="5886" spans="1:9" x14ac:dyDescent="0.2">
      <c r="A5886" s="997">
        <f t="shared" si="91"/>
        <v>5885</v>
      </c>
      <c r="B5886" s="983" t="s">
        <v>2715</v>
      </c>
      <c r="C5886" s="1000"/>
      <c r="F5886" s="983" t="s">
        <v>1112</v>
      </c>
    </row>
    <row r="5887" spans="1:9" x14ac:dyDescent="0.2">
      <c r="A5887" s="997">
        <f t="shared" si="91"/>
        <v>5886</v>
      </c>
      <c r="B5887" s="983" t="s">
        <v>2715</v>
      </c>
      <c r="C5887" s="1000"/>
      <c r="E5887" s="983" t="s">
        <v>1113</v>
      </c>
    </row>
    <row r="5888" spans="1:9" x14ac:dyDescent="0.2">
      <c r="A5888" s="997">
        <f t="shared" si="91"/>
        <v>5887</v>
      </c>
      <c r="B5888" s="983" t="s">
        <v>2797</v>
      </c>
      <c r="C5888" s="1001"/>
      <c r="E5888" s="983" t="s">
        <v>1104</v>
      </c>
    </row>
    <row r="5889" spans="1:9" x14ac:dyDescent="0.2">
      <c r="A5889" s="997">
        <f t="shared" si="91"/>
        <v>5888</v>
      </c>
      <c r="B5889" s="983" t="s">
        <v>2797</v>
      </c>
      <c r="C5889" s="1000"/>
      <c r="F5889" s="983" t="s">
        <v>2798</v>
      </c>
    </row>
    <row r="5890" spans="1:9" x14ac:dyDescent="0.2">
      <c r="A5890" s="997">
        <f t="shared" si="91"/>
        <v>5889</v>
      </c>
      <c r="B5890" s="983" t="s">
        <v>2797</v>
      </c>
      <c r="C5890" s="1000"/>
      <c r="F5890" s="983" t="s">
        <v>1105</v>
      </c>
    </row>
    <row r="5891" spans="1:9" x14ac:dyDescent="0.2">
      <c r="A5891" s="997">
        <f t="shared" si="91"/>
        <v>5890</v>
      </c>
      <c r="B5891" s="1128" t="s">
        <v>2797</v>
      </c>
      <c r="C5891" s="1137"/>
      <c r="D5891" s="1128"/>
      <c r="E5891" s="1128"/>
      <c r="F5891" s="1128"/>
      <c r="G5891" s="1128" t="s">
        <v>1106</v>
      </c>
      <c r="H5891" s="1128"/>
      <c r="I5891" s="1124"/>
    </row>
    <row r="5892" spans="1:9" x14ac:dyDescent="0.2">
      <c r="A5892" s="997">
        <f t="shared" ref="A5892:A5955" si="92">+A5891+1</f>
        <v>5891</v>
      </c>
      <c r="B5892" s="1129" t="s">
        <v>2797</v>
      </c>
      <c r="C5892" s="1138"/>
      <c r="D5892" s="1129"/>
      <c r="E5892" s="1129"/>
      <c r="F5892" s="1129"/>
      <c r="G5892" s="1129"/>
      <c r="H5892" s="1129" t="s">
        <v>2799</v>
      </c>
      <c r="I5892" s="1127"/>
    </row>
    <row r="5893" spans="1:9" x14ac:dyDescent="0.2">
      <c r="A5893" s="997">
        <f t="shared" si="92"/>
        <v>5892</v>
      </c>
      <c r="B5893" s="1129" t="s">
        <v>2797</v>
      </c>
      <c r="C5893" s="1139"/>
      <c r="D5893" s="1129"/>
      <c r="E5893" s="1129"/>
      <c r="F5893" s="1129"/>
      <c r="G5893" s="1129"/>
      <c r="H5893" s="1129" t="str">
        <f>CONCATENATE("&lt;valeur&gt;",Cellule_1098_1,"&lt;/valeur&gt;")</f>
        <v>&lt;valeur&gt;&lt;/valeur&gt;</v>
      </c>
      <c r="I5893" s="1127"/>
    </row>
    <row r="5894" spans="1:9" x14ac:dyDescent="0.2">
      <c r="A5894" s="997">
        <f t="shared" si="92"/>
        <v>5893</v>
      </c>
      <c r="B5894" s="1129" t="s">
        <v>2797</v>
      </c>
      <c r="C5894" s="1140"/>
      <c r="D5894" s="1129"/>
      <c r="E5894" s="1129"/>
      <c r="F5894" s="1129"/>
      <c r="G5894" s="1129"/>
      <c r="H5894" s="1129" t="s">
        <v>1348</v>
      </c>
      <c r="I5894" s="1127"/>
    </row>
    <row r="5895" spans="1:9" x14ac:dyDescent="0.2">
      <c r="A5895" s="997">
        <f t="shared" si="92"/>
        <v>5894</v>
      </c>
      <c r="B5895" s="1129" t="s">
        <v>2797</v>
      </c>
      <c r="C5895" s="1139"/>
      <c r="D5895" s="1129"/>
      <c r="E5895" s="1129"/>
      <c r="F5895" s="1129"/>
      <c r="G5895" s="1129" t="s">
        <v>1109</v>
      </c>
      <c r="H5895" s="1129"/>
      <c r="I5895" s="1127"/>
    </row>
    <row r="5896" spans="1:9" x14ac:dyDescent="0.2">
      <c r="A5896" s="997">
        <f t="shared" si="92"/>
        <v>5895</v>
      </c>
      <c r="B5896" s="1129" t="s">
        <v>2797</v>
      </c>
      <c r="C5896" s="1139"/>
      <c r="D5896" s="1129"/>
      <c r="E5896" s="1129"/>
      <c r="F5896" s="1129"/>
      <c r="G5896" s="1129" t="s">
        <v>1106</v>
      </c>
      <c r="H5896" s="1129"/>
      <c r="I5896" s="1127"/>
    </row>
    <row r="5897" spans="1:9" x14ac:dyDescent="0.2">
      <c r="A5897" s="997">
        <f t="shared" si="92"/>
        <v>5896</v>
      </c>
      <c r="B5897" s="1129" t="s">
        <v>2797</v>
      </c>
      <c r="C5897" s="1138"/>
      <c r="D5897" s="1129"/>
      <c r="E5897" s="1129"/>
      <c r="F5897" s="1129"/>
      <c r="G5897" s="1129"/>
      <c r="H5897" s="1129" t="s">
        <v>2800</v>
      </c>
      <c r="I5897" s="1127"/>
    </row>
    <row r="5898" spans="1:9" x14ac:dyDescent="0.2">
      <c r="A5898" s="997">
        <f t="shared" si="92"/>
        <v>5897</v>
      </c>
      <c r="B5898" s="1129" t="s">
        <v>2797</v>
      </c>
      <c r="C5898" s="1138"/>
      <c r="D5898" s="1129"/>
      <c r="E5898" s="1129"/>
      <c r="F5898" s="1129"/>
      <c r="G5898" s="1129"/>
      <c r="H5898" s="1129" t="str">
        <f>CONCATENATE("&lt;valeur&gt;",Cellule_1099_1,"&lt;/valeur&gt;")</f>
        <v>&lt;valeur&gt;&lt;/valeur&gt;</v>
      </c>
      <c r="I5898" s="1127"/>
    </row>
    <row r="5899" spans="1:9" x14ac:dyDescent="0.2">
      <c r="A5899" s="997">
        <f t="shared" si="92"/>
        <v>5898</v>
      </c>
      <c r="B5899" s="1129" t="s">
        <v>2797</v>
      </c>
      <c r="C5899" s="1139"/>
      <c r="D5899" s="1129"/>
      <c r="E5899" s="1129"/>
      <c r="F5899" s="1129"/>
      <c r="G5899" s="1129"/>
      <c r="H5899" s="1129" t="s">
        <v>1348</v>
      </c>
      <c r="I5899" s="1127"/>
    </row>
    <row r="5900" spans="1:9" x14ac:dyDescent="0.2">
      <c r="A5900" s="997">
        <f t="shared" si="92"/>
        <v>5899</v>
      </c>
      <c r="B5900" s="1129" t="s">
        <v>2797</v>
      </c>
      <c r="C5900" s="1140"/>
      <c r="D5900" s="1129"/>
      <c r="E5900" s="1129"/>
      <c r="F5900" s="1129"/>
      <c r="G5900" s="1129" t="s">
        <v>1109</v>
      </c>
      <c r="H5900" s="1129"/>
      <c r="I5900" s="1127"/>
    </row>
    <row r="5901" spans="1:9" x14ac:dyDescent="0.2">
      <c r="A5901" s="997">
        <f t="shared" si="92"/>
        <v>5900</v>
      </c>
      <c r="B5901" s="1129" t="s">
        <v>2797</v>
      </c>
      <c r="C5901" s="1139"/>
      <c r="D5901" s="1129"/>
      <c r="E5901" s="1129"/>
      <c r="F5901" s="1129"/>
      <c r="G5901" s="1129" t="s">
        <v>1106</v>
      </c>
      <c r="H5901" s="1129"/>
      <c r="I5901" s="1127"/>
    </row>
    <row r="5902" spans="1:9" x14ac:dyDescent="0.2">
      <c r="A5902" s="997">
        <f t="shared" si="92"/>
        <v>5901</v>
      </c>
      <c r="B5902" s="1129" t="s">
        <v>2797</v>
      </c>
      <c r="C5902" s="1139"/>
      <c r="D5902" s="1129"/>
      <c r="E5902" s="1129"/>
      <c r="F5902" s="1129"/>
      <c r="G5902" s="1129"/>
      <c r="H5902" s="1129" t="s">
        <v>2801</v>
      </c>
      <c r="I5902" s="1127"/>
    </row>
    <row r="5903" spans="1:9" x14ac:dyDescent="0.2">
      <c r="A5903" s="997">
        <f t="shared" si="92"/>
        <v>5902</v>
      </c>
      <c r="B5903" s="1129" t="s">
        <v>2797</v>
      </c>
      <c r="C5903" s="1138"/>
      <c r="D5903" s="1129"/>
      <c r="E5903" s="1129"/>
      <c r="F5903" s="1129"/>
      <c r="G5903" s="1129"/>
      <c r="H5903" s="1129" t="str">
        <f>CONCATENATE("&lt;valeur&gt;",Cellule_1100_1,"&lt;/valeur&gt;")</f>
        <v>&lt;valeur&gt;&lt;/valeur&gt;</v>
      </c>
      <c r="I5903" s="1127"/>
    </row>
    <row r="5904" spans="1:9" x14ac:dyDescent="0.2">
      <c r="A5904" s="997">
        <f t="shared" si="92"/>
        <v>5903</v>
      </c>
      <c r="B5904" s="1129" t="s">
        <v>2797</v>
      </c>
      <c r="C5904" s="1138"/>
      <c r="D5904" s="1129"/>
      <c r="E5904" s="1129"/>
      <c r="F5904" s="1129"/>
      <c r="G5904" s="1129"/>
      <c r="H5904" s="1129" t="s">
        <v>1348</v>
      </c>
      <c r="I5904" s="1127"/>
    </row>
    <row r="5905" spans="1:9" x14ac:dyDescent="0.2">
      <c r="A5905" s="997">
        <f t="shared" si="92"/>
        <v>5904</v>
      </c>
      <c r="B5905" s="1129" t="s">
        <v>2797</v>
      </c>
      <c r="C5905" s="1139"/>
      <c r="D5905" s="1129"/>
      <c r="E5905" s="1129"/>
      <c r="F5905" s="1129"/>
      <c r="G5905" s="1129" t="s">
        <v>1109</v>
      </c>
      <c r="H5905" s="1129"/>
      <c r="I5905" s="1127"/>
    </row>
    <row r="5906" spans="1:9" x14ac:dyDescent="0.2">
      <c r="A5906" s="997">
        <f t="shared" si="92"/>
        <v>5905</v>
      </c>
      <c r="B5906" s="1129" t="s">
        <v>2797</v>
      </c>
      <c r="C5906" s="1140"/>
      <c r="D5906" s="1129"/>
      <c r="E5906" s="1129"/>
      <c r="F5906" s="1129"/>
      <c r="G5906" s="1129" t="s">
        <v>1106</v>
      </c>
      <c r="H5906" s="1129"/>
      <c r="I5906" s="1127"/>
    </row>
    <row r="5907" spans="1:9" x14ac:dyDescent="0.2">
      <c r="A5907" s="997">
        <f t="shared" si="92"/>
        <v>5906</v>
      </c>
      <c r="B5907" s="1129" t="s">
        <v>2797</v>
      </c>
      <c r="C5907" s="1139"/>
      <c r="D5907" s="1129"/>
      <c r="E5907" s="1129"/>
      <c r="F5907" s="1129"/>
      <c r="G5907" s="1129"/>
      <c r="H5907" s="1129" t="s">
        <v>2802</v>
      </c>
      <c r="I5907" s="1127"/>
    </row>
    <row r="5908" spans="1:9" x14ac:dyDescent="0.2">
      <c r="A5908" s="997">
        <f t="shared" si="92"/>
        <v>5907</v>
      </c>
      <c r="B5908" s="1129" t="s">
        <v>2797</v>
      </c>
      <c r="C5908" s="1139"/>
      <c r="D5908" s="1129"/>
      <c r="E5908" s="1129"/>
      <c r="F5908" s="1129"/>
      <c r="G5908" s="1129"/>
      <c r="H5908" s="1129" t="str">
        <f>CONCATENATE("&lt;valeur&gt;",Cellule_1101_1,"&lt;/valeur&gt;")</f>
        <v>&lt;valeur&gt;&lt;/valeur&gt;</v>
      </c>
      <c r="I5908" s="1127"/>
    </row>
    <row r="5909" spans="1:9" x14ac:dyDescent="0.2">
      <c r="A5909" s="997">
        <f t="shared" si="92"/>
        <v>5908</v>
      </c>
      <c r="B5909" s="1129" t="s">
        <v>2797</v>
      </c>
      <c r="C5909" s="1138"/>
      <c r="D5909" s="1129"/>
      <c r="E5909" s="1129"/>
      <c r="F5909" s="1129"/>
      <c r="G5909" s="1129"/>
      <c r="H5909" s="1129" t="s">
        <v>1348</v>
      </c>
      <c r="I5909" s="1127"/>
    </row>
    <row r="5910" spans="1:9" x14ac:dyDescent="0.2">
      <c r="A5910" s="997">
        <f t="shared" si="92"/>
        <v>5909</v>
      </c>
      <c r="B5910" s="1129" t="s">
        <v>2797</v>
      </c>
      <c r="C5910" s="1138"/>
      <c r="D5910" s="1129"/>
      <c r="E5910" s="1129"/>
      <c r="F5910" s="1129"/>
      <c r="G5910" s="1129" t="s">
        <v>1109</v>
      </c>
      <c r="H5910" s="1129"/>
      <c r="I5910" s="1127"/>
    </row>
    <row r="5911" spans="1:9" x14ac:dyDescent="0.2">
      <c r="A5911" s="997">
        <f t="shared" si="92"/>
        <v>5910</v>
      </c>
      <c r="B5911" s="1129" t="s">
        <v>2797</v>
      </c>
      <c r="C5911" s="1139"/>
      <c r="D5911" s="1129"/>
      <c r="E5911" s="1129"/>
      <c r="F5911" s="1129"/>
      <c r="G5911" s="1129" t="s">
        <v>1106</v>
      </c>
      <c r="H5911" s="1129"/>
      <c r="I5911" s="1127"/>
    </row>
    <row r="5912" spans="1:9" x14ac:dyDescent="0.2">
      <c r="A5912" s="997">
        <f t="shared" si="92"/>
        <v>5911</v>
      </c>
      <c r="B5912" s="1129" t="s">
        <v>2797</v>
      </c>
      <c r="C5912" s="1140"/>
      <c r="D5912" s="1129"/>
      <c r="E5912" s="1129"/>
      <c r="F5912" s="1129"/>
      <c r="G5912" s="1129"/>
      <c r="H5912" s="1129" t="s">
        <v>2803</v>
      </c>
      <c r="I5912" s="1127"/>
    </row>
    <row r="5913" spans="1:9" x14ac:dyDescent="0.2">
      <c r="A5913" s="997">
        <f t="shared" si="92"/>
        <v>5912</v>
      </c>
      <c r="B5913" s="1129" t="s">
        <v>2797</v>
      </c>
      <c r="C5913" s="1139"/>
      <c r="D5913" s="1129"/>
      <c r="E5913" s="1129"/>
      <c r="F5913" s="1129"/>
      <c r="G5913" s="1129"/>
      <c r="H5913" s="1129" t="str">
        <f>CONCATENATE("&lt;valeur&gt;",Cellule_1102_1,"&lt;/valeur&gt;")</f>
        <v>&lt;valeur&gt;&lt;/valeur&gt;</v>
      </c>
      <c r="I5913" s="1127"/>
    </row>
    <row r="5914" spans="1:9" x14ac:dyDescent="0.2">
      <c r="A5914" s="997">
        <f t="shared" si="92"/>
        <v>5913</v>
      </c>
      <c r="B5914" s="1129" t="s">
        <v>2797</v>
      </c>
      <c r="C5914" s="1139"/>
      <c r="D5914" s="1129"/>
      <c r="E5914" s="1129"/>
      <c r="F5914" s="1129"/>
      <c r="G5914" s="1129"/>
      <c r="H5914" s="1129" t="s">
        <v>1348</v>
      </c>
      <c r="I5914" s="1127"/>
    </row>
    <row r="5915" spans="1:9" x14ac:dyDescent="0.2">
      <c r="A5915" s="997">
        <f t="shared" si="92"/>
        <v>5914</v>
      </c>
      <c r="B5915" s="1129" t="s">
        <v>2797</v>
      </c>
      <c r="C5915" s="1138"/>
      <c r="D5915" s="1129"/>
      <c r="E5915" s="1129"/>
      <c r="F5915" s="1129"/>
      <c r="G5915" s="1129" t="s">
        <v>1109</v>
      </c>
      <c r="H5915" s="1129"/>
      <c r="I5915" s="1127"/>
    </row>
    <row r="5916" spans="1:9" x14ac:dyDescent="0.2">
      <c r="A5916" s="997">
        <f t="shared" si="92"/>
        <v>5915</v>
      </c>
      <c r="B5916" s="1129" t="s">
        <v>2797</v>
      </c>
      <c r="C5916" s="1138"/>
      <c r="D5916" s="1129"/>
      <c r="E5916" s="1129"/>
      <c r="F5916" s="1129"/>
      <c r="G5916" s="1129" t="s">
        <v>1106</v>
      </c>
      <c r="H5916" s="1129"/>
      <c r="I5916" s="1127"/>
    </row>
    <row r="5917" spans="1:9" x14ac:dyDescent="0.2">
      <c r="A5917" s="997">
        <f t="shared" si="92"/>
        <v>5916</v>
      </c>
      <c r="B5917" s="1129" t="s">
        <v>2797</v>
      </c>
      <c r="C5917" s="1139"/>
      <c r="D5917" s="1129"/>
      <c r="E5917" s="1129"/>
      <c r="F5917" s="1129"/>
      <c r="G5917" s="1129"/>
      <c r="H5917" s="1129" t="s">
        <v>2804</v>
      </c>
      <c r="I5917" s="1127"/>
    </row>
    <row r="5918" spans="1:9" x14ac:dyDescent="0.2">
      <c r="A5918" s="997">
        <f t="shared" si="92"/>
        <v>5917</v>
      </c>
      <c r="B5918" s="1129" t="s">
        <v>2797</v>
      </c>
      <c r="C5918" s="1140"/>
      <c r="D5918" s="1129"/>
      <c r="E5918" s="1129"/>
      <c r="F5918" s="1129"/>
      <c r="G5918" s="1129"/>
      <c r="H5918" s="1129" t="str">
        <f>CONCATENATE("&lt;valeur&gt;",Cellule_1103_1,"&lt;/valeur&gt;")</f>
        <v>&lt;valeur&gt;&lt;/valeur&gt;</v>
      </c>
      <c r="I5918" s="1127"/>
    </row>
    <row r="5919" spans="1:9" x14ac:dyDescent="0.2">
      <c r="A5919" s="997">
        <f t="shared" si="92"/>
        <v>5918</v>
      </c>
      <c r="B5919" s="1129" t="s">
        <v>2797</v>
      </c>
      <c r="C5919" s="1139"/>
      <c r="D5919" s="1129"/>
      <c r="E5919" s="1129"/>
      <c r="F5919" s="1129"/>
      <c r="G5919" s="1129"/>
      <c r="H5919" s="1129" t="s">
        <v>1348</v>
      </c>
      <c r="I5919" s="1127"/>
    </row>
    <row r="5920" spans="1:9" x14ac:dyDescent="0.2">
      <c r="A5920" s="997">
        <f t="shared" si="92"/>
        <v>5919</v>
      </c>
      <c r="B5920" s="1129" t="s">
        <v>2797</v>
      </c>
      <c r="C5920" s="1139"/>
      <c r="D5920" s="1129"/>
      <c r="E5920" s="1129"/>
      <c r="F5920" s="1129"/>
      <c r="G5920" s="1129" t="s">
        <v>1109</v>
      </c>
      <c r="H5920" s="1129"/>
      <c r="I5920" s="1127"/>
    </row>
    <row r="5921" spans="1:9" x14ac:dyDescent="0.2">
      <c r="A5921" s="997">
        <f t="shared" si="92"/>
        <v>5920</v>
      </c>
      <c r="B5921" s="1129" t="s">
        <v>2797</v>
      </c>
      <c r="C5921" s="1138"/>
      <c r="D5921" s="1129"/>
      <c r="E5921" s="1129"/>
      <c r="F5921" s="1129"/>
      <c r="G5921" s="1129" t="s">
        <v>1106</v>
      </c>
      <c r="H5921" s="1129"/>
      <c r="I5921" s="1127"/>
    </row>
    <row r="5922" spans="1:9" x14ac:dyDescent="0.2">
      <c r="A5922" s="997">
        <f t="shared" si="92"/>
        <v>5921</v>
      </c>
      <c r="B5922" s="1129" t="s">
        <v>2797</v>
      </c>
      <c r="C5922" s="1138"/>
      <c r="D5922" s="1129"/>
      <c r="E5922" s="1129"/>
      <c r="F5922" s="1129"/>
      <c r="G5922" s="1129"/>
      <c r="H5922" s="1129" t="s">
        <v>2805</v>
      </c>
      <c r="I5922" s="1127"/>
    </row>
    <row r="5923" spans="1:9" x14ac:dyDescent="0.2">
      <c r="A5923" s="997">
        <f t="shared" si="92"/>
        <v>5922</v>
      </c>
      <c r="B5923" s="1129" t="s">
        <v>2797</v>
      </c>
      <c r="C5923" s="1139"/>
      <c r="D5923" s="1129"/>
      <c r="E5923" s="1129"/>
      <c r="F5923" s="1129"/>
      <c r="G5923" s="1129"/>
      <c r="H5923" s="1129" t="str">
        <f>CONCATENATE("&lt;valeur&gt;",Cellule_1104_1,"&lt;/valeur&gt;")</f>
        <v>&lt;valeur&gt;&lt;/valeur&gt;</v>
      </c>
      <c r="I5923" s="1127"/>
    </row>
    <row r="5924" spans="1:9" x14ac:dyDescent="0.2">
      <c r="A5924" s="997">
        <f t="shared" si="92"/>
        <v>5923</v>
      </c>
      <c r="B5924" s="1129" t="s">
        <v>2797</v>
      </c>
      <c r="C5924" s="1140"/>
      <c r="D5924" s="1129"/>
      <c r="E5924" s="1129"/>
      <c r="F5924" s="1129"/>
      <c r="G5924" s="1129"/>
      <c r="H5924" s="1129" t="s">
        <v>1348</v>
      </c>
      <c r="I5924" s="1127"/>
    </row>
    <row r="5925" spans="1:9" x14ac:dyDescent="0.2">
      <c r="A5925" s="997">
        <f t="shared" si="92"/>
        <v>5924</v>
      </c>
      <c r="B5925" s="1129" t="s">
        <v>2797</v>
      </c>
      <c r="C5925" s="1139"/>
      <c r="D5925" s="1129"/>
      <c r="E5925" s="1129"/>
      <c r="F5925" s="1129"/>
      <c r="G5925" s="1129" t="s">
        <v>1109</v>
      </c>
      <c r="H5925" s="1129"/>
      <c r="I5925" s="1127"/>
    </row>
    <row r="5926" spans="1:9" x14ac:dyDescent="0.2">
      <c r="A5926" s="997">
        <f t="shared" si="92"/>
        <v>5925</v>
      </c>
      <c r="B5926" s="1129" t="s">
        <v>2797</v>
      </c>
      <c r="C5926" s="1139"/>
      <c r="D5926" s="1129"/>
      <c r="E5926" s="1129"/>
      <c r="F5926" s="1129"/>
      <c r="G5926" s="1129" t="s">
        <v>1106</v>
      </c>
      <c r="H5926" s="1129"/>
      <c r="I5926" s="1127"/>
    </row>
    <row r="5927" spans="1:9" x14ac:dyDescent="0.2">
      <c r="A5927" s="997">
        <f t="shared" si="92"/>
        <v>5926</v>
      </c>
      <c r="B5927" s="1129" t="s">
        <v>2797</v>
      </c>
      <c r="C5927" s="1138"/>
      <c r="D5927" s="1129"/>
      <c r="E5927" s="1129"/>
      <c r="F5927" s="1129"/>
      <c r="G5927" s="1129"/>
      <c r="H5927" s="1129" t="s">
        <v>2806</v>
      </c>
      <c r="I5927" s="1127"/>
    </row>
    <row r="5928" spans="1:9" x14ac:dyDescent="0.2">
      <c r="A5928" s="997">
        <f t="shared" si="92"/>
        <v>5927</v>
      </c>
      <c r="B5928" s="1129" t="s">
        <v>2797</v>
      </c>
      <c r="C5928" s="1138"/>
      <c r="D5928" s="1129"/>
      <c r="E5928" s="1129"/>
      <c r="F5928" s="1129"/>
      <c r="G5928" s="1129"/>
      <c r="H5928" s="1129" t="str">
        <f>CONCATENATE("&lt;valeur&gt;",Cellule_1105_1,"&lt;/valeur&gt;")</f>
        <v>&lt;valeur&gt;&lt;/valeur&gt;</v>
      </c>
      <c r="I5928" s="1127"/>
    </row>
    <row r="5929" spans="1:9" x14ac:dyDescent="0.2">
      <c r="A5929" s="997">
        <f t="shared" si="92"/>
        <v>5928</v>
      </c>
      <c r="B5929" s="1129" t="s">
        <v>2797</v>
      </c>
      <c r="C5929" s="1139"/>
      <c r="D5929" s="1129"/>
      <c r="E5929" s="1129"/>
      <c r="F5929" s="1129"/>
      <c r="G5929" s="1129"/>
      <c r="H5929" s="1129" t="s">
        <v>1348</v>
      </c>
      <c r="I5929" s="1127"/>
    </row>
    <row r="5930" spans="1:9" x14ac:dyDescent="0.2">
      <c r="A5930" s="997">
        <f t="shared" si="92"/>
        <v>5929</v>
      </c>
      <c r="B5930" s="1129" t="s">
        <v>2797</v>
      </c>
      <c r="C5930" s="1140"/>
      <c r="D5930" s="1129"/>
      <c r="E5930" s="1129"/>
      <c r="F5930" s="1129"/>
      <c r="G5930" s="1129" t="s">
        <v>1109</v>
      </c>
      <c r="H5930" s="1129"/>
      <c r="I5930" s="1127"/>
    </row>
    <row r="5931" spans="1:9" x14ac:dyDescent="0.2">
      <c r="A5931" s="997">
        <f t="shared" si="92"/>
        <v>5930</v>
      </c>
      <c r="B5931" s="1129" t="s">
        <v>2797</v>
      </c>
      <c r="C5931" s="1139"/>
      <c r="D5931" s="1129"/>
      <c r="E5931" s="1129"/>
      <c r="F5931" s="1129"/>
      <c r="G5931" s="1129" t="s">
        <v>1106</v>
      </c>
      <c r="H5931" s="1129"/>
      <c r="I5931" s="1127"/>
    </row>
    <row r="5932" spans="1:9" x14ac:dyDescent="0.2">
      <c r="A5932" s="997">
        <f t="shared" si="92"/>
        <v>5931</v>
      </c>
      <c r="B5932" s="1129" t="s">
        <v>2797</v>
      </c>
      <c r="C5932" s="1138"/>
      <c r="D5932" s="1129"/>
      <c r="E5932" s="1129"/>
      <c r="F5932" s="1129"/>
      <c r="G5932" s="1129"/>
      <c r="H5932" s="1129" t="s">
        <v>2807</v>
      </c>
      <c r="I5932" s="1127"/>
    </row>
    <row r="5933" spans="1:9" x14ac:dyDescent="0.2">
      <c r="A5933" s="997">
        <f t="shared" si="92"/>
        <v>5932</v>
      </c>
      <c r="B5933" s="1129" t="s">
        <v>2797</v>
      </c>
      <c r="C5933" s="1138"/>
      <c r="D5933" s="1129"/>
      <c r="E5933" s="1129"/>
      <c r="F5933" s="1129"/>
      <c r="G5933" s="1129"/>
      <c r="H5933" s="1129" t="str">
        <f>CONCATENATE("&lt;valeur&gt;",Cellule_1106_1,"&lt;/valeur&gt;")</f>
        <v>&lt;valeur&gt;&lt;/valeur&gt;</v>
      </c>
      <c r="I5933" s="1127"/>
    </row>
    <row r="5934" spans="1:9" x14ac:dyDescent="0.2">
      <c r="A5934" s="997">
        <f t="shared" si="92"/>
        <v>5933</v>
      </c>
      <c r="B5934" s="1129" t="s">
        <v>2797</v>
      </c>
      <c r="C5934" s="1139"/>
      <c r="D5934" s="1129"/>
      <c r="E5934" s="1129"/>
      <c r="F5934" s="1129"/>
      <c r="G5934" s="1129"/>
      <c r="H5934" s="1129" t="s">
        <v>1348</v>
      </c>
      <c r="I5934" s="1127"/>
    </row>
    <row r="5935" spans="1:9" x14ac:dyDescent="0.2">
      <c r="A5935" s="997">
        <f t="shared" si="92"/>
        <v>5934</v>
      </c>
      <c r="B5935" s="1129" t="s">
        <v>2797</v>
      </c>
      <c r="C5935" s="1140"/>
      <c r="D5935" s="1129"/>
      <c r="E5935" s="1129"/>
      <c r="F5935" s="1129"/>
      <c r="G5935" s="1129" t="s">
        <v>1109</v>
      </c>
      <c r="H5935" s="1129"/>
      <c r="I5935" s="1127"/>
    </row>
    <row r="5936" spans="1:9" x14ac:dyDescent="0.2">
      <c r="A5936" s="997">
        <f t="shared" si="92"/>
        <v>5935</v>
      </c>
      <c r="B5936" s="1129" t="s">
        <v>2797</v>
      </c>
      <c r="C5936" s="1139"/>
      <c r="D5936" s="1129"/>
      <c r="E5936" s="1129"/>
      <c r="F5936" s="1129"/>
      <c r="G5936" s="1129" t="s">
        <v>1106</v>
      </c>
      <c r="H5936" s="1129"/>
      <c r="I5936" s="1127"/>
    </row>
    <row r="5937" spans="1:9" x14ac:dyDescent="0.2">
      <c r="A5937" s="997">
        <f t="shared" si="92"/>
        <v>5936</v>
      </c>
      <c r="B5937" s="1129" t="s">
        <v>2797</v>
      </c>
      <c r="C5937" s="1138"/>
      <c r="D5937" s="1129"/>
      <c r="E5937" s="1129"/>
      <c r="F5937" s="1129"/>
      <c r="G5937" s="1129"/>
      <c r="H5937" s="1129" t="s">
        <v>2808</v>
      </c>
      <c r="I5937" s="1127"/>
    </row>
    <row r="5938" spans="1:9" x14ac:dyDescent="0.2">
      <c r="A5938" s="997">
        <f t="shared" si="92"/>
        <v>5937</v>
      </c>
      <c r="B5938" s="1129" t="s">
        <v>2797</v>
      </c>
      <c r="C5938" s="1138"/>
      <c r="D5938" s="1129"/>
      <c r="E5938" s="1129"/>
      <c r="F5938" s="1129"/>
      <c r="G5938" s="1129"/>
      <c r="H5938" s="1129" t="str">
        <f>CONCATENATE("&lt;valeur&gt;",Cellule_1107_1,"&lt;/valeur&gt;")</f>
        <v>&lt;valeur&gt;&lt;/valeur&gt;</v>
      </c>
      <c r="I5938" s="1127"/>
    </row>
    <row r="5939" spans="1:9" x14ac:dyDescent="0.2">
      <c r="A5939" s="997">
        <f t="shared" si="92"/>
        <v>5938</v>
      </c>
      <c r="B5939" s="1129" t="s">
        <v>2797</v>
      </c>
      <c r="C5939" s="1139"/>
      <c r="D5939" s="1129"/>
      <c r="E5939" s="1129"/>
      <c r="F5939" s="1129"/>
      <c r="G5939" s="1129"/>
      <c r="H5939" s="1129" t="s">
        <v>1348</v>
      </c>
      <c r="I5939" s="1127"/>
    </row>
    <row r="5940" spans="1:9" x14ac:dyDescent="0.2">
      <c r="A5940" s="997">
        <f t="shared" si="92"/>
        <v>5939</v>
      </c>
      <c r="B5940" s="1129" t="s">
        <v>2797</v>
      </c>
      <c r="C5940" s="1140"/>
      <c r="D5940" s="1129"/>
      <c r="E5940" s="1129"/>
      <c r="F5940" s="1129"/>
      <c r="G5940" s="1129" t="s">
        <v>1109</v>
      </c>
      <c r="H5940" s="1129"/>
      <c r="I5940" s="1127"/>
    </row>
    <row r="5941" spans="1:9" x14ac:dyDescent="0.2">
      <c r="A5941" s="997">
        <f t="shared" si="92"/>
        <v>5940</v>
      </c>
      <c r="B5941" s="1129" t="s">
        <v>2797</v>
      </c>
      <c r="C5941" s="1139"/>
      <c r="D5941" s="1129"/>
      <c r="E5941" s="1129"/>
      <c r="F5941" s="1129"/>
      <c r="G5941" s="1129" t="s">
        <v>1106</v>
      </c>
      <c r="H5941" s="1129"/>
      <c r="I5941" s="1127"/>
    </row>
    <row r="5942" spans="1:9" x14ac:dyDescent="0.2">
      <c r="A5942" s="997">
        <f t="shared" si="92"/>
        <v>5941</v>
      </c>
      <c r="B5942" s="1129" t="s">
        <v>2797</v>
      </c>
      <c r="C5942" s="1138"/>
      <c r="D5942" s="1129"/>
      <c r="E5942" s="1129"/>
      <c r="F5942" s="1129"/>
      <c r="G5942" s="1129"/>
      <c r="H5942" s="1129" t="s">
        <v>2809</v>
      </c>
      <c r="I5942" s="1127"/>
    </row>
    <row r="5943" spans="1:9" x14ac:dyDescent="0.2">
      <c r="A5943" s="997">
        <f t="shared" si="92"/>
        <v>5942</v>
      </c>
      <c r="B5943" s="1129" t="s">
        <v>2797</v>
      </c>
      <c r="C5943" s="1138"/>
      <c r="D5943" s="1129"/>
      <c r="E5943" s="1129"/>
      <c r="F5943" s="1129"/>
      <c r="G5943" s="1129"/>
      <c r="H5943" s="1129" t="str">
        <f>CONCATENATE("&lt;valeur&gt;",Cellule_1108_1,"&lt;/valeur&gt;")</f>
        <v>&lt;valeur&gt;&lt;/valeur&gt;</v>
      </c>
      <c r="I5943" s="1127"/>
    </row>
    <row r="5944" spans="1:9" x14ac:dyDescent="0.2">
      <c r="A5944" s="997">
        <f t="shared" si="92"/>
        <v>5943</v>
      </c>
      <c r="B5944" s="1129" t="s">
        <v>2797</v>
      </c>
      <c r="C5944" s="1139"/>
      <c r="D5944" s="1129"/>
      <c r="E5944" s="1129"/>
      <c r="F5944" s="1129"/>
      <c r="G5944" s="1129"/>
      <c r="H5944" s="1129" t="s">
        <v>1348</v>
      </c>
      <c r="I5944" s="1127"/>
    </row>
    <row r="5945" spans="1:9" x14ac:dyDescent="0.2">
      <c r="A5945" s="997">
        <f t="shared" si="92"/>
        <v>5944</v>
      </c>
      <c r="B5945" s="1130" t="s">
        <v>2797</v>
      </c>
      <c r="C5945" s="1141"/>
      <c r="D5945" s="1130"/>
      <c r="E5945" s="1130"/>
      <c r="F5945" s="1130"/>
      <c r="G5945" s="1130" t="s">
        <v>1109</v>
      </c>
      <c r="H5945" s="1130"/>
      <c r="I5945" s="1142"/>
    </row>
    <row r="5946" spans="1:9" x14ac:dyDescent="0.2">
      <c r="A5946" s="997">
        <f t="shared" si="92"/>
        <v>5945</v>
      </c>
      <c r="B5946" s="1128" t="s">
        <v>2797</v>
      </c>
      <c r="C5946" s="1137"/>
      <c r="D5946" s="1128"/>
      <c r="E5946" s="1128"/>
      <c r="F5946" s="1128"/>
      <c r="G5946" s="1128" t="s">
        <v>1106</v>
      </c>
      <c r="H5946" s="1128"/>
      <c r="I5946" s="1124"/>
    </row>
    <row r="5947" spans="1:9" x14ac:dyDescent="0.2">
      <c r="A5947" s="997">
        <f t="shared" si="92"/>
        <v>5946</v>
      </c>
      <c r="B5947" s="1129" t="s">
        <v>2797</v>
      </c>
      <c r="C5947" s="1138"/>
      <c r="D5947" s="1129"/>
      <c r="E5947" s="1129"/>
      <c r="F5947" s="1129"/>
      <c r="G5947" s="1129"/>
      <c r="H5947" s="1129" t="s">
        <v>2799</v>
      </c>
      <c r="I5947" s="1127"/>
    </row>
    <row r="5948" spans="1:9" x14ac:dyDescent="0.2">
      <c r="A5948" s="997">
        <f t="shared" si="92"/>
        <v>5947</v>
      </c>
      <c r="B5948" s="1129" t="s">
        <v>2797</v>
      </c>
      <c r="C5948" s="1139"/>
      <c r="D5948" s="1129"/>
      <c r="E5948" s="1129"/>
      <c r="F5948" s="1129"/>
      <c r="G5948" s="1129"/>
      <c r="H5948" s="1129" t="str">
        <f>CONCATENATE("&lt;valeur&gt;",Cellule_1098_2,"&lt;/valeur&gt;")</f>
        <v>&lt;valeur&gt;&lt;/valeur&gt;</v>
      </c>
      <c r="I5948" s="1127"/>
    </row>
    <row r="5949" spans="1:9" x14ac:dyDescent="0.2">
      <c r="A5949" s="997">
        <f t="shared" si="92"/>
        <v>5948</v>
      </c>
      <c r="B5949" s="1129" t="s">
        <v>2797</v>
      </c>
      <c r="C5949" s="1140"/>
      <c r="D5949" s="1129"/>
      <c r="E5949" s="1129"/>
      <c r="F5949" s="1129"/>
      <c r="G5949" s="1129"/>
      <c r="H5949" s="1129" t="s">
        <v>2735</v>
      </c>
      <c r="I5949" s="1127"/>
    </row>
    <row r="5950" spans="1:9" x14ac:dyDescent="0.2">
      <c r="A5950" s="997">
        <f t="shared" si="92"/>
        <v>5949</v>
      </c>
      <c r="B5950" s="1129" t="s">
        <v>2797</v>
      </c>
      <c r="C5950" s="1139"/>
      <c r="D5950" s="1129"/>
      <c r="E5950" s="1129"/>
      <c r="F5950" s="1129"/>
      <c r="G5950" s="1129" t="s">
        <v>1109</v>
      </c>
      <c r="H5950" s="1129"/>
      <c r="I5950" s="1127"/>
    </row>
    <row r="5951" spans="1:9" x14ac:dyDescent="0.2">
      <c r="A5951" s="997">
        <f t="shared" si="92"/>
        <v>5950</v>
      </c>
      <c r="B5951" s="1129" t="s">
        <v>2797</v>
      </c>
      <c r="C5951" s="1139"/>
      <c r="D5951" s="1129"/>
      <c r="E5951" s="1129"/>
      <c r="F5951" s="1129"/>
      <c r="G5951" s="1129" t="s">
        <v>1106</v>
      </c>
      <c r="H5951" s="1129"/>
      <c r="I5951" s="1127"/>
    </row>
    <row r="5952" spans="1:9" x14ac:dyDescent="0.2">
      <c r="A5952" s="997">
        <f t="shared" si="92"/>
        <v>5951</v>
      </c>
      <c r="B5952" s="1129" t="s">
        <v>2797</v>
      </c>
      <c r="C5952" s="1138"/>
      <c r="D5952" s="1129"/>
      <c r="E5952" s="1129"/>
      <c r="F5952" s="1129"/>
      <c r="G5952" s="1129"/>
      <c r="H5952" s="1129" t="s">
        <v>2800</v>
      </c>
      <c r="I5952" s="1127"/>
    </row>
    <row r="5953" spans="1:9" x14ac:dyDescent="0.2">
      <c r="A5953" s="997">
        <f t="shared" si="92"/>
        <v>5952</v>
      </c>
      <c r="B5953" s="1129" t="s">
        <v>2797</v>
      </c>
      <c r="C5953" s="1138"/>
      <c r="D5953" s="1129"/>
      <c r="E5953" s="1129"/>
      <c r="F5953" s="1129"/>
      <c r="G5953" s="1129"/>
      <c r="H5953" s="1129" t="str">
        <f>CONCATENATE("&lt;valeur&gt;",Cellule_1099_2,"&lt;/valeur&gt;")</f>
        <v>&lt;valeur&gt;&lt;/valeur&gt;</v>
      </c>
      <c r="I5953" s="1127"/>
    </row>
    <row r="5954" spans="1:9" x14ac:dyDescent="0.2">
      <c r="A5954" s="997">
        <f t="shared" si="92"/>
        <v>5953</v>
      </c>
      <c r="B5954" s="1129" t="s">
        <v>2797</v>
      </c>
      <c r="C5954" s="1139"/>
      <c r="D5954" s="1129"/>
      <c r="E5954" s="1129"/>
      <c r="F5954" s="1129"/>
      <c r="G5954" s="1129"/>
      <c r="H5954" s="1129" t="s">
        <v>2735</v>
      </c>
      <c r="I5954" s="1127"/>
    </row>
    <row r="5955" spans="1:9" x14ac:dyDescent="0.2">
      <c r="A5955" s="997">
        <f t="shared" si="92"/>
        <v>5954</v>
      </c>
      <c r="B5955" s="1129" t="s">
        <v>2797</v>
      </c>
      <c r="C5955" s="1140"/>
      <c r="D5955" s="1129"/>
      <c r="E5955" s="1129"/>
      <c r="F5955" s="1129"/>
      <c r="G5955" s="1129" t="s">
        <v>1109</v>
      </c>
      <c r="H5955" s="1129"/>
      <c r="I5955" s="1127"/>
    </row>
    <row r="5956" spans="1:9" x14ac:dyDescent="0.2">
      <c r="A5956" s="997">
        <f t="shared" ref="A5956:A6019" si="93">+A5955+1</f>
        <v>5955</v>
      </c>
      <c r="B5956" s="1129" t="s">
        <v>2797</v>
      </c>
      <c r="C5956" s="1139"/>
      <c r="D5956" s="1129"/>
      <c r="E5956" s="1129"/>
      <c r="F5956" s="1129"/>
      <c r="G5956" s="1129" t="s">
        <v>1106</v>
      </c>
      <c r="H5956" s="1129"/>
      <c r="I5956" s="1127"/>
    </row>
    <row r="5957" spans="1:9" x14ac:dyDescent="0.2">
      <c r="A5957" s="997">
        <f t="shared" si="93"/>
        <v>5956</v>
      </c>
      <c r="B5957" s="1129" t="s">
        <v>2797</v>
      </c>
      <c r="C5957" s="1139"/>
      <c r="D5957" s="1129"/>
      <c r="E5957" s="1129"/>
      <c r="F5957" s="1129"/>
      <c r="G5957" s="1129"/>
      <c r="H5957" s="1129" t="s">
        <v>2801</v>
      </c>
      <c r="I5957" s="1127"/>
    </row>
    <row r="5958" spans="1:9" x14ac:dyDescent="0.2">
      <c r="A5958" s="997">
        <f t="shared" si="93"/>
        <v>5957</v>
      </c>
      <c r="B5958" s="1129" t="s">
        <v>2797</v>
      </c>
      <c r="C5958" s="1138"/>
      <c r="D5958" s="1129"/>
      <c r="E5958" s="1129"/>
      <c r="F5958" s="1129"/>
      <c r="G5958" s="1129"/>
      <c r="H5958" s="1129" t="str">
        <f>CONCATENATE("&lt;valeur&gt;",Cellule_1100_2,"&lt;/valeur&gt;")</f>
        <v>&lt;valeur&gt;&lt;/valeur&gt;</v>
      </c>
      <c r="I5958" s="1127"/>
    </row>
    <row r="5959" spans="1:9" x14ac:dyDescent="0.2">
      <c r="A5959" s="997">
        <f t="shared" si="93"/>
        <v>5958</v>
      </c>
      <c r="B5959" s="1129" t="s">
        <v>2797</v>
      </c>
      <c r="C5959" s="1138"/>
      <c r="D5959" s="1129"/>
      <c r="E5959" s="1129"/>
      <c r="F5959" s="1129"/>
      <c r="G5959" s="1129"/>
      <c r="H5959" s="1129" t="s">
        <v>2735</v>
      </c>
      <c r="I5959" s="1127"/>
    </row>
    <row r="5960" spans="1:9" x14ac:dyDescent="0.2">
      <c r="A5960" s="997">
        <f t="shared" si="93"/>
        <v>5959</v>
      </c>
      <c r="B5960" s="1129" t="s">
        <v>2797</v>
      </c>
      <c r="C5960" s="1139"/>
      <c r="D5960" s="1129"/>
      <c r="E5960" s="1129"/>
      <c r="F5960" s="1129"/>
      <c r="G5960" s="1129" t="s">
        <v>1109</v>
      </c>
      <c r="H5960" s="1129"/>
      <c r="I5960" s="1127"/>
    </row>
    <row r="5961" spans="1:9" x14ac:dyDescent="0.2">
      <c r="A5961" s="997">
        <f t="shared" si="93"/>
        <v>5960</v>
      </c>
      <c r="B5961" s="1129" t="s">
        <v>2797</v>
      </c>
      <c r="C5961" s="1140"/>
      <c r="D5961" s="1129"/>
      <c r="E5961" s="1129"/>
      <c r="F5961" s="1129"/>
      <c r="G5961" s="1129" t="s">
        <v>1106</v>
      </c>
      <c r="H5961" s="1129"/>
      <c r="I5961" s="1127"/>
    </row>
    <row r="5962" spans="1:9" x14ac:dyDescent="0.2">
      <c r="A5962" s="997">
        <f t="shared" si="93"/>
        <v>5961</v>
      </c>
      <c r="B5962" s="1129" t="s">
        <v>2797</v>
      </c>
      <c r="C5962" s="1139"/>
      <c r="D5962" s="1129"/>
      <c r="E5962" s="1129"/>
      <c r="F5962" s="1129"/>
      <c r="G5962" s="1129"/>
      <c r="H5962" s="1129" t="s">
        <v>2802</v>
      </c>
      <c r="I5962" s="1127"/>
    </row>
    <row r="5963" spans="1:9" x14ac:dyDescent="0.2">
      <c r="A5963" s="997">
        <f t="shared" si="93"/>
        <v>5962</v>
      </c>
      <c r="B5963" s="1129" t="s">
        <v>2797</v>
      </c>
      <c r="C5963" s="1139"/>
      <c r="D5963" s="1129"/>
      <c r="E5963" s="1129"/>
      <c r="F5963" s="1129"/>
      <c r="G5963" s="1129"/>
      <c r="H5963" s="1129" t="str">
        <f>CONCATENATE("&lt;valeur&gt;",Cellule_1101_2,"&lt;/valeur&gt;")</f>
        <v>&lt;valeur&gt;&lt;/valeur&gt;</v>
      </c>
      <c r="I5963" s="1127"/>
    </row>
    <row r="5964" spans="1:9" x14ac:dyDescent="0.2">
      <c r="A5964" s="997">
        <f t="shared" si="93"/>
        <v>5963</v>
      </c>
      <c r="B5964" s="1129" t="s">
        <v>2797</v>
      </c>
      <c r="C5964" s="1138"/>
      <c r="D5964" s="1129"/>
      <c r="E5964" s="1129"/>
      <c r="F5964" s="1129"/>
      <c r="G5964" s="1129"/>
      <c r="H5964" s="1129" t="s">
        <v>2735</v>
      </c>
      <c r="I5964" s="1127"/>
    </row>
    <row r="5965" spans="1:9" x14ac:dyDescent="0.2">
      <c r="A5965" s="997">
        <f t="shared" si="93"/>
        <v>5964</v>
      </c>
      <c r="B5965" s="1129" t="s">
        <v>2797</v>
      </c>
      <c r="C5965" s="1138"/>
      <c r="D5965" s="1129"/>
      <c r="E5965" s="1129"/>
      <c r="F5965" s="1129"/>
      <c r="G5965" s="1129" t="s">
        <v>1109</v>
      </c>
      <c r="H5965" s="1129"/>
      <c r="I5965" s="1127"/>
    </row>
    <row r="5966" spans="1:9" x14ac:dyDescent="0.2">
      <c r="A5966" s="997">
        <f t="shared" si="93"/>
        <v>5965</v>
      </c>
      <c r="B5966" s="1129" t="s">
        <v>2797</v>
      </c>
      <c r="C5966" s="1139"/>
      <c r="D5966" s="1129"/>
      <c r="E5966" s="1129"/>
      <c r="F5966" s="1129"/>
      <c r="G5966" s="1129" t="s">
        <v>1106</v>
      </c>
      <c r="H5966" s="1129"/>
      <c r="I5966" s="1127"/>
    </row>
    <row r="5967" spans="1:9" x14ac:dyDescent="0.2">
      <c r="A5967" s="997">
        <f t="shared" si="93"/>
        <v>5966</v>
      </c>
      <c r="B5967" s="1129" t="s">
        <v>2797</v>
      </c>
      <c r="C5967" s="1140"/>
      <c r="D5967" s="1129"/>
      <c r="E5967" s="1129"/>
      <c r="F5967" s="1129"/>
      <c r="G5967" s="1129"/>
      <c r="H5967" s="1129" t="s">
        <v>2803</v>
      </c>
      <c r="I5967" s="1127"/>
    </row>
    <row r="5968" spans="1:9" x14ac:dyDescent="0.2">
      <c r="A5968" s="997">
        <f t="shared" si="93"/>
        <v>5967</v>
      </c>
      <c r="B5968" s="1129" t="s">
        <v>2797</v>
      </c>
      <c r="C5968" s="1139"/>
      <c r="D5968" s="1129"/>
      <c r="E5968" s="1129"/>
      <c r="F5968" s="1129"/>
      <c r="G5968" s="1129"/>
      <c r="H5968" s="1129" t="str">
        <f>CONCATENATE("&lt;valeur&gt;",Cellule_1102_2,"&lt;/valeur&gt;")</f>
        <v>&lt;valeur&gt;&lt;/valeur&gt;</v>
      </c>
      <c r="I5968" s="1127"/>
    </row>
    <row r="5969" spans="1:9" x14ac:dyDescent="0.2">
      <c r="A5969" s="997">
        <f t="shared" si="93"/>
        <v>5968</v>
      </c>
      <c r="B5969" s="1129" t="s">
        <v>2797</v>
      </c>
      <c r="C5969" s="1139"/>
      <c r="D5969" s="1129"/>
      <c r="E5969" s="1129"/>
      <c r="F5969" s="1129"/>
      <c r="G5969" s="1129"/>
      <c r="H5969" s="1129" t="s">
        <v>2735</v>
      </c>
      <c r="I5969" s="1127"/>
    </row>
    <row r="5970" spans="1:9" x14ac:dyDescent="0.2">
      <c r="A5970" s="997">
        <f t="shared" si="93"/>
        <v>5969</v>
      </c>
      <c r="B5970" s="1129" t="s">
        <v>2797</v>
      </c>
      <c r="C5970" s="1138"/>
      <c r="D5970" s="1129"/>
      <c r="E5970" s="1129"/>
      <c r="F5970" s="1129"/>
      <c r="G5970" s="1129" t="s">
        <v>1109</v>
      </c>
      <c r="H5970" s="1129"/>
      <c r="I5970" s="1127"/>
    </row>
    <row r="5971" spans="1:9" x14ac:dyDescent="0.2">
      <c r="A5971" s="997">
        <f t="shared" si="93"/>
        <v>5970</v>
      </c>
      <c r="B5971" s="1129" t="s">
        <v>2797</v>
      </c>
      <c r="C5971" s="1138"/>
      <c r="D5971" s="1129"/>
      <c r="E5971" s="1129"/>
      <c r="F5971" s="1129"/>
      <c r="G5971" s="1129" t="s">
        <v>1106</v>
      </c>
      <c r="H5971" s="1129"/>
      <c r="I5971" s="1127"/>
    </row>
    <row r="5972" spans="1:9" x14ac:dyDescent="0.2">
      <c r="A5972" s="997">
        <f t="shared" si="93"/>
        <v>5971</v>
      </c>
      <c r="B5972" s="1129" t="s">
        <v>2797</v>
      </c>
      <c r="C5972" s="1139"/>
      <c r="D5972" s="1129"/>
      <c r="E5972" s="1129"/>
      <c r="F5972" s="1129"/>
      <c r="G5972" s="1129"/>
      <c r="H5972" s="1129" t="s">
        <v>2804</v>
      </c>
      <c r="I5972" s="1127"/>
    </row>
    <row r="5973" spans="1:9" x14ac:dyDescent="0.2">
      <c r="A5973" s="997">
        <f t="shared" si="93"/>
        <v>5972</v>
      </c>
      <c r="B5973" s="1129" t="s">
        <v>2797</v>
      </c>
      <c r="C5973" s="1140"/>
      <c r="D5973" s="1129"/>
      <c r="E5973" s="1129"/>
      <c r="F5973" s="1129"/>
      <c r="G5973" s="1129"/>
      <c r="H5973" s="1129" t="str">
        <f>CONCATENATE("&lt;valeur&gt;",Cellule_1103_2,"&lt;/valeur&gt;")</f>
        <v>&lt;valeur&gt;&lt;/valeur&gt;</v>
      </c>
      <c r="I5973" s="1127"/>
    </row>
    <row r="5974" spans="1:9" x14ac:dyDescent="0.2">
      <c r="A5974" s="997">
        <f t="shared" si="93"/>
        <v>5973</v>
      </c>
      <c r="B5974" s="1129" t="s">
        <v>2797</v>
      </c>
      <c r="C5974" s="1139"/>
      <c r="D5974" s="1129"/>
      <c r="E5974" s="1129"/>
      <c r="F5974" s="1129"/>
      <c r="G5974" s="1129"/>
      <c r="H5974" s="1129" t="s">
        <v>2735</v>
      </c>
      <c r="I5974" s="1127"/>
    </row>
    <row r="5975" spans="1:9" x14ac:dyDescent="0.2">
      <c r="A5975" s="997">
        <f t="shared" si="93"/>
        <v>5974</v>
      </c>
      <c r="B5975" s="1129" t="s">
        <v>2797</v>
      </c>
      <c r="C5975" s="1139"/>
      <c r="D5975" s="1129"/>
      <c r="E5975" s="1129"/>
      <c r="F5975" s="1129"/>
      <c r="G5975" s="1129" t="s">
        <v>1109</v>
      </c>
      <c r="H5975" s="1129"/>
      <c r="I5975" s="1127"/>
    </row>
    <row r="5976" spans="1:9" x14ac:dyDescent="0.2">
      <c r="A5976" s="997">
        <f t="shared" si="93"/>
        <v>5975</v>
      </c>
      <c r="B5976" s="1129" t="s">
        <v>2797</v>
      </c>
      <c r="C5976" s="1138"/>
      <c r="D5976" s="1129"/>
      <c r="E5976" s="1129"/>
      <c r="F5976" s="1129"/>
      <c r="G5976" s="1129" t="s">
        <v>1106</v>
      </c>
      <c r="H5976" s="1129"/>
      <c r="I5976" s="1127"/>
    </row>
    <row r="5977" spans="1:9" x14ac:dyDescent="0.2">
      <c r="A5977" s="997">
        <f t="shared" si="93"/>
        <v>5976</v>
      </c>
      <c r="B5977" s="1129" t="s">
        <v>2797</v>
      </c>
      <c r="C5977" s="1138"/>
      <c r="D5977" s="1129"/>
      <c r="E5977" s="1129"/>
      <c r="F5977" s="1129"/>
      <c r="G5977" s="1129"/>
      <c r="H5977" s="1129" t="s">
        <v>2805</v>
      </c>
      <c r="I5977" s="1127"/>
    </row>
    <row r="5978" spans="1:9" x14ac:dyDescent="0.2">
      <c r="A5978" s="997">
        <f t="shared" si="93"/>
        <v>5977</v>
      </c>
      <c r="B5978" s="1129" t="s">
        <v>2797</v>
      </c>
      <c r="C5978" s="1139"/>
      <c r="D5978" s="1129"/>
      <c r="E5978" s="1129"/>
      <c r="F5978" s="1129"/>
      <c r="G5978" s="1129"/>
      <c r="H5978" s="1129" t="str">
        <f>CONCATENATE("&lt;valeur&gt;",Cellule_1104_2,"&lt;/valeur&gt;")</f>
        <v>&lt;valeur&gt;&lt;/valeur&gt;</v>
      </c>
      <c r="I5978" s="1127"/>
    </row>
    <row r="5979" spans="1:9" x14ac:dyDescent="0.2">
      <c r="A5979" s="997">
        <f t="shared" si="93"/>
        <v>5978</v>
      </c>
      <c r="B5979" s="1129" t="s">
        <v>2797</v>
      </c>
      <c r="C5979" s="1140"/>
      <c r="D5979" s="1129"/>
      <c r="E5979" s="1129"/>
      <c r="F5979" s="1129"/>
      <c r="G5979" s="1129"/>
      <c r="H5979" s="1129" t="s">
        <v>2735</v>
      </c>
      <c r="I5979" s="1127"/>
    </row>
    <row r="5980" spans="1:9" x14ac:dyDescent="0.2">
      <c r="A5980" s="997">
        <f t="shared" si="93"/>
        <v>5979</v>
      </c>
      <c r="B5980" s="1129" t="s">
        <v>2797</v>
      </c>
      <c r="C5980" s="1139"/>
      <c r="D5980" s="1129"/>
      <c r="E5980" s="1129"/>
      <c r="F5980" s="1129"/>
      <c r="G5980" s="1129" t="s">
        <v>1109</v>
      </c>
      <c r="H5980" s="1129"/>
      <c r="I5980" s="1127"/>
    </row>
    <row r="5981" spans="1:9" x14ac:dyDescent="0.2">
      <c r="A5981" s="997">
        <f t="shared" si="93"/>
        <v>5980</v>
      </c>
      <c r="B5981" s="1129" t="s">
        <v>2797</v>
      </c>
      <c r="C5981" s="1139"/>
      <c r="D5981" s="1129"/>
      <c r="E5981" s="1129"/>
      <c r="F5981" s="1129"/>
      <c r="G5981" s="1129" t="s">
        <v>1106</v>
      </c>
      <c r="H5981" s="1129"/>
      <c r="I5981" s="1127"/>
    </row>
    <row r="5982" spans="1:9" x14ac:dyDescent="0.2">
      <c r="A5982" s="997">
        <f t="shared" si="93"/>
        <v>5981</v>
      </c>
      <c r="B5982" s="1129" t="s">
        <v>2797</v>
      </c>
      <c r="C5982" s="1138"/>
      <c r="D5982" s="1129"/>
      <c r="E5982" s="1129"/>
      <c r="F5982" s="1129"/>
      <c r="G5982" s="1129"/>
      <c r="H5982" s="1129" t="s">
        <v>2806</v>
      </c>
      <c r="I5982" s="1127"/>
    </row>
    <row r="5983" spans="1:9" x14ac:dyDescent="0.2">
      <c r="A5983" s="997">
        <f t="shared" si="93"/>
        <v>5982</v>
      </c>
      <c r="B5983" s="1129" t="s">
        <v>2797</v>
      </c>
      <c r="C5983" s="1138"/>
      <c r="D5983" s="1129"/>
      <c r="E5983" s="1129"/>
      <c r="F5983" s="1129"/>
      <c r="G5983" s="1129"/>
      <c r="H5983" s="1129" t="str">
        <f>CONCATENATE("&lt;valeur&gt;",Cellule_1105_2,"&lt;/valeur&gt;")</f>
        <v>&lt;valeur&gt;&lt;/valeur&gt;</v>
      </c>
      <c r="I5983" s="1127"/>
    </row>
    <row r="5984" spans="1:9" x14ac:dyDescent="0.2">
      <c r="A5984" s="997">
        <f t="shared" si="93"/>
        <v>5983</v>
      </c>
      <c r="B5984" s="1129" t="s">
        <v>2797</v>
      </c>
      <c r="C5984" s="1139"/>
      <c r="D5984" s="1129"/>
      <c r="E5984" s="1129"/>
      <c r="F5984" s="1129"/>
      <c r="G5984" s="1129"/>
      <c r="H5984" s="1129" t="s">
        <v>2735</v>
      </c>
      <c r="I5984" s="1127"/>
    </row>
    <row r="5985" spans="1:9" x14ac:dyDescent="0.2">
      <c r="A5985" s="997">
        <f t="shared" si="93"/>
        <v>5984</v>
      </c>
      <c r="B5985" s="1129" t="s">
        <v>2797</v>
      </c>
      <c r="C5985" s="1140"/>
      <c r="D5985" s="1129"/>
      <c r="E5985" s="1129"/>
      <c r="F5985" s="1129"/>
      <c r="G5985" s="1129" t="s">
        <v>1109</v>
      </c>
      <c r="H5985" s="1129"/>
      <c r="I5985" s="1127"/>
    </row>
    <row r="5986" spans="1:9" x14ac:dyDescent="0.2">
      <c r="A5986" s="997">
        <f t="shared" si="93"/>
        <v>5985</v>
      </c>
      <c r="B5986" s="1129" t="s">
        <v>2797</v>
      </c>
      <c r="C5986" s="1139"/>
      <c r="D5986" s="1129"/>
      <c r="E5986" s="1129"/>
      <c r="F5986" s="1129"/>
      <c r="G5986" s="1129" t="s">
        <v>1106</v>
      </c>
      <c r="H5986" s="1129"/>
      <c r="I5986" s="1127"/>
    </row>
    <row r="5987" spans="1:9" x14ac:dyDescent="0.2">
      <c r="A5987" s="997">
        <f t="shared" si="93"/>
        <v>5986</v>
      </c>
      <c r="B5987" s="1129" t="s">
        <v>2797</v>
      </c>
      <c r="C5987" s="1138"/>
      <c r="D5987" s="1129"/>
      <c r="E5987" s="1129"/>
      <c r="F5987" s="1129"/>
      <c r="G5987" s="1129"/>
      <c r="H5987" s="1129" t="s">
        <v>2807</v>
      </c>
      <c r="I5987" s="1127"/>
    </row>
    <row r="5988" spans="1:9" x14ac:dyDescent="0.2">
      <c r="A5988" s="997">
        <f t="shared" si="93"/>
        <v>5987</v>
      </c>
      <c r="B5988" s="1129" t="s">
        <v>2797</v>
      </c>
      <c r="C5988" s="1138"/>
      <c r="D5988" s="1129"/>
      <c r="E5988" s="1129"/>
      <c r="F5988" s="1129"/>
      <c r="G5988" s="1129"/>
      <c r="H5988" s="1129" t="str">
        <f>CONCATENATE("&lt;valeur&gt;",Cellule_1106_2,"&lt;/valeur&gt;")</f>
        <v>&lt;valeur&gt;&lt;/valeur&gt;</v>
      </c>
      <c r="I5988" s="1127"/>
    </row>
    <row r="5989" spans="1:9" x14ac:dyDescent="0.2">
      <c r="A5989" s="997">
        <f t="shared" si="93"/>
        <v>5988</v>
      </c>
      <c r="B5989" s="1129" t="s">
        <v>2797</v>
      </c>
      <c r="C5989" s="1139"/>
      <c r="D5989" s="1129"/>
      <c r="E5989" s="1129"/>
      <c r="F5989" s="1129"/>
      <c r="G5989" s="1129"/>
      <c r="H5989" s="1129" t="s">
        <v>2735</v>
      </c>
      <c r="I5989" s="1127"/>
    </row>
    <row r="5990" spans="1:9" x14ac:dyDescent="0.2">
      <c r="A5990" s="997">
        <f t="shared" si="93"/>
        <v>5989</v>
      </c>
      <c r="B5990" s="1129" t="s">
        <v>2797</v>
      </c>
      <c r="C5990" s="1140"/>
      <c r="D5990" s="1129"/>
      <c r="E5990" s="1129"/>
      <c r="F5990" s="1129"/>
      <c r="G5990" s="1129" t="s">
        <v>1109</v>
      </c>
      <c r="H5990" s="1129"/>
      <c r="I5990" s="1127"/>
    </row>
    <row r="5991" spans="1:9" x14ac:dyDescent="0.2">
      <c r="A5991" s="997">
        <f t="shared" si="93"/>
        <v>5990</v>
      </c>
      <c r="B5991" s="1129" t="s">
        <v>2797</v>
      </c>
      <c r="C5991" s="1139"/>
      <c r="D5991" s="1129"/>
      <c r="E5991" s="1129"/>
      <c r="F5991" s="1129"/>
      <c r="G5991" s="1129" t="s">
        <v>1106</v>
      </c>
      <c r="H5991" s="1129"/>
      <c r="I5991" s="1127"/>
    </row>
    <row r="5992" spans="1:9" x14ac:dyDescent="0.2">
      <c r="A5992" s="997">
        <f t="shared" si="93"/>
        <v>5991</v>
      </c>
      <c r="B5992" s="1129" t="s">
        <v>2797</v>
      </c>
      <c r="C5992" s="1138"/>
      <c r="D5992" s="1129"/>
      <c r="E5992" s="1129"/>
      <c r="F5992" s="1129"/>
      <c r="G5992" s="1129"/>
      <c r="H5992" s="1129" t="s">
        <v>2808</v>
      </c>
      <c r="I5992" s="1127"/>
    </row>
    <row r="5993" spans="1:9" x14ac:dyDescent="0.2">
      <c r="A5993" s="997">
        <f t="shared" si="93"/>
        <v>5992</v>
      </c>
      <c r="B5993" s="1129" t="s">
        <v>2797</v>
      </c>
      <c r="C5993" s="1138"/>
      <c r="D5993" s="1129"/>
      <c r="E5993" s="1129"/>
      <c r="F5993" s="1129"/>
      <c r="G5993" s="1129"/>
      <c r="H5993" s="1129" t="str">
        <f>CONCATENATE("&lt;valeur&gt;",Cellule_1107_2,"&lt;/valeur&gt;")</f>
        <v>&lt;valeur&gt;&lt;/valeur&gt;</v>
      </c>
      <c r="I5993" s="1127"/>
    </row>
    <row r="5994" spans="1:9" x14ac:dyDescent="0.2">
      <c r="A5994" s="997">
        <f t="shared" si="93"/>
        <v>5993</v>
      </c>
      <c r="B5994" s="1129" t="s">
        <v>2797</v>
      </c>
      <c r="C5994" s="1139"/>
      <c r="D5994" s="1129"/>
      <c r="E5994" s="1129"/>
      <c r="F5994" s="1129"/>
      <c r="G5994" s="1129"/>
      <c r="H5994" s="1129" t="s">
        <v>2735</v>
      </c>
      <c r="I5994" s="1127"/>
    </row>
    <row r="5995" spans="1:9" x14ac:dyDescent="0.2">
      <c r="A5995" s="997">
        <f t="shared" si="93"/>
        <v>5994</v>
      </c>
      <c r="B5995" s="1129" t="s">
        <v>2797</v>
      </c>
      <c r="C5995" s="1140"/>
      <c r="D5995" s="1129"/>
      <c r="E5995" s="1129"/>
      <c r="F5995" s="1129"/>
      <c r="G5995" s="1129" t="s">
        <v>1109</v>
      </c>
      <c r="H5995" s="1129"/>
      <c r="I5995" s="1127"/>
    </row>
    <row r="5996" spans="1:9" x14ac:dyDescent="0.2">
      <c r="A5996" s="997">
        <f t="shared" si="93"/>
        <v>5995</v>
      </c>
      <c r="B5996" s="1129" t="s">
        <v>2797</v>
      </c>
      <c r="C5996" s="1139"/>
      <c r="D5996" s="1129"/>
      <c r="E5996" s="1129"/>
      <c r="F5996" s="1129"/>
      <c r="G5996" s="1129" t="s">
        <v>1106</v>
      </c>
      <c r="H5996" s="1129"/>
      <c r="I5996" s="1127"/>
    </row>
    <row r="5997" spans="1:9" x14ac:dyDescent="0.2">
      <c r="A5997" s="997">
        <f t="shared" si="93"/>
        <v>5996</v>
      </c>
      <c r="B5997" s="1129" t="s">
        <v>2797</v>
      </c>
      <c r="C5997" s="1138"/>
      <c r="D5997" s="1129"/>
      <c r="E5997" s="1129"/>
      <c r="F5997" s="1129"/>
      <c r="G5997" s="1129"/>
      <c r="H5997" s="1129" t="s">
        <v>2809</v>
      </c>
      <c r="I5997" s="1127"/>
    </row>
    <row r="5998" spans="1:9" x14ac:dyDescent="0.2">
      <c r="A5998" s="997">
        <f t="shared" si="93"/>
        <v>5997</v>
      </c>
      <c r="B5998" s="1129" t="s">
        <v>2797</v>
      </c>
      <c r="C5998" s="1138"/>
      <c r="D5998" s="1129"/>
      <c r="E5998" s="1129"/>
      <c r="F5998" s="1129"/>
      <c r="G5998" s="1129"/>
      <c r="H5998" s="1129" t="str">
        <f>CONCATENATE("&lt;valeur&gt;",Cellule_1108_2,"&lt;/valeur&gt;")</f>
        <v>&lt;valeur&gt;&lt;/valeur&gt;</v>
      </c>
      <c r="I5998" s="1127"/>
    </row>
    <row r="5999" spans="1:9" x14ac:dyDescent="0.2">
      <c r="A5999" s="997">
        <f t="shared" si="93"/>
        <v>5998</v>
      </c>
      <c r="B5999" s="1129" t="s">
        <v>2797</v>
      </c>
      <c r="C5999" s="1139"/>
      <c r="D5999" s="1129"/>
      <c r="E5999" s="1129"/>
      <c r="F5999" s="1129"/>
      <c r="G5999" s="1129"/>
      <c r="H5999" s="1129" t="s">
        <v>2735</v>
      </c>
      <c r="I5999" s="1127"/>
    </row>
    <row r="6000" spans="1:9" x14ac:dyDescent="0.2">
      <c r="A6000" s="997">
        <f t="shared" si="93"/>
        <v>5999</v>
      </c>
      <c r="B6000" s="1130" t="s">
        <v>2797</v>
      </c>
      <c r="C6000" s="1141"/>
      <c r="D6000" s="1130"/>
      <c r="E6000" s="1130"/>
      <c r="F6000" s="1130"/>
      <c r="G6000" s="1130" t="s">
        <v>1109</v>
      </c>
      <c r="H6000" s="1130"/>
      <c r="I6000" s="1142"/>
    </row>
    <row r="6001" spans="1:9" x14ac:dyDescent="0.2">
      <c r="A6001" s="997">
        <f t="shared" si="93"/>
        <v>6000</v>
      </c>
      <c r="B6001" s="1128" t="s">
        <v>2797</v>
      </c>
      <c r="C6001" s="1137"/>
      <c r="D6001" s="1128"/>
      <c r="E6001" s="1128"/>
      <c r="F6001" s="1128"/>
      <c r="G6001" s="1128" t="s">
        <v>1106</v>
      </c>
      <c r="H6001" s="1128"/>
      <c r="I6001" s="1124"/>
    </row>
    <row r="6002" spans="1:9" x14ac:dyDescent="0.2">
      <c r="A6002" s="997">
        <f t="shared" si="93"/>
        <v>6001</v>
      </c>
      <c r="B6002" s="1129" t="s">
        <v>2797</v>
      </c>
      <c r="C6002" s="1138"/>
      <c r="D6002" s="1129"/>
      <c r="E6002" s="1129"/>
      <c r="F6002" s="1129"/>
      <c r="G6002" s="1129"/>
      <c r="H6002" s="1129" t="s">
        <v>2799</v>
      </c>
      <c r="I6002" s="1127"/>
    </row>
    <row r="6003" spans="1:9" x14ac:dyDescent="0.2">
      <c r="A6003" s="997">
        <f t="shared" si="93"/>
        <v>6002</v>
      </c>
      <c r="B6003" s="1129" t="s">
        <v>2797</v>
      </c>
      <c r="C6003" s="1139"/>
      <c r="D6003" s="1129"/>
      <c r="E6003" s="1129"/>
      <c r="F6003" s="1129"/>
      <c r="G6003" s="1129"/>
      <c r="H6003" s="1129" t="str">
        <f>CONCATENATE("&lt;valeur&gt;",Cellule_1098_3,"&lt;/valeur&gt;")</f>
        <v>&lt;valeur&gt;&lt;/valeur&gt;</v>
      </c>
      <c r="I6003" s="1127"/>
    </row>
    <row r="6004" spans="1:9" x14ac:dyDescent="0.2">
      <c r="A6004" s="997">
        <f t="shared" si="93"/>
        <v>6003</v>
      </c>
      <c r="B6004" s="1129" t="s">
        <v>2797</v>
      </c>
      <c r="C6004" s="1140"/>
      <c r="D6004" s="1129"/>
      <c r="E6004" s="1129"/>
      <c r="F6004" s="1129"/>
      <c r="G6004" s="1129"/>
      <c r="H6004" s="1129" t="s">
        <v>2736</v>
      </c>
      <c r="I6004" s="1127"/>
    </row>
    <row r="6005" spans="1:9" x14ac:dyDescent="0.2">
      <c r="A6005" s="997">
        <f t="shared" si="93"/>
        <v>6004</v>
      </c>
      <c r="B6005" s="1129" t="s">
        <v>2797</v>
      </c>
      <c r="C6005" s="1139"/>
      <c r="D6005" s="1129"/>
      <c r="E6005" s="1129"/>
      <c r="F6005" s="1129"/>
      <c r="G6005" s="1129" t="s">
        <v>1109</v>
      </c>
      <c r="H6005" s="1129"/>
      <c r="I6005" s="1127"/>
    </row>
    <row r="6006" spans="1:9" x14ac:dyDescent="0.2">
      <c r="A6006" s="997">
        <f t="shared" si="93"/>
        <v>6005</v>
      </c>
      <c r="B6006" s="1129" t="s">
        <v>2797</v>
      </c>
      <c r="C6006" s="1139"/>
      <c r="D6006" s="1129"/>
      <c r="E6006" s="1129"/>
      <c r="F6006" s="1129"/>
      <c r="G6006" s="1129" t="s">
        <v>1106</v>
      </c>
      <c r="H6006" s="1129"/>
      <c r="I6006" s="1127"/>
    </row>
    <row r="6007" spans="1:9" x14ac:dyDescent="0.2">
      <c r="A6007" s="997">
        <f t="shared" si="93"/>
        <v>6006</v>
      </c>
      <c r="B6007" s="1129" t="s">
        <v>2797</v>
      </c>
      <c r="C6007" s="1138"/>
      <c r="D6007" s="1129"/>
      <c r="E6007" s="1129"/>
      <c r="F6007" s="1129"/>
      <c r="G6007" s="1129"/>
      <c r="H6007" s="1129" t="s">
        <v>2800</v>
      </c>
      <c r="I6007" s="1127"/>
    </row>
    <row r="6008" spans="1:9" x14ac:dyDescent="0.2">
      <c r="A6008" s="997">
        <f t="shared" si="93"/>
        <v>6007</v>
      </c>
      <c r="B6008" s="1129" t="s">
        <v>2797</v>
      </c>
      <c r="C6008" s="1138"/>
      <c r="D6008" s="1129"/>
      <c r="E6008" s="1129"/>
      <c r="F6008" s="1129"/>
      <c r="G6008" s="1129"/>
      <c r="H6008" s="1129" t="str">
        <f>CONCATENATE("&lt;valeur&gt;",Cellule_1099_3,"&lt;/valeur&gt;")</f>
        <v>&lt;valeur&gt;&lt;/valeur&gt;</v>
      </c>
      <c r="I6008" s="1127"/>
    </row>
    <row r="6009" spans="1:9" x14ac:dyDescent="0.2">
      <c r="A6009" s="997">
        <f t="shared" si="93"/>
        <v>6008</v>
      </c>
      <c r="B6009" s="1129" t="s">
        <v>2797</v>
      </c>
      <c r="C6009" s="1139"/>
      <c r="D6009" s="1129"/>
      <c r="E6009" s="1129"/>
      <c r="F6009" s="1129"/>
      <c r="G6009" s="1129"/>
      <c r="H6009" s="1129" t="s">
        <v>2736</v>
      </c>
      <c r="I6009" s="1127"/>
    </row>
    <row r="6010" spans="1:9" x14ac:dyDescent="0.2">
      <c r="A6010" s="997">
        <f t="shared" si="93"/>
        <v>6009</v>
      </c>
      <c r="B6010" s="1129" t="s">
        <v>2797</v>
      </c>
      <c r="C6010" s="1140"/>
      <c r="D6010" s="1129"/>
      <c r="E6010" s="1129"/>
      <c r="F6010" s="1129"/>
      <c r="G6010" s="1129" t="s">
        <v>1109</v>
      </c>
      <c r="H6010" s="1129"/>
      <c r="I6010" s="1127"/>
    </row>
    <row r="6011" spans="1:9" x14ac:dyDescent="0.2">
      <c r="A6011" s="997">
        <f t="shared" si="93"/>
        <v>6010</v>
      </c>
      <c r="B6011" s="1129" t="s">
        <v>2797</v>
      </c>
      <c r="C6011" s="1139"/>
      <c r="D6011" s="1129"/>
      <c r="E6011" s="1129"/>
      <c r="F6011" s="1129"/>
      <c r="G6011" s="1129" t="s">
        <v>1106</v>
      </c>
      <c r="H6011" s="1129"/>
      <c r="I6011" s="1127"/>
    </row>
    <row r="6012" spans="1:9" x14ac:dyDescent="0.2">
      <c r="A6012" s="997">
        <f t="shared" si="93"/>
        <v>6011</v>
      </c>
      <c r="B6012" s="1129" t="s">
        <v>2797</v>
      </c>
      <c r="C6012" s="1139"/>
      <c r="D6012" s="1129"/>
      <c r="E6012" s="1129"/>
      <c r="F6012" s="1129"/>
      <c r="G6012" s="1129"/>
      <c r="H6012" s="1129" t="s">
        <v>2801</v>
      </c>
      <c r="I6012" s="1127"/>
    </row>
    <row r="6013" spans="1:9" x14ac:dyDescent="0.2">
      <c r="A6013" s="997">
        <f t="shared" si="93"/>
        <v>6012</v>
      </c>
      <c r="B6013" s="1129" t="s">
        <v>2797</v>
      </c>
      <c r="C6013" s="1138"/>
      <c r="D6013" s="1129"/>
      <c r="E6013" s="1129"/>
      <c r="F6013" s="1129"/>
      <c r="G6013" s="1129"/>
      <c r="H6013" s="1129" t="str">
        <f>CONCATENATE("&lt;valeur&gt;",Cellule_1100_3,"&lt;/valeur&gt;")</f>
        <v>&lt;valeur&gt;&lt;/valeur&gt;</v>
      </c>
      <c r="I6013" s="1127"/>
    </row>
    <row r="6014" spans="1:9" x14ac:dyDescent="0.2">
      <c r="A6014" s="997">
        <f t="shared" si="93"/>
        <v>6013</v>
      </c>
      <c r="B6014" s="1129" t="s">
        <v>2797</v>
      </c>
      <c r="C6014" s="1138"/>
      <c r="D6014" s="1129"/>
      <c r="E6014" s="1129"/>
      <c r="F6014" s="1129"/>
      <c r="G6014" s="1129"/>
      <c r="H6014" s="1129" t="s">
        <v>2736</v>
      </c>
      <c r="I6014" s="1127"/>
    </row>
    <row r="6015" spans="1:9" x14ac:dyDescent="0.2">
      <c r="A6015" s="997">
        <f t="shared" si="93"/>
        <v>6014</v>
      </c>
      <c r="B6015" s="1129" t="s">
        <v>2797</v>
      </c>
      <c r="C6015" s="1139"/>
      <c r="D6015" s="1129"/>
      <c r="E6015" s="1129"/>
      <c r="F6015" s="1129"/>
      <c r="G6015" s="1129" t="s">
        <v>1109</v>
      </c>
      <c r="H6015" s="1129"/>
      <c r="I6015" s="1127"/>
    </row>
    <row r="6016" spans="1:9" x14ac:dyDescent="0.2">
      <c r="A6016" s="997">
        <f t="shared" si="93"/>
        <v>6015</v>
      </c>
      <c r="B6016" s="1129" t="s">
        <v>2797</v>
      </c>
      <c r="C6016" s="1140"/>
      <c r="D6016" s="1129"/>
      <c r="E6016" s="1129"/>
      <c r="F6016" s="1129"/>
      <c r="G6016" s="1129" t="s">
        <v>1106</v>
      </c>
      <c r="H6016" s="1129"/>
      <c r="I6016" s="1127"/>
    </row>
    <row r="6017" spans="1:9" x14ac:dyDescent="0.2">
      <c r="A6017" s="997">
        <f t="shared" si="93"/>
        <v>6016</v>
      </c>
      <c r="B6017" s="1129" t="s">
        <v>2797</v>
      </c>
      <c r="C6017" s="1139"/>
      <c r="D6017" s="1129"/>
      <c r="E6017" s="1129"/>
      <c r="F6017" s="1129"/>
      <c r="G6017" s="1129"/>
      <c r="H6017" s="1129" t="s">
        <v>2802</v>
      </c>
      <c r="I6017" s="1127"/>
    </row>
    <row r="6018" spans="1:9" x14ac:dyDescent="0.2">
      <c r="A6018" s="997">
        <f t="shared" si="93"/>
        <v>6017</v>
      </c>
      <c r="B6018" s="1129" t="s">
        <v>2797</v>
      </c>
      <c r="C6018" s="1139"/>
      <c r="D6018" s="1129"/>
      <c r="E6018" s="1129"/>
      <c r="F6018" s="1129"/>
      <c r="G6018" s="1129"/>
      <c r="H6018" s="1129" t="str">
        <f>CONCATENATE("&lt;valeur&gt;",Cellule_1101_3,"&lt;/valeur&gt;")</f>
        <v>&lt;valeur&gt;&lt;/valeur&gt;</v>
      </c>
      <c r="I6018" s="1127"/>
    </row>
    <row r="6019" spans="1:9" x14ac:dyDescent="0.2">
      <c r="A6019" s="997">
        <f t="shared" si="93"/>
        <v>6018</v>
      </c>
      <c r="B6019" s="1129" t="s">
        <v>2797</v>
      </c>
      <c r="C6019" s="1138"/>
      <c r="D6019" s="1129"/>
      <c r="E6019" s="1129"/>
      <c r="F6019" s="1129"/>
      <c r="G6019" s="1129"/>
      <c r="H6019" s="1129" t="s">
        <v>2736</v>
      </c>
      <c r="I6019" s="1127"/>
    </row>
    <row r="6020" spans="1:9" x14ac:dyDescent="0.2">
      <c r="A6020" s="997">
        <f t="shared" ref="A6020:A6083" si="94">+A6019+1</f>
        <v>6019</v>
      </c>
      <c r="B6020" s="1129" t="s">
        <v>2797</v>
      </c>
      <c r="C6020" s="1138"/>
      <c r="D6020" s="1129"/>
      <c r="E6020" s="1129"/>
      <c r="F6020" s="1129"/>
      <c r="G6020" s="1129" t="s">
        <v>1109</v>
      </c>
      <c r="H6020" s="1129"/>
      <c r="I6020" s="1127"/>
    </row>
    <row r="6021" spans="1:9" x14ac:dyDescent="0.2">
      <c r="A6021" s="997">
        <f t="shared" si="94"/>
        <v>6020</v>
      </c>
      <c r="B6021" s="1129" t="s">
        <v>2797</v>
      </c>
      <c r="C6021" s="1139"/>
      <c r="D6021" s="1129"/>
      <c r="E6021" s="1129"/>
      <c r="F6021" s="1129"/>
      <c r="G6021" s="1129" t="s">
        <v>1106</v>
      </c>
      <c r="H6021" s="1129"/>
      <c r="I6021" s="1127"/>
    </row>
    <row r="6022" spans="1:9" x14ac:dyDescent="0.2">
      <c r="A6022" s="997">
        <f t="shared" si="94"/>
        <v>6021</v>
      </c>
      <c r="B6022" s="1129" t="s">
        <v>2797</v>
      </c>
      <c r="C6022" s="1140"/>
      <c r="D6022" s="1129"/>
      <c r="E6022" s="1129"/>
      <c r="F6022" s="1129"/>
      <c r="G6022" s="1129"/>
      <c r="H6022" s="1129" t="s">
        <v>2803</v>
      </c>
      <c r="I6022" s="1127"/>
    </row>
    <row r="6023" spans="1:9" x14ac:dyDescent="0.2">
      <c r="A6023" s="997">
        <f t="shared" si="94"/>
        <v>6022</v>
      </c>
      <c r="B6023" s="1129" t="s">
        <v>2797</v>
      </c>
      <c r="C6023" s="1139"/>
      <c r="D6023" s="1129"/>
      <c r="E6023" s="1129"/>
      <c r="F6023" s="1129"/>
      <c r="G6023" s="1129"/>
      <c r="H6023" s="1129" t="str">
        <f>CONCATENATE("&lt;valeur&gt;",Cellule_1102_3,"&lt;/valeur&gt;")</f>
        <v>&lt;valeur&gt;&lt;/valeur&gt;</v>
      </c>
      <c r="I6023" s="1127"/>
    </row>
    <row r="6024" spans="1:9" x14ac:dyDescent="0.2">
      <c r="A6024" s="997">
        <f t="shared" si="94"/>
        <v>6023</v>
      </c>
      <c r="B6024" s="1129" t="s">
        <v>2797</v>
      </c>
      <c r="C6024" s="1139"/>
      <c r="D6024" s="1129"/>
      <c r="E6024" s="1129"/>
      <c r="F6024" s="1129"/>
      <c r="G6024" s="1129"/>
      <c r="H6024" s="1129" t="s">
        <v>2736</v>
      </c>
      <c r="I6024" s="1127"/>
    </row>
    <row r="6025" spans="1:9" x14ac:dyDescent="0.2">
      <c r="A6025" s="997">
        <f t="shared" si="94"/>
        <v>6024</v>
      </c>
      <c r="B6025" s="1129" t="s">
        <v>2797</v>
      </c>
      <c r="C6025" s="1138"/>
      <c r="D6025" s="1129"/>
      <c r="E6025" s="1129"/>
      <c r="F6025" s="1129"/>
      <c r="G6025" s="1129" t="s">
        <v>1109</v>
      </c>
      <c r="H6025" s="1129"/>
      <c r="I6025" s="1127"/>
    </row>
    <row r="6026" spans="1:9" x14ac:dyDescent="0.2">
      <c r="A6026" s="997">
        <f t="shared" si="94"/>
        <v>6025</v>
      </c>
      <c r="B6026" s="1129" t="s">
        <v>2797</v>
      </c>
      <c r="C6026" s="1138"/>
      <c r="D6026" s="1129"/>
      <c r="E6026" s="1129"/>
      <c r="F6026" s="1129"/>
      <c r="G6026" s="1129" t="s">
        <v>1106</v>
      </c>
      <c r="H6026" s="1129"/>
      <c r="I6026" s="1127"/>
    </row>
    <row r="6027" spans="1:9" x14ac:dyDescent="0.2">
      <c r="A6027" s="997">
        <f t="shared" si="94"/>
        <v>6026</v>
      </c>
      <c r="B6027" s="1129" t="s">
        <v>2797</v>
      </c>
      <c r="C6027" s="1139"/>
      <c r="D6027" s="1129"/>
      <c r="E6027" s="1129"/>
      <c r="F6027" s="1129"/>
      <c r="G6027" s="1129"/>
      <c r="H6027" s="1129" t="s">
        <v>2804</v>
      </c>
      <c r="I6027" s="1127"/>
    </row>
    <row r="6028" spans="1:9" x14ac:dyDescent="0.2">
      <c r="A6028" s="997">
        <f t="shared" si="94"/>
        <v>6027</v>
      </c>
      <c r="B6028" s="1129" t="s">
        <v>2797</v>
      </c>
      <c r="C6028" s="1140"/>
      <c r="D6028" s="1129"/>
      <c r="E6028" s="1129"/>
      <c r="F6028" s="1129"/>
      <c r="G6028" s="1129"/>
      <c r="H6028" s="1129" t="str">
        <f>CONCATENATE("&lt;valeur&gt;",Cellule_1103_3,"&lt;/valeur&gt;")</f>
        <v>&lt;valeur&gt;&lt;/valeur&gt;</v>
      </c>
      <c r="I6028" s="1127"/>
    </row>
    <row r="6029" spans="1:9" x14ac:dyDescent="0.2">
      <c r="A6029" s="997">
        <f t="shared" si="94"/>
        <v>6028</v>
      </c>
      <c r="B6029" s="1129" t="s">
        <v>2797</v>
      </c>
      <c r="C6029" s="1139"/>
      <c r="D6029" s="1129"/>
      <c r="E6029" s="1129"/>
      <c r="F6029" s="1129"/>
      <c r="G6029" s="1129"/>
      <c r="H6029" s="1129" t="s">
        <v>2736</v>
      </c>
      <c r="I6029" s="1127"/>
    </row>
    <row r="6030" spans="1:9" x14ac:dyDescent="0.2">
      <c r="A6030" s="997">
        <f t="shared" si="94"/>
        <v>6029</v>
      </c>
      <c r="B6030" s="1129" t="s">
        <v>2797</v>
      </c>
      <c r="C6030" s="1139"/>
      <c r="D6030" s="1129"/>
      <c r="E6030" s="1129"/>
      <c r="F6030" s="1129"/>
      <c r="G6030" s="1129" t="s">
        <v>1109</v>
      </c>
      <c r="H6030" s="1129"/>
      <c r="I6030" s="1127"/>
    </row>
    <row r="6031" spans="1:9" x14ac:dyDescent="0.2">
      <c r="A6031" s="997">
        <f t="shared" si="94"/>
        <v>6030</v>
      </c>
      <c r="B6031" s="1129" t="s">
        <v>2797</v>
      </c>
      <c r="C6031" s="1138"/>
      <c r="D6031" s="1129"/>
      <c r="E6031" s="1129"/>
      <c r="F6031" s="1129"/>
      <c r="G6031" s="1129" t="s">
        <v>1106</v>
      </c>
      <c r="H6031" s="1129"/>
      <c r="I6031" s="1127"/>
    </row>
    <row r="6032" spans="1:9" x14ac:dyDescent="0.2">
      <c r="A6032" s="997">
        <f t="shared" si="94"/>
        <v>6031</v>
      </c>
      <c r="B6032" s="1129" t="s">
        <v>2797</v>
      </c>
      <c r="C6032" s="1138"/>
      <c r="D6032" s="1129"/>
      <c r="E6032" s="1129"/>
      <c r="F6032" s="1129"/>
      <c r="G6032" s="1129"/>
      <c r="H6032" s="1129" t="s">
        <v>2805</v>
      </c>
      <c r="I6032" s="1127"/>
    </row>
    <row r="6033" spans="1:9" x14ac:dyDescent="0.2">
      <c r="A6033" s="997">
        <f t="shared" si="94"/>
        <v>6032</v>
      </c>
      <c r="B6033" s="1129" t="s">
        <v>2797</v>
      </c>
      <c r="C6033" s="1139"/>
      <c r="D6033" s="1129"/>
      <c r="E6033" s="1129"/>
      <c r="F6033" s="1129"/>
      <c r="G6033" s="1129"/>
      <c r="H6033" s="1129" t="str">
        <f>CONCATENATE("&lt;valeur&gt;",Cellule_1104_3,"&lt;/valeur&gt;")</f>
        <v>&lt;valeur&gt;&lt;/valeur&gt;</v>
      </c>
      <c r="I6033" s="1127"/>
    </row>
    <row r="6034" spans="1:9" x14ac:dyDescent="0.2">
      <c r="A6034" s="997">
        <f t="shared" si="94"/>
        <v>6033</v>
      </c>
      <c r="B6034" s="1129" t="s">
        <v>2797</v>
      </c>
      <c r="C6034" s="1140"/>
      <c r="D6034" s="1129"/>
      <c r="E6034" s="1129"/>
      <c r="F6034" s="1129"/>
      <c r="G6034" s="1129"/>
      <c r="H6034" s="1129" t="s">
        <v>2736</v>
      </c>
      <c r="I6034" s="1127"/>
    </row>
    <row r="6035" spans="1:9" x14ac:dyDescent="0.2">
      <c r="A6035" s="997">
        <f t="shared" si="94"/>
        <v>6034</v>
      </c>
      <c r="B6035" s="1129" t="s">
        <v>2797</v>
      </c>
      <c r="C6035" s="1139"/>
      <c r="D6035" s="1129"/>
      <c r="E6035" s="1129"/>
      <c r="F6035" s="1129"/>
      <c r="G6035" s="1129" t="s">
        <v>1109</v>
      </c>
      <c r="H6035" s="1129"/>
      <c r="I6035" s="1127"/>
    </row>
    <row r="6036" spans="1:9" x14ac:dyDescent="0.2">
      <c r="A6036" s="997">
        <f t="shared" si="94"/>
        <v>6035</v>
      </c>
      <c r="B6036" s="1129" t="s">
        <v>2797</v>
      </c>
      <c r="C6036" s="1139"/>
      <c r="D6036" s="1129"/>
      <c r="E6036" s="1129"/>
      <c r="F6036" s="1129"/>
      <c r="G6036" s="1129" t="s">
        <v>1106</v>
      </c>
      <c r="H6036" s="1129"/>
      <c r="I6036" s="1127"/>
    </row>
    <row r="6037" spans="1:9" x14ac:dyDescent="0.2">
      <c r="A6037" s="997">
        <f t="shared" si="94"/>
        <v>6036</v>
      </c>
      <c r="B6037" s="1129" t="s">
        <v>2797</v>
      </c>
      <c r="C6037" s="1138"/>
      <c r="D6037" s="1129"/>
      <c r="E6037" s="1129"/>
      <c r="F6037" s="1129"/>
      <c r="G6037" s="1129"/>
      <c r="H6037" s="1129" t="s">
        <v>2806</v>
      </c>
      <c r="I6037" s="1127"/>
    </row>
    <row r="6038" spans="1:9" x14ac:dyDescent="0.2">
      <c r="A6038" s="997">
        <f t="shared" si="94"/>
        <v>6037</v>
      </c>
      <c r="B6038" s="1129" t="s">
        <v>2797</v>
      </c>
      <c r="C6038" s="1138"/>
      <c r="D6038" s="1129"/>
      <c r="E6038" s="1129"/>
      <c r="F6038" s="1129"/>
      <c r="G6038" s="1129"/>
      <c r="H6038" s="1129" t="str">
        <f>CONCATENATE("&lt;valeur&gt;",Cellule_1105_3,"&lt;/valeur&gt;")</f>
        <v>&lt;valeur&gt;&lt;/valeur&gt;</v>
      </c>
      <c r="I6038" s="1127"/>
    </row>
    <row r="6039" spans="1:9" x14ac:dyDescent="0.2">
      <c r="A6039" s="997">
        <f t="shared" si="94"/>
        <v>6038</v>
      </c>
      <c r="B6039" s="1129" t="s">
        <v>2797</v>
      </c>
      <c r="C6039" s="1139"/>
      <c r="D6039" s="1129"/>
      <c r="E6039" s="1129"/>
      <c r="F6039" s="1129"/>
      <c r="G6039" s="1129"/>
      <c r="H6039" s="1129" t="s">
        <v>2736</v>
      </c>
      <c r="I6039" s="1127"/>
    </row>
    <row r="6040" spans="1:9" x14ac:dyDescent="0.2">
      <c r="A6040" s="997">
        <f t="shared" si="94"/>
        <v>6039</v>
      </c>
      <c r="B6040" s="1129" t="s">
        <v>2797</v>
      </c>
      <c r="C6040" s="1140"/>
      <c r="D6040" s="1129"/>
      <c r="E6040" s="1129"/>
      <c r="F6040" s="1129"/>
      <c r="G6040" s="1129" t="s">
        <v>1109</v>
      </c>
      <c r="H6040" s="1129"/>
      <c r="I6040" s="1127"/>
    </row>
    <row r="6041" spans="1:9" x14ac:dyDescent="0.2">
      <c r="A6041" s="997">
        <f t="shared" si="94"/>
        <v>6040</v>
      </c>
      <c r="B6041" s="1129" t="s">
        <v>2797</v>
      </c>
      <c r="C6041" s="1139"/>
      <c r="D6041" s="1129"/>
      <c r="E6041" s="1129"/>
      <c r="F6041" s="1129"/>
      <c r="G6041" s="1129" t="s">
        <v>1106</v>
      </c>
      <c r="H6041" s="1129"/>
      <c r="I6041" s="1127"/>
    </row>
    <row r="6042" spans="1:9" x14ac:dyDescent="0.2">
      <c r="A6042" s="997">
        <f t="shared" si="94"/>
        <v>6041</v>
      </c>
      <c r="B6042" s="1129" t="s">
        <v>2797</v>
      </c>
      <c r="C6042" s="1138"/>
      <c r="D6042" s="1129"/>
      <c r="E6042" s="1129"/>
      <c r="F6042" s="1129"/>
      <c r="G6042" s="1129"/>
      <c r="H6042" s="1129" t="s">
        <v>2807</v>
      </c>
      <c r="I6042" s="1127"/>
    </row>
    <row r="6043" spans="1:9" x14ac:dyDescent="0.2">
      <c r="A6043" s="997">
        <f t="shared" si="94"/>
        <v>6042</v>
      </c>
      <c r="B6043" s="1129" t="s">
        <v>2797</v>
      </c>
      <c r="C6043" s="1138"/>
      <c r="D6043" s="1129"/>
      <c r="E6043" s="1129"/>
      <c r="F6043" s="1129"/>
      <c r="G6043" s="1129"/>
      <c r="H6043" s="1129" t="str">
        <f>CONCATENATE("&lt;valeur&gt;",Cellule_1106_3,"&lt;/valeur&gt;")</f>
        <v>&lt;valeur&gt;&lt;/valeur&gt;</v>
      </c>
      <c r="I6043" s="1127"/>
    </row>
    <row r="6044" spans="1:9" x14ac:dyDescent="0.2">
      <c r="A6044" s="997">
        <f t="shared" si="94"/>
        <v>6043</v>
      </c>
      <c r="B6044" s="1129" t="s">
        <v>2797</v>
      </c>
      <c r="C6044" s="1139"/>
      <c r="D6044" s="1129"/>
      <c r="E6044" s="1129"/>
      <c r="F6044" s="1129"/>
      <c r="G6044" s="1129"/>
      <c r="H6044" s="1129" t="s">
        <v>2736</v>
      </c>
      <c r="I6044" s="1127"/>
    </row>
    <row r="6045" spans="1:9" x14ac:dyDescent="0.2">
      <c r="A6045" s="997">
        <f t="shared" si="94"/>
        <v>6044</v>
      </c>
      <c r="B6045" s="1129" t="s">
        <v>2797</v>
      </c>
      <c r="C6045" s="1140"/>
      <c r="D6045" s="1129"/>
      <c r="E6045" s="1129"/>
      <c r="F6045" s="1129"/>
      <c r="G6045" s="1129" t="s">
        <v>1109</v>
      </c>
      <c r="H6045" s="1129"/>
      <c r="I6045" s="1127"/>
    </row>
    <row r="6046" spans="1:9" x14ac:dyDescent="0.2">
      <c r="A6046" s="997">
        <f t="shared" si="94"/>
        <v>6045</v>
      </c>
      <c r="B6046" s="1129" t="s">
        <v>2797</v>
      </c>
      <c r="C6046" s="1139"/>
      <c r="D6046" s="1129"/>
      <c r="E6046" s="1129"/>
      <c r="F6046" s="1129"/>
      <c r="G6046" s="1129" t="s">
        <v>1106</v>
      </c>
      <c r="H6046" s="1129"/>
      <c r="I6046" s="1127"/>
    </row>
    <row r="6047" spans="1:9" x14ac:dyDescent="0.2">
      <c r="A6047" s="997">
        <f t="shared" si="94"/>
        <v>6046</v>
      </c>
      <c r="B6047" s="1129" t="s">
        <v>2797</v>
      </c>
      <c r="C6047" s="1138"/>
      <c r="D6047" s="1129"/>
      <c r="E6047" s="1129"/>
      <c r="F6047" s="1129"/>
      <c r="G6047" s="1129"/>
      <c r="H6047" s="1129" t="s">
        <v>2808</v>
      </c>
      <c r="I6047" s="1127"/>
    </row>
    <row r="6048" spans="1:9" x14ac:dyDescent="0.2">
      <c r="A6048" s="997">
        <f t="shared" si="94"/>
        <v>6047</v>
      </c>
      <c r="B6048" s="1129" t="s">
        <v>2797</v>
      </c>
      <c r="C6048" s="1138"/>
      <c r="D6048" s="1129"/>
      <c r="E6048" s="1129"/>
      <c r="F6048" s="1129"/>
      <c r="G6048" s="1129"/>
      <c r="H6048" s="1129" t="str">
        <f>CONCATENATE("&lt;valeur&gt;",Cellule_1107_3,"&lt;/valeur&gt;")</f>
        <v>&lt;valeur&gt;&lt;/valeur&gt;</v>
      </c>
      <c r="I6048" s="1127"/>
    </row>
    <row r="6049" spans="1:9" x14ac:dyDescent="0.2">
      <c r="A6049" s="997">
        <f t="shared" si="94"/>
        <v>6048</v>
      </c>
      <c r="B6049" s="1129" t="s">
        <v>2797</v>
      </c>
      <c r="C6049" s="1139"/>
      <c r="D6049" s="1129"/>
      <c r="E6049" s="1129"/>
      <c r="F6049" s="1129"/>
      <c r="G6049" s="1129"/>
      <c r="H6049" s="1129" t="s">
        <v>2736</v>
      </c>
      <c r="I6049" s="1127"/>
    </row>
    <row r="6050" spans="1:9" x14ac:dyDescent="0.2">
      <c r="A6050" s="997">
        <f t="shared" si="94"/>
        <v>6049</v>
      </c>
      <c r="B6050" s="1129" t="s">
        <v>2797</v>
      </c>
      <c r="C6050" s="1140"/>
      <c r="D6050" s="1129"/>
      <c r="E6050" s="1129"/>
      <c r="F6050" s="1129"/>
      <c r="G6050" s="1129" t="s">
        <v>1109</v>
      </c>
      <c r="H6050" s="1129"/>
      <c r="I6050" s="1127"/>
    </row>
    <row r="6051" spans="1:9" x14ac:dyDescent="0.2">
      <c r="A6051" s="997">
        <f t="shared" si="94"/>
        <v>6050</v>
      </c>
      <c r="B6051" s="1129" t="s">
        <v>2797</v>
      </c>
      <c r="C6051" s="1139"/>
      <c r="D6051" s="1129"/>
      <c r="E6051" s="1129"/>
      <c r="F6051" s="1129"/>
      <c r="G6051" s="1129" t="s">
        <v>1106</v>
      </c>
      <c r="H6051" s="1129"/>
      <c r="I6051" s="1127"/>
    </row>
    <row r="6052" spans="1:9" x14ac:dyDescent="0.2">
      <c r="A6052" s="997">
        <f t="shared" si="94"/>
        <v>6051</v>
      </c>
      <c r="B6052" s="1129" t="s">
        <v>2797</v>
      </c>
      <c r="C6052" s="1138"/>
      <c r="D6052" s="1129"/>
      <c r="E6052" s="1129"/>
      <c r="F6052" s="1129"/>
      <c r="G6052" s="1129"/>
      <c r="H6052" s="1129" t="s">
        <v>2809</v>
      </c>
      <c r="I6052" s="1127"/>
    </row>
    <row r="6053" spans="1:9" x14ac:dyDescent="0.2">
      <c r="A6053" s="997">
        <f t="shared" si="94"/>
        <v>6052</v>
      </c>
      <c r="B6053" s="1129" t="s">
        <v>2797</v>
      </c>
      <c r="C6053" s="1138"/>
      <c r="D6053" s="1129"/>
      <c r="E6053" s="1129"/>
      <c r="F6053" s="1129"/>
      <c r="G6053" s="1129"/>
      <c r="H6053" s="1129" t="str">
        <f>CONCATENATE("&lt;valeur&gt;",Cellule_1108_3,"&lt;/valeur&gt;")</f>
        <v>&lt;valeur&gt;&lt;/valeur&gt;</v>
      </c>
      <c r="I6053" s="1127"/>
    </row>
    <row r="6054" spans="1:9" x14ac:dyDescent="0.2">
      <c r="A6054" s="997">
        <f t="shared" si="94"/>
        <v>6053</v>
      </c>
      <c r="B6054" s="1129" t="s">
        <v>2797</v>
      </c>
      <c r="C6054" s="1139"/>
      <c r="D6054" s="1129"/>
      <c r="E6054" s="1129"/>
      <c r="F6054" s="1129"/>
      <c r="G6054" s="1129"/>
      <c r="H6054" s="1129" t="s">
        <v>2736</v>
      </c>
      <c r="I6054" s="1127"/>
    </row>
    <row r="6055" spans="1:9" x14ac:dyDescent="0.2">
      <c r="A6055" s="997">
        <f t="shared" si="94"/>
        <v>6054</v>
      </c>
      <c r="B6055" s="1130" t="s">
        <v>2797</v>
      </c>
      <c r="C6055" s="1141"/>
      <c r="D6055" s="1130"/>
      <c r="E6055" s="1130"/>
      <c r="F6055" s="1130"/>
      <c r="G6055" s="1130" t="s">
        <v>1109</v>
      </c>
      <c r="H6055" s="1130"/>
      <c r="I6055" s="1142"/>
    </row>
    <row r="6056" spans="1:9" x14ac:dyDescent="0.2">
      <c r="A6056" s="997">
        <f t="shared" si="94"/>
        <v>6055</v>
      </c>
      <c r="B6056" s="1128" t="s">
        <v>2797</v>
      </c>
      <c r="C6056" s="1137"/>
      <c r="D6056" s="1128"/>
      <c r="E6056" s="1128"/>
      <c r="F6056" s="1128"/>
      <c r="G6056" s="1128" t="s">
        <v>1106</v>
      </c>
      <c r="H6056" s="1128"/>
      <c r="I6056" s="1124"/>
    </row>
    <row r="6057" spans="1:9" x14ac:dyDescent="0.2">
      <c r="A6057" s="997">
        <f t="shared" si="94"/>
        <v>6056</v>
      </c>
      <c r="B6057" s="1129" t="s">
        <v>2797</v>
      </c>
      <c r="C6057" s="1138"/>
      <c r="D6057" s="1129"/>
      <c r="E6057" s="1129"/>
      <c r="F6057" s="1129"/>
      <c r="G6057" s="1129"/>
      <c r="H6057" s="1129" t="s">
        <v>2799</v>
      </c>
      <c r="I6057" s="1127"/>
    </row>
    <row r="6058" spans="1:9" x14ac:dyDescent="0.2">
      <c r="A6058" s="997">
        <f t="shared" si="94"/>
        <v>6057</v>
      </c>
      <c r="B6058" s="1129" t="s">
        <v>2797</v>
      </c>
      <c r="C6058" s="1139"/>
      <c r="D6058" s="1129"/>
      <c r="E6058" s="1129"/>
      <c r="F6058" s="1129"/>
      <c r="G6058" s="1129"/>
      <c r="H6058" s="1129" t="str">
        <f>CONCATENATE("&lt;valeur&gt;",Cellule_1098_4,"&lt;/valeur&gt;")</f>
        <v>&lt;valeur&gt;&lt;/valeur&gt;</v>
      </c>
      <c r="I6058" s="1127"/>
    </row>
    <row r="6059" spans="1:9" x14ac:dyDescent="0.2">
      <c r="A6059" s="997">
        <f t="shared" si="94"/>
        <v>6058</v>
      </c>
      <c r="B6059" s="1129" t="s">
        <v>2797</v>
      </c>
      <c r="C6059" s="1140"/>
      <c r="D6059" s="1129"/>
      <c r="E6059" s="1129"/>
      <c r="F6059" s="1129"/>
      <c r="G6059" s="1129"/>
      <c r="H6059" s="1129" t="s">
        <v>2737</v>
      </c>
      <c r="I6059" s="1127"/>
    </row>
    <row r="6060" spans="1:9" x14ac:dyDescent="0.2">
      <c r="A6060" s="997">
        <f t="shared" si="94"/>
        <v>6059</v>
      </c>
      <c r="B6060" s="1129" t="s">
        <v>2797</v>
      </c>
      <c r="C6060" s="1139"/>
      <c r="D6060" s="1129"/>
      <c r="E6060" s="1129"/>
      <c r="F6060" s="1129"/>
      <c r="G6060" s="1129" t="s">
        <v>1109</v>
      </c>
      <c r="H6060" s="1129"/>
      <c r="I6060" s="1127"/>
    </row>
    <row r="6061" spans="1:9" x14ac:dyDescent="0.2">
      <c r="A6061" s="997">
        <f t="shared" si="94"/>
        <v>6060</v>
      </c>
      <c r="B6061" s="1129" t="s">
        <v>2797</v>
      </c>
      <c r="C6061" s="1139"/>
      <c r="D6061" s="1129"/>
      <c r="E6061" s="1129"/>
      <c r="F6061" s="1129"/>
      <c r="G6061" s="1129" t="s">
        <v>1106</v>
      </c>
      <c r="H6061" s="1129"/>
      <c r="I6061" s="1127"/>
    </row>
    <row r="6062" spans="1:9" x14ac:dyDescent="0.2">
      <c r="A6062" s="997">
        <f t="shared" si="94"/>
        <v>6061</v>
      </c>
      <c r="B6062" s="1129" t="s">
        <v>2797</v>
      </c>
      <c r="C6062" s="1138"/>
      <c r="D6062" s="1129"/>
      <c r="E6062" s="1129"/>
      <c r="F6062" s="1129"/>
      <c r="G6062" s="1129"/>
      <c r="H6062" s="1129" t="s">
        <v>2800</v>
      </c>
      <c r="I6062" s="1127"/>
    </row>
    <row r="6063" spans="1:9" x14ac:dyDescent="0.2">
      <c r="A6063" s="997">
        <f t="shared" si="94"/>
        <v>6062</v>
      </c>
      <c r="B6063" s="1129" t="s">
        <v>2797</v>
      </c>
      <c r="C6063" s="1138"/>
      <c r="D6063" s="1129"/>
      <c r="E6063" s="1129"/>
      <c r="F6063" s="1129"/>
      <c r="G6063" s="1129"/>
      <c r="H6063" s="1129" t="str">
        <f>CONCATENATE("&lt;valeur&gt;",Cellule_1099_4,"&lt;/valeur&gt;")</f>
        <v>&lt;valeur&gt;&lt;/valeur&gt;</v>
      </c>
      <c r="I6063" s="1127"/>
    </row>
    <row r="6064" spans="1:9" x14ac:dyDescent="0.2">
      <c r="A6064" s="997">
        <f t="shared" si="94"/>
        <v>6063</v>
      </c>
      <c r="B6064" s="1129" t="s">
        <v>2797</v>
      </c>
      <c r="C6064" s="1139"/>
      <c r="D6064" s="1129"/>
      <c r="E6064" s="1129"/>
      <c r="F6064" s="1129"/>
      <c r="G6064" s="1129"/>
      <c r="H6064" s="1129" t="s">
        <v>2737</v>
      </c>
      <c r="I6064" s="1127"/>
    </row>
    <row r="6065" spans="1:9" x14ac:dyDescent="0.2">
      <c r="A6065" s="997">
        <f t="shared" si="94"/>
        <v>6064</v>
      </c>
      <c r="B6065" s="1129" t="s">
        <v>2797</v>
      </c>
      <c r="C6065" s="1140"/>
      <c r="D6065" s="1129"/>
      <c r="E6065" s="1129"/>
      <c r="F6065" s="1129"/>
      <c r="G6065" s="1129" t="s">
        <v>1109</v>
      </c>
      <c r="H6065" s="1129"/>
      <c r="I6065" s="1127"/>
    </row>
    <row r="6066" spans="1:9" x14ac:dyDescent="0.2">
      <c r="A6066" s="997">
        <f t="shared" si="94"/>
        <v>6065</v>
      </c>
      <c r="B6066" s="1129" t="s">
        <v>2797</v>
      </c>
      <c r="C6066" s="1139"/>
      <c r="D6066" s="1129"/>
      <c r="E6066" s="1129"/>
      <c r="F6066" s="1129"/>
      <c r="G6066" s="1129" t="s">
        <v>1106</v>
      </c>
      <c r="H6066" s="1129"/>
      <c r="I6066" s="1127"/>
    </row>
    <row r="6067" spans="1:9" x14ac:dyDescent="0.2">
      <c r="A6067" s="997">
        <f t="shared" si="94"/>
        <v>6066</v>
      </c>
      <c r="B6067" s="1129" t="s">
        <v>2797</v>
      </c>
      <c r="C6067" s="1139"/>
      <c r="D6067" s="1129"/>
      <c r="E6067" s="1129"/>
      <c r="F6067" s="1129"/>
      <c r="G6067" s="1129"/>
      <c r="H6067" s="1129" t="s">
        <v>2801</v>
      </c>
      <c r="I6067" s="1127"/>
    </row>
    <row r="6068" spans="1:9" x14ac:dyDescent="0.2">
      <c r="A6068" s="997">
        <f t="shared" si="94"/>
        <v>6067</v>
      </c>
      <c r="B6068" s="1129" t="s">
        <v>2797</v>
      </c>
      <c r="C6068" s="1138"/>
      <c r="D6068" s="1129"/>
      <c r="E6068" s="1129"/>
      <c r="F6068" s="1129"/>
      <c r="G6068" s="1129"/>
      <c r="H6068" s="1129" t="str">
        <f>CONCATENATE("&lt;valeur&gt;",Cellule_1100_4,"&lt;/valeur&gt;")</f>
        <v>&lt;valeur&gt;&lt;/valeur&gt;</v>
      </c>
      <c r="I6068" s="1127"/>
    </row>
    <row r="6069" spans="1:9" x14ac:dyDescent="0.2">
      <c r="A6069" s="997">
        <f t="shared" si="94"/>
        <v>6068</v>
      </c>
      <c r="B6069" s="1129" t="s">
        <v>2797</v>
      </c>
      <c r="C6069" s="1138"/>
      <c r="D6069" s="1129"/>
      <c r="E6069" s="1129"/>
      <c r="F6069" s="1129"/>
      <c r="G6069" s="1129"/>
      <c r="H6069" s="1129" t="s">
        <v>2737</v>
      </c>
      <c r="I6069" s="1127"/>
    </row>
    <row r="6070" spans="1:9" x14ac:dyDescent="0.2">
      <c r="A6070" s="997">
        <f t="shared" si="94"/>
        <v>6069</v>
      </c>
      <c r="B6070" s="1129" t="s">
        <v>2797</v>
      </c>
      <c r="C6070" s="1139"/>
      <c r="D6070" s="1129"/>
      <c r="E6070" s="1129"/>
      <c r="F6070" s="1129"/>
      <c r="G6070" s="1129" t="s">
        <v>1109</v>
      </c>
      <c r="H6070" s="1129"/>
      <c r="I6070" s="1127"/>
    </row>
    <row r="6071" spans="1:9" x14ac:dyDescent="0.2">
      <c r="A6071" s="997">
        <f t="shared" si="94"/>
        <v>6070</v>
      </c>
      <c r="B6071" s="1129" t="s">
        <v>2797</v>
      </c>
      <c r="C6071" s="1140"/>
      <c r="D6071" s="1129"/>
      <c r="E6071" s="1129"/>
      <c r="F6071" s="1129"/>
      <c r="G6071" s="1129" t="s">
        <v>1106</v>
      </c>
      <c r="H6071" s="1129"/>
      <c r="I6071" s="1127"/>
    </row>
    <row r="6072" spans="1:9" x14ac:dyDescent="0.2">
      <c r="A6072" s="997">
        <f t="shared" si="94"/>
        <v>6071</v>
      </c>
      <c r="B6072" s="1129" t="s">
        <v>2797</v>
      </c>
      <c r="C6072" s="1139"/>
      <c r="D6072" s="1129"/>
      <c r="E6072" s="1129"/>
      <c r="F6072" s="1129"/>
      <c r="G6072" s="1129"/>
      <c r="H6072" s="1129" t="s">
        <v>2802</v>
      </c>
      <c r="I6072" s="1127"/>
    </row>
    <row r="6073" spans="1:9" x14ac:dyDescent="0.2">
      <c r="A6073" s="997">
        <f t="shared" si="94"/>
        <v>6072</v>
      </c>
      <c r="B6073" s="1129" t="s">
        <v>2797</v>
      </c>
      <c r="C6073" s="1139"/>
      <c r="D6073" s="1129"/>
      <c r="E6073" s="1129"/>
      <c r="F6073" s="1129"/>
      <c r="G6073" s="1129"/>
      <c r="H6073" s="1129" t="str">
        <f>CONCATENATE("&lt;valeur&gt;",Cellule_1101_4,"&lt;/valeur&gt;")</f>
        <v>&lt;valeur&gt;&lt;/valeur&gt;</v>
      </c>
      <c r="I6073" s="1127"/>
    </row>
    <row r="6074" spans="1:9" x14ac:dyDescent="0.2">
      <c r="A6074" s="997">
        <f t="shared" si="94"/>
        <v>6073</v>
      </c>
      <c r="B6074" s="1129" t="s">
        <v>2797</v>
      </c>
      <c r="C6074" s="1138"/>
      <c r="D6074" s="1129"/>
      <c r="E6074" s="1129"/>
      <c r="F6074" s="1129"/>
      <c r="G6074" s="1129"/>
      <c r="H6074" s="1129" t="s">
        <v>2737</v>
      </c>
      <c r="I6074" s="1127"/>
    </row>
    <row r="6075" spans="1:9" x14ac:dyDescent="0.2">
      <c r="A6075" s="997">
        <f t="shared" si="94"/>
        <v>6074</v>
      </c>
      <c r="B6075" s="1129" t="s">
        <v>2797</v>
      </c>
      <c r="C6075" s="1138"/>
      <c r="D6075" s="1129"/>
      <c r="E6075" s="1129"/>
      <c r="F6075" s="1129"/>
      <c r="G6075" s="1129" t="s">
        <v>1109</v>
      </c>
      <c r="H6075" s="1129"/>
      <c r="I6075" s="1127"/>
    </row>
    <row r="6076" spans="1:9" x14ac:dyDescent="0.2">
      <c r="A6076" s="997">
        <f t="shared" si="94"/>
        <v>6075</v>
      </c>
      <c r="B6076" s="1129" t="s">
        <v>2797</v>
      </c>
      <c r="C6076" s="1139"/>
      <c r="D6076" s="1129"/>
      <c r="E6076" s="1129"/>
      <c r="F6076" s="1129"/>
      <c r="G6076" s="1129" t="s">
        <v>1106</v>
      </c>
      <c r="H6076" s="1129"/>
      <c r="I6076" s="1127"/>
    </row>
    <row r="6077" spans="1:9" x14ac:dyDescent="0.2">
      <c r="A6077" s="997">
        <f t="shared" si="94"/>
        <v>6076</v>
      </c>
      <c r="B6077" s="1129" t="s">
        <v>2797</v>
      </c>
      <c r="C6077" s="1140"/>
      <c r="D6077" s="1129"/>
      <c r="E6077" s="1129"/>
      <c r="F6077" s="1129"/>
      <c r="G6077" s="1129"/>
      <c r="H6077" s="1129" t="s">
        <v>2803</v>
      </c>
      <c r="I6077" s="1127"/>
    </row>
    <row r="6078" spans="1:9" x14ac:dyDescent="0.2">
      <c r="A6078" s="997">
        <f t="shared" si="94"/>
        <v>6077</v>
      </c>
      <c r="B6078" s="1129" t="s">
        <v>2797</v>
      </c>
      <c r="C6078" s="1139"/>
      <c r="D6078" s="1129"/>
      <c r="E6078" s="1129"/>
      <c r="F6078" s="1129"/>
      <c r="G6078" s="1129"/>
      <c r="H6078" s="1129" t="str">
        <f>CONCATENATE("&lt;valeur&gt;",Cellule_1102_4,"&lt;/valeur&gt;")</f>
        <v>&lt;valeur&gt;&lt;/valeur&gt;</v>
      </c>
      <c r="I6078" s="1127"/>
    </row>
    <row r="6079" spans="1:9" x14ac:dyDescent="0.2">
      <c r="A6079" s="997">
        <f t="shared" si="94"/>
        <v>6078</v>
      </c>
      <c r="B6079" s="1129" t="s">
        <v>2797</v>
      </c>
      <c r="C6079" s="1139"/>
      <c r="D6079" s="1129"/>
      <c r="E6079" s="1129"/>
      <c r="F6079" s="1129"/>
      <c r="G6079" s="1129"/>
      <c r="H6079" s="1129" t="s">
        <v>2737</v>
      </c>
      <c r="I6079" s="1127"/>
    </row>
    <row r="6080" spans="1:9" x14ac:dyDescent="0.2">
      <c r="A6080" s="997">
        <f t="shared" si="94"/>
        <v>6079</v>
      </c>
      <c r="B6080" s="1129" t="s">
        <v>2797</v>
      </c>
      <c r="C6080" s="1138"/>
      <c r="D6080" s="1129"/>
      <c r="E6080" s="1129"/>
      <c r="F6080" s="1129"/>
      <c r="G6080" s="1129" t="s">
        <v>1109</v>
      </c>
      <c r="H6080" s="1129"/>
      <c r="I6080" s="1127"/>
    </row>
    <row r="6081" spans="1:9" x14ac:dyDescent="0.2">
      <c r="A6081" s="997">
        <f t="shared" si="94"/>
        <v>6080</v>
      </c>
      <c r="B6081" s="1129" t="s">
        <v>2797</v>
      </c>
      <c r="C6081" s="1138"/>
      <c r="D6081" s="1129"/>
      <c r="E6081" s="1129"/>
      <c r="F6081" s="1129"/>
      <c r="G6081" s="1129" t="s">
        <v>1106</v>
      </c>
      <c r="H6081" s="1129"/>
      <c r="I6081" s="1127"/>
    </row>
    <row r="6082" spans="1:9" x14ac:dyDescent="0.2">
      <c r="A6082" s="997">
        <f t="shared" si="94"/>
        <v>6081</v>
      </c>
      <c r="B6082" s="1129" t="s">
        <v>2797</v>
      </c>
      <c r="C6082" s="1139"/>
      <c r="D6082" s="1129"/>
      <c r="E6082" s="1129"/>
      <c r="F6082" s="1129"/>
      <c r="G6082" s="1129"/>
      <c r="H6082" s="1129" t="s">
        <v>2804</v>
      </c>
      <c r="I6082" s="1127"/>
    </row>
    <row r="6083" spans="1:9" x14ac:dyDescent="0.2">
      <c r="A6083" s="997">
        <f t="shared" si="94"/>
        <v>6082</v>
      </c>
      <c r="B6083" s="1129" t="s">
        <v>2797</v>
      </c>
      <c r="C6083" s="1140"/>
      <c r="D6083" s="1129"/>
      <c r="E6083" s="1129"/>
      <c r="F6083" s="1129"/>
      <c r="G6083" s="1129"/>
      <c r="H6083" s="1129" t="str">
        <f>CONCATENATE("&lt;valeur&gt;",Cellule_1103_4,"&lt;/valeur&gt;")</f>
        <v>&lt;valeur&gt;&lt;/valeur&gt;</v>
      </c>
      <c r="I6083" s="1127"/>
    </row>
    <row r="6084" spans="1:9" x14ac:dyDescent="0.2">
      <c r="A6084" s="997">
        <f t="shared" ref="A6084:A6147" si="95">+A6083+1</f>
        <v>6083</v>
      </c>
      <c r="B6084" s="1129" t="s">
        <v>2797</v>
      </c>
      <c r="C6084" s="1139"/>
      <c r="D6084" s="1129"/>
      <c r="E6084" s="1129"/>
      <c r="F6084" s="1129"/>
      <c r="G6084" s="1129"/>
      <c r="H6084" s="1129" t="s">
        <v>2737</v>
      </c>
      <c r="I6084" s="1127"/>
    </row>
    <row r="6085" spans="1:9" x14ac:dyDescent="0.2">
      <c r="A6085" s="997">
        <f t="shared" si="95"/>
        <v>6084</v>
      </c>
      <c r="B6085" s="1129" t="s">
        <v>2797</v>
      </c>
      <c r="C6085" s="1139"/>
      <c r="D6085" s="1129"/>
      <c r="E6085" s="1129"/>
      <c r="F6085" s="1129"/>
      <c r="G6085" s="1129" t="s">
        <v>1109</v>
      </c>
      <c r="H6085" s="1129"/>
      <c r="I6085" s="1127"/>
    </row>
    <row r="6086" spans="1:9" x14ac:dyDescent="0.2">
      <c r="A6086" s="997">
        <f t="shared" si="95"/>
        <v>6085</v>
      </c>
      <c r="B6086" s="1129" t="s">
        <v>2797</v>
      </c>
      <c r="C6086" s="1138"/>
      <c r="D6086" s="1129"/>
      <c r="E6086" s="1129"/>
      <c r="F6086" s="1129"/>
      <c r="G6086" s="1129" t="s">
        <v>1106</v>
      </c>
      <c r="H6086" s="1129"/>
      <c r="I6086" s="1127"/>
    </row>
    <row r="6087" spans="1:9" x14ac:dyDescent="0.2">
      <c r="A6087" s="997">
        <f t="shared" si="95"/>
        <v>6086</v>
      </c>
      <c r="B6087" s="1129" t="s">
        <v>2797</v>
      </c>
      <c r="C6087" s="1138"/>
      <c r="D6087" s="1129"/>
      <c r="E6087" s="1129"/>
      <c r="F6087" s="1129"/>
      <c r="G6087" s="1129"/>
      <c r="H6087" s="1129" t="s">
        <v>2805</v>
      </c>
      <c r="I6087" s="1127"/>
    </row>
    <row r="6088" spans="1:9" x14ac:dyDescent="0.2">
      <c r="A6088" s="997">
        <f t="shared" si="95"/>
        <v>6087</v>
      </c>
      <c r="B6088" s="1129" t="s">
        <v>2797</v>
      </c>
      <c r="C6088" s="1139"/>
      <c r="D6088" s="1129"/>
      <c r="E6088" s="1129"/>
      <c r="F6088" s="1129"/>
      <c r="G6088" s="1129"/>
      <c r="H6088" s="1129" t="str">
        <f>CONCATENATE("&lt;valeur&gt;",Cellule_1104_4,"&lt;/valeur&gt;")</f>
        <v>&lt;valeur&gt;&lt;/valeur&gt;</v>
      </c>
      <c r="I6088" s="1127"/>
    </row>
    <row r="6089" spans="1:9" x14ac:dyDescent="0.2">
      <c r="A6089" s="997">
        <f t="shared" si="95"/>
        <v>6088</v>
      </c>
      <c r="B6089" s="1129" t="s">
        <v>2797</v>
      </c>
      <c r="C6089" s="1140"/>
      <c r="D6089" s="1129"/>
      <c r="E6089" s="1129"/>
      <c r="F6089" s="1129"/>
      <c r="G6089" s="1129"/>
      <c r="H6089" s="1129" t="s">
        <v>2737</v>
      </c>
      <c r="I6089" s="1127"/>
    </row>
    <row r="6090" spans="1:9" x14ac:dyDescent="0.2">
      <c r="A6090" s="997">
        <f t="shared" si="95"/>
        <v>6089</v>
      </c>
      <c r="B6090" s="1129" t="s">
        <v>2797</v>
      </c>
      <c r="C6090" s="1139"/>
      <c r="D6090" s="1129"/>
      <c r="E6090" s="1129"/>
      <c r="F6090" s="1129"/>
      <c r="G6090" s="1129" t="s">
        <v>1109</v>
      </c>
      <c r="H6090" s="1129"/>
      <c r="I6090" s="1127"/>
    </row>
    <row r="6091" spans="1:9" x14ac:dyDescent="0.2">
      <c r="A6091" s="997">
        <f t="shared" si="95"/>
        <v>6090</v>
      </c>
      <c r="B6091" s="1129" t="s">
        <v>2797</v>
      </c>
      <c r="C6091" s="1139"/>
      <c r="D6091" s="1129"/>
      <c r="E6091" s="1129"/>
      <c r="F6091" s="1129"/>
      <c r="G6091" s="1129" t="s">
        <v>1106</v>
      </c>
      <c r="H6091" s="1129"/>
      <c r="I6091" s="1127"/>
    </row>
    <row r="6092" spans="1:9" x14ac:dyDescent="0.2">
      <c r="A6092" s="997">
        <f t="shared" si="95"/>
        <v>6091</v>
      </c>
      <c r="B6092" s="1129" t="s">
        <v>2797</v>
      </c>
      <c r="C6092" s="1138"/>
      <c r="D6092" s="1129"/>
      <c r="E6092" s="1129"/>
      <c r="F6092" s="1129"/>
      <c r="G6092" s="1129"/>
      <c r="H6092" s="1129" t="s">
        <v>2806</v>
      </c>
      <c r="I6092" s="1127"/>
    </row>
    <row r="6093" spans="1:9" x14ac:dyDescent="0.2">
      <c r="A6093" s="997">
        <f t="shared" si="95"/>
        <v>6092</v>
      </c>
      <c r="B6093" s="1129" t="s">
        <v>2797</v>
      </c>
      <c r="C6093" s="1138"/>
      <c r="D6093" s="1129"/>
      <c r="E6093" s="1129"/>
      <c r="F6093" s="1129"/>
      <c r="G6093" s="1129"/>
      <c r="H6093" s="1129" t="str">
        <f>CONCATENATE("&lt;valeur&gt;",Cellule_1105_4,"&lt;/valeur&gt;")</f>
        <v>&lt;valeur&gt;&lt;/valeur&gt;</v>
      </c>
      <c r="I6093" s="1127"/>
    </row>
    <row r="6094" spans="1:9" x14ac:dyDescent="0.2">
      <c r="A6094" s="997">
        <f t="shared" si="95"/>
        <v>6093</v>
      </c>
      <c r="B6094" s="1129" t="s">
        <v>2797</v>
      </c>
      <c r="C6094" s="1139"/>
      <c r="D6094" s="1129"/>
      <c r="E6094" s="1129"/>
      <c r="F6094" s="1129"/>
      <c r="G6094" s="1129"/>
      <c r="H6094" s="1129" t="s">
        <v>2737</v>
      </c>
      <c r="I6094" s="1127"/>
    </row>
    <row r="6095" spans="1:9" x14ac:dyDescent="0.2">
      <c r="A6095" s="997">
        <f t="shared" si="95"/>
        <v>6094</v>
      </c>
      <c r="B6095" s="1129" t="s">
        <v>2797</v>
      </c>
      <c r="C6095" s="1140"/>
      <c r="D6095" s="1129"/>
      <c r="E6095" s="1129"/>
      <c r="F6095" s="1129"/>
      <c r="G6095" s="1129" t="s">
        <v>1109</v>
      </c>
      <c r="H6095" s="1129"/>
      <c r="I6095" s="1127"/>
    </row>
    <row r="6096" spans="1:9" x14ac:dyDescent="0.2">
      <c r="A6096" s="997">
        <f t="shared" si="95"/>
        <v>6095</v>
      </c>
      <c r="B6096" s="1129" t="s">
        <v>2797</v>
      </c>
      <c r="C6096" s="1139"/>
      <c r="D6096" s="1129"/>
      <c r="E6096" s="1129"/>
      <c r="F6096" s="1129"/>
      <c r="G6096" s="1129" t="s">
        <v>1106</v>
      </c>
      <c r="H6096" s="1129"/>
      <c r="I6096" s="1127"/>
    </row>
    <row r="6097" spans="1:9" x14ac:dyDescent="0.2">
      <c r="A6097" s="997">
        <f t="shared" si="95"/>
        <v>6096</v>
      </c>
      <c r="B6097" s="1129" t="s">
        <v>2797</v>
      </c>
      <c r="C6097" s="1138"/>
      <c r="D6097" s="1129"/>
      <c r="E6097" s="1129"/>
      <c r="F6097" s="1129"/>
      <c r="G6097" s="1129"/>
      <c r="H6097" s="1129" t="s">
        <v>2807</v>
      </c>
      <c r="I6097" s="1127"/>
    </row>
    <row r="6098" spans="1:9" x14ac:dyDescent="0.2">
      <c r="A6098" s="997">
        <f t="shared" si="95"/>
        <v>6097</v>
      </c>
      <c r="B6098" s="1129" t="s">
        <v>2797</v>
      </c>
      <c r="C6098" s="1138"/>
      <c r="D6098" s="1129"/>
      <c r="E6098" s="1129"/>
      <c r="F6098" s="1129"/>
      <c r="G6098" s="1129"/>
      <c r="H6098" s="1129" t="str">
        <f>CONCATENATE("&lt;valeur&gt;",Cellule_1106_4,"&lt;/valeur&gt;")</f>
        <v>&lt;valeur&gt;&lt;/valeur&gt;</v>
      </c>
      <c r="I6098" s="1127"/>
    </row>
    <row r="6099" spans="1:9" x14ac:dyDescent="0.2">
      <c r="A6099" s="997">
        <f t="shared" si="95"/>
        <v>6098</v>
      </c>
      <c r="B6099" s="1129" t="s">
        <v>2797</v>
      </c>
      <c r="C6099" s="1139"/>
      <c r="D6099" s="1129"/>
      <c r="E6099" s="1129"/>
      <c r="F6099" s="1129"/>
      <c r="G6099" s="1129"/>
      <c r="H6099" s="1129" t="s">
        <v>2737</v>
      </c>
      <c r="I6099" s="1127"/>
    </row>
    <row r="6100" spans="1:9" x14ac:dyDescent="0.2">
      <c r="A6100" s="997">
        <f t="shared" si="95"/>
        <v>6099</v>
      </c>
      <c r="B6100" s="1129" t="s">
        <v>2797</v>
      </c>
      <c r="C6100" s="1140"/>
      <c r="D6100" s="1129"/>
      <c r="E6100" s="1129"/>
      <c r="F6100" s="1129"/>
      <c r="G6100" s="1129" t="s">
        <v>1109</v>
      </c>
      <c r="H6100" s="1129"/>
      <c r="I6100" s="1127"/>
    </row>
    <row r="6101" spans="1:9" x14ac:dyDescent="0.2">
      <c r="A6101" s="997">
        <f t="shared" si="95"/>
        <v>6100</v>
      </c>
      <c r="B6101" s="1129" t="s">
        <v>2797</v>
      </c>
      <c r="C6101" s="1139"/>
      <c r="D6101" s="1129"/>
      <c r="E6101" s="1129"/>
      <c r="F6101" s="1129"/>
      <c r="G6101" s="1129" t="s">
        <v>1106</v>
      </c>
      <c r="H6101" s="1129"/>
      <c r="I6101" s="1127"/>
    </row>
    <row r="6102" spans="1:9" x14ac:dyDescent="0.2">
      <c r="A6102" s="997">
        <f t="shared" si="95"/>
        <v>6101</v>
      </c>
      <c r="B6102" s="1129" t="s">
        <v>2797</v>
      </c>
      <c r="C6102" s="1138"/>
      <c r="D6102" s="1129"/>
      <c r="E6102" s="1129"/>
      <c r="F6102" s="1129"/>
      <c r="G6102" s="1129"/>
      <c r="H6102" s="1129" t="s">
        <v>2808</v>
      </c>
      <c r="I6102" s="1127"/>
    </row>
    <row r="6103" spans="1:9" x14ac:dyDescent="0.2">
      <c r="A6103" s="997">
        <f t="shared" si="95"/>
        <v>6102</v>
      </c>
      <c r="B6103" s="1129" t="s">
        <v>2797</v>
      </c>
      <c r="C6103" s="1138"/>
      <c r="D6103" s="1129"/>
      <c r="E6103" s="1129"/>
      <c r="F6103" s="1129"/>
      <c r="G6103" s="1129"/>
      <c r="H6103" s="1129" t="str">
        <f>CONCATENATE("&lt;valeur&gt;",Cellule_1107_4,"&lt;/valeur&gt;")</f>
        <v>&lt;valeur&gt;&lt;/valeur&gt;</v>
      </c>
      <c r="I6103" s="1127"/>
    </row>
    <row r="6104" spans="1:9" x14ac:dyDescent="0.2">
      <c r="A6104" s="997">
        <f t="shared" si="95"/>
        <v>6103</v>
      </c>
      <c r="B6104" s="1129" t="s">
        <v>2797</v>
      </c>
      <c r="C6104" s="1139"/>
      <c r="D6104" s="1129"/>
      <c r="E6104" s="1129"/>
      <c r="F6104" s="1129"/>
      <c r="G6104" s="1129"/>
      <c r="H6104" s="1129" t="s">
        <v>2737</v>
      </c>
      <c r="I6104" s="1127"/>
    </row>
    <row r="6105" spans="1:9" x14ac:dyDescent="0.2">
      <c r="A6105" s="997">
        <f t="shared" si="95"/>
        <v>6104</v>
      </c>
      <c r="B6105" s="1129" t="s">
        <v>2797</v>
      </c>
      <c r="C6105" s="1140"/>
      <c r="D6105" s="1129"/>
      <c r="E6105" s="1129"/>
      <c r="F6105" s="1129"/>
      <c r="G6105" s="1129" t="s">
        <v>1109</v>
      </c>
      <c r="H6105" s="1129"/>
      <c r="I6105" s="1127"/>
    </row>
    <row r="6106" spans="1:9" x14ac:dyDescent="0.2">
      <c r="A6106" s="997">
        <f t="shared" si="95"/>
        <v>6105</v>
      </c>
      <c r="B6106" s="1129" t="s">
        <v>2797</v>
      </c>
      <c r="C6106" s="1139"/>
      <c r="D6106" s="1129"/>
      <c r="E6106" s="1129"/>
      <c r="F6106" s="1129"/>
      <c r="G6106" s="1129" t="s">
        <v>1106</v>
      </c>
      <c r="H6106" s="1129"/>
      <c r="I6106" s="1127"/>
    </row>
    <row r="6107" spans="1:9" x14ac:dyDescent="0.2">
      <c r="A6107" s="997">
        <f t="shared" si="95"/>
        <v>6106</v>
      </c>
      <c r="B6107" s="1129" t="s">
        <v>2797</v>
      </c>
      <c r="C6107" s="1138"/>
      <c r="D6107" s="1129"/>
      <c r="E6107" s="1129"/>
      <c r="F6107" s="1129"/>
      <c r="G6107" s="1129"/>
      <c r="H6107" s="1129" t="s">
        <v>2809</v>
      </c>
      <c r="I6107" s="1127"/>
    </row>
    <row r="6108" spans="1:9" x14ac:dyDescent="0.2">
      <c r="A6108" s="997">
        <f t="shared" si="95"/>
        <v>6107</v>
      </c>
      <c r="B6108" s="1129" t="s">
        <v>2797</v>
      </c>
      <c r="C6108" s="1138"/>
      <c r="D6108" s="1129"/>
      <c r="E6108" s="1129"/>
      <c r="F6108" s="1129"/>
      <c r="G6108" s="1129"/>
      <c r="H6108" s="1129" t="str">
        <f>CONCATENATE("&lt;valeur&gt;",Cellule_1108_4,"&lt;/valeur&gt;")</f>
        <v>&lt;valeur&gt;&lt;/valeur&gt;</v>
      </c>
      <c r="I6108" s="1127"/>
    </row>
    <row r="6109" spans="1:9" x14ac:dyDescent="0.2">
      <c r="A6109" s="997">
        <f t="shared" si="95"/>
        <v>6108</v>
      </c>
      <c r="B6109" s="1129" t="s">
        <v>2797</v>
      </c>
      <c r="C6109" s="1139"/>
      <c r="D6109" s="1129"/>
      <c r="E6109" s="1129"/>
      <c r="F6109" s="1129"/>
      <c r="G6109" s="1129"/>
      <c r="H6109" s="1129" t="s">
        <v>2737</v>
      </c>
      <c r="I6109" s="1127"/>
    </row>
    <row r="6110" spans="1:9" x14ac:dyDescent="0.2">
      <c r="A6110" s="997">
        <f t="shared" si="95"/>
        <v>6109</v>
      </c>
      <c r="B6110" s="1130" t="s">
        <v>2797</v>
      </c>
      <c r="C6110" s="1141"/>
      <c r="D6110" s="1130"/>
      <c r="E6110" s="1130"/>
      <c r="F6110" s="1130"/>
      <c r="G6110" s="1130" t="s">
        <v>1109</v>
      </c>
      <c r="H6110" s="1130"/>
      <c r="I6110" s="1142"/>
    </row>
    <row r="6111" spans="1:9" x14ac:dyDescent="0.2">
      <c r="A6111" s="997">
        <f t="shared" si="95"/>
        <v>6110</v>
      </c>
      <c r="B6111" s="1128" t="s">
        <v>2797</v>
      </c>
      <c r="C6111" s="1137"/>
      <c r="D6111" s="1128"/>
      <c r="E6111" s="1128"/>
      <c r="F6111" s="1128"/>
      <c r="G6111" s="1128" t="s">
        <v>1106</v>
      </c>
      <c r="H6111" s="1128"/>
      <c r="I6111" s="1124"/>
    </row>
    <row r="6112" spans="1:9" x14ac:dyDescent="0.2">
      <c r="A6112" s="997">
        <f t="shared" si="95"/>
        <v>6111</v>
      </c>
      <c r="B6112" s="1129" t="s">
        <v>2797</v>
      </c>
      <c r="C6112" s="1138"/>
      <c r="D6112" s="1129"/>
      <c r="E6112" s="1129"/>
      <c r="F6112" s="1129"/>
      <c r="G6112" s="1129"/>
      <c r="H6112" s="1129" t="s">
        <v>2799</v>
      </c>
      <c r="I6112" s="1127"/>
    </row>
    <row r="6113" spans="1:9" x14ac:dyDescent="0.2">
      <c r="A6113" s="997">
        <f t="shared" si="95"/>
        <v>6112</v>
      </c>
      <c r="B6113" s="1129" t="s">
        <v>2797</v>
      </c>
      <c r="C6113" s="1139"/>
      <c r="D6113" s="1129"/>
      <c r="E6113" s="1129"/>
      <c r="F6113" s="1129"/>
      <c r="G6113" s="1129"/>
      <c r="H6113" s="1129" t="str">
        <f>CONCATENATE("&lt;valeur&gt;",Cellule_1098_5,"&lt;/valeur&gt;")</f>
        <v>&lt;valeur&gt;&lt;/valeur&gt;</v>
      </c>
      <c r="I6113" s="1127"/>
    </row>
    <row r="6114" spans="1:9" x14ac:dyDescent="0.2">
      <c r="A6114" s="997">
        <f t="shared" si="95"/>
        <v>6113</v>
      </c>
      <c r="B6114" s="1129" t="s">
        <v>2797</v>
      </c>
      <c r="C6114" s="1140"/>
      <c r="D6114" s="1129"/>
      <c r="E6114" s="1129"/>
      <c r="F6114" s="1129"/>
      <c r="G6114" s="1129"/>
      <c r="H6114" s="1129" t="s">
        <v>2738</v>
      </c>
      <c r="I6114" s="1127"/>
    </row>
    <row r="6115" spans="1:9" x14ac:dyDescent="0.2">
      <c r="A6115" s="997">
        <f t="shared" si="95"/>
        <v>6114</v>
      </c>
      <c r="B6115" s="1129" t="s">
        <v>2797</v>
      </c>
      <c r="C6115" s="1139"/>
      <c r="D6115" s="1129"/>
      <c r="E6115" s="1129"/>
      <c r="F6115" s="1129"/>
      <c r="G6115" s="1129" t="s">
        <v>1109</v>
      </c>
      <c r="H6115" s="1129"/>
      <c r="I6115" s="1127"/>
    </row>
    <row r="6116" spans="1:9" x14ac:dyDescent="0.2">
      <c r="A6116" s="997">
        <f t="shared" si="95"/>
        <v>6115</v>
      </c>
      <c r="B6116" s="1129" t="s">
        <v>2797</v>
      </c>
      <c r="C6116" s="1139"/>
      <c r="D6116" s="1129"/>
      <c r="E6116" s="1129"/>
      <c r="F6116" s="1129"/>
      <c r="G6116" s="1129" t="s">
        <v>1106</v>
      </c>
      <c r="H6116" s="1129"/>
      <c r="I6116" s="1127"/>
    </row>
    <row r="6117" spans="1:9" x14ac:dyDescent="0.2">
      <c r="A6117" s="997">
        <f t="shared" si="95"/>
        <v>6116</v>
      </c>
      <c r="B6117" s="1129" t="s">
        <v>2797</v>
      </c>
      <c r="C6117" s="1138"/>
      <c r="D6117" s="1129"/>
      <c r="E6117" s="1129"/>
      <c r="F6117" s="1129"/>
      <c r="G6117" s="1129"/>
      <c r="H6117" s="1129" t="s">
        <v>2800</v>
      </c>
      <c r="I6117" s="1127"/>
    </row>
    <row r="6118" spans="1:9" x14ac:dyDescent="0.2">
      <c r="A6118" s="997">
        <f t="shared" si="95"/>
        <v>6117</v>
      </c>
      <c r="B6118" s="1129" t="s">
        <v>2797</v>
      </c>
      <c r="C6118" s="1138"/>
      <c r="D6118" s="1129"/>
      <c r="E6118" s="1129"/>
      <c r="F6118" s="1129"/>
      <c r="G6118" s="1129"/>
      <c r="H6118" s="1129" t="str">
        <f>CONCATENATE("&lt;valeur&gt;",Cellule_1099_5,"&lt;/valeur&gt;")</f>
        <v>&lt;valeur&gt;&lt;/valeur&gt;</v>
      </c>
      <c r="I6118" s="1127"/>
    </row>
    <row r="6119" spans="1:9" x14ac:dyDescent="0.2">
      <c r="A6119" s="997">
        <f t="shared" si="95"/>
        <v>6118</v>
      </c>
      <c r="B6119" s="1129" t="s">
        <v>2797</v>
      </c>
      <c r="C6119" s="1139"/>
      <c r="D6119" s="1129"/>
      <c r="E6119" s="1129"/>
      <c r="F6119" s="1129"/>
      <c r="G6119" s="1129"/>
      <c r="H6119" s="1129" t="s">
        <v>2738</v>
      </c>
      <c r="I6119" s="1127"/>
    </row>
    <row r="6120" spans="1:9" x14ac:dyDescent="0.2">
      <c r="A6120" s="997">
        <f t="shared" si="95"/>
        <v>6119</v>
      </c>
      <c r="B6120" s="1129" t="s">
        <v>2797</v>
      </c>
      <c r="C6120" s="1140"/>
      <c r="D6120" s="1129"/>
      <c r="E6120" s="1129"/>
      <c r="F6120" s="1129"/>
      <c r="G6120" s="1129" t="s">
        <v>1109</v>
      </c>
      <c r="H6120" s="1129"/>
      <c r="I6120" s="1127"/>
    </row>
    <row r="6121" spans="1:9" x14ac:dyDescent="0.2">
      <c r="A6121" s="997">
        <f t="shared" si="95"/>
        <v>6120</v>
      </c>
      <c r="B6121" s="1129" t="s">
        <v>2797</v>
      </c>
      <c r="C6121" s="1139"/>
      <c r="D6121" s="1129"/>
      <c r="E6121" s="1129"/>
      <c r="F6121" s="1129"/>
      <c r="G6121" s="1129" t="s">
        <v>1106</v>
      </c>
      <c r="H6121" s="1129"/>
      <c r="I6121" s="1127"/>
    </row>
    <row r="6122" spans="1:9" x14ac:dyDescent="0.2">
      <c r="A6122" s="997">
        <f t="shared" si="95"/>
        <v>6121</v>
      </c>
      <c r="B6122" s="1129" t="s">
        <v>2797</v>
      </c>
      <c r="C6122" s="1139"/>
      <c r="D6122" s="1129"/>
      <c r="E6122" s="1129"/>
      <c r="F6122" s="1129"/>
      <c r="G6122" s="1129"/>
      <c r="H6122" s="1129" t="s">
        <v>2801</v>
      </c>
      <c r="I6122" s="1127"/>
    </row>
    <row r="6123" spans="1:9" x14ac:dyDescent="0.2">
      <c r="A6123" s="997">
        <f t="shared" si="95"/>
        <v>6122</v>
      </c>
      <c r="B6123" s="1129" t="s">
        <v>2797</v>
      </c>
      <c r="C6123" s="1138"/>
      <c r="D6123" s="1129"/>
      <c r="E6123" s="1129"/>
      <c r="F6123" s="1129"/>
      <c r="G6123" s="1129"/>
      <c r="H6123" s="1129" t="str">
        <f>CONCATENATE("&lt;valeur&gt;",Cellule_1100_5,"&lt;/valeur&gt;")</f>
        <v>&lt;valeur&gt;&lt;/valeur&gt;</v>
      </c>
      <c r="I6123" s="1127"/>
    </row>
    <row r="6124" spans="1:9" x14ac:dyDescent="0.2">
      <c r="A6124" s="997">
        <f t="shared" si="95"/>
        <v>6123</v>
      </c>
      <c r="B6124" s="1129" t="s">
        <v>2797</v>
      </c>
      <c r="C6124" s="1138"/>
      <c r="D6124" s="1129"/>
      <c r="E6124" s="1129"/>
      <c r="F6124" s="1129"/>
      <c r="G6124" s="1129"/>
      <c r="H6124" s="1129" t="s">
        <v>2738</v>
      </c>
      <c r="I6124" s="1127"/>
    </row>
    <row r="6125" spans="1:9" x14ac:dyDescent="0.2">
      <c r="A6125" s="997">
        <f t="shared" si="95"/>
        <v>6124</v>
      </c>
      <c r="B6125" s="1129" t="s">
        <v>2797</v>
      </c>
      <c r="C6125" s="1139"/>
      <c r="D6125" s="1129"/>
      <c r="E6125" s="1129"/>
      <c r="F6125" s="1129"/>
      <c r="G6125" s="1129" t="s">
        <v>1109</v>
      </c>
      <c r="H6125" s="1129"/>
      <c r="I6125" s="1127"/>
    </row>
    <row r="6126" spans="1:9" x14ac:dyDescent="0.2">
      <c r="A6126" s="997">
        <f t="shared" si="95"/>
        <v>6125</v>
      </c>
      <c r="B6126" s="1129" t="s">
        <v>2797</v>
      </c>
      <c r="C6126" s="1140"/>
      <c r="D6126" s="1129"/>
      <c r="E6126" s="1129"/>
      <c r="F6126" s="1129"/>
      <c r="G6126" s="1129" t="s">
        <v>1106</v>
      </c>
      <c r="H6126" s="1129"/>
      <c r="I6126" s="1127"/>
    </row>
    <row r="6127" spans="1:9" x14ac:dyDescent="0.2">
      <c r="A6127" s="997">
        <f t="shared" si="95"/>
        <v>6126</v>
      </c>
      <c r="B6127" s="1129" t="s">
        <v>2797</v>
      </c>
      <c r="C6127" s="1139"/>
      <c r="D6127" s="1129"/>
      <c r="E6127" s="1129"/>
      <c r="F6127" s="1129"/>
      <c r="G6127" s="1129"/>
      <c r="H6127" s="1129" t="s">
        <v>2802</v>
      </c>
      <c r="I6127" s="1127"/>
    </row>
    <row r="6128" spans="1:9" x14ac:dyDescent="0.2">
      <c r="A6128" s="997">
        <f t="shared" si="95"/>
        <v>6127</v>
      </c>
      <c r="B6128" s="1129" t="s">
        <v>2797</v>
      </c>
      <c r="C6128" s="1139"/>
      <c r="D6128" s="1129"/>
      <c r="E6128" s="1129"/>
      <c r="F6128" s="1129"/>
      <c r="G6128" s="1129"/>
      <c r="H6128" s="1129" t="str">
        <f>CONCATENATE("&lt;valeur&gt;",Cellule_1101_5,"&lt;/valeur&gt;")</f>
        <v>&lt;valeur&gt;&lt;/valeur&gt;</v>
      </c>
      <c r="I6128" s="1127"/>
    </row>
    <row r="6129" spans="1:9" x14ac:dyDescent="0.2">
      <c r="A6129" s="997">
        <f t="shared" si="95"/>
        <v>6128</v>
      </c>
      <c r="B6129" s="1129" t="s">
        <v>2797</v>
      </c>
      <c r="C6129" s="1138"/>
      <c r="D6129" s="1129"/>
      <c r="E6129" s="1129"/>
      <c r="F6129" s="1129"/>
      <c r="G6129" s="1129"/>
      <c r="H6129" s="1129" t="s">
        <v>2738</v>
      </c>
      <c r="I6129" s="1127"/>
    </row>
    <row r="6130" spans="1:9" x14ac:dyDescent="0.2">
      <c r="A6130" s="997">
        <f t="shared" si="95"/>
        <v>6129</v>
      </c>
      <c r="B6130" s="1129" t="s">
        <v>2797</v>
      </c>
      <c r="C6130" s="1138"/>
      <c r="D6130" s="1129"/>
      <c r="E6130" s="1129"/>
      <c r="F6130" s="1129"/>
      <c r="G6130" s="1129" t="s">
        <v>1109</v>
      </c>
      <c r="H6130" s="1129"/>
      <c r="I6130" s="1127"/>
    </row>
    <row r="6131" spans="1:9" x14ac:dyDescent="0.2">
      <c r="A6131" s="997">
        <f t="shared" si="95"/>
        <v>6130</v>
      </c>
      <c r="B6131" s="1129" t="s">
        <v>2797</v>
      </c>
      <c r="C6131" s="1139"/>
      <c r="D6131" s="1129"/>
      <c r="E6131" s="1129"/>
      <c r="F6131" s="1129"/>
      <c r="G6131" s="1129" t="s">
        <v>1106</v>
      </c>
      <c r="H6131" s="1129"/>
      <c r="I6131" s="1127"/>
    </row>
    <row r="6132" spans="1:9" x14ac:dyDescent="0.2">
      <c r="A6132" s="997">
        <f t="shared" si="95"/>
        <v>6131</v>
      </c>
      <c r="B6132" s="1129" t="s">
        <v>2797</v>
      </c>
      <c r="C6132" s="1140"/>
      <c r="D6132" s="1129"/>
      <c r="E6132" s="1129"/>
      <c r="F6132" s="1129"/>
      <c r="G6132" s="1129"/>
      <c r="H6132" s="1129" t="s">
        <v>2803</v>
      </c>
      <c r="I6132" s="1127"/>
    </row>
    <row r="6133" spans="1:9" x14ac:dyDescent="0.2">
      <c r="A6133" s="997">
        <f t="shared" si="95"/>
        <v>6132</v>
      </c>
      <c r="B6133" s="1129" t="s">
        <v>2797</v>
      </c>
      <c r="C6133" s="1139"/>
      <c r="D6133" s="1129"/>
      <c r="E6133" s="1129"/>
      <c r="F6133" s="1129"/>
      <c r="G6133" s="1129"/>
      <c r="H6133" s="1129" t="str">
        <f>CONCATENATE("&lt;valeur&gt;",Cellule_1102_5,"&lt;/valeur&gt;")</f>
        <v>&lt;valeur&gt;&lt;/valeur&gt;</v>
      </c>
      <c r="I6133" s="1127"/>
    </row>
    <row r="6134" spans="1:9" x14ac:dyDescent="0.2">
      <c r="A6134" s="997">
        <f t="shared" si="95"/>
        <v>6133</v>
      </c>
      <c r="B6134" s="1129" t="s">
        <v>2797</v>
      </c>
      <c r="C6134" s="1139"/>
      <c r="D6134" s="1129"/>
      <c r="E6134" s="1129"/>
      <c r="F6134" s="1129"/>
      <c r="G6134" s="1129"/>
      <c r="H6134" s="1129" t="s">
        <v>2738</v>
      </c>
      <c r="I6134" s="1127"/>
    </row>
    <row r="6135" spans="1:9" x14ac:dyDescent="0.2">
      <c r="A6135" s="997">
        <f t="shared" si="95"/>
        <v>6134</v>
      </c>
      <c r="B6135" s="1129" t="s">
        <v>2797</v>
      </c>
      <c r="C6135" s="1138"/>
      <c r="D6135" s="1129"/>
      <c r="E6135" s="1129"/>
      <c r="F6135" s="1129"/>
      <c r="G6135" s="1129" t="s">
        <v>1109</v>
      </c>
      <c r="H6135" s="1129"/>
      <c r="I6135" s="1127"/>
    </row>
    <row r="6136" spans="1:9" x14ac:dyDescent="0.2">
      <c r="A6136" s="997">
        <f t="shared" si="95"/>
        <v>6135</v>
      </c>
      <c r="B6136" s="1129" t="s">
        <v>2797</v>
      </c>
      <c r="C6136" s="1138"/>
      <c r="D6136" s="1129"/>
      <c r="E6136" s="1129"/>
      <c r="F6136" s="1129"/>
      <c r="G6136" s="1129" t="s">
        <v>1106</v>
      </c>
      <c r="H6136" s="1129"/>
      <c r="I6136" s="1127"/>
    </row>
    <row r="6137" spans="1:9" x14ac:dyDescent="0.2">
      <c r="A6137" s="997">
        <f t="shared" si="95"/>
        <v>6136</v>
      </c>
      <c r="B6137" s="1129" t="s">
        <v>2797</v>
      </c>
      <c r="C6137" s="1139"/>
      <c r="D6137" s="1129"/>
      <c r="E6137" s="1129"/>
      <c r="F6137" s="1129"/>
      <c r="G6137" s="1129"/>
      <c r="H6137" s="1129" t="s">
        <v>2804</v>
      </c>
      <c r="I6137" s="1127"/>
    </row>
    <row r="6138" spans="1:9" x14ac:dyDescent="0.2">
      <c r="A6138" s="997">
        <f t="shared" si="95"/>
        <v>6137</v>
      </c>
      <c r="B6138" s="1129" t="s">
        <v>2797</v>
      </c>
      <c r="C6138" s="1140"/>
      <c r="D6138" s="1129"/>
      <c r="E6138" s="1129"/>
      <c r="F6138" s="1129"/>
      <c r="G6138" s="1129"/>
      <c r="H6138" s="1129" t="str">
        <f>CONCATENATE("&lt;valeur&gt;",Cellule_1103_5,"&lt;/valeur&gt;")</f>
        <v>&lt;valeur&gt;&lt;/valeur&gt;</v>
      </c>
      <c r="I6138" s="1127"/>
    </row>
    <row r="6139" spans="1:9" x14ac:dyDescent="0.2">
      <c r="A6139" s="997">
        <f t="shared" si="95"/>
        <v>6138</v>
      </c>
      <c r="B6139" s="1129" t="s">
        <v>2797</v>
      </c>
      <c r="C6139" s="1139"/>
      <c r="D6139" s="1129"/>
      <c r="E6139" s="1129"/>
      <c r="F6139" s="1129"/>
      <c r="G6139" s="1129"/>
      <c r="H6139" s="1129" t="s">
        <v>2738</v>
      </c>
      <c r="I6139" s="1127"/>
    </row>
    <row r="6140" spans="1:9" x14ac:dyDescent="0.2">
      <c r="A6140" s="997">
        <f t="shared" si="95"/>
        <v>6139</v>
      </c>
      <c r="B6140" s="1129" t="s">
        <v>2797</v>
      </c>
      <c r="C6140" s="1139"/>
      <c r="D6140" s="1129"/>
      <c r="E6140" s="1129"/>
      <c r="F6140" s="1129"/>
      <c r="G6140" s="1129" t="s">
        <v>1109</v>
      </c>
      <c r="H6140" s="1129"/>
      <c r="I6140" s="1127"/>
    </row>
    <row r="6141" spans="1:9" x14ac:dyDescent="0.2">
      <c r="A6141" s="997">
        <f t="shared" si="95"/>
        <v>6140</v>
      </c>
      <c r="B6141" s="1129" t="s">
        <v>2797</v>
      </c>
      <c r="C6141" s="1138"/>
      <c r="D6141" s="1129"/>
      <c r="E6141" s="1129"/>
      <c r="F6141" s="1129"/>
      <c r="G6141" s="1129" t="s">
        <v>1106</v>
      </c>
      <c r="H6141" s="1129"/>
      <c r="I6141" s="1127"/>
    </row>
    <row r="6142" spans="1:9" x14ac:dyDescent="0.2">
      <c r="A6142" s="997">
        <f t="shared" si="95"/>
        <v>6141</v>
      </c>
      <c r="B6142" s="1129" t="s">
        <v>2797</v>
      </c>
      <c r="C6142" s="1138"/>
      <c r="D6142" s="1129"/>
      <c r="E6142" s="1129"/>
      <c r="F6142" s="1129"/>
      <c r="G6142" s="1129"/>
      <c r="H6142" s="1129" t="s">
        <v>2805</v>
      </c>
      <c r="I6142" s="1127"/>
    </row>
    <row r="6143" spans="1:9" x14ac:dyDescent="0.2">
      <c r="A6143" s="997">
        <f t="shared" si="95"/>
        <v>6142</v>
      </c>
      <c r="B6143" s="1129" t="s">
        <v>2797</v>
      </c>
      <c r="C6143" s="1139"/>
      <c r="D6143" s="1129"/>
      <c r="E6143" s="1129"/>
      <c r="F6143" s="1129"/>
      <c r="G6143" s="1129"/>
      <c r="H6143" s="1129" t="str">
        <f>CONCATENATE("&lt;valeur&gt;",Cellule_1104_5,"&lt;/valeur&gt;")</f>
        <v>&lt;valeur&gt;&lt;/valeur&gt;</v>
      </c>
      <c r="I6143" s="1127"/>
    </row>
    <row r="6144" spans="1:9" x14ac:dyDescent="0.2">
      <c r="A6144" s="997">
        <f t="shared" si="95"/>
        <v>6143</v>
      </c>
      <c r="B6144" s="1129" t="s">
        <v>2797</v>
      </c>
      <c r="C6144" s="1140"/>
      <c r="D6144" s="1129"/>
      <c r="E6144" s="1129"/>
      <c r="F6144" s="1129"/>
      <c r="G6144" s="1129"/>
      <c r="H6144" s="1129" t="s">
        <v>2738</v>
      </c>
      <c r="I6144" s="1127"/>
    </row>
    <row r="6145" spans="1:9" x14ac:dyDescent="0.2">
      <c r="A6145" s="997">
        <f t="shared" si="95"/>
        <v>6144</v>
      </c>
      <c r="B6145" s="1129" t="s">
        <v>2797</v>
      </c>
      <c r="C6145" s="1139"/>
      <c r="D6145" s="1129"/>
      <c r="E6145" s="1129"/>
      <c r="F6145" s="1129"/>
      <c r="G6145" s="1129" t="s">
        <v>1109</v>
      </c>
      <c r="H6145" s="1129"/>
      <c r="I6145" s="1127"/>
    </row>
    <row r="6146" spans="1:9" x14ac:dyDescent="0.2">
      <c r="A6146" s="997">
        <f t="shared" si="95"/>
        <v>6145</v>
      </c>
      <c r="B6146" s="1129" t="s">
        <v>2797</v>
      </c>
      <c r="C6146" s="1139"/>
      <c r="D6146" s="1129"/>
      <c r="E6146" s="1129"/>
      <c r="F6146" s="1129"/>
      <c r="G6146" s="1129" t="s">
        <v>1106</v>
      </c>
      <c r="H6146" s="1129"/>
      <c r="I6146" s="1127"/>
    </row>
    <row r="6147" spans="1:9" x14ac:dyDescent="0.2">
      <c r="A6147" s="997">
        <f t="shared" si="95"/>
        <v>6146</v>
      </c>
      <c r="B6147" s="1129" t="s">
        <v>2797</v>
      </c>
      <c r="C6147" s="1138"/>
      <c r="D6147" s="1129"/>
      <c r="E6147" s="1129"/>
      <c r="F6147" s="1129"/>
      <c r="G6147" s="1129"/>
      <c r="H6147" s="1129" t="s">
        <v>2806</v>
      </c>
      <c r="I6147" s="1127"/>
    </row>
    <row r="6148" spans="1:9" x14ac:dyDescent="0.2">
      <c r="A6148" s="997">
        <f t="shared" ref="A6148:A6211" si="96">+A6147+1</f>
        <v>6147</v>
      </c>
      <c r="B6148" s="1129" t="s">
        <v>2797</v>
      </c>
      <c r="C6148" s="1138"/>
      <c r="D6148" s="1129"/>
      <c r="E6148" s="1129"/>
      <c r="F6148" s="1129"/>
      <c r="G6148" s="1129"/>
      <c r="H6148" s="1129" t="str">
        <f>CONCATENATE("&lt;valeur&gt;",Cellule_1105_5,"&lt;/valeur&gt;")</f>
        <v>&lt;valeur&gt;&lt;/valeur&gt;</v>
      </c>
      <c r="I6148" s="1127"/>
    </row>
    <row r="6149" spans="1:9" x14ac:dyDescent="0.2">
      <c r="A6149" s="997">
        <f t="shared" si="96"/>
        <v>6148</v>
      </c>
      <c r="B6149" s="1129" t="s">
        <v>2797</v>
      </c>
      <c r="C6149" s="1139"/>
      <c r="D6149" s="1129"/>
      <c r="E6149" s="1129"/>
      <c r="F6149" s="1129"/>
      <c r="G6149" s="1129"/>
      <c r="H6149" s="1129" t="s">
        <v>2738</v>
      </c>
      <c r="I6149" s="1127"/>
    </row>
    <row r="6150" spans="1:9" x14ac:dyDescent="0.2">
      <c r="A6150" s="997">
        <f t="shared" si="96"/>
        <v>6149</v>
      </c>
      <c r="B6150" s="1129" t="s">
        <v>2797</v>
      </c>
      <c r="C6150" s="1140"/>
      <c r="D6150" s="1129"/>
      <c r="E6150" s="1129"/>
      <c r="F6150" s="1129"/>
      <c r="G6150" s="1129" t="s">
        <v>1109</v>
      </c>
      <c r="H6150" s="1129"/>
      <c r="I6150" s="1127"/>
    </row>
    <row r="6151" spans="1:9" x14ac:dyDescent="0.2">
      <c r="A6151" s="997">
        <f t="shared" si="96"/>
        <v>6150</v>
      </c>
      <c r="B6151" s="1129" t="s">
        <v>2797</v>
      </c>
      <c r="C6151" s="1139"/>
      <c r="D6151" s="1129"/>
      <c r="E6151" s="1129"/>
      <c r="F6151" s="1129"/>
      <c r="G6151" s="1129" t="s">
        <v>1106</v>
      </c>
      <c r="H6151" s="1129"/>
      <c r="I6151" s="1127"/>
    </row>
    <row r="6152" spans="1:9" x14ac:dyDescent="0.2">
      <c r="A6152" s="997">
        <f t="shared" si="96"/>
        <v>6151</v>
      </c>
      <c r="B6152" s="1129" t="s">
        <v>2797</v>
      </c>
      <c r="C6152" s="1138"/>
      <c r="D6152" s="1129"/>
      <c r="E6152" s="1129"/>
      <c r="F6152" s="1129"/>
      <c r="G6152" s="1129"/>
      <c r="H6152" s="1129" t="s">
        <v>2807</v>
      </c>
      <c r="I6152" s="1127"/>
    </row>
    <row r="6153" spans="1:9" x14ac:dyDescent="0.2">
      <c r="A6153" s="997">
        <f t="shared" si="96"/>
        <v>6152</v>
      </c>
      <c r="B6153" s="1129" t="s">
        <v>2797</v>
      </c>
      <c r="C6153" s="1138"/>
      <c r="D6153" s="1129"/>
      <c r="E6153" s="1129"/>
      <c r="F6153" s="1129"/>
      <c r="G6153" s="1129"/>
      <c r="H6153" s="1129" t="str">
        <f>CONCATENATE("&lt;valeur&gt;",Cellule_1106_5,"&lt;/valeur&gt;")</f>
        <v>&lt;valeur&gt;&lt;/valeur&gt;</v>
      </c>
      <c r="I6153" s="1127"/>
    </row>
    <row r="6154" spans="1:9" x14ac:dyDescent="0.2">
      <c r="A6154" s="997">
        <f t="shared" si="96"/>
        <v>6153</v>
      </c>
      <c r="B6154" s="1129" t="s">
        <v>2797</v>
      </c>
      <c r="C6154" s="1139"/>
      <c r="D6154" s="1129"/>
      <c r="E6154" s="1129"/>
      <c r="F6154" s="1129"/>
      <c r="G6154" s="1129"/>
      <c r="H6154" s="1129" t="s">
        <v>2738</v>
      </c>
      <c r="I6154" s="1127"/>
    </row>
    <row r="6155" spans="1:9" x14ac:dyDescent="0.2">
      <c r="A6155" s="997">
        <f t="shared" si="96"/>
        <v>6154</v>
      </c>
      <c r="B6155" s="1129" t="s">
        <v>2797</v>
      </c>
      <c r="C6155" s="1140"/>
      <c r="D6155" s="1129"/>
      <c r="E6155" s="1129"/>
      <c r="F6155" s="1129"/>
      <c r="G6155" s="1129" t="s">
        <v>1109</v>
      </c>
      <c r="H6155" s="1129"/>
      <c r="I6155" s="1127"/>
    </row>
    <row r="6156" spans="1:9" x14ac:dyDescent="0.2">
      <c r="A6156" s="997">
        <f t="shared" si="96"/>
        <v>6155</v>
      </c>
      <c r="B6156" s="1129" t="s">
        <v>2797</v>
      </c>
      <c r="C6156" s="1139"/>
      <c r="D6156" s="1129"/>
      <c r="E6156" s="1129"/>
      <c r="F6156" s="1129"/>
      <c r="G6156" s="1129" t="s">
        <v>1106</v>
      </c>
      <c r="H6156" s="1129"/>
      <c r="I6156" s="1127"/>
    </row>
    <row r="6157" spans="1:9" x14ac:dyDescent="0.2">
      <c r="A6157" s="997">
        <f t="shared" si="96"/>
        <v>6156</v>
      </c>
      <c r="B6157" s="1129" t="s">
        <v>2797</v>
      </c>
      <c r="C6157" s="1138"/>
      <c r="D6157" s="1129"/>
      <c r="E6157" s="1129"/>
      <c r="F6157" s="1129"/>
      <c r="G6157" s="1129"/>
      <c r="H6157" s="1129" t="s">
        <v>2808</v>
      </c>
      <c r="I6157" s="1127"/>
    </row>
    <row r="6158" spans="1:9" x14ac:dyDescent="0.2">
      <c r="A6158" s="997">
        <f t="shared" si="96"/>
        <v>6157</v>
      </c>
      <c r="B6158" s="1129" t="s">
        <v>2797</v>
      </c>
      <c r="C6158" s="1138"/>
      <c r="D6158" s="1129"/>
      <c r="E6158" s="1129"/>
      <c r="F6158" s="1129"/>
      <c r="G6158" s="1129"/>
      <c r="H6158" s="1129" t="str">
        <f>CONCATENATE("&lt;valeur&gt;",Cellule_1107_5,"&lt;/valeur&gt;")</f>
        <v>&lt;valeur&gt;&lt;/valeur&gt;</v>
      </c>
      <c r="I6158" s="1127"/>
    </row>
    <row r="6159" spans="1:9" x14ac:dyDescent="0.2">
      <c r="A6159" s="997">
        <f t="shared" si="96"/>
        <v>6158</v>
      </c>
      <c r="B6159" s="1129" t="s">
        <v>2797</v>
      </c>
      <c r="C6159" s="1139"/>
      <c r="D6159" s="1129"/>
      <c r="E6159" s="1129"/>
      <c r="F6159" s="1129"/>
      <c r="G6159" s="1129"/>
      <c r="H6159" s="1129" t="s">
        <v>2738</v>
      </c>
      <c r="I6159" s="1127"/>
    </row>
    <row r="6160" spans="1:9" x14ac:dyDescent="0.2">
      <c r="A6160" s="997">
        <f t="shared" si="96"/>
        <v>6159</v>
      </c>
      <c r="B6160" s="1129" t="s">
        <v>2797</v>
      </c>
      <c r="C6160" s="1140"/>
      <c r="D6160" s="1129"/>
      <c r="E6160" s="1129"/>
      <c r="F6160" s="1129"/>
      <c r="G6160" s="1129" t="s">
        <v>1109</v>
      </c>
      <c r="H6160" s="1129"/>
      <c r="I6160" s="1127"/>
    </row>
    <row r="6161" spans="1:9" x14ac:dyDescent="0.2">
      <c r="A6161" s="997">
        <f t="shared" si="96"/>
        <v>6160</v>
      </c>
      <c r="B6161" s="1129" t="s">
        <v>2797</v>
      </c>
      <c r="C6161" s="1139"/>
      <c r="D6161" s="1129"/>
      <c r="E6161" s="1129"/>
      <c r="F6161" s="1129"/>
      <c r="G6161" s="1129" t="s">
        <v>1106</v>
      </c>
      <c r="H6161" s="1129"/>
      <c r="I6161" s="1127"/>
    </row>
    <row r="6162" spans="1:9" x14ac:dyDescent="0.2">
      <c r="A6162" s="997">
        <f t="shared" si="96"/>
        <v>6161</v>
      </c>
      <c r="B6162" s="1129" t="s">
        <v>2797</v>
      </c>
      <c r="C6162" s="1138"/>
      <c r="D6162" s="1129"/>
      <c r="E6162" s="1129"/>
      <c r="F6162" s="1129"/>
      <c r="G6162" s="1129"/>
      <c r="H6162" s="1129" t="s">
        <v>2809</v>
      </c>
      <c r="I6162" s="1127"/>
    </row>
    <row r="6163" spans="1:9" x14ac:dyDescent="0.2">
      <c r="A6163" s="997">
        <f t="shared" si="96"/>
        <v>6162</v>
      </c>
      <c r="B6163" s="1129" t="s">
        <v>2797</v>
      </c>
      <c r="C6163" s="1138"/>
      <c r="D6163" s="1129"/>
      <c r="E6163" s="1129"/>
      <c r="F6163" s="1129"/>
      <c r="G6163" s="1129"/>
      <c r="H6163" s="1129" t="str">
        <f>CONCATENATE("&lt;valeur&gt;",Cellule_1108_5,"&lt;/valeur&gt;")</f>
        <v>&lt;valeur&gt;&lt;/valeur&gt;</v>
      </c>
      <c r="I6163" s="1127"/>
    </row>
    <row r="6164" spans="1:9" x14ac:dyDescent="0.2">
      <c r="A6164" s="997">
        <f t="shared" si="96"/>
        <v>6163</v>
      </c>
      <c r="B6164" s="1129" t="s">
        <v>2797</v>
      </c>
      <c r="C6164" s="1139"/>
      <c r="D6164" s="1129"/>
      <c r="E6164" s="1129"/>
      <c r="F6164" s="1129"/>
      <c r="G6164" s="1129"/>
      <c r="H6164" s="1129" t="s">
        <v>2738</v>
      </c>
      <c r="I6164" s="1127"/>
    </row>
    <row r="6165" spans="1:9" x14ac:dyDescent="0.2">
      <c r="A6165" s="997">
        <f t="shared" si="96"/>
        <v>6164</v>
      </c>
      <c r="B6165" s="1130" t="s">
        <v>2797</v>
      </c>
      <c r="C6165" s="1141"/>
      <c r="D6165" s="1130"/>
      <c r="E6165" s="1130"/>
      <c r="F6165" s="1130"/>
      <c r="G6165" s="1130" t="s">
        <v>1109</v>
      </c>
      <c r="H6165" s="1130"/>
      <c r="I6165" s="1142"/>
    </row>
    <row r="6166" spans="1:9" x14ac:dyDescent="0.2">
      <c r="A6166" s="997">
        <f t="shared" si="96"/>
        <v>6165</v>
      </c>
      <c r="B6166" s="1128" t="s">
        <v>2797</v>
      </c>
      <c r="C6166" s="1137"/>
      <c r="D6166" s="1128"/>
      <c r="E6166" s="1128"/>
      <c r="F6166" s="1128"/>
      <c r="G6166" s="1128" t="s">
        <v>1106</v>
      </c>
      <c r="H6166" s="1128"/>
      <c r="I6166" s="1124"/>
    </row>
    <row r="6167" spans="1:9" x14ac:dyDescent="0.2">
      <c r="A6167" s="997">
        <f t="shared" si="96"/>
        <v>6166</v>
      </c>
      <c r="B6167" s="1129" t="s">
        <v>2797</v>
      </c>
      <c r="C6167" s="1138"/>
      <c r="D6167" s="1129"/>
      <c r="E6167" s="1129"/>
      <c r="F6167" s="1129"/>
      <c r="G6167" s="1129"/>
      <c r="H6167" s="1129" t="s">
        <v>2799</v>
      </c>
      <c r="I6167" s="1127"/>
    </row>
    <row r="6168" spans="1:9" x14ac:dyDescent="0.2">
      <c r="A6168" s="997">
        <f t="shared" si="96"/>
        <v>6167</v>
      </c>
      <c r="B6168" s="1129" t="s">
        <v>2797</v>
      </c>
      <c r="C6168" s="1139"/>
      <c r="D6168" s="1129"/>
      <c r="E6168" s="1129"/>
      <c r="F6168" s="1129"/>
      <c r="G6168" s="1129"/>
      <c r="H6168" s="1129" t="str">
        <f>CONCATENATE("&lt;valeur&gt;",Cellule_1098_6,"&lt;/valeur&gt;")</f>
        <v>&lt;valeur&gt;&lt;/valeur&gt;</v>
      </c>
      <c r="I6168" s="1127"/>
    </row>
    <row r="6169" spans="1:9" x14ac:dyDescent="0.2">
      <c r="A6169" s="997">
        <f t="shared" si="96"/>
        <v>6168</v>
      </c>
      <c r="B6169" s="1129" t="s">
        <v>2797</v>
      </c>
      <c r="C6169" s="1140"/>
      <c r="D6169" s="1129"/>
      <c r="E6169" s="1129"/>
      <c r="F6169" s="1129"/>
      <c r="G6169" s="1129"/>
      <c r="H6169" s="1129" t="s">
        <v>2739</v>
      </c>
      <c r="I6169" s="1127"/>
    </row>
    <row r="6170" spans="1:9" x14ac:dyDescent="0.2">
      <c r="A6170" s="997">
        <f t="shared" si="96"/>
        <v>6169</v>
      </c>
      <c r="B6170" s="1129" t="s">
        <v>2797</v>
      </c>
      <c r="C6170" s="1139"/>
      <c r="D6170" s="1129"/>
      <c r="E6170" s="1129"/>
      <c r="F6170" s="1129"/>
      <c r="G6170" s="1129" t="s">
        <v>1109</v>
      </c>
      <c r="H6170" s="1129"/>
      <c r="I6170" s="1127"/>
    </row>
    <row r="6171" spans="1:9" x14ac:dyDescent="0.2">
      <c r="A6171" s="997">
        <f t="shared" si="96"/>
        <v>6170</v>
      </c>
      <c r="B6171" s="1129" t="s">
        <v>2797</v>
      </c>
      <c r="C6171" s="1139"/>
      <c r="D6171" s="1129"/>
      <c r="E6171" s="1129"/>
      <c r="F6171" s="1129"/>
      <c r="G6171" s="1129" t="s">
        <v>1106</v>
      </c>
      <c r="H6171" s="1129"/>
      <c r="I6171" s="1127"/>
    </row>
    <row r="6172" spans="1:9" x14ac:dyDescent="0.2">
      <c r="A6172" s="997">
        <f t="shared" si="96"/>
        <v>6171</v>
      </c>
      <c r="B6172" s="1129" t="s">
        <v>2797</v>
      </c>
      <c r="C6172" s="1138"/>
      <c r="D6172" s="1129"/>
      <c r="E6172" s="1129"/>
      <c r="F6172" s="1129"/>
      <c r="G6172" s="1129"/>
      <c r="H6172" s="1129" t="s">
        <v>2800</v>
      </c>
      <c r="I6172" s="1127"/>
    </row>
    <row r="6173" spans="1:9" x14ac:dyDescent="0.2">
      <c r="A6173" s="997">
        <f t="shared" si="96"/>
        <v>6172</v>
      </c>
      <c r="B6173" s="1129" t="s">
        <v>2797</v>
      </c>
      <c r="C6173" s="1138"/>
      <c r="D6173" s="1129"/>
      <c r="E6173" s="1129"/>
      <c r="F6173" s="1129"/>
      <c r="G6173" s="1129"/>
      <c r="H6173" s="1129" t="str">
        <f>CONCATENATE("&lt;valeur&gt;",Cellule_1099_6,"&lt;/valeur&gt;")</f>
        <v>&lt;valeur&gt;&lt;/valeur&gt;</v>
      </c>
      <c r="I6173" s="1127"/>
    </row>
    <row r="6174" spans="1:9" x14ac:dyDescent="0.2">
      <c r="A6174" s="997">
        <f t="shared" si="96"/>
        <v>6173</v>
      </c>
      <c r="B6174" s="1129" t="s">
        <v>2797</v>
      </c>
      <c r="C6174" s="1139"/>
      <c r="D6174" s="1129"/>
      <c r="E6174" s="1129"/>
      <c r="F6174" s="1129"/>
      <c r="G6174" s="1129"/>
      <c r="H6174" s="1129" t="s">
        <v>2739</v>
      </c>
      <c r="I6174" s="1127"/>
    </row>
    <row r="6175" spans="1:9" x14ac:dyDescent="0.2">
      <c r="A6175" s="997">
        <f t="shared" si="96"/>
        <v>6174</v>
      </c>
      <c r="B6175" s="1129" t="s">
        <v>2797</v>
      </c>
      <c r="C6175" s="1140"/>
      <c r="D6175" s="1129"/>
      <c r="E6175" s="1129"/>
      <c r="F6175" s="1129"/>
      <c r="G6175" s="1129" t="s">
        <v>1109</v>
      </c>
      <c r="H6175" s="1129"/>
      <c r="I6175" s="1127"/>
    </row>
    <row r="6176" spans="1:9" x14ac:dyDescent="0.2">
      <c r="A6176" s="997">
        <f t="shared" si="96"/>
        <v>6175</v>
      </c>
      <c r="B6176" s="1129" t="s">
        <v>2797</v>
      </c>
      <c r="C6176" s="1139"/>
      <c r="D6176" s="1129"/>
      <c r="E6176" s="1129"/>
      <c r="F6176" s="1129"/>
      <c r="G6176" s="1129" t="s">
        <v>1106</v>
      </c>
      <c r="H6176" s="1129"/>
      <c r="I6176" s="1127"/>
    </row>
    <row r="6177" spans="1:9" x14ac:dyDescent="0.2">
      <c r="A6177" s="997">
        <f t="shared" si="96"/>
        <v>6176</v>
      </c>
      <c r="B6177" s="1129" t="s">
        <v>2797</v>
      </c>
      <c r="C6177" s="1139"/>
      <c r="D6177" s="1129"/>
      <c r="E6177" s="1129"/>
      <c r="F6177" s="1129"/>
      <c r="G6177" s="1129"/>
      <c r="H6177" s="1129" t="s">
        <v>2801</v>
      </c>
      <c r="I6177" s="1127"/>
    </row>
    <row r="6178" spans="1:9" x14ac:dyDescent="0.2">
      <c r="A6178" s="997">
        <f t="shared" si="96"/>
        <v>6177</v>
      </c>
      <c r="B6178" s="1129" t="s">
        <v>2797</v>
      </c>
      <c r="C6178" s="1138"/>
      <c r="D6178" s="1129"/>
      <c r="E6178" s="1129"/>
      <c r="F6178" s="1129"/>
      <c r="G6178" s="1129"/>
      <c r="H6178" s="1129" t="str">
        <f>CONCATENATE("&lt;valeur&gt;",Cellule_1100_6,"&lt;/valeur&gt;")</f>
        <v>&lt;valeur&gt;&lt;/valeur&gt;</v>
      </c>
      <c r="I6178" s="1127"/>
    </row>
    <row r="6179" spans="1:9" x14ac:dyDescent="0.2">
      <c r="A6179" s="997">
        <f t="shared" si="96"/>
        <v>6178</v>
      </c>
      <c r="B6179" s="1129" t="s">
        <v>2797</v>
      </c>
      <c r="C6179" s="1138"/>
      <c r="D6179" s="1129"/>
      <c r="E6179" s="1129"/>
      <c r="F6179" s="1129"/>
      <c r="G6179" s="1129"/>
      <c r="H6179" s="1129" t="s">
        <v>2739</v>
      </c>
      <c r="I6179" s="1127"/>
    </row>
    <row r="6180" spans="1:9" x14ac:dyDescent="0.2">
      <c r="A6180" s="997">
        <f t="shared" si="96"/>
        <v>6179</v>
      </c>
      <c r="B6180" s="1129" t="s">
        <v>2797</v>
      </c>
      <c r="C6180" s="1139"/>
      <c r="D6180" s="1129"/>
      <c r="E6180" s="1129"/>
      <c r="F6180" s="1129"/>
      <c r="G6180" s="1129" t="s">
        <v>1109</v>
      </c>
      <c r="H6180" s="1129"/>
      <c r="I6180" s="1127"/>
    </row>
    <row r="6181" spans="1:9" x14ac:dyDescent="0.2">
      <c r="A6181" s="997">
        <f t="shared" si="96"/>
        <v>6180</v>
      </c>
      <c r="B6181" s="1129" t="s">
        <v>2797</v>
      </c>
      <c r="C6181" s="1140"/>
      <c r="D6181" s="1129"/>
      <c r="E6181" s="1129"/>
      <c r="F6181" s="1129"/>
      <c r="G6181" s="1129" t="s">
        <v>1106</v>
      </c>
      <c r="H6181" s="1129"/>
      <c r="I6181" s="1127"/>
    </row>
    <row r="6182" spans="1:9" x14ac:dyDescent="0.2">
      <c r="A6182" s="997">
        <f t="shared" si="96"/>
        <v>6181</v>
      </c>
      <c r="B6182" s="1129" t="s">
        <v>2797</v>
      </c>
      <c r="C6182" s="1139"/>
      <c r="D6182" s="1129"/>
      <c r="E6182" s="1129"/>
      <c r="F6182" s="1129"/>
      <c r="G6182" s="1129"/>
      <c r="H6182" s="1129" t="s">
        <v>2802</v>
      </c>
      <c r="I6182" s="1127"/>
    </row>
    <row r="6183" spans="1:9" x14ac:dyDescent="0.2">
      <c r="A6183" s="997">
        <f t="shared" si="96"/>
        <v>6182</v>
      </c>
      <c r="B6183" s="1129" t="s">
        <v>2797</v>
      </c>
      <c r="C6183" s="1139"/>
      <c r="D6183" s="1129"/>
      <c r="E6183" s="1129"/>
      <c r="F6183" s="1129"/>
      <c r="G6183" s="1129"/>
      <c r="H6183" s="1129" t="str">
        <f>CONCATENATE("&lt;valeur&gt;",Cellule_1101_6,"&lt;/valeur&gt;")</f>
        <v>&lt;valeur&gt;&lt;/valeur&gt;</v>
      </c>
      <c r="I6183" s="1127"/>
    </row>
    <row r="6184" spans="1:9" x14ac:dyDescent="0.2">
      <c r="A6184" s="997">
        <f t="shared" si="96"/>
        <v>6183</v>
      </c>
      <c r="B6184" s="1129" t="s">
        <v>2797</v>
      </c>
      <c r="C6184" s="1138"/>
      <c r="D6184" s="1129"/>
      <c r="E6184" s="1129"/>
      <c r="F6184" s="1129"/>
      <c r="G6184" s="1129"/>
      <c r="H6184" s="1129" t="s">
        <v>2739</v>
      </c>
      <c r="I6184" s="1127"/>
    </row>
    <row r="6185" spans="1:9" x14ac:dyDescent="0.2">
      <c r="A6185" s="997">
        <f t="shared" si="96"/>
        <v>6184</v>
      </c>
      <c r="B6185" s="1129" t="s">
        <v>2797</v>
      </c>
      <c r="C6185" s="1138"/>
      <c r="D6185" s="1129"/>
      <c r="E6185" s="1129"/>
      <c r="F6185" s="1129"/>
      <c r="G6185" s="1129" t="s">
        <v>1109</v>
      </c>
      <c r="H6185" s="1129"/>
      <c r="I6185" s="1127"/>
    </row>
    <row r="6186" spans="1:9" x14ac:dyDescent="0.2">
      <c r="A6186" s="997">
        <f t="shared" si="96"/>
        <v>6185</v>
      </c>
      <c r="B6186" s="1129" t="s">
        <v>2797</v>
      </c>
      <c r="C6186" s="1139"/>
      <c r="D6186" s="1129"/>
      <c r="E6186" s="1129"/>
      <c r="F6186" s="1129"/>
      <c r="G6186" s="1129" t="s">
        <v>1106</v>
      </c>
      <c r="H6186" s="1129"/>
      <c r="I6186" s="1127"/>
    </row>
    <row r="6187" spans="1:9" x14ac:dyDescent="0.2">
      <c r="A6187" s="997">
        <f t="shared" si="96"/>
        <v>6186</v>
      </c>
      <c r="B6187" s="1129" t="s">
        <v>2797</v>
      </c>
      <c r="C6187" s="1140"/>
      <c r="D6187" s="1129"/>
      <c r="E6187" s="1129"/>
      <c r="F6187" s="1129"/>
      <c r="G6187" s="1129"/>
      <c r="H6187" s="1129" t="s">
        <v>2803</v>
      </c>
      <c r="I6187" s="1127"/>
    </row>
    <row r="6188" spans="1:9" x14ac:dyDescent="0.2">
      <c r="A6188" s="997">
        <f t="shared" si="96"/>
        <v>6187</v>
      </c>
      <c r="B6188" s="1129" t="s">
        <v>2797</v>
      </c>
      <c r="C6188" s="1139"/>
      <c r="D6188" s="1129"/>
      <c r="E6188" s="1129"/>
      <c r="F6188" s="1129"/>
      <c r="G6188" s="1129"/>
      <c r="H6188" s="1129" t="str">
        <f>CONCATENATE("&lt;valeur&gt;",Cellule_1102_6,"&lt;/valeur&gt;")</f>
        <v>&lt;valeur&gt;&lt;/valeur&gt;</v>
      </c>
      <c r="I6188" s="1127"/>
    </row>
    <row r="6189" spans="1:9" x14ac:dyDescent="0.2">
      <c r="A6189" s="997">
        <f t="shared" si="96"/>
        <v>6188</v>
      </c>
      <c r="B6189" s="1129" t="s">
        <v>2797</v>
      </c>
      <c r="C6189" s="1139"/>
      <c r="D6189" s="1129"/>
      <c r="E6189" s="1129"/>
      <c r="F6189" s="1129"/>
      <c r="G6189" s="1129"/>
      <c r="H6189" s="1129" t="s">
        <v>2739</v>
      </c>
      <c r="I6189" s="1127"/>
    </row>
    <row r="6190" spans="1:9" x14ac:dyDescent="0.2">
      <c r="A6190" s="997">
        <f t="shared" si="96"/>
        <v>6189</v>
      </c>
      <c r="B6190" s="1129" t="s">
        <v>2797</v>
      </c>
      <c r="C6190" s="1138"/>
      <c r="D6190" s="1129"/>
      <c r="E6190" s="1129"/>
      <c r="F6190" s="1129"/>
      <c r="G6190" s="1129" t="s">
        <v>1109</v>
      </c>
      <c r="H6190" s="1129"/>
      <c r="I6190" s="1127"/>
    </row>
    <row r="6191" spans="1:9" x14ac:dyDescent="0.2">
      <c r="A6191" s="997">
        <f t="shared" si="96"/>
        <v>6190</v>
      </c>
      <c r="B6191" s="1129" t="s">
        <v>2797</v>
      </c>
      <c r="C6191" s="1138"/>
      <c r="D6191" s="1129"/>
      <c r="E6191" s="1129"/>
      <c r="F6191" s="1129"/>
      <c r="G6191" s="1129" t="s">
        <v>1106</v>
      </c>
      <c r="H6191" s="1129"/>
      <c r="I6191" s="1127"/>
    </row>
    <row r="6192" spans="1:9" x14ac:dyDescent="0.2">
      <c r="A6192" s="997">
        <f t="shared" si="96"/>
        <v>6191</v>
      </c>
      <c r="B6192" s="1129" t="s">
        <v>2797</v>
      </c>
      <c r="C6192" s="1139"/>
      <c r="D6192" s="1129"/>
      <c r="E6192" s="1129"/>
      <c r="F6192" s="1129"/>
      <c r="G6192" s="1129"/>
      <c r="H6192" s="1129" t="s">
        <v>2804</v>
      </c>
      <c r="I6192" s="1127"/>
    </row>
    <row r="6193" spans="1:9" x14ac:dyDescent="0.2">
      <c r="A6193" s="997">
        <f t="shared" si="96"/>
        <v>6192</v>
      </c>
      <c r="B6193" s="1129" t="s">
        <v>2797</v>
      </c>
      <c r="C6193" s="1140"/>
      <c r="D6193" s="1129"/>
      <c r="E6193" s="1129"/>
      <c r="F6193" s="1129"/>
      <c r="G6193" s="1129"/>
      <c r="H6193" s="1129" t="str">
        <f>CONCATENATE("&lt;valeur&gt;",Cellule_1103_6,"&lt;/valeur&gt;")</f>
        <v>&lt;valeur&gt;&lt;/valeur&gt;</v>
      </c>
      <c r="I6193" s="1127"/>
    </row>
    <row r="6194" spans="1:9" x14ac:dyDescent="0.2">
      <c r="A6194" s="997">
        <f t="shared" si="96"/>
        <v>6193</v>
      </c>
      <c r="B6194" s="1129" t="s">
        <v>2797</v>
      </c>
      <c r="C6194" s="1139"/>
      <c r="D6194" s="1129"/>
      <c r="E6194" s="1129"/>
      <c r="F6194" s="1129"/>
      <c r="G6194" s="1129"/>
      <c r="H6194" s="1129" t="s">
        <v>2739</v>
      </c>
      <c r="I6194" s="1127"/>
    </row>
    <row r="6195" spans="1:9" x14ac:dyDescent="0.2">
      <c r="A6195" s="997">
        <f t="shared" si="96"/>
        <v>6194</v>
      </c>
      <c r="B6195" s="1129" t="s">
        <v>2797</v>
      </c>
      <c r="C6195" s="1139"/>
      <c r="D6195" s="1129"/>
      <c r="E6195" s="1129"/>
      <c r="F6195" s="1129"/>
      <c r="G6195" s="1129" t="s">
        <v>1109</v>
      </c>
      <c r="H6195" s="1129"/>
      <c r="I6195" s="1127"/>
    </row>
    <row r="6196" spans="1:9" x14ac:dyDescent="0.2">
      <c r="A6196" s="997">
        <f t="shared" si="96"/>
        <v>6195</v>
      </c>
      <c r="B6196" s="1129" t="s">
        <v>2797</v>
      </c>
      <c r="C6196" s="1138"/>
      <c r="D6196" s="1129"/>
      <c r="E6196" s="1129"/>
      <c r="F6196" s="1129"/>
      <c r="G6196" s="1129" t="s">
        <v>1106</v>
      </c>
      <c r="H6196" s="1129"/>
      <c r="I6196" s="1127"/>
    </row>
    <row r="6197" spans="1:9" x14ac:dyDescent="0.2">
      <c r="A6197" s="997">
        <f t="shared" si="96"/>
        <v>6196</v>
      </c>
      <c r="B6197" s="1129" t="s">
        <v>2797</v>
      </c>
      <c r="C6197" s="1138"/>
      <c r="D6197" s="1129"/>
      <c r="E6197" s="1129"/>
      <c r="F6197" s="1129"/>
      <c r="G6197" s="1129"/>
      <c r="H6197" s="1129" t="s">
        <v>2805</v>
      </c>
      <c r="I6197" s="1127"/>
    </row>
    <row r="6198" spans="1:9" x14ac:dyDescent="0.2">
      <c r="A6198" s="997">
        <f t="shared" si="96"/>
        <v>6197</v>
      </c>
      <c r="B6198" s="1129" t="s">
        <v>2797</v>
      </c>
      <c r="C6198" s="1139"/>
      <c r="D6198" s="1129"/>
      <c r="E6198" s="1129"/>
      <c r="F6198" s="1129"/>
      <c r="G6198" s="1129"/>
      <c r="H6198" s="1129" t="str">
        <f>CONCATENATE("&lt;valeur&gt;",Cellule_1104_6,"&lt;/valeur&gt;")</f>
        <v>&lt;valeur&gt;&lt;/valeur&gt;</v>
      </c>
      <c r="I6198" s="1127"/>
    </row>
    <row r="6199" spans="1:9" x14ac:dyDescent="0.2">
      <c r="A6199" s="997">
        <f t="shared" si="96"/>
        <v>6198</v>
      </c>
      <c r="B6199" s="1129" t="s">
        <v>2797</v>
      </c>
      <c r="C6199" s="1140"/>
      <c r="D6199" s="1129"/>
      <c r="E6199" s="1129"/>
      <c r="F6199" s="1129"/>
      <c r="G6199" s="1129"/>
      <c r="H6199" s="1129" t="s">
        <v>2739</v>
      </c>
      <c r="I6199" s="1127"/>
    </row>
    <row r="6200" spans="1:9" x14ac:dyDescent="0.2">
      <c r="A6200" s="997">
        <f t="shared" si="96"/>
        <v>6199</v>
      </c>
      <c r="B6200" s="1129" t="s">
        <v>2797</v>
      </c>
      <c r="C6200" s="1139"/>
      <c r="D6200" s="1129"/>
      <c r="E6200" s="1129"/>
      <c r="F6200" s="1129"/>
      <c r="G6200" s="1129" t="s">
        <v>1109</v>
      </c>
      <c r="H6200" s="1129"/>
      <c r="I6200" s="1127"/>
    </row>
    <row r="6201" spans="1:9" x14ac:dyDescent="0.2">
      <c r="A6201" s="997">
        <f t="shared" si="96"/>
        <v>6200</v>
      </c>
      <c r="B6201" s="1129" t="s">
        <v>2797</v>
      </c>
      <c r="C6201" s="1139"/>
      <c r="D6201" s="1129"/>
      <c r="E6201" s="1129"/>
      <c r="F6201" s="1129"/>
      <c r="G6201" s="1129" t="s">
        <v>1106</v>
      </c>
      <c r="H6201" s="1129"/>
      <c r="I6201" s="1127"/>
    </row>
    <row r="6202" spans="1:9" x14ac:dyDescent="0.2">
      <c r="A6202" s="997">
        <f t="shared" si="96"/>
        <v>6201</v>
      </c>
      <c r="B6202" s="1129" t="s">
        <v>2797</v>
      </c>
      <c r="C6202" s="1138"/>
      <c r="D6202" s="1129"/>
      <c r="E6202" s="1129"/>
      <c r="F6202" s="1129"/>
      <c r="G6202" s="1129"/>
      <c r="H6202" s="1129" t="s">
        <v>2806</v>
      </c>
      <c r="I6202" s="1127"/>
    </row>
    <row r="6203" spans="1:9" x14ac:dyDescent="0.2">
      <c r="A6203" s="997">
        <f t="shared" si="96"/>
        <v>6202</v>
      </c>
      <c r="B6203" s="1129" t="s">
        <v>2797</v>
      </c>
      <c r="C6203" s="1138"/>
      <c r="D6203" s="1129"/>
      <c r="E6203" s="1129"/>
      <c r="F6203" s="1129"/>
      <c r="G6203" s="1129"/>
      <c r="H6203" s="1129" t="str">
        <f>CONCATENATE("&lt;valeur&gt;",Cellule_1105_6,"&lt;/valeur&gt;")</f>
        <v>&lt;valeur&gt;&lt;/valeur&gt;</v>
      </c>
      <c r="I6203" s="1127"/>
    </row>
    <row r="6204" spans="1:9" x14ac:dyDescent="0.2">
      <c r="A6204" s="997">
        <f t="shared" si="96"/>
        <v>6203</v>
      </c>
      <c r="B6204" s="1129" t="s">
        <v>2797</v>
      </c>
      <c r="C6204" s="1139"/>
      <c r="D6204" s="1129"/>
      <c r="E6204" s="1129"/>
      <c r="F6204" s="1129"/>
      <c r="G6204" s="1129"/>
      <c r="H6204" s="1129" t="s">
        <v>2739</v>
      </c>
      <c r="I6204" s="1127"/>
    </row>
    <row r="6205" spans="1:9" x14ac:dyDescent="0.2">
      <c r="A6205" s="997">
        <f t="shared" si="96"/>
        <v>6204</v>
      </c>
      <c r="B6205" s="1129" t="s">
        <v>2797</v>
      </c>
      <c r="C6205" s="1140"/>
      <c r="D6205" s="1129"/>
      <c r="E6205" s="1129"/>
      <c r="F6205" s="1129"/>
      <c r="G6205" s="1129" t="s">
        <v>1109</v>
      </c>
      <c r="H6205" s="1129"/>
      <c r="I6205" s="1127"/>
    </row>
    <row r="6206" spans="1:9" x14ac:dyDescent="0.2">
      <c r="A6206" s="997">
        <f t="shared" si="96"/>
        <v>6205</v>
      </c>
      <c r="B6206" s="1129" t="s">
        <v>2797</v>
      </c>
      <c r="C6206" s="1139"/>
      <c r="D6206" s="1129"/>
      <c r="E6206" s="1129"/>
      <c r="F6206" s="1129"/>
      <c r="G6206" s="1129" t="s">
        <v>1106</v>
      </c>
      <c r="H6206" s="1129"/>
      <c r="I6206" s="1127"/>
    </row>
    <row r="6207" spans="1:9" x14ac:dyDescent="0.2">
      <c r="A6207" s="997">
        <f t="shared" si="96"/>
        <v>6206</v>
      </c>
      <c r="B6207" s="1129" t="s">
        <v>2797</v>
      </c>
      <c r="C6207" s="1138"/>
      <c r="D6207" s="1129"/>
      <c r="E6207" s="1129"/>
      <c r="F6207" s="1129"/>
      <c r="G6207" s="1129"/>
      <c r="H6207" s="1129" t="s">
        <v>2807</v>
      </c>
      <c r="I6207" s="1127"/>
    </row>
    <row r="6208" spans="1:9" x14ac:dyDescent="0.2">
      <c r="A6208" s="997">
        <f t="shared" si="96"/>
        <v>6207</v>
      </c>
      <c r="B6208" s="1129" t="s">
        <v>2797</v>
      </c>
      <c r="C6208" s="1138"/>
      <c r="D6208" s="1129"/>
      <c r="E6208" s="1129"/>
      <c r="F6208" s="1129"/>
      <c r="G6208" s="1129"/>
      <c r="H6208" s="1129" t="str">
        <f>CONCATENATE("&lt;valeur&gt;",Cellule_1106_6,"&lt;/valeur&gt;")</f>
        <v>&lt;valeur&gt;&lt;/valeur&gt;</v>
      </c>
      <c r="I6208" s="1127"/>
    </row>
    <row r="6209" spans="1:9" x14ac:dyDescent="0.2">
      <c r="A6209" s="997">
        <f t="shared" si="96"/>
        <v>6208</v>
      </c>
      <c r="B6209" s="1129" t="s">
        <v>2797</v>
      </c>
      <c r="C6209" s="1139"/>
      <c r="D6209" s="1129"/>
      <c r="E6209" s="1129"/>
      <c r="F6209" s="1129"/>
      <c r="G6209" s="1129"/>
      <c r="H6209" s="1129" t="s">
        <v>2739</v>
      </c>
      <c r="I6209" s="1127"/>
    </row>
    <row r="6210" spans="1:9" x14ac:dyDescent="0.2">
      <c r="A6210" s="997">
        <f t="shared" si="96"/>
        <v>6209</v>
      </c>
      <c r="B6210" s="1129" t="s">
        <v>2797</v>
      </c>
      <c r="C6210" s="1140"/>
      <c r="D6210" s="1129"/>
      <c r="E6210" s="1129"/>
      <c r="F6210" s="1129"/>
      <c r="G6210" s="1129" t="s">
        <v>1109</v>
      </c>
      <c r="H6210" s="1129"/>
      <c r="I6210" s="1127"/>
    </row>
    <row r="6211" spans="1:9" x14ac:dyDescent="0.2">
      <c r="A6211" s="997">
        <f t="shared" si="96"/>
        <v>6210</v>
      </c>
      <c r="B6211" s="1129" t="s">
        <v>2797</v>
      </c>
      <c r="C6211" s="1139"/>
      <c r="D6211" s="1129"/>
      <c r="E6211" s="1129"/>
      <c r="F6211" s="1129"/>
      <c r="G6211" s="1129" t="s">
        <v>1106</v>
      </c>
      <c r="H6211" s="1129"/>
      <c r="I6211" s="1127"/>
    </row>
    <row r="6212" spans="1:9" x14ac:dyDescent="0.2">
      <c r="A6212" s="997">
        <f t="shared" ref="A6212:A6275" si="97">+A6211+1</f>
        <v>6211</v>
      </c>
      <c r="B6212" s="1129" t="s">
        <v>2797</v>
      </c>
      <c r="C6212" s="1138"/>
      <c r="D6212" s="1129"/>
      <c r="E6212" s="1129"/>
      <c r="F6212" s="1129"/>
      <c r="G6212" s="1129"/>
      <c r="H6212" s="1129" t="s">
        <v>2808</v>
      </c>
      <c r="I6212" s="1127"/>
    </row>
    <row r="6213" spans="1:9" x14ac:dyDescent="0.2">
      <c r="A6213" s="997">
        <f t="shared" si="97"/>
        <v>6212</v>
      </c>
      <c r="B6213" s="1129" t="s">
        <v>2797</v>
      </c>
      <c r="C6213" s="1138"/>
      <c r="D6213" s="1129"/>
      <c r="E6213" s="1129"/>
      <c r="F6213" s="1129"/>
      <c r="G6213" s="1129"/>
      <c r="H6213" s="1129" t="str">
        <f>CONCATENATE("&lt;valeur&gt;",Cellule_1107_6,"&lt;/valeur&gt;")</f>
        <v>&lt;valeur&gt;&lt;/valeur&gt;</v>
      </c>
      <c r="I6213" s="1127"/>
    </row>
    <row r="6214" spans="1:9" x14ac:dyDescent="0.2">
      <c r="A6214" s="997">
        <f t="shared" si="97"/>
        <v>6213</v>
      </c>
      <c r="B6214" s="1129" t="s">
        <v>2797</v>
      </c>
      <c r="C6214" s="1139"/>
      <c r="D6214" s="1129"/>
      <c r="E6214" s="1129"/>
      <c r="F6214" s="1129"/>
      <c r="G6214" s="1129"/>
      <c r="H6214" s="1129" t="s">
        <v>2739</v>
      </c>
      <c r="I6214" s="1127"/>
    </row>
    <row r="6215" spans="1:9" x14ac:dyDescent="0.2">
      <c r="A6215" s="997">
        <f t="shared" si="97"/>
        <v>6214</v>
      </c>
      <c r="B6215" s="1129" t="s">
        <v>2797</v>
      </c>
      <c r="C6215" s="1140"/>
      <c r="D6215" s="1129"/>
      <c r="E6215" s="1129"/>
      <c r="F6215" s="1129"/>
      <c r="G6215" s="1129" t="s">
        <v>1109</v>
      </c>
      <c r="H6215" s="1129"/>
      <c r="I6215" s="1127"/>
    </row>
    <row r="6216" spans="1:9" x14ac:dyDescent="0.2">
      <c r="A6216" s="997">
        <f t="shared" si="97"/>
        <v>6215</v>
      </c>
      <c r="B6216" s="1129" t="s">
        <v>2797</v>
      </c>
      <c r="C6216" s="1139"/>
      <c r="D6216" s="1129"/>
      <c r="E6216" s="1129"/>
      <c r="F6216" s="1129"/>
      <c r="G6216" s="1129" t="s">
        <v>1106</v>
      </c>
      <c r="H6216" s="1129"/>
      <c r="I6216" s="1127"/>
    </row>
    <row r="6217" spans="1:9" x14ac:dyDescent="0.2">
      <c r="A6217" s="997">
        <f t="shared" si="97"/>
        <v>6216</v>
      </c>
      <c r="B6217" s="1129" t="s">
        <v>2797</v>
      </c>
      <c r="C6217" s="1138"/>
      <c r="D6217" s="1129"/>
      <c r="E6217" s="1129"/>
      <c r="F6217" s="1129"/>
      <c r="G6217" s="1129"/>
      <c r="H6217" s="1129" t="s">
        <v>2809</v>
      </c>
      <c r="I6217" s="1127"/>
    </row>
    <row r="6218" spans="1:9" x14ac:dyDescent="0.2">
      <c r="A6218" s="997">
        <f t="shared" si="97"/>
        <v>6217</v>
      </c>
      <c r="B6218" s="1129" t="s">
        <v>2797</v>
      </c>
      <c r="C6218" s="1138"/>
      <c r="D6218" s="1129"/>
      <c r="E6218" s="1129"/>
      <c r="F6218" s="1129"/>
      <c r="G6218" s="1129"/>
      <c r="H6218" s="1129" t="str">
        <f>CONCATENATE("&lt;valeur&gt;",Cellule_1108_6,"&lt;/valeur&gt;")</f>
        <v>&lt;valeur&gt;&lt;/valeur&gt;</v>
      </c>
      <c r="I6218" s="1127"/>
    </row>
    <row r="6219" spans="1:9" x14ac:dyDescent="0.2">
      <c r="A6219" s="997">
        <f t="shared" si="97"/>
        <v>6218</v>
      </c>
      <c r="B6219" s="1129" t="s">
        <v>2797</v>
      </c>
      <c r="C6219" s="1139"/>
      <c r="D6219" s="1129"/>
      <c r="E6219" s="1129"/>
      <c r="F6219" s="1129"/>
      <c r="G6219" s="1129"/>
      <c r="H6219" s="1129" t="s">
        <v>2739</v>
      </c>
      <c r="I6219" s="1127"/>
    </row>
    <row r="6220" spans="1:9" x14ac:dyDescent="0.2">
      <c r="A6220" s="997">
        <f t="shared" si="97"/>
        <v>6219</v>
      </c>
      <c r="B6220" s="1130" t="s">
        <v>2797</v>
      </c>
      <c r="C6220" s="1141"/>
      <c r="D6220" s="1130"/>
      <c r="E6220" s="1130"/>
      <c r="F6220" s="1130"/>
      <c r="G6220" s="1130" t="s">
        <v>1109</v>
      </c>
      <c r="H6220" s="1130"/>
      <c r="I6220" s="1142"/>
    </row>
    <row r="6221" spans="1:9" x14ac:dyDescent="0.2">
      <c r="A6221" s="997">
        <f t="shared" si="97"/>
        <v>6220</v>
      </c>
      <c r="B6221" s="983" t="s">
        <v>2797</v>
      </c>
      <c r="C6221" s="1000"/>
      <c r="F6221" s="983" t="s">
        <v>1110</v>
      </c>
    </row>
    <row r="6222" spans="1:9" x14ac:dyDescent="0.2">
      <c r="A6222" s="997">
        <f t="shared" si="97"/>
        <v>6221</v>
      </c>
      <c r="B6222" s="983" t="s">
        <v>2797</v>
      </c>
      <c r="C6222" s="1000"/>
      <c r="F6222" s="983" t="s">
        <v>1111</v>
      </c>
    </row>
    <row r="6223" spans="1:9" x14ac:dyDescent="0.2">
      <c r="A6223" s="997">
        <f t="shared" si="97"/>
        <v>6222</v>
      </c>
      <c r="B6223" s="983" t="s">
        <v>2797</v>
      </c>
      <c r="C6223" s="999"/>
      <c r="G6223" s="983" t="s">
        <v>1114</v>
      </c>
    </row>
    <row r="6224" spans="1:9" x14ac:dyDescent="0.2">
      <c r="A6224" s="997">
        <f t="shared" si="97"/>
        <v>6223</v>
      </c>
      <c r="B6224" s="983" t="s">
        <v>2797</v>
      </c>
      <c r="C6224" s="999"/>
      <c r="H6224" s="983" t="s">
        <v>1115</v>
      </c>
    </row>
    <row r="6225" spans="1:9" x14ac:dyDescent="0.2">
      <c r="A6225" s="997">
        <f t="shared" si="97"/>
        <v>6224</v>
      </c>
      <c r="B6225" s="983" t="s">
        <v>2797</v>
      </c>
      <c r="C6225" s="1000"/>
      <c r="I6225" s="983" t="s">
        <v>2810</v>
      </c>
    </row>
    <row r="6226" spans="1:9" x14ac:dyDescent="0.2">
      <c r="A6226" s="997">
        <f t="shared" si="97"/>
        <v>6225</v>
      </c>
      <c r="B6226" s="983" t="s">
        <v>2797</v>
      </c>
      <c r="C6226" s="1001"/>
      <c r="H6226" s="983" t="s">
        <v>1116</v>
      </c>
    </row>
    <row r="6227" spans="1:9" x14ac:dyDescent="0.2">
      <c r="A6227" s="997">
        <f t="shared" si="97"/>
        <v>6226</v>
      </c>
      <c r="B6227" s="983" t="s">
        <v>2797</v>
      </c>
      <c r="C6227" s="1000"/>
      <c r="H6227" s="983" t="str">
        <f>CONCATENATE("&lt;valeur&gt;",Cellule_53,"&lt;/valeur&gt;")</f>
        <v>&lt;valeur&gt;31/12/2022&lt;/valeur&gt;</v>
      </c>
    </row>
    <row r="6228" spans="1:9" x14ac:dyDescent="0.2">
      <c r="A6228" s="997">
        <f t="shared" si="97"/>
        <v>6227</v>
      </c>
      <c r="B6228" s="983" t="s">
        <v>2797</v>
      </c>
      <c r="C6228" s="1000"/>
      <c r="G6228" s="983" t="s">
        <v>1117</v>
      </c>
    </row>
    <row r="6229" spans="1:9" x14ac:dyDescent="0.2">
      <c r="A6229" s="997">
        <f t="shared" si="97"/>
        <v>6228</v>
      </c>
      <c r="B6229" s="983" t="s">
        <v>2797</v>
      </c>
      <c r="C6229" s="1000"/>
      <c r="F6229" s="983" t="s">
        <v>1112</v>
      </c>
    </row>
    <row r="6230" spans="1:9" x14ac:dyDescent="0.2">
      <c r="A6230" s="997">
        <f t="shared" si="97"/>
        <v>6229</v>
      </c>
      <c r="B6230" s="983" t="s">
        <v>2797</v>
      </c>
      <c r="C6230" s="999"/>
      <c r="E6230" s="983" t="s">
        <v>1113</v>
      </c>
    </row>
    <row r="6231" spans="1:9" x14ac:dyDescent="0.2">
      <c r="A6231" s="997">
        <f t="shared" si="97"/>
        <v>6230</v>
      </c>
      <c r="B6231" s="983" t="s">
        <v>2732</v>
      </c>
      <c r="C6231" s="999"/>
      <c r="E6231" s="983" t="s">
        <v>1104</v>
      </c>
    </row>
    <row r="6232" spans="1:9" x14ac:dyDescent="0.2">
      <c r="A6232" s="997">
        <f t="shared" si="97"/>
        <v>6231</v>
      </c>
      <c r="B6232" s="983" t="s">
        <v>2732</v>
      </c>
      <c r="C6232" s="999"/>
      <c r="F6232" s="983" t="s">
        <v>2054</v>
      </c>
    </row>
    <row r="6233" spans="1:9" x14ac:dyDescent="0.2">
      <c r="A6233" s="997">
        <f t="shared" si="97"/>
        <v>6232</v>
      </c>
      <c r="B6233" s="983" t="s">
        <v>2732</v>
      </c>
      <c r="C6233" s="1000"/>
      <c r="F6233" s="983" t="s">
        <v>1105</v>
      </c>
    </row>
    <row r="6234" spans="1:9" x14ac:dyDescent="0.2">
      <c r="A6234" s="997">
        <f t="shared" si="97"/>
        <v>6233</v>
      </c>
      <c r="B6234" s="983" t="s">
        <v>2732</v>
      </c>
      <c r="C6234" s="1001"/>
      <c r="G6234" s="983" t="s">
        <v>1106</v>
      </c>
    </row>
    <row r="6235" spans="1:9" x14ac:dyDescent="0.2">
      <c r="A6235" s="997">
        <f t="shared" si="97"/>
        <v>6234</v>
      </c>
      <c r="B6235" s="983" t="s">
        <v>2732</v>
      </c>
      <c r="C6235" s="1000"/>
      <c r="H6235" s="983" t="s">
        <v>1107</v>
      </c>
    </row>
    <row r="6236" spans="1:9" x14ac:dyDescent="0.2">
      <c r="A6236" s="997">
        <f t="shared" si="97"/>
        <v>6235</v>
      </c>
      <c r="B6236" s="983" t="s">
        <v>2732</v>
      </c>
      <c r="C6236" s="1000"/>
      <c r="I6236" s="983" t="s">
        <v>2055</v>
      </c>
    </row>
    <row r="6237" spans="1:9" x14ac:dyDescent="0.2">
      <c r="A6237" s="997">
        <f t="shared" si="97"/>
        <v>6236</v>
      </c>
      <c r="B6237" s="983" t="s">
        <v>2732</v>
      </c>
      <c r="C6237" s="999"/>
      <c r="H6237" s="983" t="s">
        <v>1108</v>
      </c>
    </row>
    <row r="6238" spans="1:9" x14ac:dyDescent="0.2">
      <c r="A6238" s="997">
        <f t="shared" si="97"/>
        <v>6237</v>
      </c>
      <c r="B6238" s="983" t="s">
        <v>2732</v>
      </c>
      <c r="C6238" s="999"/>
      <c r="H6238" s="983" t="str">
        <f>CONCATENATE("&lt;valeur&gt;",Cellule_1231,"&lt;/valeur&gt;")</f>
        <v>&lt;valeur&gt;694,37&lt;/valeur&gt;</v>
      </c>
    </row>
    <row r="6239" spans="1:9" x14ac:dyDescent="0.2">
      <c r="A6239" s="997">
        <f t="shared" si="97"/>
        <v>6238</v>
      </c>
      <c r="B6239" s="983" t="s">
        <v>2732</v>
      </c>
      <c r="C6239" s="1000"/>
      <c r="G6239" s="983" t="s">
        <v>1109</v>
      </c>
    </row>
    <row r="6240" spans="1:9" x14ac:dyDescent="0.2">
      <c r="A6240" s="997">
        <f t="shared" si="97"/>
        <v>6239</v>
      </c>
      <c r="B6240" s="983" t="s">
        <v>2732</v>
      </c>
      <c r="C6240" s="1001"/>
      <c r="G6240" s="983" t="s">
        <v>1106</v>
      </c>
    </row>
    <row r="6241" spans="1:9" x14ac:dyDescent="0.2">
      <c r="A6241" s="997">
        <f t="shared" si="97"/>
        <v>6240</v>
      </c>
      <c r="B6241" s="983" t="s">
        <v>2732</v>
      </c>
      <c r="C6241" s="1000"/>
      <c r="H6241" s="983" t="s">
        <v>1107</v>
      </c>
    </row>
    <row r="6242" spans="1:9" x14ac:dyDescent="0.2">
      <c r="A6242" s="997">
        <f t="shared" si="97"/>
        <v>6241</v>
      </c>
      <c r="B6242" s="983" t="s">
        <v>2732</v>
      </c>
      <c r="C6242" s="1000"/>
      <c r="I6242" s="983" t="s">
        <v>2056</v>
      </c>
    </row>
    <row r="6243" spans="1:9" x14ac:dyDescent="0.2">
      <c r="A6243" s="997">
        <f t="shared" si="97"/>
        <v>6242</v>
      </c>
      <c r="B6243" s="983" t="s">
        <v>2732</v>
      </c>
      <c r="C6243" s="999"/>
      <c r="H6243" s="983" t="s">
        <v>1108</v>
      </c>
    </row>
    <row r="6244" spans="1:9" x14ac:dyDescent="0.2">
      <c r="A6244" s="997">
        <f t="shared" si="97"/>
        <v>6243</v>
      </c>
      <c r="B6244" s="983" t="s">
        <v>2732</v>
      </c>
      <c r="C6244" s="999"/>
      <c r="H6244" s="983" t="str">
        <f>CONCATENATE("&lt;valeur&gt;",Cellule_1241,"&lt;/valeur&gt;")</f>
        <v>&lt;valeur&gt;0&lt;/valeur&gt;</v>
      </c>
    </row>
    <row r="6245" spans="1:9" x14ac:dyDescent="0.2">
      <c r="A6245" s="997">
        <f t="shared" si="97"/>
        <v>6244</v>
      </c>
      <c r="B6245" s="983" t="s">
        <v>2732</v>
      </c>
      <c r="C6245" s="1000"/>
      <c r="G6245" s="983" t="s">
        <v>1109</v>
      </c>
    </row>
    <row r="6246" spans="1:9" x14ac:dyDescent="0.2">
      <c r="A6246" s="997">
        <f t="shared" si="97"/>
        <v>6245</v>
      </c>
      <c r="B6246" s="983" t="s">
        <v>2732</v>
      </c>
      <c r="C6246" s="1001"/>
      <c r="G6246" s="983" t="s">
        <v>1106</v>
      </c>
    </row>
    <row r="6247" spans="1:9" x14ac:dyDescent="0.2">
      <c r="A6247" s="997">
        <f t="shared" si="97"/>
        <v>6246</v>
      </c>
      <c r="B6247" s="983" t="s">
        <v>2732</v>
      </c>
      <c r="C6247" s="1000"/>
      <c r="H6247" s="983" t="s">
        <v>1107</v>
      </c>
    </row>
    <row r="6248" spans="1:9" x14ac:dyDescent="0.2">
      <c r="A6248" s="997">
        <f t="shared" si="97"/>
        <v>6247</v>
      </c>
      <c r="B6248" s="983" t="s">
        <v>2732</v>
      </c>
      <c r="C6248" s="1000"/>
      <c r="I6248" s="983" t="s">
        <v>2057</v>
      </c>
    </row>
    <row r="6249" spans="1:9" x14ac:dyDescent="0.2">
      <c r="A6249" s="997">
        <f t="shared" si="97"/>
        <v>6248</v>
      </c>
      <c r="B6249" s="983" t="s">
        <v>2732</v>
      </c>
      <c r="C6249" s="999"/>
      <c r="H6249" s="983" t="s">
        <v>1108</v>
      </c>
    </row>
    <row r="6250" spans="1:9" x14ac:dyDescent="0.2">
      <c r="A6250" s="997">
        <f t="shared" si="97"/>
        <v>6249</v>
      </c>
      <c r="B6250" s="983" t="s">
        <v>2732</v>
      </c>
      <c r="C6250" s="999"/>
      <c r="H6250" s="983" t="str">
        <f>CONCATENATE("&lt;valeur&gt;",Cellule_1246,"&lt;/valeur&gt;")</f>
        <v>&lt;valeur&gt;0&lt;/valeur&gt;</v>
      </c>
    </row>
    <row r="6251" spans="1:9" x14ac:dyDescent="0.2">
      <c r="A6251" s="997">
        <f t="shared" si="97"/>
        <v>6250</v>
      </c>
      <c r="B6251" s="983" t="s">
        <v>2732</v>
      </c>
      <c r="C6251" s="1000"/>
      <c r="G6251" s="983" t="s">
        <v>1109</v>
      </c>
    </row>
    <row r="6252" spans="1:9" x14ac:dyDescent="0.2">
      <c r="A6252" s="997">
        <f t="shared" si="97"/>
        <v>6251</v>
      </c>
      <c r="B6252" s="983" t="s">
        <v>2732</v>
      </c>
      <c r="C6252" s="1001"/>
      <c r="G6252" s="983" t="s">
        <v>1106</v>
      </c>
    </row>
    <row r="6253" spans="1:9" x14ac:dyDescent="0.2">
      <c r="A6253" s="997">
        <f t="shared" si="97"/>
        <v>6252</v>
      </c>
      <c r="B6253" s="983" t="s">
        <v>2732</v>
      </c>
      <c r="C6253" s="1000"/>
      <c r="H6253" s="983" t="s">
        <v>1107</v>
      </c>
    </row>
    <row r="6254" spans="1:9" x14ac:dyDescent="0.2">
      <c r="A6254" s="997">
        <f t="shared" si="97"/>
        <v>6253</v>
      </c>
      <c r="B6254" s="983" t="s">
        <v>2732</v>
      </c>
      <c r="C6254" s="1000"/>
      <c r="I6254" s="983" t="s">
        <v>2058</v>
      </c>
    </row>
    <row r="6255" spans="1:9" x14ac:dyDescent="0.2">
      <c r="A6255" s="997">
        <f t="shared" si="97"/>
        <v>6254</v>
      </c>
      <c r="B6255" s="983" t="s">
        <v>2732</v>
      </c>
      <c r="C6255" s="999"/>
      <c r="H6255" s="983" t="s">
        <v>1108</v>
      </c>
    </row>
    <row r="6256" spans="1:9" x14ac:dyDescent="0.2">
      <c r="A6256" s="997">
        <f t="shared" si="97"/>
        <v>6255</v>
      </c>
      <c r="B6256" s="983" t="s">
        <v>2732</v>
      </c>
      <c r="C6256" s="999"/>
      <c r="H6256" s="983" t="str">
        <f>CONCATENATE("&lt;valeur&gt;",Cellule_1236,"&lt;/valeur&gt;")</f>
        <v>&lt;valeur&gt;694,37&lt;/valeur&gt;</v>
      </c>
    </row>
    <row r="6257" spans="1:9" x14ac:dyDescent="0.2">
      <c r="A6257" s="997">
        <f t="shared" si="97"/>
        <v>6256</v>
      </c>
      <c r="B6257" s="983" t="s">
        <v>2732</v>
      </c>
      <c r="C6257" s="1000"/>
      <c r="G6257" s="983" t="s">
        <v>1109</v>
      </c>
    </row>
    <row r="6258" spans="1:9" x14ac:dyDescent="0.2">
      <c r="A6258" s="997">
        <f t="shared" si="97"/>
        <v>6257</v>
      </c>
      <c r="B6258" s="983" t="s">
        <v>2732</v>
      </c>
      <c r="C6258" s="1001"/>
      <c r="G6258" s="983" t="s">
        <v>1106</v>
      </c>
    </row>
    <row r="6259" spans="1:9" x14ac:dyDescent="0.2">
      <c r="A6259" s="997">
        <f t="shared" si="97"/>
        <v>6258</v>
      </c>
      <c r="B6259" s="983" t="s">
        <v>2732</v>
      </c>
      <c r="C6259" s="1000"/>
      <c r="H6259" s="983" t="s">
        <v>1107</v>
      </c>
    </row>
    <row r="6260" spans="1:9" x14ac:dyDescent="0.2">
      <c r="A6260" s="997">
        <f t="shared" si="97"/>
        <v>6259</v>
      </c>
      <c r="B6260" s="983" t="s">
        <v>2732</v>
      </c>
      <c r="C6260" s="1000"/>
      <c r="I6260" s="983" t="s">
        <v>2059</v>
      </c>
    </row>
    <row r="6261" spans="1:9" x14ac:dyDescent="0.2">
      <c r="A6261" s="997">
        <f t="shared" si="97"/>
        <v>6260</v>
      </c>
      <c r="B6261" s="983" t="s">
        <v>2732</v>
      </c>
      <c r="C6261" s="999"/>
      <c r="H6261" s="983" t="s">
        <v>1108</v>
      </c>
    </row>
    <row r="6262" spans="1:9" x14ac:dyDescent="0.2">
      <c r="A6262" s="997">
        <f t="shared" si="97"/>
        <v>6261</v>
      </c>
      <c r="B6262" s="983" t="s">
        <v>2732</v>
      </c>
      <c r="C6262" s="999"/>
      <c r="H6262" s="983" t="str">
        <f>CONCATENATE("&lt;valeur&gt;",Cellule_1232,"&lt;/valeur&gt;")</f>
        <v>&lt;valeur&gt;1666,5&lt;/valeur&gt;</v>
      </c>
    </row>
    <row r="6263" spans="1:9" x14ac:dyDescent="0.2">
      <c r="A6263" s="997">
        <f t="shared" si="97"/>
        <v>6262</v>
      </c>
      <c r="B6263" s="983" t="s">
        <v>2732</v>
      </c>
      <c r="C6263" s="1000"/>
      <c r="G6263" s="983" t="s">
        <v>1109</v>
      </c>
    </row>
    <row r="6264" spans="1:9" x14ac:dyDescent="0.2">
      <c r="A6264" s="997">
        <f t="shared" si="97"/>
        <v>6263</v>
      </c>
      <c r="B6264" s="983" t="s">
        <v>2732</v>
      </c>
      <c r="C6264" s="1001"/>
      <c r="G6264" s="983" t="s">
        <v>1106</v>
      </c>
    </row>
    <row r="6265" spans="1:9" x14ac:dyDescent="0.2">
      <c r="A6265" s="997">
        <f t="shared" si="97"/>
        <v>6264</v>
      </c>
      <c r="B6265" s="983" t="s">
        <v>2732</v>
      </c>
      <c r="C6265" s="1000"/>
      <c r="H6265" s="983" t="s">
        <v>1107</v>
      </c>
    </row>
    <row r="6266" spans="1:9" x14ac:dyDescent="0.2">
      <c r="A6266" s="997">
        <f t="shared" si="97"/>
        <v>6265</v>
      </c>
      <c r="B6266" s="983" t="s">
        <v>2732</v>
      </c>
      <c r="C6266" s="1000"/>
      <c r="I6266" s="983" t="s">
        <v>2060</v>
      </c>
    </row>
    <row r="6267" spans="1:9" x14ac:dyDescent="0.2">
      <c r="A6267" s="997">
        <f t="shared" si="97"/>
        <v>6266</v>
      </c>
      <c r="B6267" s="983" t="s">
        <v>2732</v>
      </c>
      <c r="C6267" s="999"/>
      <c r="H6267" s="983" t="s">
        <v>1108</v>
      </c>
    </row>
    <row r="6268" spans="1:9" x14ac:dyDescent="0.2">
      <c r="A6268" s="997">
        <f t="shared" si="97"/>
        <v>6267</v>
      </c>
      <c r="B6268" s="983" t="s">
        <v>2732</v>
      </c>
      <c r="C6268" s="998"/>
      <c r="H6268" s="983" t="str">
        <f>CONCATENATE("&lt;valeur&gt;",Cellule_1242,"&lt;/valeur&gt;")</f>
        <v>&lt;valeur&gt;0&lt;/valeur&gt;</v>
      </c>
    </row>
    <row r="6269" spans="1:9" x14ac:dyDescent="0.2">
      <c r="A6269" s="997">
        <f t="shared" si="97"/>
        <v>6268</v>
      </c>
      <c r="B6269" s="983" t="s">
        <v>2732</v>
      </c>
      <c r="C6269" s="998"/>
      <c r="G6269" s="983" t="s">
        <v>1109</v>
      </c>
    </row>
    <row r="6270" spans="1:9" x14ac:dyDescent="0.2">
      <c r="A6270" s="997">
        <f t="shared" si="97"/>
        <v>6269</v>
      </c>
      <c r="B6270" s="983" t="s">
        <v>2732</v>
      </c>
      <c r="C6270" s="999"/>
      <c r="G6270" s="983" t="s">
        <v>1106</v>
      </c>
    </row>
    <row r="6271" spans="1:9" x14ac:dyDescent="0.2">
      <c r="A6271" s="997">
        <f t="shared" si="97"/>
        <v>6270</v>
      </c>
      <c r="B6271" s="983" t="s">
        <v>2732</v>
      </c>
      <c r="C6271" s="1000"/>
      <c r="H6271" s="983" t="s">
        <v>1107</v>
      </c>
    </row>
    <row r="6272" spans="1:9" x14ac:dyDescent="0.2">
      <c r="A6272" s="997">
        <f t="shared" si="97"/>
        <v>6271</v>
      </c>
      <c r="B6272" s="983" t="s">
        <v>2732</v>
      </c>
      <c r="C6272" s="1001"/>
      <c r="I6272" s="983" t="s">
        <v>2061</v>
      </c>
    </row>
    <row r="6273" spans="1:9" x14ac:dyDescent="0.2">
      <c r="A6273" s="997">
        <f t="shared" si="97"/>
        <v>6272</v>
      </c>
      <c r="B6273" s="983" t="s">
        <v>2732</v>
      </c>
      <c r="C6273" s="1000"/>
      <c r="H6273" s="983" t="s">
        <v>1108</v>
      </c>
    </row>
    <row r="6274" spans="1:9" x14ac:dyDescent="0.2">
      <c r="A6274" s="997">
        <f t="shared" si="97"/>
        <v>6273</v>
      </c>
      <c r="B6274" s="983" t="s">
        <v>2732</v>
      </c>
      <c r="C6274" s="1000"/>
      <c r="H6274" s="983" t="str">
        <f>CONCATENATE("&lt;valeur&gt;",Cellule_1247,"&lt;/valeur&gt;")</f>
        <v>&lt;valeur&gt;0&lt;/valeur&gt;</v>
      </c>
    </row>
    <row r="6275" spans="1:9" x14ac:dyDescent="0.2">
      <c r="A6275" s="997">
        <f t="shared" si="97"/>
        <v>6274</v>
      </c>
      <c r="B6275" s="983" t="s">
        <v>2732</v>
      </c>
      <c r="C6275" s="999"/>
      <c r="G6275" s="983" t="s">
        <v>1109</v>
      </c>
    </row>
    <row r="6276" spans="1:9" x14ac:dyDescent="0.2">
      <c r="A6276" s="997">
        <f t="shared" ref="A6276:A6339" si="98">+A6275+1</f>
        <v>6275</v>
      </c>
      <c r="B6276" s="983" t="s">
        <v>2732</v>
      </c>
      <c r="C6276" s="998"/>
      <c r="G6276" s="983" t="s">
        <v>1106</v>
      </c>
    </row>
    <row r="6277" spans="1:9" x14ac:dyDescent="0.2">
      <c r="A6277" s="997">
        <f t="shared" si="98"/>
        <v>6276</v>
      </c>
      <c r="B6277" s="983" t="s">
        <v>2732</v>
      </c>
      <c r="C6277" s="995"/>
      <c r="H6277" s="983" t="s">
        <v>1107</v>
      </c>
    </row>
    <row r="6278" spans="1:9" x14ac:dyDescent="0.2">
      <c r="A6278" s="997">
        <f t="shared" si="98"/>
        <v>6277</v>
      </c>
      <c r="B6278" s="983" t="s">
        <v>2732</v>
      </c>
      <c r="C6278" s="995"/>
      <c r="I6278" s="983" t="s">
        <v>2062</v>
      </c>
    </row>
    <row r="6279" spans="1:9" x14ac:dyDescent="0.2">
      <c r="A6279" s="997">
        <f t="shared" si="98"/>
        <v>6278</v>
      </c>
      <c r="B6279" s="983" t="s">
        <v>2732</v>
      </c>
      <c r="C6279" s="998"/>
      <c r="H6279" s="983" t="s">
        <v>1108</v>
      </c>
    </row>
    <row r="6280" spans="1:9" x14ac:dyDescent="0.2">
      <c r="A6280" s="997">
        <f t="shared" si="98"/>
        <v>6279</v>
      </c>
      <c r="B6280" s="983" t="s">
        <v>2732</v>
      </c>
      <c r="C6280" s="999"/>
      <c r="H6280" s="983" t="str">
        <f>CONCATENATE("&lt;valeur&gt;",Cellule_1237,"&lt;/valeur&gt;")</f>
        <v>&lt;valeur&gt;1666,5&lt;/valeur&gt;</v>
      </c>
    </row>
    <row r="6281" spans="1:9" x14ac:dyDescent="0.2">
      <c r="A6281" s="997">
        <f t="shared" si="98"/>
        <v>6280</v>
      </c>
      <c r="B6281" s="983" t="s">
        <v>2732</v>
      </c>
      <c r="C6281" s="998"/>
      <c r="G6281" s="983" t="s">
        <v>1109</v>
      </c>
    </row>
    <row r="6282" spans="1:9" x14ac:dyDescent="0.2">
      <c r="A6282" s="997">
        <f t="shared" si="98"/>
        <v>6281</v>
      </c>
      <c r="B6282" s="983" t="s">
        <v>2732</v>
      </c>
      <c r="C6282" s="998"/>
      <c r="G6282" s="983" t="s">
        <v>1106</v>
      </c>
    </row>
    <row r="6283" spans="1:9" x14ac:dyDescent="0.2">
      <c r="A6283" s="997">
        <f t="shared" si="98"/>
        <v>6282</v>
      </c>
      <c r="B6283" s="983" t="s">
        <v>2732</v>
      </c>
      <c r="C6283" s="999"/>
      <c r="H6283" s="983" t="s">
        <v>1107</v>
      </c>
    </row>
    <row r="6284" spans="1:9" x14ac:dyDescent="0.2">
      <c r="A6284" s="997">
        <f t="shared" si="98"/>
        <v>6283</v>
      </c>
      <c r="B6284" s="983" t="s">
        <v>2732</v>
      </c>
      <c r="C6284" s="1000"/>
      <c r="I6284" s="983" t="s">
        <v>2063</v>
      </c>
    </row>
    <row r="6285" spans="1:9" x14ac:dyDescent="0.2">
      <c r="A6285" s="997">
        <f t="shared" si="98"/>
        <v>6284</v>
      </c>
      <c r="B6285" s="983" t="s">
        <v>2732</v>
      </c>
      <c r="C6285" s="1001"/>
      <c r="H6285" s="983" t="s">
        <v>1108</v>
      </c>
    </row>
    <row r="6286" spans="1:9" x14ac:dyDescent="0.2">
      <c r="A6286" s="997">
        <f t="shared" si="98"/>
        <v>6285</v>
      </c>
      <c r="B6286" s="983" t="s">
        <v>2732</v>
      </c>
      <c r="C6286" s="1000"/>
      <c r="H6286" s="983" t="str">
        <f>CONCATENATE("&lt;valeur&gt;",Cellule_1233,"&lt;/valeur&gt;")</f>
        <v>&lt;valeur&gt;0&lt;/valeur&gt;</v>
      </c>
    </row>
    <row r="6287" spans="1:9" x14ac:dyDescent="0.2">
      <c r="A6287" s="997">
        <f t="shared" si="98"/>
        <v>6286</v>
      </c>
      <c r="B6287" s="983" t="s">
        <v>2732</v>
      </c>
      <c r="C6287" s="1000"/>
      <c r="G6287" s="983" t="s">
        <v>1109</v>
      </c>
    </row>
    <row r="6288" spans="1:9" x14ac:dyDescent="0.2">
      <c r="A6288" s="997">
        <f t="shared" si="98"/>
        <v>6287</v>
      </c>
      <c r="B6288" s="983" t="s">
        <v>2732</v>
      </c>
      <c r="C6288" s="999"/>
      <c r="G6288" s="983" t="s">
        <v>1106</v>
      </c>
    </row>
    <row r="6289" spans="1:9" x14ac:dyDescent="0.2">
      <c r="A6289" s="997">
        <f t="shared" si="98"/>
        <v>6288</v>
      </c>
      <c r="B6289" s="983" t="s">
        <v>2732</v>
      </c>
      <c r="C6289" s="999"/>
      <c r="H6289" s="983" t="s">
        <v>1107</v>
      </c>
    </row>
    <row r="6290" spans="1:9" x14ac:dyDescent="0.2">
      <c r="A6290" s="997">
        <f t="shared" si="98"/>
        <v>6289</v>
      </c>
      <c r="B6290" s="983" t="s">
        <v>2732</v>
      </c>
      <c r="C6290" s="1000"/>
      <c r="I6290" s="983" t="s">
        <v>2064</v>
      </c>
    </row>
    <row r="6291" spans="1:9" x14ac:dyDescent="0.2">
      <c r="A6291" s="997">
        <f t="shared" si="98"/>
        <v>6290</v>
      </c>
      <c r="B6291" s="983" t="s">
        <v>2732</v>
      </c>
      <c r="C6291" s="1001"/>
      <c r="H6291" s="983" t="s">
        <v>1108</v>
      </c>
    </row>
    <row r="6292" spans="1:9" x14ac:dyDescent="0.2">
      <c r="A6292" s="997">
        <f t="shared" si="98"/>
        <v>6291</v>
      </c>
      <c r="B6292" s="983" t="s">
        <v>2732</v>
      </c>
      <c r="C6292" s="1000"/>
      <c r="H6292" s="983" t="str">
        <f>CONCATENATE("&lt;valeur&gt;",Cellule_1238,"&lt;/valeur&gt;")</f>
        <v>&lt;valeur&gt;0&lt;/valeur&gt;</v>
      </c>
    </row>
    <row r="6293" spans="1:9" x14ac:dyDescent="0.2">
      <c r="A6293" s="997">
        <f t="shared" si="98"/>
        <v>6292</v>
      </c>
      <c r="B6293" s="983" t="s">
        <v>2732</v>
      </c>
      <c r="C6293" s="1000"/>
      <c r="G6293" s="983" t="s">
        <v>1109</v>
      </c>
    </row>
    <row r="6294" spans="1:9" x14ac:dyDescent="0.2">
      <c r="A6294" s="997">
        <f t="shared" si="98"/>
        <v>6293</v>
      </c>
      <c r="B6294" s="983" t="s">
        <v>2732</v>
      </c>
      <c r="C6294" s="999"/>
      <c r="G6294" s="983" t="s">
        <v>1106</v>
      </c>
    </row>
    <row r="6295" spans="1:9" x14ac:dyDescent="0.2">
      <c r="A6295" s="997">
        <f t="shared" si="98"/>
        <v>6294</v>
      </c>
      <c r="B6295" s="983" t="s">
        <v>2732</v>
      </c>
      <c r="C6295" s="999"/>
      <c r="H6295" s="983" t="s">
        <v>1107</v>
      </c>
    </row>
    <row r="6296" spans="1:9" x14ac:dyDescent="0.2">
      <c r="A6296" s="997">
        <f t="shared" si="98"/>
        <v>6295</v>
      </c>
      <c r="B6296" s="983" t="s">
        <v>2732</v>
      </c>
      <c r="C6296" s="1000"/>
      <c r="I6296" s="983" t="s">
        <v>2065</v>
      </c>
    </row>
    <row r="6297" spans="1:9" x14ac:dyDescent="0.2">
      <c r="A6297" s="997">
        <f t="shared" si="98"/>
        <v>6296</v>
      </c>
      <c r="B6297" s="983" t="s">
        <v>2732</v>
      </c>
      <c r="C6297" s="1001"/>
      <c r="H6297" s="983" t="s">
        <v>1108</v>
      </c>
    </row>
    <row r="6298" spans="1:9" x14ac:dyDescent="0.2">
      <c r="A6298" s="997">
        <f t="shared" si="98"/>
        <v>6297</v>
      </c>
      <c r="B6298" s="983" t="s">
        <v>2732</v>
      </c>
      <c r="C6298" s="1000"/>
      <c r="H6298" s="983" t="str">
        <f>CONCATENATE("&lt;valeur&gt;",Cellule_1243,"&lt;/valeur&gt;")</f>
        <v>&lt;valeur&gt;0&lt;/valeur&gt;</v>
      </c>
    </row>
    <row r="6299" spans="1:9" x14ac:dyDescent="0.2">
      <c r="A6299" s="997">
        <f t="shared" si="98"/>
        <v>6298</v>
      </c>
      <c r="B6299" s="983" t="s">
        <v>2732</v>
      </c>
      <c r="C6299" s="1000"/>
      <c r="G6299" s="983" t="s">
        <v>1109</v>
      </c>
    </row>
    <row r="6300" spans="1:9" x14ac:dyDescent="0.2">
      <c r="A6300" s="997">
        <f t="shared" si="98"/>
        <v>6299</v>
      </c>
      <c r="B6300" s="983" t="s">
        <v>2732</v>
      </c>
      <c r="C6300" s="999"/>
      <c r="G6300" s="983" t="s">
        <v>1106</v>
      </c>
    </row>
    <row r="6301" spans="1:9" x14ac:dyDescent="0.2">
      <c r="A6301" s="997">
        <f t="shared" si="98"/>
        <v>6300</v>
      </c>
      <c r="B6301" s="983" t="s">
        <v>2732</v>
      </c>
      <c r="C6301" s="999"/>
      <c r="H6301" s="983" t="s">
        <v>1107</v>
      </c>
    </row>
    <row r="6302" spans="1:9" x14ac:dyDescent="0.2">
      <c r="A6302" s="997">
        <f t="shared" si="98"/>
        <v>6301</v>
      </c>
      <c r="B6302" s="983" t="s">
        <v>2732</v>
      </c>
      <c r="C6302" s="1000"/>
      <c r="I6302" s="983" t="s">
        <v>2066</v>
      </c>
    </row>
    <row r="6303" spans="1:9" x14ac:dyDescent="0.2">
      <c r="A6303" s="997">
        <f t="shared" si="98"/>
        <v>6302</v>
      </c>
      <c r="B6303" s="983" t="s">
        <v>2732</v>
      </c>
      <c r="C6303" s="1001"/>
      <c r="H6303" s="983" t="s">
        <v>1108</v>
      </c>
    </row>
    <row r="6304" spans="1:9" x14ac:dyDescent="0.2">
      <c r="A6304" s="997">
        <f t="shared" si="98"/>
        <v>6303</v>
      </c>
      <c r="B6304" s="983" t="s">
        <v>2732</v>
      </c>
      <c r="C6304" s="1000"/>
      <c r="H6304" s="983" t="str">
        <f>CONCATENATE("&lt;valeur&gt;",Cellule_1248,"&lt;/valeur&gt;")</f>
        <v>&lt;valeur&gt;0&lt;/valeur&gt;</v>
      </c>
    </row>
    <row r="6305" spans="1:9" x14ac:dyDescent="0.2">
      <c r="A6305" s="997">
        <f t="shared" si="98"/>
        <v>6304</v>
      </c>
      <c r="B6305" s="983" t="s">
        <v>2732</v>
      </c>
      <c r="C6305" s="1000"/>
      <c r="G6305" s="983" t="s">
        <v>1109</v>
      </c>
    </row>
    <row r="6306" spans="1:9" x14ac:dyDescent="0.2">
      <c r="A6306" s="997">
        <f t="shared" si="98"/>
        <v>6305</v>
      </c>
      <c r="B6306" s="983" t="s">
        <v>2732</v>
      </c>
      <c r="C6306" s="999"/>
      <c r="G6306" s="983" t="s">
        <v>1106</v>
      </c>
    </row>
    <row r="6307" spans="1:9" x14ac:dyDescent="0.2">
      <c r="A6307" s="997">
        <f t="shared" si="98"/>
        <v>6306</v>
      </c>
      <c r="B6307" s="983" t="s">
        <v>2732</v>
      </c>
      <c r="C6307" s="999"/>
      <c r="H6307" s="983" t="s">
        <v>1107</v>
      </c>
    </row>
    <row r="6308" spans="1:9" x14ac:dyDescent="0.2">
      <c r="A6308" s="997">
        <f t="shared" si="98"/>
        <v>6307</v>
      </c>
      <c r="B6308" s="983" t="s">
        <v>2732</v>
      </c>
      <c r="C6308" s="1000"/>
      <c r="I6308" s="983" t="s">
        <v>2067</v>
      </c>
    </row>
    <row r="6309" spans="1:9" x14ac:dyDescent="0.2">
      <c r="A6309" s="997">
        <f t="shared" si="98"/>
        <v>6308</v>
      </c>
      <c r="B6309" s="983" t="s">
        <v>2732</v>
      </c>
      <c r="C6309" s="1001"/>
      <c r="H6309" s="983" t="s">
        <v>1108</v>
      </c>
    </row>
    <row r="6310" spans="1:9" x14ac:dyDescent="0.2">
      <c r="A6310" s="997">
        <f t="shared" si="98"/>
        <v>6309</v>
      </c>
      <c r="B6310" s="983" t="s">
        <v>2732</v>
      </c>
      <c r="C6310" s="1000"/>
      <c r="H6310" s="983" t="str">
        <f>CONCATENATE("&lt;valeur&gt;",Cellule_1234,"&lt;/valeur&gt;")</f>
        <v>&lt;valeur&gt;2360,87&lt;/valeur&gt;</v>
      </c>
    </row>
    <row r="6311" spans="1:9" x14ac:dyDescent="0.2">
      <c r="A6311" s="997">
        <f t="shared" si="98"/>
        <v>6310</v>
      </c>
      <c r="B6311" s="983" t="s">
        <v>2732</v>
      </c>
      <c r="C6311" s="1000"/>
      <c r="G6311" s="983" t="s">
        <v>1109</v>
      </c>
    </row>
    <row r="6312" spans="1:9" x14ac:dyDescent="0.2">
      <c r="A6312" s="997">
        <f t="shared" si="98"/>
        <v>6311</v>
      </c>
      <c r="B6312" s="983" t="s">
        <v>2732</v>
      </c>
      <c r="C6312" s="999"/>
      <c r="G6312" s="983" t="s">
        <v>1106</v>
      </c>
    </row>
    <row r="6313" spans="1:9" x14ac:dyDescent="0.2">
      <c r="A6313" s="997">
        <f t="shared" si="98"/>
        <v>6312</v>
      </c>
      <c r="B6313" s="983" t="s">
        <v>2732</v>
      </c>
      <c r="C6313" s="999"/>
      <c r="H6313" s="983" t="s">
        <v>1107</v>
      </c>
    </row>
    <row r="6314" spans="1:9" x14ac:dyDescent="0.2">
      <c r="A6314" s="997">
        <f t="shared" si="98"/>
        <v>6313</v>
      </c>
      <c r="B6314" s="983" t="s">
        <v>2732</v>
      </c>
      <c r="C6314" s="1000"/>
      <c r="I6314" s="983" t="s">
        <v>2068</v>
      </c>
    </row>
    <row r="6315" spans="1:9" x14ac:dyDescent="0.2">
      <c r="A6315" s="997">
        <f t="shared" si="98"/>
        <v>6314</v>
      </c>
      <c r="B6315" s="983" t="s">
        <v>2732</v>
      </c>
      <c r="C6315" s="1001"/>
      <c r="H6315" s="983" t="s">
        <v>1108</v>
      </c>
    </row>
    <row r="6316" spans="1:9" x14ac:dyDescent="0.2">
      <c r="A6316" s="997">
        <f t="shared" si="98"/>
        <v>6315</v>
      </c>
      <c r="B6316" s="983" t="s">
        <v>2732</v>
      </c>
      <c r="C6316" s="1000"/>
      <c r="H6316" s="983" t="str">
        <f>CONCATENATE("&lt;valeur&gt;",Cellule_1239,"&lt;/valeur&gt;")</f>
        <v>&lt;valeur&gt;2360,87&lt;/valeur&gt;</v>
      </c>
    </row>
    <row r="6317" spans="1:9" x14ac:dyDescent="0.2">
      <c r="A6317" s="997">
        <f t="shared" si="98"/>
        <v>6316</v>
      </c>
      <c r="B6317" s="983" t="s">
        <v>2732</v>
      </c>
      <c r="C6317" s="1000"/>
      <c r="G6317" s="983" t="s">
        <v>1109</v>
      </c>
    </row>
    <row r="6318" spans="1:9" x14ac:dyDescent="0.2">
      <c r="A6318" s="997">
        <f t="shared" si="98"/>
        <v>6317</v>
      </c>
      <c r="B6318" s="983" t="s">
        <v>2732</v>
      </c>
      <c r="C6318" s="999"/>
      <c r="G6318" s="983" t="s">
        <v>1106</v>
      </c>
    </row>
    <row r="6319" spans="1:9" x14ac:dyDescent="0.2">
      <c r="A6319" s="997">
        <f t="shared" si="98"/>
        <v>6318</v>
      </c>
      <c r="B6319" s="983" t="s">
        <v>2732</v>
      </c>
      <c r="C6319" s="999"/>
      <c r="H6319" s="983" t="s">
        <v>1107</v>
      </c>
    </row>
    <row r="6320" spans="1:9" x14ac:dyDescent="0.2">
      <c r="A6320" s="997">
        <f t="shared" si="98"/>
        <v>6319</v>
      </c>
      <c r="B6320" s="983" t="s">
        <v>2732</v>
      </c>
      <c r="C6320" s="1000"/>
      <c r="I6320" s="983" t="s">
        <v>2069</v>
      </c>
    </row>
    <row r="6321" spans="1:9" x14ac:dyDescent="0.2">
      <c r="A6321" s="997">
        <f t="shared" si="98"/>
        <v>6320</v>
      </c>
      <c r="B6321" s="983" t="s">
        <v>2732</v>
      </c>
      <c r="C6321" s="1001"/>
      <c r="H6321" s="983" t="s">
        <v>1108</v>
      </c>
    </row>
    <row r="6322" spans="1:9" x14ac:dyDescent="0.2">
      <c r="A6322" s="997">
        <f t="shared" si="98"/>
        <v>6321</v>
      </c>
      <c r="B6322" s="983" t="s">
        <v>2732</v>
      </c>
      <c r="C6322" s="1000"/>
      <c r="H6322" s="983" t="str">
        <f>CONCATENATE("&lt;valeur&gt;",Cellule_1244,"&lt;/valeur&gt;")</f>
        <v>&lt;valeur&gt;0&lt;/valeur&gt;</v>
      </c>
    </row>
    <row r="6323" spans="1:9" x14ac:dyDescent="0.2">
      <c r="A6323" s="997">
        <f t="shared" si="98"/>
        <v>6322</v>
      </c>
      <c r="B6323" s="983" t="s">
        <v>2732</v>
      </c>
      <c r="C6323" s="1000"/>
      <c r="G6323" s="983" t="s">
        <v>1109</v>
      </c>
    </row>
    <row r="6324" spans="1:9" x14ac:dyDescent="0.2">
      <c r="A6324" s="997">
        <f t="shared" si="98"/>
        <v>6323</v>
      </c>
      <c r="B6324" s="983" t="s">
        <v>2732</v>
      </c>
      <c r="C6324" s="999"/>
      <c r="G6324" s="983" t="s">
        <v>1106</v>
      </c>
    </row>
    <row r="6325" spans="1:9" x14ac:dyDescent="0.2">
      <c r="A6325" s="997">
        <f t="shared" si="98"/>
        <v>6324</v>
      </c>
      <c r="B6325" s="983" t="s">
        <v>2732</v>
      </c>
      <c r="C6325" s="999"/>
      <c r="H6325" s="983" t="s">
        <v>1107</v>
      </c>
    </row>
    <row r="6326" spans="1:9" x14ac:dyDescent="0.2">
      <c r="A6326" s="997">
        <f t="shared" si="98"/>
        <v>6325</v>
      </c>
      <c r="B6326" s="983" t="s">
        <v>2732</v>
      </c>
      <c r="C6326" s="1000"/>
      <c r="I6326" s="983" t="s">
        <v>2070</v>
      </c>
    </row>
    <row r="6327" spans="1:9" x14ac:dyDescent="0.2">
      <c r="A6327" s="997">
        <f t="shared" si="98"/>
        <v>6326</v>
      </c>
      <c r="B6327" s="983" t="s">
        <v>2732</v>
      </c>
      <c r="C6327" s="1001"/>
      <c r="H6327" s="983" t="s">
        <v>1108</v>
      </c>
    </row>
    <row r="6328" spans="1:9" x14ac:dyDescent="0.2">
      <c r="A6328" s="997">
        <f t="shared" si="98"/>
        <v>6327</v>
      </c>
      <c r="B6328" s="983" t="s">
        <v>2732</v>
      </c>
      <c r="C6328" s="1000"/>
      <c r="H6328" s="983" t="str">
        <f>CONCATENATE("&lt;valeur&gt;",Cellule_1249,"&lt;/valeur&gt;")</f>
        <v>&lt;valeur&gt;0&lt;/valeur&gt;</v>
      </c>
    </row>
    <row r="6329" spans="1:9" x14ac:dyDescent="0.2">
      <c r="A6329" s="997">
        <f t="shared" si="98"/>
        <v>6328</v>
      </c>
      <c r="B6329" s="983" t="s">
        <v>2732</v>
      </c>
      <c r="C6329" s="1000"/>
      <c r="G6329" s="983" t="s">
        <v>1109</v>
      </c>
    </row>
    <row r="6330" spans="1:9" x14ac:dyDescent="0.2">
      <c r="A6330" s="997">
        <f t="shared" si="98"/>
        <v>6329</v>
      </c>
      <c r="B6330" s="983" t="s">
        <v>2732</v>
      </c>
      <c r="C6330" s="999"/>
      <c r="G6330" s="983" t="s">
        <v>1106</v>
      </c>
    </row>
    <row r="6331" spans="1:9" x14ac:dyDescent="0.2">
      <c r="A6331" s="997">
        <f t="shared" si="98"/>
        <v>6330</v>
      </c>
      <c r="B6331" s="983" t="s">
        <v>2732</v>
      </c>
      <c r="C6331" s="999"/>
      <c r="H6331" s="983" t="s">
        <v>2071</v>
      </c>
    </row>
    <row r="6332" spans="1:9" x14ac:dyDescent="0.2">
      <c r="A6332" s="997">
        <f t="shared" si="98"/>
        <v>6331</v>
      </c>
      <c r="B6332" s="983" t="s">
        <v>2732</v>
      </c>
      <c r="C6332" s="1000"/>
      <c r="H6332" s="983" t="str">
        <f>CONCATENATE("&lt;valeur&gt;",Cellule_12122,"&lt;/valeur&gt;")</f>
        <v>&lt;valeur&gt;&lt;/valeur&gt;</v>
      </c>
    </row>
    <row r="6333" spans="1:9" x14ac:dyDescent="0.2">
      <c r="A6333" s="997">
        <f t="shared" si="98"/>
        <v>6332</v>
      </c>
      <c r="B6333" s="983" t="s">
        <v>2732</v>
      </c>
      <c r="C6333" s="1001"/>
      <c r="H6333" s="983" t="s">
        <v>1348</v>
      </c>
    </row>
    <row r="6334" spans="1:9" x14ac:dyDescent="0.2">
      <c r="A6334" s="997">
        <f t="shared" si="98"/>
        <v>6333</v>
      </c>
      <c r="B6334" s="983" t="s">
        <v>2732</v>
      </c>
      <c r="C6334" s="1000"/>
      <c r="G6334" s="983" t="s">
        <v>1109</v>
      </c>
    </row>
    <row r="6335" spans="1:9" x14ac:dyDescent="0.2">
      <c r="A6335" s="997">
        <f t="shared" si="98"/>
        <v>6334</v>
      </c>
      <c r="B6335" s="983" t="s">
        <v>2732</v>
      </c>
      <c r="C6335" s="1000"/>
      <c r="G6335" s="983" t="s">
        <v>1106</v>
      </c>
    </row>
    <row r="6336" spans="1:9" x14ac:dyDescent="0.2">
      <c r="A6336" s="997">
        <f t="shared" si="98"/>
        <v>6335</v>
      </c>
      <c r="B6336" s="983" t="s">
        <v>2732</v>
      </c>
      <c r="C6336" s="999"/>
      <c r="H6336" s="983" t="s">
        <v>2072</v>
      </c>
    </row>
    <row r="6337" spans="1:9" x14ac:dyDescent="0.2">
      <c r="A6337" s="997">
        <f t="shared" si="98"/>
        <v>6336</v>
      </c>
      <c r="B6337" s="983" t="s">
        <v>2732</v>
      </c>
      <c r="C6337" s="999"/>
      <c r="H6337" s="983" t="str">
        <f>CONCATENATE("&lt;valeur&gt;",Cellule_12123,"&lt;/valeur&gt;")</f>
        <v>&lt;valeur&gt;&lt;/valeur&gt;</v>
      </c>
    </row>
    <row r="6338" spans="1:9" x14ac:dyDescent="0.2">
      <c r="A6338" s="997">
        <f t="shared" si="98"/>
        <v>6337</v>
      </c>
      <c r="B6338" s="983" t="s">
        <v>2732</v>
      </c>
      <c r="C6338" s="1000"/>
      <c r="H6338" s="983" t="s">
        <v>1348</v>
      </c>
    </row>
    <row r="6339" spans="1:9" x14ac:dyDescent="0.2">
      <c r="A6339" s="997">
        <f t="shared" si="98"/>
        <v>6338</v>
      </c>
      <c r="B6339" s="983" t="s">
        <v>2732</v>
      </c>
      <c r="C6339" s="1001"/>
      <c r="G6339" s="983" t="s">
        <v>1109</v>
      </c>
    </row>
    <row r="6340" spans="1:9" x14ac:dyDescent="0.2">
      <c r="A6340" s="997">
        <f t="shared" ref="A6340:A6403" si="99">+A6339+1</f>
        <v>6339</v>
      </c>
      <c r="B6340" s="983" t="s">
        <v>2732</v>
      </c>
      <c r="C6340" s="1000"/>
      <c r="G6340" s="983" t="s">
        <v>1106</v>
      </c>
    </row>
    <row r="6341" spans="1:9" x14ac:dyDescent="0.2">
      <c r="A6341" s="997">
        <f t="shared" si="99"/>
        <v>6340</v>
      </c>
      <c r="B6341" s="983" t="s">
        <v>2732</v>
      </c>
      <c r="C6341" s="1000"/>
      <c r="H6341" s="983" t="s">
        <v>2073</v>
      </c>
    </row>
    <row r="6342" spans="1:9" x14ac:dyDescent="0.2">
      <c r="A6342" s="997">
        <f t="shared" si="99"/>
        <v>6341</v>
      </c>
      <c r="B6342" s="983" t="s">
        <v>2732</v>
      </c>
      <c r="C6342" s="999"/>
      <c r="H6342" s="983" t="str">
        <f>CONCATENATE("&lt;valeur&gt;",Cellule_12124,"&lt;/valeur&gt;")</f>
        <v>&lt;valeur&gt;&lt;/valeur&gt;</v>
      </c>
    </row>
    <row r="6343" spans="1:9" x14ac:dyDescent="0.2">
      <c r="A6343" s="997">
        <f t="shared" si="99"/>
        <v>6342</v>
      </c>
      <c r="B6343" s="983" t="s">
        <v>2732</v>
      </c>
      <c r="C6343" s="999"/>
      <c r="H6343" s="983" t="s">
        <v>1348</v>
      </c>
    </row>
    <row r="6344" spans="1:9" x14ac:dyDescent="0.2">
      <c r="A6344" s="997">
        <f t="shared" si="99"/>
        <v>6343</v>
      </c>
      <c r="B6344" s="983" t="s">
        <v>2732</v>
      </c>
      <c r="C6344" s="1000"/>
      <c r="G6344" s="983" t="s">
        <v>1109</v>
      </c>
    </row>
    <row r="6345" spans="1:9" x14ac:dyDescent="0.2">
      <c r="A6345" s="997">
        <f t="shared" si="99"/>
        <v>6344</v>
      </c>
      <c r="B6345" s="983" t="s">
        <v>2732</v>
      </c>
      <c r="C6345" s="1001"/>
      <c r="G6345" s="983" t="s">
        <v>1106</v>
      </c>
    </row>
    <row r="6346" spans="1:9" x14ac:dyDescent="0.2">
      <c r="A6346" s="997">
        <f t="shared" si="99"/>
        <v>6345</v>
      </c>
      <c r="B6346" s="983" t="s">
        <v>2732</v>
      </c>
      <c r="C6346" s="1000"/>
      <c r="H6346" s="983" t="s">
        <v>2074</v>
      </c>
    </row>
    <row r="6347" spans="1:9" x14ac:dyDescent="0.2">
      <c r="A6347" s="997">
        <f t="shared" si="99"/>
        <v>6346</v>
      </c>
      <c r="B6347" s="983" t="s">
        <v>2732</v>
      </c>
      <c r="C6347" s="1000"/>
      <c r="H6347" s="983" t="str">
        <f>CONCATENATE("&lt;valeur&gt;",Cellule_12125,"&lt;/valeur&gt;")</f>
        <v>&lt;valeur&gt;0&lt;/valeur&gt;</v>
      </c>
    </row>
    <row r="6348" spans="1:9" x14ac:dyDescent="0.2">
      <c r="A6348" s="997">
        <f t="shared" si="99"/>
        <v>6347</v>
      </c>
      <c r="B6348" s="983" t="s">
        <v>2732</v>
      </c>
      <c r="C6348" s="999"/>
      <c r="H6348" s="983" t="s">
        <v>1348</v>
      </c>
    </row>
    <row r="6349" spans="1:9" x14ac:dyDescent="0.2">
      <c r="A6349" s="997">
        <f t="shared" si="99"/>
        <v>6348</v>
      </c>
      <c r="B6349" s="983" t="s">
        <v>2732</v>
      </c>
      <c r="C6349" s="999"/>
      <c r="G6349" s="983" t="s">
        <v>1109</v>
      </c>
    </row>
    <row r="6350" spans="1:9" x14ac:dyDescent="0.2">
      <c r="A6350" s="997">
        <f t="shared" si="99"/>
        <v>6349</v>
      </c>
      <c r="B6350" s="983" t="s">
        <v>2732</v>
      </c>
      <c r="C6350" s="1000"/>
      <c r="G6350" s="983" t="s">
        <v>1106</v>
      </c>
    </row>
    <row r="6351" spans="1:9" x14ac:dyDescent="0.2">
      <c r="A6351" s="997">
        <f t="shared" si="99"/>
        <v>6350</v>
      </c>
      <c r="B6351" s="983" t="s">
        <v>2732</v>
      </c>
      <c r="C6351" s="1001"/>
      <c r="H6351" s="983" t="s">
        <v>1107</v>
      </c>
    </row>
    <row r="6352" spans="1:9" x14ac:dyDescent="0.2">
      <c r="A6352" s="997">
        <f t="shared" si="99"/>
        <v>6351</v>
      </c>
      <c r="B6352" s="983" t="s">
        <v>2732</v>
      </c>
      <c r="C6352" s="1000"/>
      <c r="I6352" s="983" t="s">
        <v>2075</v>
      </c>
    </row>
    <row r="6353" spans="1:9" x14ac:dyDescent="0.2">
      <c r="A6353" s="997">
        <f t="shared" si="99"/>
        <v>6352</v>
      </c>
      <c r="B6353" s="983" t="s">
        <v>2732</v>
      </c>
      <c r="C6353" s="1000"/>
      <c r="H6353" s="983" t="s">
        <v>1108</v>
      </c>
    </row>
    <row r="6354" spans="1:9" x14ac:dyDescent="0.2">
      <c r="A6354" s="997">
        <f t="shared" si="99"/>
        <v>6353</v>
      </c>
      <c r="B6354" s="983" t="s">
        <v>2732</v>
      </c>
      <c r="C6354" s="999"/>
      <c r="H6354" s="983" t="str">
        <f>CONCATENATE("&lt;valeur&gt;",Cellule_1624,"&lt;/valeur&gt;")</f>
        <v>&lt;valeur&gt;0&lt;/valeur&gt;</v>
      </c>
    </row>
    <row r="6355" spans="1:9" x14ac:dyDescent="0.2">
      <c r="A6355" s="997">
        <f t="shared" si="99"/>
        <v>6354</v>
      </c>
      <c r="B6355" s="983" t="s">
        <v>2732</v>
      </c>
      <c r="C6355" s="999"/>
      <c r="G6355" s="983" t="s">
        <v>1109</v>
      </c>
    </row>
    <row r="6356" spans="1:9" x14ac:dyDescent="0.2">
      <c r="A6356" s="997">
        <f t="shared" si="99"/>
        <v>6355</v>
      </c>
      <c r="B6356" s="983" t="s">
        <v>2732</v>
      </c>
      <c r="C6356" s="1000"/>
      <c r="G6356" s="983" t="s">
        <v>1106</v>
      </c>
    </row>
    <row r="6357" spans="1:9" x14ac:dyDescent="0.2">
      <c r="A6357" s="997">
        <f t="shared" si="99"/>
        <v>6356</v>
      </c>
      <c r="B6357" s="983" t="s">
        <v>2732</v>
      </c>
      <c r="C6357" s="1001"/>
      <c r="H6357" s="983" t="s">
        <v>1107</v>
      </c>
    </row>
    <row r="6358" spans="1:9" x14ac:dyDescent="0.2">
      <c r="A6358" s="997">
        <f t="shared" si="99"/>
        <v>6357</v>
      </c>
      <c r="B6358" s="983" t="s">
        <v>2732</v>
      </c>
      <c r="C6358" s="1000"/>
      <c r="I6358" s="983" t="s">
        <v>2076</v>
      </c>
    </row>
    <row r="6359" spans="1:9" x14ac:dyDescent="0.2">
      <c r="A6359" s="997">
        <f t="shared" si="99"/>
        <v>6358</v>
      </c>
      <c r="B6359" s="983" t="s">
        <v>2732</v>
      </c>
      <c r="C6359" s="1000"/>
      <c r="H6359" s="983" t="s">
        <v>1108</v>
      </c>
    </row>
    <row r="6360" spans="1:9" x14ac:dyDescent="0.2">
      <c r="A6360" s="997">
        <f t="shared" si="99"/>
        <v>6359</v>
      </c>
      <c r="B6360" s="983" t="s">
        <v>2732</v>
      </c>
      <c r="C6360" s="999"/>
      <c r="H6360" s="983" t="str">
        <f>CONCATENATE("&lt;valeur&gt;",Cellule_1625,"&lt;/valeur&gt;")</f>
        <v>&lt;valeur&gt;0&lt;/valeur&gt;</v>
      </c>
    </row>
    <row r="6361" spans="1:9" x14ac:dyDescent="0.2">
      <c r="A6361" s="997">
        <f t="shared" si="99"/>
        <v>6360</v>
      </c>
      <c r="B6361" s="983" t="s">
        <v>2732</v>
      </c>
      <c r="C6361" s="999"/>
      <c r="G6361" s="983" t="s">
        <v>1109</v>
      </c>
    </row>
    <row r="6362" spans="1:9" x14ac:dyDescent="0.2">
      <c r="A6362" s="997">
        <f t="shared" si="99"/>
        <v>6361</v>
      </c>
      <c r="B6362" s="983" t="s">
        <v>2732</v>
      </c>
      <c r="C6362" s="1000"/>
      <c r="G6362" s="983" t="s">
        <v>1106</v>
      </c>
    </row>
    <row r="6363" spans="1:9" x14ac:dyDescent="0.2">
      <c r="A6363" s="997">
        <f t="shared" si="99"/>
        <v>6362</v>
      </c>
      <c r="B6363" s="983" t="s">
        <v>2732</v>
      </c>
      <c r="C6363" s="1001"/>
      <c r="H6363" s="983" t="s">
        <v>1107</v>
      </c>
    </row>
    <row r="6364" spans="1:9" x14ac:dyDescent="0.2">
      <c r="A6364" s="997">
        <f t="shared" si="99"/>
        <v>6363</v>
      </c>
      <c r="B6364" s="983" t="s">
        <v>2732</v>
      </c>
      <c r="C6364" s="1000"/>
      <c r="I6364" s="983" t="s">
        <v>2077</v>
      </c>
    </row>
    <row r="6365" spans="1:9" x14ac:dyDescent="0.2">
      <c r="A6365" s="997">
        <f t="shared" si="99"/>
        <v>6364</v>
      </c>
      <c r="B6365" s="983" t="s">
        <v>2732</v>
      </c>
      <c r="C6365" s="1000"/>
      <c r="H6365" s="983" t="s">
        <v>1108</v>
      </c>
    </row>
    <row r="6366" spans="1:9" x14ac:dyDescent="0.2">
      <c r="A6366" s="997">
        <f t="shared" si="99"/>
        <v>6365</v>
      </c>
      <c r="B6366" s="983" t="s">
        <v>2732</v>
      </c>
      <c r="C6366" s="999"/>
      <c r="H6366" s="983" t="str">
        <f>CONCATENATE("&lt;valeur&gt;",Cellule_1626,"&lt;/valeur&gt;")</f>
        <v>&lt;valeur&gt;0&lt;/valeur&gt;</v>
      </c>
    </row>
    <row r="6367" spans="1:9" x14ac:dyDescent="0.2">
      <c r="A6367" s="997">
        <f t="shared" si="99"/>
        <v>6366</v>
      </c>
      <c r="B6367" s="983" t="s">
        <v>2732</v>
      </c>
      <c r="C6367" s="999"/>
      <c r="G6367" s="983" t="s">
        <v>1109</v>
      </c>
    </row>
    <row r="6368" spans="1:9" x14ac:dyDescent="0.2">
      <c r="A6368" s="997">
        <f t="shared" si="99"/>
        <v>6367</v>
      </c>
      <c r="B6368" s="983" t="s">
        <v>2732</v>
      </c>
      <c r="C6368" s="1000"/>
      <c r="G6368" s="983" t="s">
        <v>1106</v>
      </c>
    </row>
    <row r="6369" spans="1:9" x14ac:dyDescent="0.2">
      <c r="A6369" s="997">
        <f t="shared" si="99"/>
        <v>6368</v>
      </c>
      <c r="B6369" s="983" t="s">
        <v>2732</v>
      </c>
      <c r="C6369" s="1001"/>
      <c r="H6369" s="983" t="s">
        <v>1107</v>
      </c>
    </row>
    <row r="6370" spans="1:9" x14ac:dyDescent="0.2">
      <c r="A6370" s="997">
        <f t="shared" si="99"/>
        <v>6369</v>
      </c>
      <c r="B6370" s="983" t="s">
        <v>2732</v>
      </c>
      <c r="C6370" s="1000"/>
      <c r="I6370" s="983" t="s">
        <v>2078</v>
      </c>
    </row>
    <row r="6371" spans="1:9" x14ac:dyDescent="0.2">
      <c r="A6371" s="997">
        <f t="shared" si="99"/>
        <v>6370</v>
      </c>
      <c r="B6371" s="983" t="s">
        <v>2732</v>
      </c>
      <c r="C6371" s="1000"/>
      <c r="H6371" s="983" t="s">
        <v>1108</v>
      </c>
    </row>
    <row r="6372" spans="1:9" x14ac:dyDescent="0.2">
      <c r="A6372" s="997">
        <f t="shared" si="99"/>
        <v>6371</v>
      </c>
      <c r="B6372" s="983" t="s">
        <v>2732</v>
      </c>
      <c r="C6372" s="999"/>
      <c r="H6372" s="983" t="str">
        <f>CONCATENATE("&lt;valeur&gt;",Cellule_1627,"&lt;/valeur&gt;")</f>
        <v>&lt;valeur&gt;0&lt;/valeur&gt;</v>
      </c>
    </row>
    <row r="6373" spans="1:9" x14ac:dyDescent="0.2">
      <c r="A6373" s="997">
        <f t="shared" si="99"/>
        <v>6372</v>
      </c>
      <c r="B6373" s="983" t="s">
        <v>2732</v>
      </c>
      <c r="C6373" s="999"/>
      <c r="G6373" s="983" t="s">
        <v>1109</v>
      </c>
    </row>
    <row r="6374" spans="1:9" x14ac:dyDescent="0.2">
      <c r="A6374" s="997">
        <f t="shared" si="99"/>
        <v>6373</v>
      </c>
      <c r="B6374" s="983" t="s">
        <v>2732</v>
      </c>
      <c r="C6374" s="1000"/>
      <c r="G6374" s="983" t="s">
        <v>1106</v>
      </c>
    </row>
    <row r="6375" spans="1:9" x14ac:dyDescent="0.2">
      <c r="A6375" s="997">
        <f t="shared" si="99"/>
        <v>6374</v>
      </c>
      <c r="B6375" s="983" t="s">
        <v>2732</v>
      </c>
      <c r="C6375" s="1001"/>
      <c r="H6375" s="983" t="s">
        <v>1107</v>
      </c>
    </row>
    <row r="6376" spans="1:9" x14ac:dyDescent="0.2">
      <c r="A6376" s="997">
        <f t="shared" si="99"/>
        <v>6375</v>
      </c>
      <c r="B6376" s="983" t="s">
        <v>2732</v>
      </c>
      <c r="C6376" s="1000"/>
      <c r="I6376" s="983" t="s">
        <v>2079</v>
      </c>
    </row>
    <row r="6377" spans="1:9" x14ac:dyDescent="0.2">
      <c r="A6377" s="997">
        <f t="shared" si="99"/>
        <v>6376</v>
      </c>
      <c r="B6377" s="983" t="s">
        <v>2732</v>
      </c>
      <c r="C6377" s="1000"/>
      <c r="H6377" s="983" t="s">
        <v>1108</v>
      </c>
    </row>
    <row r="6378" spans="1:9" x14ac:dyDescent="0.2">
      <c r="A6378" s="997">
        <f t="shared" si="99"/>
        <v>6377</v>
      </c>
      <c r="B6378" s="983" t="s">
        <v>2732</v>
      </c>
      <c r="C6378" s="999"/>
      <c r="H6378" s="983" t="str">
        <f>CONCATENATE("&lt;valeur&gt;",Cellule_1628,"&lt;/valeur&gt;")</f>
        <v>&lt;valeur&gt;0&lt;/valeur&gt;</v>
      </c>
    </row>
    <row r="6379" spans="1:9" x14ac:dyDescent="0.2">
      <c r="A6379" s="997">
        <f t="shared" si="99"/>
        <v>6378</v>
      </c>
      <c r="B6379" s="983" t="s">
        <v>2732</v>
      </c>
      <c r="C6379" s="999"/>
      <c r="G6379" s="983" t="s">
        <v>1109</v>
      </c>
    </row>
    <row r="6380" spans="1:9" x14ac:dyDescent="0.2">
      <c r="A6380" s="997">
        <f t="shared" si="99"/>
        <v>6379</v>
      </c>
      <c r="B6380" s="983" t="s">
        <v>2732</v>
      </c>
      <c r="C6380" s="1000"/>
      <c r="G6380" s="983" t="s">
        <v>1106</v>
      </c>
    </row>
    <row r="6381" spans="1:9" x14ac:dyDescent="0.2">
      <c r="A6381" s="997">
        <f t="shared" si="99"/>
        <v>6380</v>
      </c>
      <c r="B6381" s="983" t="s">
        <v>2732</v>
      </c>
      <c r="C6381" s="1001"/>
      <c r="H6381" s="983" t="s">
        <v>1107</v>
      </c>
    </row>
    <row r="6382" spans="1:9" x14ac:dyDescent="0.2">
      <c r="A6382" s="997">
        <f t="shared" si="99"/>
        <v>6381</v>
      </c>
      <c r="B6382" s="983" t="s">
        <v>2732</v>
      </c>
      <c r="C6382" s="1000"/>
      <c r="I6382" s="983" t="s">
        <v>2080</v>
      </c>
    </row>
    <row r="6383" spans="1:9" x14ac:dyDescent="0.2">
      <c r="A6383" s="997">
        <f t="shared" si="99"/>
        <v>6382</v>
      </c>
      <c r="B6383" s="983" t="s">
        <v>2732</v>
      </c>
      <c r="C6383" s="1000"/>
      <c r="H6383" s="983" t="s">
        <v>1108</v>
      </c>
    </row>
    <row r="6384" spans="1:9" x14ac:dyDescent="0.2">
      <c r="A6384" s="997">
        <f t="shared" si="99"/>
        <v>6383</v>
      </c>
      <c r="B6384" s="983" t="s">
        <v>2732</v>
      </c>
      <c r="C6384" s="1000"/>
      <c r="H6384" s="983" t="str">
        <f>CONCATENATE("&lt;valeur&gt;",Cellule_1629,"&lt;/valeur&gt;")</f>
        <v>&lt;valeur&gt;0&lt;/valeur&gt;</v>
      </c>
    </row>
    <row r="6385" spans="1:9" x14ac:dyDescent="0.2">
      <c r="A6385" s="997">
        <f t="shared" si="99"/>
        <v>6384</v>
      </c>
      <c r="B6385" s="983" t="s">
        <v>2732</v>
      </c>
      <c r="C6385" s="999"/>
      <c r="G6385" s="983" t="s">
        <v>1109</v>
      </c>
    </row>
    <row r="6386" spans="1:9" x14ac:dyDescent="0.2">
      <c r="A6386" s="997">
        <f t="shared" si="99"/>
        <v>6385</v>
      </c>
      <c r="B6386" s="983" t="s">
        <v>2732</v>
      </c>
      <c r="C6386" s="999"/>
      <c r="G6386" s="983" t="s">
        <v>1106</v>
      </c>
    </row>
    <row r="6387" spans="1:9" x14ac:dyDescent="0.2">
      <c r="A6387" s="997">
        <f t="shared" si="99"/>
        <v>6386</v>
      </c>
      <c r="B6387" s="983" t="s">
        <v>2732</v>
      </c>
      <c r="C6387" s="1000"/>
      <c r="H6387" s="983" t="s">
        <v>1107</v>
      </c>
    </row>
    <row r="6388" spans="1:9" x14ac:dyDescent="0.2">
      <c r="A6388" s="997">
        <f t="shared" si="99"/>
        <v>6387</v>
      </c>
      <c r="B6388" s="983" t="s">
        <v>2732</v>
      </c>
      <c r="C6388" s="1001"/>
      <c r="I6388" s="983" t="s">
        <v>2081</v>
      </c>
    </row>
    <row r="6389" spans="1:9" x14ac:dyDescent="0.2">
      <c r="A6389" s="997">
        <f t="shared" si="99"/>
        <v>6388</v>
      </c>
      <c r="B6389" s="983" t="s">
        <v>2732</v>
      </c>
      <c r="C6389" s="1000"/>
      <c r="H6389" s="983" t="s">
        <v>1108</v>
      </c>
    </row>
    <row r="6390" spans="1:9" x14ac:dyDescent="0.2">
      <c r="A6390" s="997">
        <f t="shared" si="99"/>
        <v>6389</v>
      </c>
      <c r="B6390" s="983" t="s">
        <v>2732</v>
      </c>
      <c r="C6390" s="1000"/>
      <c r="H6390" s="983" t="str">
        <f>CONCATENATE("&lt;valeur&gt;",Cellule_1630,"&lt;/valeur&gt;")</f>
        <v>&lt;valeur&gt;0&lt;/valeur&gt;</v>
      </c>
    </row>
    <row r="6391" spans="1:9" x14ac:dyDescent="0.2">
      <c r="A6391" s="997">
        <f t="shared" si="99"/>
        <v>6390</v>
      </c>
      <c r="B6391" s="983" t="s">
        <v>2732</v>
      </c>
      <c r="C6391" s="1000"/>
      <c r="G6391" s="983" t="s">
        <v>1109</v>
      </c>
    </row>
    <row r="6392" spans="1:9" x14ac:dyDescent="0.2">
      <c r="A6392" s="997">
        <f t="shared" si="99"/>
        <v>6391</v>
      </c>
      <c r="B6392" s="983" t="s">
        <v>2732</v>
      </c>
      <c r="C6392" s="999"/>
      <c r="G6392" s="983" t="s">
        <v>1106</v>
      </c>
    </row>
    <row r="6393" spans="1:9" x14ac:dyDescent="0.2">
      <c r="A6393" s="997">
        <f t="shared" si="99"/>
        <v>6392</v>
      </c>
      <c r="B6393" s="983" t="s">
        <v>2732</v>
      </c>
      <c r="C6393" s="999"/>
      <c r="H6393" s="983" t="s">
        <v>1107</v>
      </c>
    </row>
    <row r="6394" spans="1:9" x14ac:dyDescent="0.2">
      <c r="A6394" s="997">
        <f t="shared" si="99"/>
        <v>6393</v>
      </c>
      <c r="B6394" s="983" t="s">
        <v>2732</v>
      </c>
      <c r="C6394" s="1000"/>
      <c r="I6394" s="983" t="s">
        <v>2082</v>
      </c>
    </row>
    <row r="6395" spans="1:9" x14ac:dyDescent="0.2">
      <c r="A6395" s="997">
        <f t="shared" si="99"/>
        <v>6394</v>
      </c>
      <c r="B6395" s="983" t="s">
        <v>2732</v>
      </c>
      <c r="C6395" s="1001"/>
      <c r="H6395" s="983" t="s">
        <v>1108</v>
      </c>
    </row>
    <row r="6396" spans="1:9" x14ac:dyDescent="0.2">
      <c r="A6396" s="997">
        <f t="shared" si="99"/>
        <v>6395</v>
      </c>
      <c r="B6396" s="983" t="s">
        <v>2732</v>
      </c>
      <c r="C6396" s="1000"/>
      <c r="H6396" s="983" t="str">
        <f>CONCATENATE("&lt;valeur&gt;",Cellule_1631,"&lt;/valeur&gt;")</f>
        <v>&lt;valeur&gt;0&lt;/valeur&gt;</v>
      </c>
    </row>
    <row r="6397" spans="1:9" x14ac:dyDescent="0.2">
      <c r="A6397" s="997">
        <f t="shared" si="99"/>
        <v>6396</v>
      </c>
      <c r="B6397" s="983" t="s">
        <v>2732</v>
      </c>
      <c r="C6397" s="1000"/>
      <c r="G6397" s="983" t="s">
        <v>1109</v>
      </c>
    </row>
    <row r="6398" spans="1:9" x14ac:dyDescent="0.2">
      <c r="A6398" s="997">
        <f t="shared" si="99"/>
        <v>6397</v>
      </c>
      <c r="B6398" s="983" t="s">
        <v>2732</v>
      </c>
      <c r="C6398" s="1000"/>
      <c r="G6398" s="983" t="s">
        <v>1106</v>
      </c>
    </row>
    <row r="6399" spans="1:9" x14ac:dyDescent="0.2">
      <c r="A6399" s="997">
        <f t="shared" si="99"/>
        <v>6398</v>
      </c>
      <c r="B6399" s="983" t="s">
        <v>2732</v>
      </c>
      <c r="C6399" s="999"/>
      <c r="H6399" s="983" t="s">
        <v>1107</v>
      </c>
    </row>
    <row r="6400" spans="1:9" x14ac:dyDescent="0.2">
      <c r="A6400" s="997">
        <f t="shared" si="99"/>
        <v>6399</v>
      </c>
      <c r="B6400" s="983" t="s">
        <v>2732</v>
      </c>
      <c r="C6400" s="999"/>
      <c r="I6400" s="983" t="s">
        <v>2083</v>
      </c>
    </row>
    <row r="6401" spans="1:9" x14ac:dyDescent="0.2">
      <c r="A6401" s="997">
        <f t="shared" si="99"/>
        <v>6400</v>
      </c>
      <c r="B6401" s="983" t="s">
        <v>2732</v>
      </c>
      <c r="C6401" s="1000"/>
      <c r="H6401" s="983" t="s">
        <v>1108</v>
      </c>
    </row>
    <row r="6402" spans="1:9" x14ac:dyDescent="0.2">
      <c r="A6402" s="997">
        <f t="shared" si="99"/>
        <v>6401</v>
      </c>
      <c r="B6402" s="983" t="s">
        <v>2732</v>
      </c>
      <c r="C6402" s="1001"/>
      <c r="H6402" s="983" t="str">
        <f>CONCATENATE("&lt;valeur&gt;",Cellule_1632,"&lt;/valeur&gt;")</f>
        <v>&lt;valeur&gt;0&lt;/valeur&gt;</v>
      </c>
    </row>
    <row r="6403" spans="1:9" x14ac:dyDescent="0.2">
      <c r="A6403" s="997">
        <f t="shared" si="99"/>
        <v>6402</v>
      </c>
      <c r="B6403" s="983" t="s">
        <v>2732</v>
      </c>
      <c r="C6403" s="1000"/>
      <c r="G6403" s="983" t="s">
        <v>1109</v>
      </c>
    </row>
    <row r="6404" spans="1:9" x14ac:dyDescent="0.2">
      <c r="A6404" s="997">
        <f t="shared" ref="A6404:A6467" si="100">+A6403+1</f>
        <v>6403</v>
      </c>
      <c r="B6404" s="983" t="s">
        <v>2732</v>
      </c>
      <c r="C6404" s="1000"/>
      <c r="G6404" s="983" t="s">
        <v>1106</v>
      </c>
    </row>
    <row r="6405" spans="1:9" x14ac:dyDescent="0.2">
      <c r="A6405" s="997">
        <f t="shared" si="100"/>
        <v>6404</v>
      </c>
      <c r="B6405" s="983" t="s">
        <v>2732</v>
      </c>
      <c r="C6405" s="1000"/>
      <c r="H6405" s="983" t="s">
        <v>1107</v>
      </c>
    </row>
    <row r="6406" spans="1:9" x14ac:dyDescent="0.2">
      <c r="A6406" s="997">
        <f t="shared" si="100"/>
        <v>6405</v>
      </c>
      <c r="B6406" s="983" t="s">
        <v>2732</v>
      </c>
      <c r="C6406" s="999"/>
      <c r="I6406" s="983" t="s">
        <v>2084</v>
      </c>
    </row>
    <row r="6407" spans="1:9" x14ac:dyDescent="0.2">
      <c r="A6407" s="997">
        <f t="shared" si="100"/>
        <v>6406</v>
      </c>
      <c r="B6407" s="983" t="s">
        <v>2732</v>
      </c>
      <c r="C6407" s="999"/>
      <c r="H6407" s="983" t="s">
        <v>1108</v>
      </c>
    </row>
    <row r="6408" spans="1:9" x14ac:dyDescent="0.2">
      <c r="A6408" s="997">
        <f t="shared" si="100"/>
        <v>6407</v>
      </c>
      <c r="B6408" s="983" t="s">
        <v>2732</v>
      </c>
      <c r="C6408" s="1000"/>
      <c r="H6408" s="983" t="str">
        <f>CONCATENATE("&lt;valeur&gt;",Cellule_1633,"&lt;/valeur&gt;")</f>
        <v>&lt;valeur&gt;0&lt;/valeur&gt;</v>
      </c>
    </row>
    <row r="6409" spans="1:9" x14ac:dyDescent="0.2">
      <c r="A6409" s="997">
        <f t="shared" si="100"/>
        <v>6408</v>
      </c>
      <c r="B6409" s="983" t="s">
        <v>2732</v>
      </c>
      <c r="C6409" s="1001"/>
      <c r="G6409" s="983" t="s">
        <v>1109</v>
      </c>
    </row>
    <row r="6410" spans="1:9" x14ac:dyDescent="0.2">
      <c r="A6410" s="997">
        <f t="shared" si="100"/>
        <v>6409</v>
      </c>
      <c r="B6410" s="983" t="s">
        <v>2732</v>
      </c>
      <c r="C6410" s="1000"/>
      <c r="G6410" s="983" t="s">
        <v>1106</v>
      </c>
    </row>
    <row r="6411" spans="1:9" x14ac:dyDescent="0.2">
      <c r="A6411" s="997">
        <f t="shared" si="100"/>
        <v>6410</v>
      </c>
      <c r="B6411" s="983" t="s">
        <v>2732</v>
      </c>
      <c r="C6411" s="1000"/>
      <c r="H6411" s="983" t="s">
        <v>1107</v>
      </c>
    </row>
    <row r="6412" spans="1:9" x14ac:dyDescent="0.2">
      <c r="A6412" s="997">
        <f t="shared" si="100"/>
        <v>6411</v>
      </c>
      <c r="B6412" s="983" t="s">
        <v>2732</v>
      </c>
      <c r="C6412" s="999"/>
      <c r="I6412" s="983" t="s">
        <v>2085</v>
      </c>
    </row>
    <row r="6413" spans="1:9" x14ac:dyDescent="0.2">
      <c r="A6413" s="997">
        <f t="shared" si="100"/>
        <v>6412</v>
      </c>
      <c r="B6413" s="983" t="s">
        <v>2732</v>
      </c>
      <c r="C6413" s="999"/>
      <c r="H6413" s="983" t="s">
        <v>1108</v>
      </c>
    </row>
    <row r="6414" spans="1:9" x14ac:dyDescent="0.2">
      <c r="A6414" s="997">
        <f t="shared" si="100"/>
        <v>6413</v>
      </c>
      <c r="B6414" s="983" t="s">
        <v>2732</v>
      </c>
      <c r="C6414" s="1000"/>
      <c r="H6414" s="983" t="str">
        <f>CONCATENATE("&lt;valeur&gt;",Cellule_1650,"&lt;/valeur&gt;")</f>
        <v>&lt;valeur&gt;0&lt;/valeur&gt;</v>
      </c>
    </row>
    <row r="6415" spans="1:9" x14ac:dyDescent="0.2">
      <c r="A6415" s="997">
        <f t="shared" si="100"/>
        <v>6414</v>
      </c>
      <c r="B6415" s="983" t="s">
        <v>2732</v>
      </c>
      <c r="C6415" s="1001"/>
      <c r="G6415" s="983" t="s">
        <v>1109</v>
      </c>
    </row>
    <row r="6416" spans="1:9" x14ac:dyDescent="0.2">
      <c r="A6416" s="997">
        <f t="shared" si="100"/>
        <v>6415</v>
      </c>
      <c r="B6416" s="983" t="s">
        <v>2732</v>
      </c>
      <c r="C6416" s="1000"/>
      <c r="G6416" s="983" t="s">
        <v>1106</v>
      </c>
    </row>
    <row r="6417" spans="1:9" x14ac:dyDescent="0.2">
      <c r="A6417" s="997">
        <f t="shared" si="100"/>
        <v>6416</v>
      </c>
      <c r="B6417" s="983" t="s">
        <v>2732</v>
      </c>
      <c r="C6417" s="1000"/>
      <c r="H6417" s="983" t="s">
        <v>1107</v>
      </c>
    </row>
    <row r="6418" spans="1:9" x14ac:dyDescent="0.2">
      <c r="A6418" s="997">
        <f t="shared" si="100"/>
        <v>6417</v>
      </c>
      <c r="B6418" s="983" t="s">
        <v>2732</v>
      </c>
      <c r="C6418" s="999"/>
      <c r="I6418" s="983" t="s">
        <v>2086</v>
      </c>
    </row>
    <row r="6419" spans="1:9" x14ac:dyDescent="0.2">
      <c r="A6419" s="997">
        <f t="shared" si="100"/>
        <v>6418</v>
      </c>
      <c r="B6419" s="983" t="s">
        <v>2732</v>
      </c>
      <c r="C6419" s="999"/>
      <c r="H6419" s="983" t="s">
        <v>1108</v>
      </c>
    </row>
    <row r="6420" spans="1:9" x14ac:dyDescent="0.2">
      <c r="A6420" s="997">
        <f t="shared" si="100"/>
        <v>6419</v>
      </c>
      <c r="B6420" s="983" t="s">
        <v>2732</v>
      </c>
      <c r="C6420" s="1000"/>
      <c r="H6420" s="983" t="str">
        <f>CONCATENATE("&lt;valeur&gt;",Cellule_1651,"&lt;/valeur&gt;")</f>
        <v>&lt;valeur&gt;0&lt;/valeur&gt;</v>
      </c>
    </row>
    <row r="6421" spans="1:9" x14ac:dyDescent="0.2">
      <c r="A6421" s="997">
        <f t="shared" si="100"/>
        <v>6420</v>
      </c>
      <c r="B6421" s="983" t="s">
        <v>2732</v>
      </c>
      <c r="C6421" s="1001"/>
      <c r="G6421" s="983" t="s">
        <v>1109</v>
      </c>
    </row>
    <row r="6422" spans="1:9" x14ac:dyDescent="0.2">
      <c r="A6422" s="997">
        <f t="shared" si="100"/>
        <v>6421</v>
      </c>
      <c r="B6422" s="983" t="s">
        <v>2732</v>
      </c>
      <c r="C6422" s="1000"/>
      <c r="G6422" s="983" t="s">
        <v>1106</v>
      </c>
    </row>
    <row r="6423" spans="1:9" x14ac:dyDescent="0.2">
      <c r="A6423" s="997">
        <f t="shared" si="100"/>
        <v>6422</v>
      </c>
      <c r="B6423" s="983" t="s">
        <v>2732</v>
      </c>
      <c r="C6423" s="1000"/>
      <c r="H6423" s="983" t="s">
        <v>1107</v>
      </c>
    </row>
    <row r="6424" spans="1:9" x14ac:dyDescent="0.2">
      <c r="A6424" s="997">
        <f t="shared" si="100"/>
        <v>6423</v>
      </c>
      <c r="B6424" s="983" t="s">
        <v>2732</v>
      </c>
      <c r="C6424" s="999"/>
      <c r="I6424" s="983" t="s">
        <v>2087</v>
      </c>
    </row>
    <row r="6425" spans="1:9" x14ac:dyDescent="0.2">
      <c r="A6425" s="997">
        <f t="shared" si="100"/>
        <v>6424</v>
      </c>
      <c r="B6425" s="983" t="s">
        <v>2732</v>
      </c>
      <c r="C6425" s="999"/>
      <c r="H6425" s="983" t="s">
        <v>1108</v>
      </c>
    </row>
    <row r="6426" spans="1:9" x14ac:dyDescent="0.2">
      <c r="A6426" s="997">
        <f t="shared" si="100"/>
        <v>6425</v>
      </c>
      <c r="B6426" s="983" t="s">
        <v>2732</v>
      </c>
      <c r="C6426" s="1000"/>
      <c r="H6426" s="983" t="str">
        <f>CONCATENATE("&lt;valeur&gt;",Cellule_1652,"&lt;/valeur&gt;")</f>
        <v>&lt;valeur&gt;0&lt;/valeur&gt;</v>
      </c>
    </row>
    <row r="6427" spans="1:9" x14ac:dyDescent="0.2">
      <c r="A6427" s="997">
        <f t="shared" si="100"/>
        <v>6426</v>
      </c>
      <c r="B6427" s="983" t="s">
        <v>2732</v>
      </c>
      <c r="C6427" s="1001"/>
      <c r="G6427" s="983" t="s">
        <v>1109</v>
      </c>
    </row>
    <row r="6428" spans="1:9" x14ac:dyDescent="0.2">
      <c r="A6428" s="997">
        <f t="shared" si="100"/>
        <v>6427</v>
      </c>
      <c r="B6428" s="983" t="s">
        <v>2732</v>
      </c>
      <c r="C6428" s="1000"/>
      <c r="G6428" s="983" t="s">
        <v>1106</v>
      </c>
    </row>
    <row r="6429" spans="1:9" x14ac:dyDescent="0.2">
      <c r="A6429" s="997">
        <f t="shared" si="100"/>
        <v>6428</v>
      </c>
      <c r="B6429" s="983" t="s">
        <v>2732</v>
      </c>
      <c r="C6429" s="1000"/>
      <c r="H6429" s="983" t="s">
        <v>1107</v>
      </c>
    </row>
    <row r="6430" spans="1:9" x14ac:dyDescent="0.2">
      <c r="A6430" s="997">
        <f t="shared" si="100"/>
        <v>6429</v>
      </c>
      <c r="B6430" s="983" t="s">
        <v>2732</v>
      </c>
      <c r="C6430" s="999"/>
      <c r="I6430" s="983" t="s">
        <v>2088</v>
      </c>
    </row>
    <row r="6431" spans="1:9" x14ac:dyDescent="0.2">
      <c r="A6431" s="997">
        <f t="shared" si="100"/>
        <v>6430</v>
      </c>
      <c r="B6431" s="983" t="s">
        <v>2732</v>
      </c>
      <c r="C6431" s="999"/>
      <c r="H6431" s="983" t="s">
        <v>1108</v>
      </c>
    </row>
    <row r="6432" spans="1:9" x14ac:dyDescent="0.2">
      <c r="A6432" s="997">
        <f t="shared" si="100"/>
        <v>6431</v>
      </c>
      <c r="B6432" s="983" t="s">
        <v>2732</v>
      </c>
      <c r="C6432" s="1000"/>
      <c r="H6432" s="983" t="str">
        <f>CONCATENATE("&lt;valeur&gt;",Cellule_1653,"&lt;/valeur&gt;")</f>
        <v>&lt;valeur&gt;0&lt;/valeur&gt;</v>
      </c>
    </row>
    <row r="6433" spans="1:9" x14ac:dyDescent="0.2">
      <c r="A6433" s="997">
        <f t="shared" si="100"/>
        <v>6432</v>
      </c>
      <c r="B6433" s="983" t="s">
        <v>2732</v>
      </c>
      <c r="C6433" s="1001"/>
      <c r="G6433" s="983" t="s">
        <v>1109</v>
      </c>
    </row>
    <row r="6434" spans="1:9" x14ac:dyDescent="0.2">
      <c r="A6434" s="997">
        <f t="shared" si="100"/>
        <v>6433</v>
      </c>
      <c r="B6434" s="983" t="s">
        <v>2732</v>
      </c>
      <c r="C6434" s="1000"/>
      <c r="G6434" s="983" t="s">
        <v>1106</v>
      </c>
    </row>
    <row r="6435" spans="1:9" x14ac:dyDescent="0.2">
      <c r="A6435" s="997">
        <f t="shared" si="100"/>
        <v>6434</v>
      </c>
      <c r="B6435" s="983" t="s">
        <v>2732</v>
      </c>
      <c r="C6435" s="1000"/>
      <c r="H6435" s="983" t="s">
        <v>1107</v>
      </c>
    </row>
    <row r="6436" spans="1:9" x14ac:dyDescent="0.2">
      <c r="A6436" s="997">
        <f t="shared" si="100"/>
        <v>6435</v>
      </c>
      <c r="B6436" s="983" t="s">
        <v>2732</v>
      </c>
      <c r="C6436" s="999"/>
      <c r="I6436" s="983" t="s">
        <v>2089</v>
      </c>
    </row>
    <row r="6437" spans="1:9" x14ac:dyDescent="0.2">
      <c r="A6437" s="997">
        <f t="shared" si="100"/>
        <v>6436</v>
      </c>
      <c r="B6437" s="983" t="s">
        <v>2732</v>
      </c>
      <c r="C6437" s="999"/>
      <c r="H6437" s="983" t="s">
        <v>1108</v>
      </c>
    </row>
    <row r="6438" spans="1:9" x14ac:dyDescent="0.2">
      <c r="A6438" s="997">
        <f t="shared" si="100"/>
        <v>6437</v>
      </c>
      <c r="B6438" s="983" t="s">
        <v>2732</v>
      </c>
      <c r="C6438" s="1000"/>
      <c r="H6438" s="983" t="str">
        <f>CONCATENATE("&lt;valeur&gt;",Cellule_1654,"&lt;/valeur&gt;")</f>
        <v>&lt;valeur&gt;0&lt;/valeur&gt;</v>
      </c>
    </row>
    <row r="6439" spans="1:9" x14ac:dyDescent="0.2">
      <c r="A6439" s="997">
        <f t="shared" si="100"/>
        <v>6438</v>
      </c>
      <c r="B6439" s="983" t="s">
        <v>2732</v>
      </c>
      <c r="C6439" s="1001"/>
      <c r="G6439" s="983" t="s">
        <v>1109</v>
      </c>
    </row>
    <row r="6440" spans="1:9" x14ac:dyDescent="0.2">
      <c r="A6440" s="997">
        <f t="shared" si="100"/>
        <v>6439</v>
      </c>
      <c r="B6440" s="983" t="s">
        <v>2732</v>
      </c>
      <c r="C6440" s="1000"/>
      <c r="G6440" s="983" t="s">
        <v>1106</v>
      </c>
    </row>
    <row r="6441" spans="1:9" x14ac:dyDescent="0.2">
      <c r="A6441" s="997">
        <f t="shared" si="100"/>
        <v>6440</v>
      </c>
      <c r="B6441" s="983" t="s">
        <v>2732</v>
      </c>
      <c r="C6441" s="1000"/>
      <c r="H6441" s="983" t="s">
        <v>1107</v>
      </c>
    </row>
    <row r="6442" spans="1:9" x14ac:dyDescent="0.2">
      <c r="A6442" s="997">
        <f t="shared" si="100"/>
        <v>6441</v>
      </c>
      <c r="B6442" s="983" t="s">
        <v>2732</v>
      </c>
      <c r="C6442" s="999"/>
      <c r="I6442" s="983" t="s">
        <v>2090</v>
      </c>
    </row>
    <row r="6443" spans="1:9" x14ac:dyDescent="0.2">
      <c r="A6443" s="997">
        <f t="shared" si="100"/>
        <v>6442</v>
      </c>
      <c r="B6443" s="983" t="s">
        <v>2732</v>
      </c>
      <c r="C6443" s="999"/>
      <c r="H6443" s="983" t="s">
        <v>1108</v>
      </c>
    </row>
    <row r="6444" spans="1:9" x14ac:dyDescent="0.2">
      <c r="A6444" s="997">
        <f t="shared" si="100"/>
        <v>6443</v>
      </c>
      <c r="B6444" s="983" t="s">
        <v>2732</v>
      </c>
      <c r="C6444" s="1000"/>
      <c r="H6444" s="983" t="str">
        <f>CONCATENATE("&lt;valeur&gt;",Cellule_1679,"&lt;/valeur&gt;")</f>
        <v>&lt;valeur&gt;0&lt;/valeur&gt;</v>
      </c>
    </row>
    <row r="6445" spans="1:9" x14ac:dyDescent="0.2">
      <c r="A6445" s="997">
        <f t="shared" si="100"/>
        <v>6444</v>
      </c>
      <c r="B6445" s="983" t="s">
        <v>2732</v>
      </c>
      <c r="C6445" s="1001"/>
      <c r="G6445" s="983" t="s">
        <v>1109</v>
      </c>
    </row>
    <row r="6446" spans="1:9" x14ac:dyDescent="0.2">
      <c r="A6446" s="997">
        <f t="shared" si="100"/>
        <v>6445</v>
      </c>
      <c r="B6446" s="983" t="s">
        <v>2732</v>
      </c>
      <c r="C6446" s="1000"/>
      <c r="G6446" s="983" t="s">
        <v>1106</v>
      </c>
    </row>
    <row r="6447" spans="1:9" x14ac:dyDescent="0.2">
      <c r="A6447" s="997">
        <f t="shared" si="100"/>
        <v>6446</v>
      </c>
      <c r="B6447" s="983" t="s">
        <v>2732</v>
      </c>
      <c r="C6447" s="1000"/>
      <c r="H6447" s="983" t="s">
        <v>1107</v>
      </c>
    </row>
    <row r="6448" spans="1:9" x14ac:dyDescent="0.2">
      <c r="A6448" s="997">
        <f t="shared" si="100"/>
        <v>6447</v>
      </c>
      <c r="B6448" s="983" t="s">
        <v>2732</v>
      </c>
      <c r="C6448" s="999"/>
      <c r="I6448" s="983" t="s">
        <v>2091</v>
      </c>
    </row>
    <row r="6449" spans="1:9" x14ac:dyDescent="0.2">
      <c r="A6449" s="997">
        <f t="shared" si="100"/>
        <v>6448</v>
      </c>
      <c r="B6449" s="983" t="s">
        <v>2732</v>
      </c>
      <c r="C6449" s="999"/>
      <c r="H6449" s="983" t="s">
        <v>1108</v>
      </c>
    </row>
    <row r="6450" spans="1:9" x14ac:dyDescent="0.2">
      <c r="A6450" s="997">
        <f t="shared" si="100"/>
        <v>6449</v>
      </c>
      <c r="B6450" s="983" t="s">
        <v>2732</v>
      </c>
      <c r="C6450" s="1000"/>
      <c r="H6450" s="983" t="str">
        <f>CONCATENATE("&lt;valeur&gt;",Cellule_1680,"&lt;/valeur&gt;")</f>
        <v>&lt;valeur&gt;0&lt;/valeur&gt;</v>
      </c>
    </row>
    <row r="6451" spans="1:9" x14ac:dyDescent="0.2">
      <c r="A6451" s="997">
        <f t="shared" si="100"/>
        <v>6450</v>
      </c>
      <c r="B6451" s="983" t="s">
        <v>2732</v>
      </c>
      <c r="C6451" s="1001"/>
      <c r="G6451" s="983" t="s">
        <v>1109</v>
      </c>
    </row>
    <row r="6452" spans="1:9" x14ac:dyDescent="0.2">
      <c r="A6452" s="997">
        <f t="shared" si="100"/>
        <v>6451</v>
      </c>
      <c r="B6452" s="983" t="s">
        <v>2732</v>
      </c>
      <c r="C6452" s="1000"/>
      <c r="G6452" s="983" t="s">
        <v>1106</v>
      </c>
    </row>
    <row r="6453" spans="1:9" x14ac:dyDescent="0.2">
      <c r="A6453" s="997">
        <f t="shared" si="100"/>
        <v>6452</v>
      </c>
      <c r="B6453" s="983" t="s">
        <v>2732</v>
      </c>
      <c r="C6453" s="1000"/>
      <c r="H6453" s="983" t="s">
        <v>1107</v>
      </c>
    </row>
    <row r="6454" spans="1:9" x14ac:dyDescent="0.2">
      <c r="A6454" s="997">
        <f t="shared" si="100"/>
        <v>6453</v>
      </c>
      <c r="B6454" s="983" t="s">
        <v>2732</v>
      </c>
      <c r="C6454" s="999"/>
      <c r="I6454" s="983" t="s">
        <v>2092</v>
      </c>
    </row>
    <row r="6455" spans="1:9" x14ac:dyDescent="0.2">
      <c r="A6455" s="997">
        <f t="shared" si="100"/>
        <v>6454</v>
      </c>
      <c r="B6455" s="983" t="s">
        <v>2732</v>
      </c>
      <c r="C6455" s="999"/>
      <c r="H6455" s="983" t="s">
        <v>1108</v>
      </c>
    </row>
    <row r="6456" spans="1:9" x14ac:dyDescent="0.2">
      <c r="A6456" s="997">
        <f t="shared" si="100"/>
        <v>6455</v>
      </c>
      <c r="B6456" s="983" t="s">
        <v>2732</v>
      </c>
      <c r="C6456" s="1000"/>
      <c r="H6456" s="983" t="str">
        <f>CONCATENATE("&lt;valeur&gt;",Cellule_1681,"&lt;/valeur&gt;")</f>
        <v>&lt;valeur&gt;0&lt;/valeur&gt;</v>
      </c>
    </row>
    <row r="6457" spans="1:9" x14ac:dyDescent="0.2">
      <c r="A6457" s="997">
        <f t="shared" si="100"/>
        <v>6456</v>
      </c>
      <c r="B6457" s="983" t="s">
        <v>2732</v>
      </c>
      <c r="C6457" s="1001"/>
      <c r="G6457" s="983" t="s">
        <v>1109</v>
      </c>
    </row>
    <row r="6458" spans="1:9" x14ac:dyDescent="0.2">
      <c r="A6458" s="997">
        <f t="shared" si="100"/>
        <v>6457</v>
      </c>
      <c r="B6458" s="983" t="s">
        <v>2732</v>
      </c>
      <c r="C6458" s="1000"/>
      <c r="G6458" s="983" t="s">
        <v>1106</v>
      </c>
    </row>
    <row r="6459" spans="1:9" x14ac:dyDescent="0.2">
      <c r="A6459" s="997">
        <f t="shared" si="100"/>
        <v>6458</v>
      </c>
      <c r="B6459" s="983" t="s">
        <v>2732</v>
      </c>
      <c r="C6459" s="1000"/>
      <c r="H6459" s="983" t="s">
        <v>1107</v>
      </c>
    </row>
    <row r="6460" spans="1:9" x14ac:dyDescent="0.2">
      <c r="A6460" s="997">
        <f t="shared" si="100"/>
        <v>6459</v>
      </c>
      <c r="B6460" s="983" t="s">
        <v>2732</v>
      </c>
      <c r="C6460" s="999"/>
      <c r="I6460" s="983" t="s">
        <v>2093</v>
      </c>
    </row>
    <row r="6461" spans="1:9" x14ac:dyDescent="0.2">
      <c r="A6461" s="997">
        <f t="shared" si="100"/>
        <v>6460</v>
      </c>
      <c r="B6461" s="983" t="s">
        <v>2732</v>
      </c>
      <c r="C6461" s="999"/>
      <c r="H6461" s="983" t="s">
        <v>1108</v>
      </c>
    </row>
    <row r="6462" spans="1:9" x14ac:dyDescent="0.2">
      <c r="A6462" s="997">
        <f t="shared" si="100"/>
        <v>6461</v>
      </c>
      <c r="B6462" s="983" t="s">
        <v>2732</v>
      </c>
      <c r="C6462" s="1000"/>
      <c r="H6462" s="983" t="str">
        <f>CONCATENATE("&lt;valeur&gt;",Cellule_1682,"&lt;/valeur&gt;")</f>
        <v>&lt;valeur&gt;0&lt;/valeur&gt;</v>
      </c>
    </row>
    <row r="6463" spans="1:9" x14ac:dyDescent="0.2">
      <c r="A6463" s="997">
        <f t="shared" si="100"/>
        <v>6462</v>
      </c>
      <c r="B6463" s="983" t="s">
        <v>2732</v>
      </c>
      <c r="C6463" s="1001"/>
      <c r="G6463" s="983" t="s">
        <v>1109</v>
      </c>
    </row>
    <row r="6464" spans="1:9" x14ac:dyDescent="0.2">
      <c r="A6464" s="997">
        <f t="shared" si="100"/>
        <v>6463</v>
      </c>
      <c r="B6464" s="983" t="s">
        <v>2732</v>
      </c>
      <c r="C6464" s="1000"/>
      <c r="G6464" s="983" t="s">
        <v>1106</v>
      </c>
    </row>
    <row r="6465" spans="1:9" x14ac:dyDescent="0.2">
      <c r="A6465" s="997">
        <f t="shared" si="100"/>
        <v>6464</v>
      </c>
      <c r="B6465" s="983" t="s">
        <v>2732</v>
      </c>
      <c r="C6465" s="1000"/>
      <c r="H6465" s="983" t="s">
        <v>1107</v>
      </c>
    </row>
    <row r="6466" spans="1:9" x14ac:dyDescent="0.2">
      <c r="A6466" s="997">
        <f t="shared" si="100"/>
        <v>6465</v>
      </c>
      <c r="B6466" s="983" t="s">
        <v>2732</v>
      </c>
      <c r="C6466" s="999"/>
      <c r="I6466" s="983" t="s">
        <v>2094</v>
      </c>
    </row>
    <row r="6467" spans="1:9" x14ac:dyDescent="0.2">
      <c r="A6467" s="997">
        <f t="shared" si="100"/>
        <v>6466</v>
      </c>
      <c r="B6467" s="983" t="s">
        <v>2732</v>
      </c>
      <c r="C6467" s="999"/>
      <c r="H6467" s="983" t="s">
        <v>1108</v>
      </c>
    </row>
    <row r="6468" spans="1:9" x14ac:dyDescent="0.2">
      <c r="A6468" s="997">
        <f t="shared" ref="A6468:A6531" si="101">+A6467+1</f>
        <v>6467</v>
      </c>
      <c r="B6468" s="983" t="s">
        <v>2732</v>
      </c>
      <c r="C6468" s="1000"/>
      <c r="H6468" s="983" t="str">
        <f>CONCATENATE("&lt;valeur&gt;",Cellule_1683,"&lt;/valeur&gt;")</f>
        <v>&lt;valeur&gt;0&lt;/valeur&gt;</v>
      </c>
    </row>
    <row r="6469" spans="1:9" x14ac:dyDescent="0.2">
      <c r="A6469" s="997">
        <f t="shared" si="101"/>
        <v>6468</v>
      </c>
      <c r="B6469" s="983" t="s">
        <v>2732</v>
      </c>
      <c r="C6469" s="1001"/>
      <c r="G6469" s="983" t="s">
        <v>1109</v>
      </c>
    </row>
    <row r="6470" spans="1:9" x14ac:dyDescent="0.2">
      <c r="A6470" s="997">
        <f t="shared" si="101"/>
        <v>6469</v>
      </c>
      <c r="B6470" s="983" t="s">
        <v>2732</v>
      </c>
      <c r="C6470" s="1000"/>
      <c r="G6470" s="983" t="s">
        <v>1106</v>
      </c>
    </row>
    <row r="6471" spans="1:9" x14ac:dyDescent="0.2">
      <c r="A6471" s="997">
        <f t="shared" si="101"/>
        <v>6470</v>
      </c>
      <c r="B6471" s="983" t="s">
        <v>2732</v>
      </c>
      <c r="C6471" s="1000"/>
      <c r="H6471" s="983" t="s">
        <v>1107</v>
      </c>
    </row>
    <row r="6472" spans="1:9" x14ac:dyDescent="0.2">
      <c r="A6472" s="997">
        <f t="shared" si="101"/>
        <v>6471</v>
      </c>
      <c r="B6472" s="983" t="s">
        <v>2732</v>
      </c>
      <c r="C6472" s="999"/>
      <c r="I6472" s="983" t="s">
        <v>2095</v>
      </c>
    </row>
    <row r="6473" spans="1:9" x14ac:dyDescent="0.2">
      <c r="A6473" s="997">
        <f t="shared" si="101"/>
        <v>6472</v>
      </c>
      <c r="B6473" s="983" t="s">
        <v>2732</v>
      </c>
      <c r="C6473" s="999"/>
      <c r="H6473" s="983" t="s">
        <v>1108</v>
      </c>
    </row>
    <row r="6474" spans="1:9" x14ac:dyDescent="0.2">
      <c r="A6474" s="997">
        <f t="shared" si="101"/>
        <v>6473</v>
      </c>
      <c r="B6474" s="983" t="s">
        <v>2732</v>
      </c>
      <c r="C6474" s="1000"/>
      <c r="H6474" s="983" t="str">
        <f>CONCATENATE("&lt;valeur&gt;",Cellule_1700,"&lt;/valeur&gt;")</f>
        <v>&lt;valeur&gt;0&lt;/valeur&gt;</v>
      </c>
    </row>
    <row r="6475" spans="1:9" x14ac:dyDescent="0.2">
      <c r="A6475" s="997">
        <f t="shared" si="101"/>
        <v>6474</v>
      </c>
      <c r="B6475" s="983" t="s">
        <v>2732</v>
      </c>
      <c r="C6475" s="1001"/>
      <c r="G6475" s="983" t="s">
        <v>1109</v>
      </c>
    </row>
    <row r="6476" spans="1:9" x14ac:dyDescent="0.2">
      <c r="A6476" s="997">
        <f t="shared" si="101"/>
        <v>6475</v>
      </c>
      <c r="B6476" s="983" t="s">
        <v>2732</v>
      </c>
      <c r="C6476" s="1000"/>
      <c r="G6476" s="983" t="s">
        <v>1106</v>
      </c>
    </row>
    <row r="6477" spans="1:9" x14ac:dyDescent="0.2">
      <c r="A6477" s="997">
        <f t="shared" si="101"/>
        <v>6476</v>
      </c>
      <c r="B6477" s="983" t="s">
        <v>2732</v>
      </c>
      <c r="C6477" s="1000"/>
      <c r="H6477" s="983" t="s">
        <v>1107</v>
      </c>
    </row>
    <row r="6478" spans="1:9" x14ac:dyDescent="0.2">
      <c r="A6478" s="997">
        <f t="shared" si="101"/>
        <v>6477</v>
      </c>
      <c r="B6478" s="983" t="s">
        <v>2732</v>
      </c>
      <c r="C6478" s="999"/>
      <c r="I6478" s="983" t="s">
        <v>2096</v>
      </c>
    </row>
    <row r="6479" spans="1:9" x14ac:dyDescent="0.2">
      <c r="A6479" s="997">
        <f t="shared" si="101"/>
        <v>6478</v>
      </c>
      <c r="B6479" s="983" t="s">
        <v>2732</v>
      </c>
      <c r="C6479" s="999"/>
      <c r="H6479" s="983" t="s">
        <v>1108</v>
      </c>
    </row>
    <row r="6480" spans="1:9" x14ac:dyDescent="0.2">
      <c r="A6480" s="997">
        <f t="shared" si="101"/>
        <v>6479</v>
      </c>
      <c r="B6480" s="983" t="s">
        <v>2732</v>
      </c>
      <c r="C6480" s="1000"/>
      <c r="H6480" s="983" t="str">
        <f>CONCATENATE("&lt;valeur&gt;",Cellule_1701,"&lt;/valeur&gt;")</f>
        <v>&lt;valeur&gt;0&lt;/valeur&gt;</v>
      </c>
    </row>
    <row r="6481" spans="1:9" x14ac:dyDescent="0.2">
      <c r="A6481" s="997">
        <f t="shared" si="101"/>
        <v>6480</v>
      </c>
      <c r="B6481" s="983" t="s">
        <v>2732</v>
      </c>
      <c r="C6481" s="1001"/>
      <c r="G6481" s="983" t="s">
        <v>1109</v>
      </c>
    </row>
    <row r="6482" spans="1:9" x14ac:dyDescent="0.2">
      <c r="A6482" s="997">
        <f t="shared" si="101"/>
        <v>6481</v>
      </c>
      <c r="B6482" s="983" t="s">
        <v>2732</v>
      </c>
      <c r="C6482" s="1000"/>
      <c r="G6482" s="983" t="s">
        <v>1106</v>
      </c>
    </row>
    <row r="6483" spans="1:9" x14ac:dyDescent="0.2">
      <c r="A6483" s="997">
        <f t="shared" si="101"/>
        <v>6482</v>
      </c>
      <c r="B6483" s="983" t="s">
        <v>2732</v>
      </c>
      <c r="C6483" s="1000"/>
      <c r="H6483" s="983" t="s">
        <v>1107</v>
      </c>
    </row>
    <row r="6484" spans="1:9" x14ac:dyDescent="0.2">
      <c r="A6484" s="997">
        <f t="shared" si="101"/>
        <v>6483</v>
      </c>
      <c r="B6484" s="983" t="s">
        <v>2732</v>
      </c>
      <c r="C6484" s="999"/>
      <c r="I6484" s="983" t="s">
        <v>2097</v>
      </c>
    </row>
    <row r="6485" spans="1:9" x14ac:dyDescent="0.2">
      <c r="A6485" s="997">
        <f t="shared" si="101"/>
        <v>6484</v>
      </c>
      <c r="B6485" s="983" t="s">
        <v>2732</v>
      </c>
      <c r="C6485" s="999"/>
      <c r="H6485" s="983" t="s">
        <v>1108</v>
      </c>
    </row>
    <row r="6486" spans="1:9" x14ac:dyDescent="0.2">
      <c r="A6486" s="997">
        <f t="shared" si="101"/>
        <v>6485</v>
      </c>
      <c r="B6486" s="983" t="s">
        <v>2732</v>
      </c>
      <c r="C6486" s="1000"/>
      <c r="H6486" s="983" t="str">
        <f>CONCATENATE("&lt;valeur&gt;",Cellule_1702,"&lt;/valeur&gt;")</f>
        <v>&lt;valeur&gt;0&lt;/valeur&gt;</v>
      </c>
    </row>
    <row r="6487" spans="1:9" x14ac:dyDescent="0.2">
      <c r="A6487" s="997">
        <f t="shared" si="101"/>
        <v>6486</v>
      </c>
      <c r="B6487" s="983" t="s">
        <v>2732</v>
      </c>
      <c r="C6487" s="1001"/>
      <c r="G6487" s="983" t="s">
        <v>1109</v>
      </c>
    </row>
    <row r="6488" spans="1:9" x14ac:dyDescent="0.2">
      <c r="A6488" s="997">
        <f t="shared" si="101"/>
        <v>6487</v>
      </c>
      <c r="B6488" s="983" t="s">
        <v>2732</v>
      </c>
      <c r="C6488" s="1000"/>
      <c r="G6488" s="983" t="s">
        <v>1106</v>
      </c>
    </row>
    <row r="6489" spans="1:9" x14ac:dyDescent="0.2">
      <c r="A6489" s="997">
        <f t="shared" si="101"/>
        <v>6488</v>
      </c>
      <c r="B6489" s="983" t="s">
        <v>2732</v>
      </c>
      <c r="C6489" s="1000"/>
      <c r="H6489" s="983" t="s">
        <v>1107</v>
      </c>
    </row>
    <row r="6490" spans="1:9" x14ac:dyDescent="0.2">
      <c r="A6490" s="997">
        <f t="shared" si="101"/>
        <v>6489</v>
      </c>
      <c r="B6490" s="983" t="s">
        <v>2732</v>
      </c>
      <c r="C6490" s="999"/>
      <c r="I6490" s="983" t="s">
        <v>2098</v>
      </c>
    </row>
    <row r="6491" spans="1:9" x14ac:dyDescent="0.2">
      <c r="A6491" s="997">
        <f t="shared" si="101"/>
        <v>6490</v>
      </c>
      <c r="B6491" s="983" t="s">
        <v>2732</v>
      </c>
      <c r="C6491" s="999"/>
      <c r="H6491" s="983" t="s">
        <v>1108</v>
      </c>
    </row>
    <row r="6492" spans="1:9" x14ac:dyDescent="0.2">
      <c r="A6492" s="997">
        <f t="shared" si="101"/>
        <v>6491</v>
      </c>
      <c r="B6492" s="983" t="s">
        <v>2732</v>
      </c>
      <c r="C6492" s="1000"/>
      <c r="H6492" s="983" t="str">
        <f>CONCATENATE("&lt;valeur&gt;",Cellule_1703,"&lt;/valeur&gt;")</f>
        <v>&lt;valeur&gt;0&lt;/valeur&gt;</v>
      </c>
    </row>
    <row r="6493" spans="1:9" x14ac:dyDescent="0.2">
      <c r="A6493" s="997">
        <f t="shared" si="101"/>
        <v>6492</v>
      </c>
      <c r="B6493" s="983" t="s">
        <v>2732</v>
      </c>
      <c r="C6493" s="1001"/>
      <c r="G6493" s="983" t="s">
        <v>1109</v>
      </c>
    </row>
    <row r="6494" spans="1:9" x14ac:dyDescent="0.2">
      <c r="A6494" s="997">
        <f t="shared" si="101"/>
        <v>6493</v>
      </c>
      <c r="B6494" s="983" t="s">
        <v>2732</v>
      </c>
      <c r="C6494" s="1000"/>
      <c r="G6494" s="983" t="s">
        <v>1106</v>
      </c>
    </row>
    <row r="6495" spans="1:9" x14ac:dyDescent="0.2">
      <c r="A6495" s="997">
        <f t="shared" si="101"/>
        <v>6494</v>
      </c>
      <c r="B6495" s="983" t="s">
        <v>2732</v>
      </c>
      <c r="C6495" s="1000"/>
      <c r="H6495" s="983" t="s">
        <v>1107</v>
      </c>
    </row>
    <row r="6496" spans="1:9" x14ac:dyDescent="0.2">
      <c r="A6496" s="997">
        <f t="shared" si="101"/>
        <v>6495</v>
      </c>
      <c r="B6496" s="983" t="s">
        <v>2732</v>
      </c>
      <c r="C6496" s="999"/>
      <c r="I6496" s="983" t="s">
        <v>2099</v>
      </c>
    </row>
    <row r="6497" spans="1:9" x14ac:dyDescent="0.2">
      <c r="A6497" s="997">
        <f t="shared" si="101"/>
        <v>6496</v>
      </c>
      <c r="B6497" s="983" t="s">
        <v>2732</v>
      </c>
      <c r="C6497" s="999"/>
      <c r="H6497" s="983" t="s">
        <v>1108</v>
      </c>
    </row>
    <row r="6498" spans="1:9" x14ac:dyDescent="0.2">
      <c r="A6498" s="997">
        <f t="shared" si="101"/>
        <v>6497</v>
      </c>
      <c r="B6498" s="983" t="s">
        <v>2732</v>
      </c>
      <c r="C6498" s="1000"/>
      <c r="H6498" s="983" t="str">
        <f>CONCATENATE("&lt;valeur&gt;",Cellule_1704,"&lt;/valeur&gt;")</f>
        <v>&lt;valeur&gt;0&lt;/valeur&gt;</v>
      </c>
    </row>
    <row r="6499" spans="1:9" x14ac:dyDescent="0.2">
      <c r="A6499" s="997">
        <f t="shared" si="101"/>
        <v>6498</v>
      </c>
      <c r="B6499" s="983" t="s">
        <v>2732</v>
      </c>
      <c r="C6499" s="1001"/>
      <c r="G6499" s="983" t="s">
        <v>1109</v>
      </c>
    </row>
    <row r="6500" spans="1:9" x14ac:dyDescent="0.2">
      <c r="A6500" s="997">
        <f t="shared" si="101"/>
        <v>6499</v>
      </c>
      <c r="B6500" s="983" t="s">
        <v>2732</v>
      </c>
      <c r="C6500" s="1000"/>
      <c r="G6500" s="983" t="s">
        <v>1106</v>
      </c>
    </row>
    <row r="6501" spans="1:9" x14ac:dyDescent="0.2">
      <c r="A6501" s="997">
        <f t="shared" si="101"/>
        <v>6500</v>
      </c>
      <c r="B6501" s="983" t="s">
        <v>2732</v>
      </c>
      <c r="C6501" s="1000"/>
      <c r="H6501" s="983" t="s">
        <v>1107</v>
      </c>
    </row>
    <row r="6502" spans="1:9" x14ac:dyDescent="0.2">
      <c r="A6502" s="997">
        <f t="shared" si="101"/>
        <v>6501</v>
      </c>
      <c r="B6502" s="983" t="s">
        <v>2732</v>
      </c>
      <c r="C6502" s="999"/>
      <c r="I6502" s="983" t="s">
        <v>2100</v>
      </c>
    </row>
    <row r="6503" spans="1:9" x14ac:dyDescent="0.2">
      <c r="A6503" s="997">
        <f t="shared" si="101"/>
        <v>6502</v>
      </c>
      <c r="B6503" s="983" t="s">
        <v>2732</v>
      </c>
      <c r="C6503" s="999"/>
      <c r="H6503" s="983" t="s">
        <v>1108</v>
      </c>
    </row>
    <row r="6504" spans="1:9" x14ac:dyDescent="0.2">
      <c r="A6504" s="997">
        <f t="shared" si="101"/>
        <v>6503</v>
      </c>
      <c r="B6504" s="983" t="s">
        <v>2732</v>
      </c>
      <c r="C6504" s="1000"/>
      <c r="H6504" s="983" t="str">
        <f>CONCATENATE("&lt;valeur&gt;",Cellule_1705,"&lt;/valeur&gt;")</f>
        <v>&lt;valeur&gt;0&lt;/valeur&gt;</v>
      </c>
    </row>
    <row r="6505" spans="1:9" x14ac:dyDescent="0.2">
      <c r="A6505" s="997">
        <f t="shared" si="101"/>
        <v>6504</v>
      </c>
      <c r="B6505" s="983" t="s">
        <v>2732</v>
      </c>
      <c r="C6505" s="1001"/>
      <c r="G6505" s="983" t="s">
        <v>1109</v>
      </c>
    </row>
    <row r="6506" spans="1:9" x14ac:dyDescent="0.2">
      <c r="A6506" s="997">
        <f t="shared" si="101"/>
        <v>6505</v>
      </c>
      <c r="B6506" s="983" t="s">
        <v>2732</v>
      </c>
      <c r="C6506" s="1000"/>
      <c r="G6506" s="983" t="s">
        <v>1106</v>
      </c>
    </row>
    <row r="6507" spans="1:9" x14ac:dyDescent="0.2">
      <c r="A6507" s="997">
        <f t="shared" si="101"/>
        <v>6506</v>
      </c>
      <c r="B6507" s="983" t="s">
        <v>2732</v>
      </c>
      <c r="C6507" s="1000"/>
      <c r="H6507" s="983" t="s">
        <v>1107</v>
      </c>
    </row>
    <row r="6508" spans="1:9" x14ac:dyDescent="0.2">
      <c r="A6508" s="997">
        <f t="shared" si="101"/>
        <v>6507</v>
      </c>
      <c r="B6508" s="983" t="s">
        <v>2732</v>
      </c>
      <c r="C6508" s="999"/>
      <c r="I6508" s="983" t="s">
        <v>2101</v>
      </c>
    </row>
    <row r="6509" spans="1:9" x14ac:dyDescent="0.2">
      <c r="A6509" s="997">
        <f t="shared" si="101"/>
        <v>6508</v>
      </c>
      <c r="B6509" s="983" t="s">
        <v>2732</v>
      </c>
      <c r="C6509" s="999"/>
      <c r="H6509" s="983" t="s">
        <v>1108</v>
      </c>
    </row>
    <row r="6510" spans="1:9" x14ac:dyDescent="0.2">
      <c r="A6510" s="997">
        <f t="shared" si="101"/>
        <v>6509</v>
      </c>
      <c r="B6510" s="983" t="s">
        <v>2732</v>
      </c>
      <c r="C6510" s="1000"/>
      <c r="H6510" s="983" t="str">
        <f>CONCATENATE("&lt;valeur&gt;",Cellule_1706,"&lt;/valeur&gt;")</f>
        <v>&lt;valeur&gt;0&lt;/valeur&gt;</v>
      </c>
    </row>
    <row r="6511" spans="1:9" x14ac:dyDescent="0.2">
      <c r="A6511" s="997">
        <f t="shared" si="101"/>
        <v>6510</v>
      </c>
      <c r="B6511" s="983" t="s">
        <v>2732</v>
      </c>
      <c r="C6511" s="1001"/>
      <c r="G6511" s="983" t="s">
        <v>1109</v>
      </c>
    </row>
    <row r="6512" spans="1:9" x14ac:dyDescent="0.2">
      <c r="A6512" s="997">
        <f t="shared" si="101"/>
        <v>6511</v>
      </c>
      <c r="B6512" s="983" t="s">
        <v>2732</v>
      </c>
      <c r="C6512" s="1000"/>
      <c r="G6512" s="983" t="s">
        <v>1106</v>
      </c>
    </row>
    <row r="6513" spans="1:9" x14ac:dyDescent="0.2">
      <c r="A6513" s="997">
        <f t="shared" si="101"/>
        <v>6512</v>
      </c>
      <c r="B6513" s="983" t="s">
        <v>2732</v>
      </c>
      <c r="C6513" s="1000"/>
      <c r="H6513" s="983" t="s">
        <v>1107</v>
      </c>
    </row>
    <row r="6514" spans="1:9" x14ac:dyDescent="0.2">
      <c r="A6514" s="997">
        <f t="shared" si="101"/>
        <v>6513</v>
      </c>
      <c r="B6514" s="983" t="s">
        <v>2732</v>
      </c>
      <c r="C6514" s="999"/>
      <c r="I6514" s="983" t="s">
        <v>2102</v>
      </c>
    </row>
    <row r="6515" spans="1:9" x14ac:dyDescent="0.2">
      <c r="A6515" s="997">
        <f t="shared" si="101"/>
        <v>6514</v>
      </c>
      <c r="B6515" s="983" t="s">
        <v>2732</v>
      </c>
      <c r="C6515" s="999"/>
      <c r="H6515" s="983" t="s">
        <v>1108</v>
      </c>
    </row>
    <row r="6516" spans="1:9" x14ac:dyDescent="0.2">
      <c r="A6516" s="997">
        <f t="shared" si="101"/>
        <v>6515</v>
      </c>
      <c r="B6516" s="983" t="s">
        <v>2732</v>
      </c>
      <c r="C6516" s="1000"/>
      <c r="H6516" s="983" t="str">
        <f>CONCATENATE("&lt;valeur&gt;",Cellule_1707,"&lt;/valeur&gt;")</f>
        <v>&lt;valeur&gt;0&lt;/valeur&gt;</v>
      </c>
    </row>
    <row r="6517" spans="1:9" x14ac:dyDescent="0.2">
      <c r="A6517" s="997">
        <f t="shared" si="101"/>
        <v>6516</v>
      </c>
      <c r="B6517" s="983" t="s">
        <v>2732</v>
      </c>
      <c r="C6517" s="1001"/>
      <c r="G6517" s="983" t="s">
        <v>1109</v>
      </c>
    </row>
    <row r="6518" spans="1:9" x14ac:dyDescent="0.2">
      <c r="A6518" s="997">
        <f t="shared" si="101"/>
        <v>6517</v>
      </c>
      <c r="B6518" s="983" t="s">
        <v>2732</v>
      </c>
      <c r="C6518" s="1000"/>
      <c r="G6518" s="983" t="s">
        <v>1106</v>
      </c>
    </row>
    <row r="6519" spans="1:9" x14ac:dyDescent="0.2">
      <c r="A6519" s="997">
        <f t="shared" si="101"/>
        <v>6518</v>
      </c>
      <c r="B6519" s="983" t="s">
        <v>2732</v>
      </c>
      <c r="C6519" s="1000"/>
      <c r="H6519" s="983" t="s">
        <v>1107</v>
      </c>
    </row>
    <row r="6520" spans="1:9" x14ac:dyDescent="0.2">
      <c r="A6520" s="997">
        <f t="shared" si="101"/>
        <v>6519</v>
      </c>
      <c r="B6520" s="983" t="s">
        <v>2732</v>
      </c>
      <c r="C6520" s="999"/>
      <c r="I6520" s="983" t="s">
        <v>2103</v>
      </c>
    </row>
    <row r="6521" spans="1:9" x14ac:dyDescent="0.2">
      <c r="A6521" s="997">
        <f t="shared" si="101"/>
        <v>6520</v>
      </c>
      <c r="B6521" s="983" t="s">
        <v>2732</v>
      </c>
      <c r="C6521" s="999"/>
      <c r="H6521" s="983" t="s">
        <v>1108</v>
      </c>
    </row>
    <row r="6522" spans="1:9" x14ac:dyDescent="0.2">
      <c r="A6522" s="997">
        <f t="shared" si="101"/>
        <v>6521</v>
      </c>
      <c r="B6522" s="983" t="s">
        <v>2732</v>
      </c>
      <c r="C6522" s="1000"/>
      <c r="H6522" s="983" t="str">
        <f>CONCATENATE("&lt;valeur&gt;",Cellule_1708,"&lt;/valeur&gt;")</f>
        <v>&lt;valeur&gt;171177,26&lt;/valeur&gt;</v>
      </c>
    </row>
    <row r="6523" spans="1:9" x14ac:dyDescent="0.2">
      <c r="A6523" s="997">
        <f t="shared" si="101"/>
        <v>6522</v>
      </c>
      <c r="B6523" s="983" t="s">
        <v>2732</v>
      </c>
      <c r="C6523" s="1001"/>
      <c r="G6523" s="983" t="s">
        <v>1109</v>
      </c>
    </row>
    <row r="6524" spans="1:9" x14ac:dyDescent="0.2">
      <c r="A6524" s="997">
        <f t="shared" si="101"/>
        <v>6523</v>
      </c>
      <c r="B6524" s="983" t="s">
        <v>2732</v>
      </c>
      <c r="C6524" s="1000"/>
      <c r="G6524" s="983" t="s">
        <v>1106</v>
      </c>
    </row>
    <row r="6525" spans="1:9" x14ac:dyDescent="0.2">
      <c r="A6525" s="997">
        <f t="shared" si="101"/>
        <v>6524</v>
      </c>
      <c r="B6525" s="983" t="s">
        <v>2732</v>
      </c>
      <c r="C6525" s="1000"/>
      <c r="H6525" s="983" t="s">
        <v>1107</v>
      </c>
    </row>
    <row r="6526" spans="1:9" x14ac:dyDescent="0.2">
      <c r="A6526" s="997">
        <f t="shared" si="101"/>
        <v>6525</v>
      </c>
      <c r="B6526" s="983" t="s">
        <v>2732</v>
      </c>
      <c r="C6526" s="999"/>
      <c r="I6526" s="983" t="s">
        <v>2104</v>
      </c>
    </row>
    <row r="6527" spans="1:9" x14ac:dyDescent="0.2">
      <c r="A6527" s="997">
        <f t="shared" si="101"/>
        <v>6526</v>
      </c>
      <c r="B6527" s="983" t="s">
        <v>2732</v>
      </c>
      <c r="C6527" s="999"/>
      <c r="H6527" s="983" t="s">
        <v>1108</v>
      </c>
    </row>
    <row r="6528" spans="1:9" x14ac:dyDescent="0.2">
      <c r="A6528" s="997">
        <f t="shared" si="101"/>
        <v>6527</v>
      </c>
      <c r="B6528" s="983" t="s">
        <v>2732</v>
      </c>
      <c r="C6528" s="1000"/>
      <c r="H6528" s="983" t="str">
        <f>CONCATENATE("&lt;valeur&gt;",Cellule_1709,"&lt;/valeur&gt;")</f>
        <v>&lt;valeur&gt;0&lt;/valeur&gt;</v>
      </c>
    </row>
    <row r="6529" spans="1:9" x14ac:dyDescent="0.2">
      <c r="A6529" s="997">
        <f t="shared" si="101"/>
        <v>6528</v>
      </c>
      <c r="B6529" s="983" t="s">
        <v>2732</v>
      </c>
      <c r="C6529" s="1001"/>
      <c r="G6529" s="983" t="s">
        <v>1109</v>
      </c>
    </row>
    <row r="6530" spans="1:9" x14ac:dyDescent="0.2">
      <c r="A6530" s="997">
        <f t="shared" si="101"/>
        <v>6529</v>
      </c>
      <c r="B6530" s="983" t="s">
        <v>2732</v>
      </c>
      <c r="C6530" s="1000"/>
      <c r="G6530" s="983" t="s">
        <v>1106</v>
      </c>
    </row>
    <row r="6531" spans="1:9" x14ac:dyDescent="0.2">
      <c r="A6531" s="997">
        <f t="shared" si="101"/>
        <v>6530</v>
      </c>
      <c r="B6531" s="983" t="s">
        <v>2732</v>
      </c>
      <c r="C6531" s="1000"/>
      <c r="H6531" s="983" t="s">
        <v>1107</v>
      </c>
    </row>
    <row r="6532" spans="1:9" x14ac:dyDescent="0.2">
      <c r="A6532" s="997">
        <f t="shared" ref="A6532:A6595" si="102">+A6531+1</f>
        <v>6531</v>
      </c>
      <c r="B6532" s="983" t="s">
        <v>2732</v>
      </c>
      <c r="C6532" s="999"/>
      <c r="I6532" s="983" t="s">
        <v>2105</v>
      </c>
    </row>
    <row r="6533" spans="1:9" x14ac:dyDescent="0.2">
      <c r="A6533" s="997">
        <f t="shared" si="102"/>
        <v>6532</v>
      </c>
      <c r="B6533" s="983" t="s">
        <v>2732</v>
      </c>
      <c r="C6533" s="999"/>
      <c r="H6533" s="983" t="s">
        <v>1108</v>
      </c>
    </row>
    <row r="6534" spans="1:9" x14ac:dyDescent="0.2">
      <c r="A6534" s="997">
        <f t="shared" si="102"/>
        <v>6533</v>
      </c>
      <c r="B6534" s="983" t="s">
        <v>2732</v>
      </c>
      <c r="C6534" s="1000"/>
      <c r="H6534" s="983" t="str">
        <f>CONCATENATE("&lt;valeur&gt;",Cellule_1710,"&lt;/valeur&gt;")</f>
        <v>&lt;valeur&gt;1215&lt;/valeur&gt;</v>
      </c>
    </row>
    <row r="6535" spans="1:9" x14ac:dyDescent="0.2">
      <c r="A6535" s="997">
        <f t="shared" si="102"/>
        <v>6534</v>
      </c>
      <c r="B6535" s="983" t="s">
        <v>2732</v>
      </c>
      <c r="C6535" s="1001"/>
      <c r="G6535" s="983" t="s">
        <v>1109</v>
      </c>
    </row>
    <row r="6536" spans="1:9" x14ac:dyDescent="0.2">
      <c r="A6536" s="997">
        <f t="shared" si="102"/>
        <v>6535</v>
      </c>
      <c r="B6536" s="983" t="s">
        <v>2732</v>
      </c>
      <c r="C6536" s="1000"/>
      <c r="G6536" s="983" t="s">
        <v>1106</v>
      </c>
    </row>
    <row r="6537" spans="1:9" x14ac:dyDescent="0.2">
      <c r="A6537" s="997">
        <f t="shared" si="102"/>
        <v>6536</v>
      </c>
      <c r="B6537" s="983" t="s">
        <v>2732</v>
      </c>
      <c r="C6537" s="1000"/>
      <c r="H6537" s="983" t="s">
        <v>1107</v>
      </c>
    </row>
    <row r="6538" spans="1:9" x14ac:dyDescent="0.2">
      <c r="A6538" s="997">
        <f t="shared" si="102"/>
        <v>6537</v>
      </c>
      <c r="B6538" s="983" t="s">
        <v>2732</v>
      </c>
      <c r="C6538" s="999"/>
      <c r="I6538" s="983" t="s">
        <v>2106</v>
      </c>
    </row>
    <row r="6539" spans="1:9" x14ac:dyDescent="0.2">
      <c r="A6539" s="997">
        <f t="shared" si="102"/>
        <v>6538</v>
      </c>
      <c r="B6539" s="983" t="s">
        <v>2732</v>
      </c>
      <c r="C6539" s="999"/>
      <c r="H6539" s="983" t="s">
        <v>1108</v>
      </c>
    </row>
    <row r="6540" spans="1:9" x14ac:dyDescent="0.2">
      <c r="A6540" s="997">
        <f t="shared" si="102"/>
        <v>6539</v>
      </c>
      <c r="B6540" s="983" t="s">
        <v>2732</v>
      </c>
      <c r="C6540" s="1000"/>
      <c r="H6540" s="983" t="str">
        <f>CONCATENATE("&lt;valeur&gt;",Cellule_1711,"&lt;/valeur&gt;")</f>
        <v>&lt;valeur&gt;0&lt;/valeur&gt;</v>
      </c>
    </row>
    <row r="6541" spans="1:9" x14ac:dyDescent="0.2">
      <c r="A6541" s="997">
        <f t="shared" si="102"/>
        <v>6540</v>
      </c>
      <c r="B6541" s="983" t="s">
        <v>2732</v>
      </c>
      <c r="C6541" s="1001"/>
      <c r="G6541" s="983" t="s">
        <v>1109</v>
      </c>
    </row>
    <row r="6542" spans="1:9" x14ac:dyDescent="0.2">
      <c r="A6542" s="997">
        <f t="shared" si="102"/>
        <v>6541</v>
      </c>
      <c r="B6542" s="983" t="s">
        <v>2732</v>
      </c>
      <c r="C6542" s="1000"/>
      <c r="G6542" s="983" t="s">
        <v>1106</v>
      </c>
    </row>
    <row r="6543" spans="1:9" x14ac:dyDescent="0.2">
      <c r="A6543" s="997">
        <f t="shared" si="102"/>
        <v>6542</v>
      </c>
      <c r="B6543" s="983" t="s">
        <v>2732</v>
      </c>
      <c r="C6543" s="1000"/>
      <c r="H6543" s="983" t="s">
        <v>1107</v>
      </c>
    </row>
    <row r="6544" spans="1:9" x14ac:dyDescent="0.2">
      <c r="A6544" s="997">
        <f t="shared" si="102"/>
        <v>6543</v>
      </c>
      <c r="B6544" s="983" t="s">
        <v>2732</v>
      </c>
      <c r="C6544" s="999"/>
      <c r="I6544" s="983" t="s">
        <v>2107</v>
      </c>
    </row>
    <row r="6545" spans="1:9" x14ac:dyDescent="0.2">
      <c r="A6545" s="997">
        <f t="shared" si="102"/>
        <v>6544</v>
      </c>
      <c r="B6545" s="983" t="s">
        <v>2732</v>
      </c>
      <c r="C6545" s="999"/>
      <c r="H6545" s="983" t="s">
        <v>1108</v>
      </c>
    </row>
    <row r="6546" spans="1:9" x14ac:dyDescent="0.2">
      <c r="A6546" s="997">
        <f t="shared" si="102"/>
        <v>6545</v>
      </c>
      <c r="B6546" s="983" t="s">
        <v>2732</v>
      </c>
      <c r="C6546" s="1000"/>
      <c r="H6546" s="983" t="str">
        <f>CONCATENATE("&lt;valeur&gt;",Cellule_1712,"&lt;/valeur&gt;")</f>
        <v>&lt;valeur&gt;169962,26&lt;/valeur&gt;</v>
      </c>
    </row>
    <row r="6547" spans="1:9" x14ac:dyDescent="0.2">
      <c r="A6547" s="997">
        <f t="shared" si="102"/>
        <v>6546</v>
      </c>
      <c r="B6547" s="983" t="s">
        <v>2732</v>
      </c>
      <c r="C6547" s="1001"/>
      <c r="G6547" s="983" t="s">
        <v>1109</v>
      </c>
    </row>
    <row r="6548" spans="1:9" x14ac:dyDescent="0.2">
      <c r="A6548" s="997">
        <f t="shared" si="102"/>
        <v>6547</v>
      </c>
      <c r="B6548" s="983" t="s">
        <v>2732</v>
      </c>
      <c r="C6548" s="1000"/>
      <c r="G6548" s="983" t="s">
        <v>1106</v>
      </c>
    </row>
    <row r="6549" spans="1:9" x14ac:dyDescent="0.2">
      <c r="A6549" s="997">
        <f t="shared" si="102"/>
        <v>6548</v>
      </c>
      <c r="B6549" s="983" t="s">
        <v>2732</v>
      </c>
      <c r="C6549" s="1000"/>
      <c r="H6549" s="983" t="s">
        <v>1107</v>
      </c>
    </row>
    <row r="6550" spans="1:9" x14ac:dyDescent="0.2">
      <c r="A6550" s="997">
        <f t="shared" si="102"/>
        <v>6549</v>
      </c>
      <c r="B6550" s="983" t="s">
        <v>2732</v>
      </c>
      <c r="C6550" s="999"/>
      <c r="I6550" s="983" t="s">
        <v>2108</v>
      </c>
    </row>
    <row r="6551" spans="1:9" x14ac:dyDescent="0.2">
      <c r="A6551" s="997">
        <f t="shared" si="102"/>
        <v>6550</v>
      </c>
      <c r="B6551" s="983" t="s">
        <v>2732</v>
      </c>
      <c r="C6551" s="999"/>
      <c r="H6551" s="983" t="s">
        <v>1108</v>
      </c>
    </row>
    <row r="6552" spans="1:9" x14ac:dyDescent="0.2">
      <c r="A6552" s="997">
        <f t="shared" si="102"/>
        <v>6551</v>
      </c>
      <c r="B6552" s="983" t="s">
        <v>2732</v>
      </c>
      <c r="C6552" s="1000"/>
      <c r="H6552" s="983" t="str">
        <f>CONCATENATE("&lt;valeur&gt;",Cellule_1713,"&lt;/valeur&gt;")</f>
        <v>&lt;valeur&gt;0&lt;/valeur&gt;</v>
      </c>
    </row>
    <row r="6553" spans="1:9" x14ac:dyDescent="0.2">
      <c r="A6553" s="997">
        <f t="shared" si="102"/>
        <v>6552</v>
      </c>
      <c r="B6553" s="983" t="s">
        <v>2732</v>
      </c>
      <c r="C6553" s="1001"/>
      <c r="G6553" s="983" t="s">
        <v>1109</v>
      </c>
    </row>
    <row r="6554" spans="1:9" x14ac:dyDescent="0.2">
      <c r="A6554" s="997">
        <f t="shared" si="102"/>
        <v>6553</v>
      </c>
      <c r="B6554" s="983" t="s">
        <v>2732</v>
      </c>
      <c r="C6554" s="1000"/>
      <c r="G6554" s="983" t="s">
        <v>1106</v>
      </c>
    </row>
    <row r="6555" spans="1:9" x14ac:dyDescent="0.2">
      <c r="A6555" s="997">
        <f t="shared" si="102"/>
        <v>6554</v>
      </c>
      <c r="B6555" s="983" t="s">
        <v>2732</v>
      </c>
      <c r="C6555" s="1000"/>
      <c r="H6555" s="983" t="s">
        <v>1107</v>
      </c>
    </row>
    <row r="6556" spans="1:9" x14ac:dyDescent="0.2">
      <c r="A6556" s="997">
        <f t="shared" si="102"/>
        <v>6555</v>
      </c>
      <c r="B6556" s="983" t="s">
        <v>2732</v>
      </c>
      <c r="C6556" s="999"/>
      <c r="I6556" s="983" t="s">
        <v>2109</v>
      </c>
    </row>
    <row r="6557" spans="1:9" x14ac:dyDescent="0.2">
      <c r="A6557" s="997">
        <f t="shared" si="102"/>
        <v>6556</v>
      </c>
      <c r="B6557" s="983" t="s">
        <v>2732</v>
      </c>
      <c r="C6557" s="999"/>
      <c r="H6557" s="983" t="s">
        <v>1108</v>
      </c>
    </row>
    <row r="6558" spans="1:9" x14ac:dyDescent="0.2">
      <c r="A6558" s="997">
        <f t="shared" si="102"/>
        <v>6557</v>
      </c>
      <c r="B6558" s="983" t="s">
        <v>2732</v>
      </c>
      <c r="C6558" s="1000"/>
      <c r="H6558" s="983" t="str">
        <f>CONCATENATE("&lt;valeur&gt;",Cellule_1714,"&lt;/valeur&gt;")</f>
        <v>&lt;valeur&gt;0&lt;/valeur&gt;</v>
      </c>
    </row>
    <row r="6559" spans="1:9" x14ac:dyDescent="0.2">
      <c r="A6559" s="997">
        <f t="shared" si="102"/>
        <v>6558</v>
      </c>
      <c r="B6559" s="983" t="s">
        <v>2732</v>
      </c>
      <c r="C6559" s="1001"/>
      <c r="G6559" s="983" t="s">
        <v>1109</v>
      </c>
    </row>
    <row r="6560" spans="1:9" x14ac:dyDescent="0.2">
      <c r="A6560" s="997">
        <f t="shared" si="102"/>
        <v>6559</v>
      </c>
      <c r="B6560" s="983" t="s">
        <v>2732</v>
      </c>
      <c r="C6560" s="1000"/>
      <c r="G6560" s="983" t="s">
        <v>1106</v>
      </c>
    </row>
    <row r="6561" spans="1:9" x14ac:dyDescent="0.2">
      <c r="A6561" s="997">
        <f t="shared" si="102"/>
        <v>6560</v>
      </c>
      <c r="B6561" s="983" t="s">
        <v>2732</v>
      </c>
      <c r="C6561" s="1000"/>
      <c r="H6561" s="983" t="s">
        <v>1107</v>
      </c>
    </row>
    <row r="6562" spans="1:9" x14ac:dyDescent="0.2">
      <c r="A6562" s="997">
        <f t="shared" si="102"/>
        <v>6561</v>
      </c>
      <c r="B6562" s="983" t="s">
        <v>2732</v>
      </c>
      <c r="C6562" s="999"/>
      <c r="I6562" s="983" t="s">
        <v>2110</v>
      </c>
    </row>
    <row r="6563" spans="1:9" x14ac:dyDescent="0.2">
      <c r="A6563" s="997">
        <f t="shared" si="102"/>
        <v>6562</v>
      </c>
      <c r="B6563" s="983" t="s">
        <v>2732</v>
      </c>
      <c r="C6563" s="999"/>
      <c r="H6563" s="983" t="s">
        <v>1108</v>
      </c>
    </row>
    <row r="6564" spans="1:9" x14ac:dyDescent="0.2">
      <c r="A6564" s="997">
        <f t="shared" si="102"/>
        <v>6563</v>
      </c>
      <c r="B6564" s="983" t="s">
        <v>2732</v>
      </c>
      <c r="C6564" s="1000"/>
      <c r="H6564" s="983" t="str">
        <f>CONCATENATE("&lt;valeur&gt;",Cellule_1715,"&lt;/valeur&gt;")</f>
        <v>&lt;valeur&gt;0&lt;/valeur&gt;</v>
      </c>
    </row>
    <row r="6565" spans="1:9" x14ac:dyDescent="0.2">
      <c r="A6565" s="997">
        <f t="shared" si="102"/>
        <v>6564</v>
      </c>
      <c r="B6565" s="983" t="s">
        <v>2732</v>
      </c>
      <c r="C6565" s="1001"/>
      <c r="G6565" s="983" t="s">
        <v>1109</v>
      </c>
    </row>
    <row r="6566" spans="1:9" x14ac:dyDescent="0.2">
      <c r="A6566" s="997">
        <f t="shared" si="102"/>
        <v>6565</v>
      </c>
      <c r="B6566" s="983" t="s">
        <v>2732</v>
      </c>
      <c r="C6566" s="1000"/>
      <c r="G6566" s="983" t="s">
        <v>1106</v>
      </c>
    </row>
    <row r="6567" spans="1:9" x14ac:dyDescent="0.2">
      <c r="A6567" s="997">
        <f t="shared" si="102"/>
        <v>6566</v>
      </c>
      <c r="B6567" s="983" t="s">
        <v>2732</v>
      </c>
      <c r="C6567" s="1000"/>
      <c r="H6567" s="983" t="s">
        <v>1107</v>
      </c>
    </row>
    <row r="6568" spans="1:9" x14ac:dyDescent="0.2">
      <c r="A6568" s="997">
        <f t="shared" si="102"/>
        <v>6567</v>
      </c>
      <c r="B6568" s="983" t="s">
        <v>2732</v>
      </c>
      <c r="C6568" s="999"/>
      <c r="I6568" s="983" t="s">
        <v>2111</v>
      </c>
    </row>
    <row r="6569" spans="1:9" x14ac:dyDescent="0.2">
      <c r="A6569" s="997">
        <f t="shared" si="102"/>
        <v>6568</v>
      </c>
      <c r="B6569" s="983" t="s">
        <v>2732</v>
      </c>
      <c r="C6569" s="999"/>
      <c r="H6569" s="983" t="s">
        <v>1108</v>
      </c>
    </row>
    <row r="6570" spans="1:9" x14ac:dyDescent="0.2">
      <c r="A6570" s="997">
        <f t="shared" si="102"/>
        <v>6569</v>
      </c>
      <c r="B6570" s="983" t="s">
        <v>2732</v>
      </c>
      <c r="C6570" s="1000"/>
      <c r="H6570" s="983" t="str">
        <f>CONCATENATE("&lt;valeur&gt;",Cellule_1716,"&lt;/valeur&gt;")</f>
        <v>&lt;valeur&gt;0&lt;/valeur&gt;</v>
      </c>
    </row>
    <row r="6571" spans="1:9" x14ac:dyDescent="0.2">
      <c r="A6571" s="997">
        <f t="shared" si="102"/>
        <v>6570</v>
      </c>
      <c r="B6571" s="983" t="s">
        <v>2732</v>
      </c>
      <c r="C6571" s="1001"/>
      <c r="G6571" s="983" t="s">
        <v>1109</v>
      </c>
    </row>
    <row r="6572" spans="1:9" x14ac:dyDescent="0.2">
      <c r="A6572" s="997">
        <f t="shared" si="102"/>
        <v>6571</v>
      </c>
      <c r="B6572" s="983" t="s">
        <v>2732</v>
      </c>
      <c r="C6572" s="1000"/>
      <c r="G6572" s="983" t="s">
        <v>1106</v>
      </c>
    </row>
    <row r="6573" spans="1:9" x14ac:dyDescent="0.2">
      <c r="A6573" s="997">
        <f t="shared" si="102"/>
        <v>6572</v>
      </c>
      <c r="B6573" s="983" t="s">
        <v>2732</v>
      </c>
      <c r="C6573" s="1000"/>
      <c r="H6573" s="983" t="s">
        <v>1107</v>
      </c>
    </row>
    <row r="6574" spans="1:9" x14ac:dyDescent="0.2">
      <c r="A6574" s="997">
        <f t="shared" si="102"/>
        <v>6573</v>
      </c>
      <c r="B6574" s="983" t="s">
        <v>2732</v>
      </c>
      <c r="C6574" s="999"/>
      <c r="I6574" s="983" t="s">
        <v>2112</v>
      </c>
    </row>
    <row r="6575" spans="1:9" x14ac:dyDescent="0.2">
      <c r="A6575" s="997">
        <f t="shared" si="102"/>
        <v>6574</v>
      </c>
      <c r="B6575" s="983" t="s">
        <v>2732</v>
      </c>
      <c r="C6575" s="999"/>
      <c r="H6575" s="983" t="s">
        <v>1108</v>
      </c>
    </row>
    <row r="6576" spans="1:9" x14ac:dyDescent="0.2">
      <c r="A6576" s="997">
        <f t="shared" si="102"/>
        <v>6575</v>
      </c>
      <c r="B6576" s="983" t="s">
        <v>2732</v>
      </c>
      <c r="C6576" s="1000"/>
      <c r="H6576" s="983" t="str">
        <f>CONCATENATE("&lt;valeur&gt;",Cellule_1717,"&lt;/valeur&gt;")</f>
        <v>&lt;valeur&gt;0&lt;/valeur&gt;</v>
      </c>
    </row>
    <row r="6577" spans="1:9" x14ac:dyDescent="0.2">
      <c r="A6577" s="997">
        <f t="shared" si="102"/>
        <v>6576</v>
      </c>
      <c r="B6577" s="983" t="s">
        <v>2732</v>
      </c>
      <c r="C6577" s="1001"/>
      <c r="G6577" s="983" t="s">
        <v>1109</v>
      </c>
    </row>
    <row r="6578" spans="1:9" x14ac:dyDescent="0.2">
      <c r="A6578" s="997">
        <f t="shared" si="102"/>
        <v>6577</v>
      </c>
      <c r="B6578" s="983" t="s">
        <v>2732</v>
      </c>
      <c r="C6578" s="1000"/>
      <c r="G6578" s="983" t="s">
        <v>1106</v>
      </c>
    </row>
    <row r="6579" spans="1:9" x14ac:dyDescent="0.2">
      <c r="A6579" s="997">
        <f t="shared" si="102"/>
        <v>6578</v>
      </c>
      <c r="B6579" s="983" t="s">
        <v>2732</v>
      </c>
      <c r="C6579" s="1000"/>
      <c r="H6579" s="983" t="s">
        <v>1107</v>
      </c>
    </row>
    <row r="6580" spans="1:9" x14ac:dyDescent="0.2">
      <c r="A6580" s="997">
        <f t="shared" si="102"/>
        <v>6579</v>
      </c>
      <c r="B6580" s="983" t="s">
        <v>2732</v>
      </c>
      <c r="C6580" s="999"/>
      <c r="I6580" s="983" t="s">
        <v>2113</v>
      </c>
    </row>
    <row r="6581" spans="1:9" x14ac:dyDescent="0.2">
      <c r="A6581" s="997">
        <f t="shared" si="102"/>
        <v>6580</v>
      </c>
      <c r="B6581" s="983" t="s">
        <v>2732</v>
      </c>
      <c r="C6581" s="999"/>
      <c r="H6581" s="983" t="s">
        <v>1108</v>
      </c>
    </row>
    <row r="6582" spans="1:9" x14ac:dyDescent="0.2">
      <c r="A6582" s="997">
        <f t="shared" si="102"/>
        <v>6581</v>
      </c>
      <c r="B6582" s="983" t="s">
        <v>2732</v>
      </c>
      <c r="C6582" s="1000"/>
      <c r="H6582" s="983" t="str">
        <f>CONCATENATE("&lt;valeur&gt;",Cellule_1718,"&lt;/valeur&gt;")</f>
        <v>&lt;valeur&gt;0&lt;/valeur&gt;</v>
      </c>
    </row>
    <row r="6583" spans="1:9" x14ac:dyDescent="0.2">
      <c r="A6583" s="997">
        <f t="shared" si="102"/>
        <v>6582</v>
      </c>
      <c r="B6583" s="983" t="s">
        <v>2732</v>
      </c>
      <c r="C6583" s="1001"/>
      <c r="G6583" s="983" t="s">
        <v>1109</v>
      </c>
    </row>
    <row r="6584" spans="1:9" x14ac:dyDescent="0.2">
      <c r="A6584" s="997">
        <f t="shared" si="102"/>
        <v>6583</v>
      </c>
      <c r="B6584" s="983" t="s">
        <v>2732</v>
      </c>
      <c r="C6584" s="1000"/>
      <c r="G6584" s="983" t="s">
        <v>1106</v>
      </c>
    </row>
    <row r="6585" spans="1:9" x14ac:dyDescent="0.2">
      <c r="A6585" s="997">
        <f t="shared" si="102"/>
        <v>6584</v>
      </c>
      <c r="B6585" s="983" t="s">
        <v>2732</v>
      </c>
      <c r="C6585" s="1000"/>
      <c r="H6585" s="983" t="s">
        <v>1107</v>
      </c>
    </row>
    <row r="6586" spans="1:9" x14ac:dyDescent="0.2">
      <c r="A6586" s="997">
        <f t="shared" si="102"/>
        <v>6585</v>
      </c>
      <c r="B6586" s="983" t="s">
        <v>2732</v>
      </c>
      <c r="C6586" s="999"/>
      <c r="I6586" s="983" t="s">
        <v>2114</v>
      </c>
    </row>
    <row r="6587" spans="1:9" x14ac:dyDescent="0.2">
      <c r="A6587" s="997">
        <f t="shared" si="102"/>
        <v>6586</v>
      </c>
      <c r="B6587" s="983" t="s">
        <v>2732</v>
      </c>
      <c r="C6587" s="999"/>
      <c r="H6587" s="983" t="s">
        <v>1108</v>
      </c>
    </row>
    <row r="6588" spans="1:9" x14ac:dyDescent="0.2">
      <c r="A6588" s="997">
        <f t="shared" si="102"/>
        <v>6587</v>
      </c>
      <c r="B6588" s="983" t="s">
        <v>2732</v>
      </c>
      <c r="C6588" s="1000"/>
      <c r="H6588" s="983" t="str">
        <f>CONCATENATE("&lt;valeur&gt;",Cellule_1719,"&lt;/valeur&gt;")</f>
        <v>&lt;valeur&gt;0&lt;/valeur&gt;</v>
      </c>
    </row>
    <row r="6589" spans="1:9" x14ac:dyDescent="0.2">
      <c r="A6589" s="997">
        <f t="shared" si="102"/>
        <v>6588</v>
      </c>
      <c r="B6589" s="983" t="s">
        <v>2732</v>
      </c>
      <c r="C6589" s="1001"/>
      <c r="G6589" s="983" t="s">
        <v>1109</v>
      </c>
    </row>
    <row r="6590" spans="1:9" x14ac:dyDescent="0.2">
      <c r="A6590" s="997">
        <f t="shared" si="102"/>
        <v>6589</v>
      </c>
      <c r="B6590" s="983" t="s">
        <v>2732</v>
      </c>
      <c r="C6590" s="1000"/>
      <c r="G6590" s="983" t="s">
        <v>1106</v>
      </c>
    </row>
    <row r="6591" spans="1:9" x14ac:dyDescent="0.2">
      <c r="A6591" s="997">
        <f t="shared" si="102"/>
        <v>6590</v>
      </c>
      <c r="B6591" s="983" t="s">
        <v>2732</v>
      </c>
      <c r="C6591" s="1000"/>
      <c r="H6591" s="983" t="s">
        <v>1107</v>
      </c>
    </row>
    <row r="6592" spans="1:9" x14ac:dyDescent="0.2">
      <c r="A6592" s="997">
        <f t="shared" si="102"/>
        <v>6591</v>
      </c>
      <c r="B6592" s="983" t="s">
        <v>2732</v>
      </c>
      <c r="C6592" s="999"/>
      <c r="I6592" s="983" t="s">
        <v>2115</v>
      </c>
    </row>
    <row r="6593" spans="1:9" x14ac:dyDescent="0.2">
      <c r="A6593" s="997">
        <f t="shared" si="102"/>
        <v>6592</v>
      </c>
      <c r="B6593" s="983" t="s">
        <v>2732</v>
      </c>
      <c r="C6593" s="999"/>
      <c r="H6593" s="983" t="s">
        <v>1108</v>
      </c>
    </row>
    <row r="6594" spans="1:9" x14ac:dyDescent="0.2">
      <c r="A6594" s="997">
        <f t="shared" si="102"/>
        <v>6593</v>
      </c>
      <c r="B6594" s="983" t="s">
        <v>2732</v>
      </c>
      <c r="C6594" s="1000"/>
      <c r="H6594" s="983" t="str">
        <f>CONCATENATE("&lt;valeur&gt;",Cellule_1720,"&lt;/valeur&gt;")</f>
        <v>&lt;valeur&gt;0&lt;/valeur&gt;</v>
      </c>
    </row>
    <row r="6595" spans="1:9" x14ac:dyDescent="0.2">
      <c r="A6595" s="997">
        <f t="shared" si="102"/>
        <v>6594</v>
      </c>
      <c r="B6595" s="983" t="s">
        <v>2732</v>
      </c>
      <c r="C6595" s="1001"/>
      <c r="G6595" s="983" t="s">
        <v>1109</v>
      </c>
    </row>
    <row r="6596" spans="1:9" x14ac:dyDescent="0.2">
      <c r="A6596" s="997">
        <f t="shared" ref="A6596:A6659" si="103">+A6595+1</f>
        <v>6595</v>
      </c>
      <c r="B6596" s="983" t="s">
        <v>2732</v>
      </c>
      <c r="C6596" s="1000"/>
      <c r="G6596" s="983" t="s">
        <v>1106</v>
      </c>
    </row>
    <row r="6597" spans="1:9" x14ac:dyDescent="0.2">
      <c r="A6597" s="997">
        <f t="shared" si="103"/>
        <v>6596</v>
      </c>
      <c r="B6597" s="983" t="s">
        <v>2732</v>
      </c>
      <c r="C6597" s="1000"/>
      <c r="H6597" s="983" t="s">
        <v>1107</v>
      </c>
    </row>
    <row r="6598" spans="1:9" x14ac:dyDescent="0.2">
      <c r="A6598" s="997">
        <f t="shared" si="103"/>
        <v>6597</v>
      </c>
      <c r="B6598" s="983" t="s">
        <v>2732</v>
      </c>
      <c r="C6598" s="999"/>
      <c r="I6598" s="983" t="s">
        <v>2116</v>
      </c>
    </row>
    <row r="6599" spans="1:9" x14ac:dyDescent="0.2">
      <c r="A6599" s="997">
        <f t="shared" si="103"/>
        <v>6598</v>
      </c>
      <c r="B6599" s="983" t="s">
        <v>2732</v>
      </c>
      <c r="C6599" s="999"/>
      <c r="H6599" s="983" t="s">
        <v>1108</v>
      </c>
    </row>
    <row r="6600" spans="1:9" x14ac:dyDescent="0.2">
      <c r="A6600" s="997">
        <f t="shared" si="103"/>
        <v>6599</v>
      </c>
      <c r="B6600" s="983" t="s">
        <v>2732</v>
      </c>
      <c r="C6600" s="1000"/>
      <c r="H6600" s="983" t="str">
        <f>CONCATENATE("&lt;valeur&gt;",Cellule_1721,"&lt;/valeur&gt;")</f>
        <v>&lt;valeur&gt;0&lt;/valeur&gt;</v>
      </c>
    </row>
    <row r="6601" spans="1:9" x14ac:dyDescent="0.2">
      <c r="A6601" s="997">
        <f t="shared" si="103"/>
        <v>6600</v>
      </c>
      <c r="B6601" s="983" t="s">
        <v>2732</v>
      </c>
      <c r="C6601" s="1001"/>
      <c r="G6601" s="983" t="s">
        <v>1109</v>
      </c>
    </row>
    <row r="6602" spans="1:9" x14ac:dyDescent="0.2">
      <c r="A6602" s="997">
        <f t="shared" si="103"/>
        <v>6601</v>
      </c>
      <c r="B6602" s="983" t="s">
        <v>2732</v>
      </c>
      <c r="C6602" s="1000"/>
      <c r="G6602" s="983" t="s">
        <v>1106</v>
      </c>
    </row>
    <row r="6603" spans="1:9" x14ac:dyDescent="0.2">
      <c r="A6603" s="997">
        <f t="shared" si="103"/>
        <v>6602</v>
      </c>
      <c r="B6603" s="983" t="s">
        <v>2732</v>
      </c>
      <c r="C6603" s="1000"/>
      <c r="H6603" s="983" t="s">
        <v>1107</v>
      </c>
    </row>
    <row r="6604" spans="1:9" x14ac:dyDescent="0.2">
      <c r="A6604" s="997">
        <f t="shared" si="103"/>
        <v>6603</v>
      </c>
      <c r="B6604" s="983" t="s">
        <v>2732</v>
      </c>
      <c r="C6604" s="999"/>
      <c r="I6604" s="983" t="s">
        <v>2117</v>
      </c>
    </row>
    <row r="6605" spans="1:9" x14ac:dyDescent="0.2">
      <c r="A6605" s="997">
        <f t="shared" si="103"/>
        <v>6604</v>
      </c>
      <c r="B6605" s="983" t="s">
        <v>2732</v>
      </c>
      <c r="C6605" s="999"/>
      <c r="H6605" s="983" t="s">
        <v>1108</v>
      </c>
    </row>
    <row r="6606" spans="1:9" x14ac:dyDescent="0.2">
      <c r="A6606" s="997">
        <f t="shared" si="103"/>
        <v>6605</v>
      </c>
      <c r="B6606" s="983" t="s">
        <v>2732</v>
      </c>
      <c r="C6606" s="1000"/>
      <c r="H6606" s="983" t="str">
        <f>CONCATENATE("&lt;valeur&gt;",Cellule_1722,"&lt;/valeur&gt;")</f>
        <v>&lt;valeur&gt;0&lt;/valeur&gt;</v>
      </c>
    </row>
    <row r="6607" spans="1:9" x14ac:dyDescent="0.2">
      <c r="A6607" s="997">
        <f t="shared" si="103"/>
        <v>6606</v>
      </c>
      <c r="B6607" s="983" t="s">
        <v>2732</v>
      </c>
      <c r="C6607" s="1001"/>
      <c r="G6607" s="983" t="s">
        <v>1109</v>
      </c>
    </row>
    <row r="6608" spans="1:9" x14ac:dyDescent="0.2">
      <c r="A6608" s="997">
        <f t="shared" si="103"/>
        <v>6607</v>
      </c>
      <c r="B6608" s="983" t="s">
        <v>2732</v>
      </c>
      <c r="C6608" s="1000"/>
      <c r="G6608" s="983" t="s">
        <v>1106</v>
      </c>
    </row>
    <row r="6609" spans="1:9" x14ac:dyDescent="0.2">
      <c r="A6609" s="997">
        <f t="shared" si="103"/>
        <v>6608</v>
      </c>
      <c r="B6609" s="983" t="s">
        <v>2732</v>
      </c>
      <c r="C6609" s="1000"/>
      <c r="H6609" s="983" t="s">
        <v>1107</v>
      </c>
    </row>
    <row r="6610" spans="1:9" x14ac:dyDescent="0.2">
      <c r="A6610" s="997">
        <f t="shared" si="103"/>
        <v>6609</v>
      </c>
      <c r="B6610" s="983" t="s">
        <v>2732</v>
      </c>
      <c r="C6610" s="999"/>
      <c r="I6610" s="983" t="s">
        <v>2118</v>
      </c>
    </row>
    <row r="6611" spans="1:9" x14ac:dyDescent="0.2">
      <c r="A6611" s="997">
        <f t="shared" si="103"/>
        <v>6610</v>
      </c>
      <c r="B6611" s="983" t="s">
        <v>2732</v>
      </c>
      <c r="C6611" s="999"/>
      <c r="H6611" s="983" t="s">
        <v>1108</v>
      </c>
    </row>
    <row r="6612" spans="1:9" x14ac:dyDescent="0.2">
      <c r="A6612" s="997">
        <f t="shared" si="103"/>
        <v>6611</v>
      </c>
      <c r="B6612" s="983" t="s">
        <v>2732</v>
      </c>
      <c r="C6612" s="1000"/>
      <c r="H6612" s="983" t="str">
        <f>CONCATENATE("&lt;valeur&gt;",Cellule_1723,"&lt;/valeur&gt;")</f>
        <v>&lt;valeur&gt;0&lt;/valeur&gt;</v>
      </c>
    </row>
    <row r="6613" spans="1:9" x14ac:dyDescent="0.2">
      <c r="A6613" s="997">
        <f t="shared" si="103"/>
        <v>6612</v>
      </c>
      <c r="B6613" s="983" t="s">
        <v>2732</v>
      </c>
      <c r="C6613" s="1001"/>
      <c r="G6613" s="983" t="s">
        <v>1109</v>
      </c>
    </row>
    <row r="6614" spans="1:9" x14ac:dyDescent="0.2">
      <c r="A6614" s="997">
        <f t="shared" si="103"/>
        <v>6613</v>
      </c>
      <c r="B6614" s="983" t="s">
        <v>2732</v>
      </c>
      <c r="C6614" s="1000"/>
      <c r="G6614" s="983" t="s">
        <v>1106</v>
      </c>
    </row>
    <row r="6615" spans="1:9" x14ac:dyDescent="0.2">
      <c r="A6615" s="997">
        <f t="shared" si="103"/>
        <v>6614</v>
      </c>
      <c r="B6615" s="983" t="s">
        <v>2732</v>
      </c>
      <c r="C6615" s="1000"/>
      <c r="H6615" s="983" t="s">
        <v>1107</v>
      </c>
    </row>
    <row r="6616" spans="1:9" x14ac:dyDescent="0.2">
      <c r="A6616" s="997">
        <f t="shared" si="103"/>
        <v>6615</v>
      </c>
      <c r="B6616" s="983" t="s">
        <v>2732</v>
      </c>
      <c r="C6616" s="999"/>
      <c r="I6616" s="983" t="s">
        <v>2119</v>
      </c>
    </row>
    <row r="6617" spans="1:9" x14ac:dyDescent="0.2">
      <c r="A6617" s="997">
        <f t="shared" si="103"/>
        <v>6616</v>
      </c>
      <c r="B6617" s="983" t="s">
        <v>2732</v>
      </c>
      <c r="C6617" s="999"/>
      <c r="H6617" s="983" t="s">
        <v>1108</v>
      </c>
    </row>
    <row r="6618" spans="1:9" x14ac:dyDescent="0.2">
      <c r="A6618" s="997">
        <f t="shared" si="103"/>
        <v>6617</v>
      </c>
      <c r="B6618" s="983" t="s">
        <v>2732</v>
      </c>
      <c r="C6618" s="1000"/>
      <c r="H6618" s="983" t="str">
        <f>CONCATENATE("&lt;valeur&gt;",Cellule_1724,"&lt;/valeur&gt;")</f>
        <v>&lt;valeur&gt;171177,26&lt;/valeur&gt;</v>
      </c>
    </row>
    <row r="6619" spans="1:9" x14ac:dyDescent="0.2">
      <c r="A6619" s="997">
        <f t="shared" si="103"/>
        <v>6618</v>
      </c>
      <c r="B6619" s="983" t="s">
        <v>2732</v>
      </c>
      <c r="C6619" s="1001"/>
      <c r="G6619" s="983" t="s">
        <v>1109</v>
      </c>
    </row>
    <row r="6620" spans="1:9" x14ac:dyDescent="0.2">
      <c r="A6620" s="997">
        <f t="shared" si="103"/>
        <v>6619</v>
      </c>
      <c r="B6620" s="983" t="s">
        <v>2732</v>
      </c>
      <c r="C6620" s="1000"/>
      <c r="G6620" s="983" t="s">
        <v>1106</v>
      </c>
    </row>
    <row r="6621" spans="1:9" x14ac:dyDescent="0.2">
      <c r="A6621" s="997">
        <f t="shared" si="103"/>
        <v>6620</v>
      </c>
      <c r="B6621" s="983" t="s">
        <v>2732</v>
      </c>
      <c r="C6621" s="1000"/>
      <c r="H6621" s="983" t="s">
        <v>1107</v>
      </c>
    </row>
    <row r="6622" spans="1:9" x14ac:dyDescent="0.2">
      <c r="A6622" s="997">
        <f t="shared" si="103"/>
        <v>6621</v>
      </c>
      <c r="B6622" s="983" t="s">
        <v>2732</v>
      </c>
      <c r="C6622" s="999"/>
      <c r="I6622" s="983" t="s">
        <v>2120</v>
      </c>
    </row>
    <row r="6623" spans="1:9" x14ac:dyDescent="0.2">
      <c r="A6623" s="997">
        <f t="shared" si="103"/>
        <v>6622</v>
      </c>
      <c r="B6623" s="983" t="s">
        <v>2732</v>
      </c>
      <c r="C6623" s="999"/>
      <c r="H6623" s="983" t="s">
        <v>1108</v>
      </c>
    </row>
    <row r="6624" spans="1:9" x14ac:dyDescent="0.2">
      <c r="A6624" s="997">
        <f t="shared" si="103"/>
        <v>6623</v>
      </c>
      <c r="B6624" s="983" t="s">
        <v>2732</v>
      </c>
      <c r="C6624" s="1000"/>
      <c r="H6624" s="983" t="str">
        <f>CONCATENATE("&lt;valeur&gt;",Cellule_1725,"&lt;/valeur&gt;")</f>
        <v>&lt;valeur&gt;0&lt;/valeur&gt;</v>
      </c>
    </row>
    <row r="6625" spans="1:9" x14ac:dyDescent="0.2">
      <c r="A6625" s="997">
        <f t="shared" si="103"/>
        <v>6624</v>
      </c>
      <c r="B6625" s="983" t="s">
        <v>2732</v>
      </c>
      <c r="C6625" s="1001"/>
      <c r="G6625" s="983" t="s">
        <v>1109</v>
      </c>
    </row>
    <row r="6626" spans="1:9" x14ac:dyDescent="0.2">
      <c r="A6626" s="997">
        <f t="shared" si="103"/>
        <v>6625</v>
      </c>
      <c r="B6626" s="983" t="s">
        <v>2732</v>
      </c>
      <c r="C6626" s="1000"/>
      <c r="G6626" s="983" t="s">
        <v>1106</v>
      </c>
    </row>
    <row r="6627" spans="1:9" x14ac:dyDescent="0.2">
      <c r="A6627" s="997">
        <f t="shared" si="103"/>
        <v>6626</v>
      </c>
      <c r="B6627" s="983" t="s">
        <v>2732</v>
      </c>
      <c r="C6627" s="1000"/>
      <c r="H6627" s="983" t="s">
        <v>1107</v>
      </c>
    </row>
    <row r="6628" spans="1:9" x14ac:dyDescent="0.2">
      <c r="A6628" s="997">
        <f t="shared" si="103"/>
        <v>6627</v>
      </c>
      <c r="B6628" s="983" t="s">
        <v>2732</v>
      </c>
      <c r="C6628" s="999"/>
      <c r="I6628" s="983" t="s">
        <v>2121</v>
      </c>
    </row>
    <row r="6629" spans="1:9" x14ac:dyDescent="0.2">
      <c r="A6629" s="997">
        <f t="shared" si="103"/>
        <v>6628</v>
      </c>
      <c r="B6629" s="983" t="s">
        <v>2732</v>
      </c>
      <c r="C6629" s="999"/>
      <c r="H6629" s="983" t="s">
        <v>1108</v>
      </c>
    </row>
    <row r="6630" spans="1:9" x14ac:dyDescent="0.2">
      <c r="A6630" s="997">
        <f t="shared" si="103"/>
        <v>6629</v>
      </c>
      <c r="B6630" s="983" t="s">
        <v>2732</v>
      </c>
      <c r="C6630" s="1000"/>
      <c r="H6630" s="983" t="str">
        <f>CONCATENATE("&lt;valeur&gt;",Cellule_1726,"&lt;/valeur&gt;")</f>
        <v>&lt;valeur&gt;1215&lt;/valeur&gt;</v>
      </c>
    </row>
    <row r="6631" spans="1:9" x14ac:dyDescent="0.2">
      <c r="A6631" s="997">
        <f t="shared" si="103"/>
        <v>6630</v>
      </c>
      <c r="B6631" s="983" t="s">
        <v>2732</v>
      </c>
      <c r="C6631" s="1001"/>
      <c r="G6631" s="983" t="s">
        <v>1109</v>
      </c>
    </row>
    <row r="6632" spans="1:9" x14ac:dyDescent="0.2">
      <c r="A6632" s="997">
        <f t="shared" si="103"/>
        <v>6631</v>
      </c>
      <c r="B6632" s="983" t="s">
        <v>2732</v>
      </c>
      <c r="C6632" s="1000"/>
      <c r="G6632" s="983" t="s">
        <v>1106</v>
      </c>
    </row>
    <row r="6633" spans="1:9" x14ac:dyDescent="0.2">
      <c r="A6633" s="997">
        <f t="shared" si="103"/>
        <v>6632</v>
      </c>
      <c r="B6633" s="983" t="s">
        <v>2732</v>
      </c>
      <c r="C6633" s="1000"/>
      <c r="H6633" s="983" t="s">
        <v>1107</v>
      </c>
    </row>
    <row r="6634" spans="1:9" x14ac:dyDescent="0.2">
      <c r="A6634" s="997">
        <f t="shared" si="103"/>
        <v>6633</v>
      </c>
      <c r="B6634" s="983" t="s">
        <v>2732</v>
      </c>
      <c r="C6634" s="999"/>
      <c r="I6634" s="983" t="s">
        <v>2122</v>
      </c>
    </row>
    <row r="6635" spans="1:9" x14ac:dyDescent="0.2">
      <c r="A6635" s="997">
        <f t="shared" si="103"/>
        <v>6634</v>
      </c>
      <c r="B6635" s="983" t="s">
        <v>2732</v>
      </c>
      <c r="C6635" s="999"/>
      <c r="H6635" s="983" t="s">
        <v>1108</v>
      </c>
    </row>
    <row r="6636" spans="1:9" x14ac:dyDescent="0.2">
      <c r="A6636" s="997">
        <f t="shared" si="103"/>
        <v>6635</v>
      </c>
      <c r="B6636" s="983" t="s">
        <v>2732</v>
      </c>
      <c r="C6636" s="1000"/>
      <c r="H6636" s="983" t="str">
        <f>CONCATENATE("&lt;valeur&gt;",Cellule_1727,"&lt;/valeur&gt;")</f>
        <v>&lt;valeur&gt;0&lt;/valeur&gt;</v>
      </c>
    </row>
    <row r="6637" spans="1:9" x14ac:dyDescent="0.2">
      <c r="A6637" s="997">
        <f t="shared" si="103"/>
        <v>6636</v>
      </c>
      <c r="B6637" s="983" t="s">
        <v>2732</v>
      </c>
      <c r="C6637" s="1001"/>
      <c r="G6637" s="983" t="s">
        <v>1109</v>
      </c>
    </row>
    <row r="6638" spans="1:9" x14ac:dyDescent="0.2">
      <c r="A6638" s="997">
        <f t="shared" si="103"/>
        <v>6637</v>
      </c>
      <c r="B6638" s="983" t="s">
        <v>2732</v>
      </c>
      <c r="C6638" s="1000"/>
      <c r="G6638" s="983" t="s">
        <v>1106</v>
      </c>
    </row>
    <row r="6639" spans="1:9" x14ac:dyDescent="0.2">
      <c r="A6639" s="997">
        <f t="shared" si="103"/>
        <v>6638</v>
      </c>
      <c r="B6639" s="983" t="s">
        <v>2732</v>
      </c>
      <c r="C6639" s="1000"/>
      <c r="H6639" s="983" t="s">
        <v>1107</v>
      </c>
    </row>
    <row r="6640" spans="1:9" x14ac:dyDescent="0.2">
      <c r="A6640" s="997">
        <f t="shared" si="103"/>
        <v>6639</v>
      </c>
      <c r="B6640" s="983" t="s">
        <v>2732</v>
      </c>
      <c r="C6640" s="999"/>
      <c r="I6640" s="983" t="s">
        <v>2123</v>
      </c>
    </row>
    <row r="6641" spans="1:9" x14ac:dyDescent="0.2">
      <c r="A6641" s="997">
        <f t="shared" si="103"/>
        <v>6640</v>
      </c>
      <c r="B6641" s="983" t="s">
        <v>2732</v>
      </c>
      <c r="C6641" s="999"/>
      <c r="H6641" s="983" t="s">
        <v>1108</v>
      </c>
    </row>
    <row r="6642" spans="1:9" x14ac:dyDescent="0.2">
      <c r="A6642" s="997">
        <f t="shared" si="103"/>
        <v>6641</v>
      </c>
      <c r="B6642" s="983" t="s">
        <v>2732</v>
      </c>
      <c r="C6642" s="1000"/>
      <c r="H6642" s="983" t="str">
        <f>CONCATENATE("&lt;valeur&gt;",Cellule_1728,"&lt;/valeur&gt;")</f>
        <v>&lt;valeur&gt;169962,26&lt;/valeur&gt;</v>
      </c>
    </row>
    <row r="6643" spans="1:9" x14ac:dyDescent="0.2">
      <c r="A6643" s="997">
        <f t="shared" si="103"/>
        <v>6642</v>
      </c>
      <c r="B6643" s="983" t="s">
        <v>2732</v>
      </c>
      <c r="C6643" s="1001"/>
      <c r="G6643" s="983" t="s">
        <v>1109</v>
      </c>
    </row>
    <row r="6644" spans="1:9" x14ac:dyDescent="0.2">
      <c r="A6644" s="997">
        <f t="shared" si="103"/>
        <v>6643</v>
      </c>
      <c r="B6644" s="983" t="s">
        <v>2732</v>
      </c>
      <c r="C6644" s="1000"/>
      <c r="G6644" s="983" t="s">
        <v>1106</v>
      </c>
    </row>
    <row r="6645" spans="1:9" x14ac:dyDescent="0.2">
      <c r="A6645" s="997">
        <f t="shared" si="103"/>
        <v>6644</v>
      </c>
      <c r="B6645" s="983" t="s">
        <v>2732</v>
      </c>
      <c r="C6645" s="1000"/>
      <c r="H6645" s="983" t="s">
        <v>1107</v>
      </c>
    </row>
    <row r="6646" spans="1:9" x14ac:dyDescent="0.2">
      <c r="A6646" s="997">
        <f t="shared" si="103"/>
        <v>6645</v>
      </c>
      <c r="B6646" s="983" t="s">
        <v>2732</v>
      </c>
      <c r="C6646" s="999"/>
      <c r="I6646" s="983" t="s">
        <v>2124</v>
      </c>
    </row>
    <row r="6647" spans="1:9" x14ac:dyDescent="0.2">
      <c r="A6647" s="997">
        <f t="shared" si="103"/>
        <v>6646</v>
      </c>
      <c r="B6647" s="983" t="s">
        <v>2732</v>
      </c>
      <c r="C6647" s="999"/>
      <c r="H6647" s="983" t="s">
        <v>1108</v>
      </c>
    </row>
    <row r="6648" spans="1:9" x14ac:dyDescent="0.2">
      <c r="A6648" s="997">
        <f t="shared" si="103"/>
        <v>6647</v>
      </c>
      <c r="B6648" s="983" t="s">
        <v>2732</v>
      </c>
      <c r="C6648" s="1000"/>
      <c r="H6648" s="983" t="str">
        <f>CONCATENATE("&lt;valeur&gt;",Cellule_1729,"&lt;/valeur&gt;")</f>
        <v>&lt;valeur&gt;0&lt;/valeur&gt;</v>
      </c>
    </row>
    <row r="6649" spans="1:9" x14ac:dyDescent="0.2">
      <c r="A6649" s="997">
        <f t="shared" si="103"/>
        <v>6648</v>
      </c>
      <c r="B6649" s="983" t="s">
        <v>2732</v>
      </c>
      <c r="C6649" s="1001"/>
      <c r="G6649" s="983" t="s">
        <v>1109</v>
      </c>
    </row>
    <row r="6650" spans="1:9" x14ac:dyDescent="0.2">
      <c r="A6650" s="997">
        <f t="shared" si="103"/>
        <v>6649</v>
      </c>
      <c r="B6650" s="983" t="s">
        <v>2732</v>
      </c>
      <c r="C6650" s="1000"/>
      <c r="G6650" s="983" t="s">
        <v>1106</v>
      </c>
    </row>
    <row r="6651" spans="1:9" x14ac:dyDescent="0.2">
      <c r="A6651" s="997">
        <f t="shared" si="103"/>
        <v>6650</v>
      </c>
      <c r="B6651" s="983" t="s">
        <v>2732</v>
      </c>
      <c r="C6651" s="1000"/>
      <c r="H6651" s="983" t="s">
        <v>1107</v>
      </c>
    </row>
    <row r="6652" spans="1:9" x14ac:dyDescent="0.2">
      <c r="A6652" s="997">
        <f t="shared" si="103"/>
        <v>6651</v>
      </c>
      <c r="B6652" s="983" t="s">
        <v>2732</v>
      </c>
      <c r="C6652" s="999"/>
      <c r="I6652" s="983" t="s">
        <v>2125</v>
      </c>
    </row>
    <row r="6653" spans="1:9" x14ac:dyDescent="0.2">
      <c r="A6653" s="997">
        <f t="shared" si="103"/>
        <v>6652</v>
      </c>
      <c r="B6653" s="983" t="s">
        <v>2732</v>
      </c>
      <c r="C6653" s="999"/>
      <c r="H6653" s="983" t="s">
        <v>1108</v>
      </c>
    </row>
    <row r="6654" spans="1:9" x14ac:dyDescent="0.2">
      <c r="A6654" s="997">
        <f t="shared" si="103"/>
        <v>6653</v>
      </c>
      <c r="B6654" s="983" t="s">
        <v>2732</v>
      </c>
      <c r="C6654" s="1000"/>
      <c r="H6654" s="983" t="str">
        <f>CONCATENATE("&lt;valeur&gt;",Cellule_1730,"&lt;/valeur&gt;")</f>
        <v>&lt;valeur&gt;0&lt;/valeur&gt;</v>
      </c>
    </row>
    <row r="6655" spans="1:9" x14ac:dyDescent="0.2">
      <c r="A6655" s="997">
        <f t="shared" si="103"/>
        <v>6654</v>
      </c>
      <c r="B6655" s="983" t="s">
        <v>2732</v>
      </c>
      <c r="C6655" s="1001"/>
      <c r="G6655" s="983" t="s">
        <v>1109</v>
      </c>
    </row>
    <row r="6656" spans="1:9" x14ac:dyDescent="0.2">
      <c r="A6656" s="997">
        <f t="shared" si="103"/>
        <v>6655</v>
      </c>
      <c r="B6656" s="983" t="s">
        <v>2732</v>
      </c>
      <c r="C6656" s="1000"/>
      <c r="G6656" s="983" t="s">
        <v>1106</v>
      </c>
    </row>
    <row r="6657" spans="1:9" x14ac:dyDescent="0.2">
      <c r="A6657" s="997">
        <f t="shared" si="103"/>
        <v>6656</v>
      </c>
      <c r="B6657" s="983" t="s">
        <v>2732</v>
      </c>
      <c r="C6657" s="1000"/>
      <c r="H6657" s="983" t="s">
        <v>1107</v>
      </c>
    </row>
    <row r="6658" spans="1:9" x14ac:dyDescent="0.2">
      <c r="A6658" s="997">
        <f t="shared" si="103"/>
        <v>6657</v>
      </c>
      <c r="B6658" s="983" t="s">
        <v>2732</v>
      </c>
      <c r="C6658" s="999"/>
      <c r="I6658" s="983" t="s">
        <v>2126</v>
      </c>
    </row>
    <row r="6659" spans="1:9" x14ac:dyDescent="0.2">
      <c r="A6659" s="997">
        <f t="shared" si="103"/>
        <v>6658</v>
      </c>
      <c r="B6659" s="983" t="s">
        <v>2732</v>
      </c>
      <c r="C6659" s="999"/>
      <c r="H6659" s="983" t="s">
        <v>1108</v>
      </c>
    </row>
    <row r="6660" spans="1:9" x14ac:dyDescent="0.2">
      <c r="A6660" s="997">
        <f t="shared" ref="A6660:A6723" si="104">+A6659+1</f>
        <v>6659</v>
      </c>
      <c r="B6660" s="983" t="s">
        <v>2732</v>
      </c>
      <c r="C6660" s="1000"/>
      <c r="H6660" s="983" t="str">
        <f>CONCATENATE("&lt;valeur&gt;",Cellule_1731,"&lt;/valeur&gt;")</f>
        <v>&lt;valeur&gt;0&lt;/valeur&gt;</v>
      </c>
    </row>
    <row r="6661" spans="1:9" x14ac:dyDescent="0.2">
      <c r="A6661" s="997">
        <f t="shared" si="104"/>
        <v>6660</v>
      </c>
      <c r="B6661" s="983" t="s">
        <v>2732</v>
      </c>
      <c r="C6661" s="1001"/>
      <c r="G6661" s="983" t="s">
        <v>1109</v>
      </c>
    </row>
    <row r="6662" spans="1:9" x14ac:dyDescent="0.2">
      <c r="A6662" s="997">
        <f t="shared" si="104"/>
        <v>6661</v>
      </c>
      <c r="B6662" s="983" t="s">
        <v>2732</v>
      </c>
      <c r="C6662" s="1000"/>
      <c r="F6662" s="983" t="s">
        <v>1110</v>
      </c>
    </row>
    <row r="6663" spans="1:9" x14ac:dyDescent="0.2">
      <c r="A6663" s="997">
        <f t="shared" si="104"/>
        <v>6662</v>
      </c>
      <c r="B6663" s="983" t="s">
        <v>2732</v>
      </c>
      <c r="C6663" s="999"/>
      <c r="F6663" s="983" t="s">
        <v>1111</v>
      </c>
    </row>
    <row r="6664" spans="1:9" x14ac:dyDescent="0.2">
      <c r="A6664" s="997">
        <f t="shared" si="104"/>
        <v>6663</v>
      </c>
      <c r="B6664" s="983" t="s">
        <v>2732</v>
      </c>
      <c r="C6664" s="999"/>
      <c r="F6664" s="983" t="s">
        <v>1112</v>
      </c>
    </row>
    <row r="6665" spans="1:9" x14ac:dyDescent="0.2">
      <c r="A6665" s="997">
        <f t="shared" si="104"/>
        <v>6664</v>
      </c>
      <c r="B6665" s="983" t="s">
        <v>2732</v>
      </c>
      <c r="C6665" s="1000"/>
      <c r="E6665" s="983" t="s">
        <v>1113</v>
      </c>
    </row>
    <row r="6666" spans="1:9" x14ac:dyDescent="0.2">
      <c r="A6666" s="997">
        <f t="shared" si="104"/>
        <v>6665</v>
      </c>
      <c r="B6666" s="983" t="s">
        <v>2716</v>
      </c>
      <c r="C6666" s="1001"/>
      <c r="E6666" s="983" t="s">
        <v>1104</v>
      </c>
    </row>
    <row r="6667" spans="1:9" x14ac:dyDescent="0.2">
      <c r="A6667" s="997">
        <f t="shared" si="104"/>
        <v>6666</v>
      </c>
      <c r="B6667" s="983" t="s">
        <v>2716</v>
      </c>
      <c r="C6667" s="1000"/>
      <c r="F6667" s="983" t="s">
        <v>2127</v>
      </c>
    </row>
    <row r="6668" spans="1:9" x14ac:dyDescent="0.2">
      <c r="A6668" s="997">
        <f t="shared" si="104"/>
        <v>6667</v>
      </c>
      <c r="B6668" s="983" t="s">
        <v>2716</v>
      </c>
      <c r="C6668" s="1000"/>
      <c r="F6668" s="983" t="s">
        <v>1105</v>
      </c>
    </row>
    <row r="6669" spans="1:9" x14ac:dyDescent="0.2">
      <c r="A6669" s="997">
        <f t="shared" si="104"/>
        <v>6668</v>
      </c>
      <c r="B6669" s="983" t="s">
        <v>2716</v>
      </c>
      <c r="C6669" s="999"/>
      <c r="G6669" s="983" t="s">
        <v>1106</v>
      </c>
    </row>
    <row r="6670" spans="1:9" x14ac:dyDescent="0.2">
      <c r="A6670" s="997">
        <f t="shared" si="104"/>
        <v>6669</v>
      </c>
      <c r="B6670" s="983" t="s">
        <v>2716</v>
      </c>
      <c r="C6670" s="999"/>
      <c r="H6670" s="983" t="s">
        <v>1107</v>
      </c>
    </row>
    <row r="6671" spans="1:9" x14ac:dyDescent="0.2">
      <c r="A6671" s="997">
        <f t="shared" si="104"/>
        <v>6670</v>
      </c>
      <c r="B6671" s="983" t="s">
        <v>2716</v>
      </c>
      <c r="C6671" s="1000"/>
      <c r="I6671" s="983" t="s">
        <v>2128</v>
      </c>
    </row>
    <row r="6672" spans="1:9" x14ac:dyDescent="0.2">
      <c r="A6672" s="997">
        <f t="shared" si="104"/>
        <v>6671</v>
      </c>
      <c r="B6672" s="983" t="s">
        <v>2716</v>
      </c>
      <c r="C6672" s="1001"/>
      <c r="H6672" s="983" t="s">
        <v>1108</v>
      </c>
    </row>
    <row r="6673" spans="1:9" x14ac:dyDescent="0.2">
      <c r="A6673" s="997">
        <f t="shared" si="104"/>
        <v>6672</v>
      </c>
      <c r="B6673" s="983" t="s">
        <v>2716</v>
      </c>
      <c r="C6673" s="1000"/>
      <c r="H6673" s="983" t="str">
        <f>CONCATENATE("&lt;valeur&gt;",Cellule_1748,"&lt;/valeur&gt;")</f>
        <v>&lt;valeur&gt;0&lt;/valeur&gt;</v>
      </c>
    </row>
    <row r="6674" spans="1:9" x14ac:dyDescent="0.2">
      <c r="A6674" s="997">
        <f t="shared" si="104"/>
        <v>6673</v>
      </c>
      <c r="B6674" s="983" t="s">
        <v>2716</v>
      </c>
      <c r="C6674" s="1000"/>
      <c r="G6674" s="983" t="s">
        <v>1109</v>
      </c>
    </row>
    <row r="6675" spans="1:9" x14ac:dyDescent="0.2">
      <c r="A6675" s="997">
        <f t="shared" si="104"/>
        <v>6674</v>
      </c>
      <c r="B6675" s="983" t="s">
        <v>2716</v>
      </c>
      <c r="C6675" s="999"/>
      <c r="G6675" s="983" t="s">
        <v>1106</v>
      </c>
    </row>
    <row r="6676" spans="1:9" x14ac:dyDescent="0.2">
      <c r="A6676" s="997">
        <f t="shared" si="104"/>
        <v>6675</v>
      </c>
      <c r="B6676" s="983" t="s">
        <v>2716</v>
      </c>
      <c r="C6676" s="999"/>
      <c r="H6676" s="983" t="s">
        <v>1107</v>
      </c>
    </row>
    <row r="6677" spans="1:9" x14ac:dyDescent="0.2">
      <c r="A6677" s="997">
        <f t="shared" si="104"/>
        <v>6676</v>
      </c>
      <c r="B6677" s="983" t="s">
        <v>2716</v>
      </c>
      <c r="C6677" s="1000"/>
      <c r="I6677" s="983" t="s">
        <v>2129</v>
      </c>
    </row>
    <row r="6678" spans="1:9" x14ac:dyDescent="0.2">
      <c r="A6678" s="997">
        <f t="shared" si="104"/>
        <v>6677</v>
      </c>
      <c r="B6678" s="983" t="s">
        <v>2716</v>
      </c>
      <c r="C6678" s="1001"/>
      <c r="H6678" s="983" t="s">
        <v>1108</v>
      </c>
    </row>
    <row r="6679" spans="1:9" x14ac:dyDescent="0.2">
      <c r="A6679" s="997">
        <f t="shared" si="104"/>
        <v>6678</v>
      </c>
      <c r="B6679" s="983" t="s">
        <v>2716</v>
      </c>
      <c r="C6679" s="1000"/>
      <c r="H6679" s="983" t="str">
        <f>CONCATENATE("&lt;valeur&gt;",Cellule_1784,"&lt;/valeur&gt;")</f>
        <v>&lt;valeur&gt;0&lt;/valeur&gt;</v>
      </c>
    </row>
    <row r="6680" spans="1:9" x14ac:dyDescent="0.2">
      <c r="A6680" s="997">
        <f t="shared" si="104"/>
        <v>6679</v>
      </c>
      <c r="B6680" s="983" t="s">
        <v>2716</v>
      </c>
      <c r="C6680" s="1000"/>
      <c r="G6680" s="983" t="s">
        <v>1109</v>
      </c>
    </row>
    <row r="6681" spans="1:9" x14ac:dyDescent="0.2">
      <c r="A6681" s="997">
        <f t="shared" si="104"/>
        <v>6680</v>
      </c>
      <c r="B6681" s="983" t="s">
        <v>2716</v>
      </c>
      <c r="C6681" s="999"/>
      <c r="G6681" s="983" t="s">
        <v>1106</v>
      </c>
    </row>
    <row r="6682" spans="1:9" x14ac:dyDescent="0.2">
      <c r="A6682" s="997">
        <f t="shared" si="104"/>
        <v>6681</v>
      </c>
      <c r="B6682" s="983" t="s">
        <v>2716</v>
      </c>
      <c r="C6682" s="999"/>
      <c r="H6682" s="983" t="s">
        <v>1107</v>
      </c>
    </row>
    <row r="6683" spans="1:9" x14ac:dyDescent="0.2">
      <c r="A6683" s="997">
        <f t="shared" si="104"/>
        <v>6682</v>
      </c>
      <c r="B6683" s="983" t="s">
        <v>2716</v>
      </c>
      <c r="C6683" s="1000"/>
      <c r="I6683" s="983" t="s">
        <v>2130</v>
      </c>
    </row>
    <row r="6684" spans="1:9" x14ac:dyDescent="0.2">
      <c r="A6684" s="997">
        <f t="shared" si="104"/>
        <v>6683</v>
      </c>
      <c r="B6684" s="983" t="s">
        <v>2716</v>
      </c>
      <c r="C6684" s="1001"/>
      <c r="H6684" s="983" t="s">
        <v>1108</v>
      </c>
    </row>
    <row r="6685" spans="1:9" x14ac:dyDescent="0.2">
      <c r="A6685" s="997">
        <f t="shared" si="104"/>
        <v>6684</v>
      </c>
      <c r="B6685" s="983" t="s">
        <v>2716</v>
      </c>
      <c r="C6685" s="1000"/>
      <c r="H6685" s="983" t="str">
        <f>CONCATENATE("&lt;valeur&gt;",Cellule_1827,"&lt;/valeur&gt;")</f>
        <v>&lt;valeur&gt;0&lt;/valeur&gt;</v>
      </c>
    </row>
    <row r="6686" spans="1:9" x14ac:dyDescent="0.2">
      <c r="A6686" s="997">
        <f t="shared" si="104"/>
        <v>6685</v>
      </c>
      <c r="B6686" s="983" t="s">
        <v>2716</v>
      </c>
      <c r="C6686" s="1000"/>
      <c r="G6686" s="983" t="s">
        <v>1109</v>
      </c>
    </row>
    <row r="6687" spans="1:9" x14ac:dyDescent="0.2">
      <c r="A6687" s="997">
        <f t="shared" si="104"/>
        <v>6686</v>
      </c>
      <c r="B6687" s="983" t="s">
        <v>2716</v>
      </c>
      <c r="C6687" s="999"/>
      <c r="G6687" s="983" t="s">
        <v>1106</v>
      </c>
    </row>
    <row r="6688" spans="1:9" x14ac:dyDescent="0.2">
      <c r="A6688" s="997">
        <f t="shared" si="104"/>
        <v>6687</v>
      </c>
      <c r="B6688" s="983" t="s">
        <v>2716</v>
      </c>
      <c r="C6688" s="999"/>
      <c r="H6688" s="983" t="s">
        <v>1107</v>
      </c>
    </row>
    <row r="6689" spans="1:9" x14ac:dyDescent="0.2">
      <c r="A6689" s="997">
        <f t="shared" si="104"/>
        <v>6688</v>
      </c>
      <c r="B6689" s="983" t="s">
        <v>2716</v>
      </c>
      <c r="C6689" s="1000"/>
      <c r="I6689" s="983" t="s">
        <v>2131</v>
      </c>
    </row>
    <row r="6690" spans="1:9" x14ac:dyDescent="0.2">
      <c r="A6690" s="997">
        <f t="shared" si="104"/>
        <v>6689</v>
      </c>
      <c r="B6690" s="983" t="s">
        <v>2716</v>
      </c>
      <c r="C6690" s="1001"/>
      <c r="H6690" s="983" t="s">
        <v>1108</v>
      </c>
    </row>
    <row r="6691" spans="1:9" x14ac:dyDescent="0.2">
      <c r="A6691" s="997">
        <f t="shared" si="104"/>
        <v>6690</v>
      </c>
      <c r="B6691" s="983" t="s">
        <v>2716</v>
      </c>
      <c r="C6691" s="1000"/>
      <c r="H6691" s="983" t="str">
        <f>CONCATENATE("&lt;valeur&gt;",Cellule_1844,"&lt;/valeur&gt;")</f>
        <v>&lt;valeur&gt;0&lt;/valeur&gt;</v>
      </c>
    </row>
    <row r="6692" spans="1:9" x14ac:dyDescent="0.2">
      <c r="A6692" s="997">
        <f t="shared" si="104"/>
        <v>6691</v>
      </c>
      <c r="B6692" s="983" t="s">
        <v>2716</v>
      </c>
      <c r="C6692" s="1000"/>
      <c r="G6692" s="983" t="s">
        <v>1109</v>
      </c>
    </row>
    <row r="6693" spans="1:9" x14ac:dyDescent="0.2">
      <c r="A6693" s="997">
        <f t="shared" si="104"/>
        <v>6692</v>
      </c>
      <c r="B6693" s="983" t="s">
        <v>2716</v>
      </c>
      <c r="C6693" s="999"/>
      <c r="G6693" s="983" t="s">
        <v>1106</v>
      </c>
    </row>
    <row r="6694" spans="1:9" x14ac:dyDescent="0.2">
      <c r="A6694" s="997">
        <f t="shared" si="104"/>
        <v>6693</v>
      </c>
      <c r="B6694" s="983" t="s">
        <v>2716</v>
      </c>
      <c r="C6694" s="999"/>
      <c r="H6694" s="983" t="s">
        <v>1107</v>
      </c>
    </row>
    <row r="6695" spans="1:9" x14ac:dyDescent="0.2">
      <c r="A6695" s="997">
        <f t="shared" si="104"/>
        <v>6694</v>
      </c>
      <c r="B6695" s="983" t="s">
        <v>2716</v>
      </c>
      <c r="C6695" s="1000"/>
      <c r="I6695" s="983" t="s">
        <v>2132</v>
      </c>
    </row>
    <row r="6696" spans="1:9" x14ac:dyDescent="0.2">
      <c r="A6696" s="997">
        <f t="shared" si="104"/>
        <v>6695</v>
      </c>
      <c r="B6696" s="983" t="s">
        <v>2716</v>
      </c>
      <c r="C6696" s="1001"/>
      <c r="H6696" s="983" t="s">
        <v>1108</v>
      </c>
    </row>
    <row r="6697" spans="1:9" x14ac:dyDescent="0.2">
      <c r="A6697" s="997">
        <f t="shared" si="104"/>
        <v>6696</v>
      </c>
      <c r="B6697" s="983" t="s">
        <v>2716</v>
      </c>
      <c r="C6697" s="1000"/>
      <c r="H6697" s="983" t="str">
        <f>CONCATENATE("&lt;valeur&gt;",Cellule_1877,"&lt;/valeur&gt;")</f>
        <v>&lt;valeur&gt;0&lt;/valeur&gt;</v>
      </c>
    </row>
    <row r="6698" spans="1:9" x14ac:dyDescent="0.2">
      <c r="A6698" s="997">
        <f t="shared" si="104"/>
        <v>6697</v>
      </c>
      <c r="B6698" s="983" t="s">
        <v>2716</v>
      </c>
      <c r="C6698" s="1000"/>
      <c r="G6698" s="983" t="s">
        <v>1109</v>
      </c>
    </row>
    <row r="6699" spans="1:9" x14ac:dyDescent="0.2">
      <c r="A6699" s="997">
        <f t="shared" si="104"/>
        <v>6698</v>
      </c>
      <c r="B6699" s="983" t="s">
        <v>2716</v>
      </c>
      <c r="C6699" s="999"/>
      <c r="G6699" s="983" t="s">
        <v>1106</v>
      </c>
    </row>
    <row r="6700" spans="1:9" x14ac:dyDescent="0.2">
      <c r="A6700" s="997">
        <f t="shared" si="104"/>
        <v>6699</v>
      </c>
      <c r="B6700" s="983" t="s">
        <v>2716</v>
      </c>
      <c r="C6700" s="999"/>
      <c r="H6700" s="983" t="s">
        <v>1107</v>
      </c>
    </row>
    <row r="6701" spans="1:9" x14ac:dyDescent="0.2">
      <c r="A6701" s="997">
        <f t="shared" si="104"/>
        <v>6700</v>
      </c>
      <c r="B6701" s="983" t="s">
        <v>2716</v>
      </c>
      <c r="C6701" s="1000"/>
      <c r="I6701" s="983" t="s">
        <v>2133</v>
      </c>
    </row>
    <row r="6702" spans="1:9" x14ac:dyDescent="0.2">
      <c r="A6702" s="997">
        <f t="shared" si="104"/>
        <v>6701</v>
      </c>
      <c r="B6702" s="983" t="s">
        <v>2716</v>
      </c>
      <c r="C6702" s="1001"/>
      <c r="H6702" s="983" t="s">
        <v>1108</v>
      </c>
    </row>
    <row r="6703" spans="1:9" x14ac:dyDescent="0.2">
      <c r="A6703" s="997">
        <f t="shared" si="104"/>
        <v>6702</v>
      </c>
      <c r="B6703" s="983" t="s">
        <v>2716</v>
      </c>
      <c r="C6703" s="1000"/>
      <c r="H6703" s="983" t="str">
        <f>CONCATENATE("&lt;valeur&gt;",Cellule_1894,"&lt;/valeur&gt;")</f>
        <v>&lt;valeur&gt;0&lt;/valeur&gt;</v>
      </c>
    </row>
    <row r="6704" spans="1:9" x14ac:dyDescent="0.2">
      <c r="A6704" s="997">
        <f t="shared" si="104"/>
        <v>6703</v>
      </c>
      <c r="B6704" s="983" t="s">
        <v>2716</v>
      </c>
      <c r="C6704" s="1000"/>
      <c r="G6704" s="983" t="s">
        <v>1109</v>
      </c>
    </row>
    <row r="6705" spans="1:9" x14ac:dyDescent="0.2">
      <c r="A6705" s="997">
        <f t="shared" si="104"/>
        <v>6704</v>
      </c>
      <c r="B6705" s="983" t="s">
        <v>2716</v>
      </c>
      <c r="C6705" s="999"/>
      <c r="G6705" s="983" t="s">
        <v>1106</v>
      </c>
    </row>
    <row r="6706" spans="1:9" x14ac:dyDescent="0.2">
      <c r="A6706" s="997">
        <f t="shared" si="104"/>
        <v>6705</v>
      </c>
      <c r="B6706" s="983" t="s">
        <v>2716</v>
      </c>
      <c r="C6706" s="999"/>
      <c r="H6706" s="983" t="s">
        <v>1107</v>
      </c>
    </row>
    <row r="6707" spans="1:9" x14ac:dyDescent="0.2">
      <c r="A6707" s="997">
        <f t="shared" si="104"/>
        <v>6706</v>
      </c>
      <c r="B6707" s="983" t="s">
        <v>2716</v>
      </c>
      <c r="C6707" s="1000"/>
      <c r="I6707" s="983" t="s">
        <v>2134</v>
      </c>
    </row>
    <row r="6708" spans="1:9" x14ac:dyDescent="0.2">
      <c r="A6708" s="997">
        <f t="shared" si="104"/>
        <v>6707</v>
      </c>
      <c r="B6708" s="983" t="s">
        <v>2716</v>
      </c>
      <c r="C6708" s="1001"/>
      <c r="H6708" s="983" t="s">
        <v>1108</v>
      </c>
    </row>
    <row r="6709" spans="1:9" x14ac:dyDescent="0.2">
      <c r="A6709" s="997">
        <f t="shared" si="104"/>
        <v>6708</v>
      </c>
      <c r="B6709" s="983" t="s">
        <v>2716</v>
      </c>
      <c r="C6709" s="1000"/>
      <c r="H6709" s="983" t="str">
        <f>CONCATENATE("&lt;valeur&gt;",Cellule_1903,"&lt;/valeur&gt;")</f>
        <v>&lt;valeur&gt;0&lt;/valeur&gt;</v>
      </c>
    </row>
    <row r="6710" spans="1:9" x14ac:dyDescent="0.2">
      <c r="A6710" s="997">
        <f t="shared" si="104"/>
        <v>6709</v>
      </c>
      <c r="B6710" s="983" t="s">
        <v>2716</v>
      </c>
      <c r="C6710" s="1000"/>
      <c r="G6710" s="983" t="s">
        <v>1109</v>
      </c>
    </row>
    <row r="6711" spans="1:9" x14ac:dyDescent="0.2">
      <c r="A6711" s="997">
        <f t="shared" si="104"/>
        <v>6710</v>
      </c>
      <c r="B6711" s="983" t="s">
        <v>2716</v>
      </c>
      <c r="C6711" s="999"/>
      <c r="G6711" s="983" t="s">
        <v>1106</v>
      </c>
    </row>
    <row r="6712" spans="1:9" x14ac:dyDescent="0.2">
      <c r="A6712" s="997">
        <f t="shared" si="104"/>
        <v>6711</v>
      </c>
      <c r="B6712" s="983" t="s">
        <v>2716</v>
      </c>
      <c r="C6712" s="999"/>
      <c r="H6712" s="983" t="s">
        <v>1107</v>
      </c>
    </row>
    <row r="6713" spans="1:9" x14ac:dyDescent="0.2">
      <c r="A6713" s="997">
        <f t="shared" si="104"/>
        <v>6712</v>
      </c>
      <c r="B6713" s="983" t="s">
        <v>2716</v>
      </c>
      <c r="C6713" s="1000"/>
      <c r="I6713" s="983" t="s">
        <v>2135</v>
      </c>
    </row>
    <row r="6714" spans="1:9" x14ac:dyDescent="0.2">
      <c r="A6714" s="997">
        <f t="shared" si="104"/>
        <v>6713</v>
      </c>
      <c r="B6714" s="983" t="s">
        <v>2716</v>
      </c>
      <c r="C6714" s="1001"/>
      <c r="H6714" s="983" t="s">
        <v>1108</v>
      </c>
    </row>
    <row r="6715" spans="1:9" x14ac:dyDescent="0.2">
      <c r="A6715" s="997">
        <f t="shared" si="104"/>
        <v>6714</v>
      </c>
      <c r="B6715" s="983" t="s">
        <v>2716</v>
      </c>
      <c r="C6715" s="1000"/>
      <c r="H6715" s="983" t="str">
        <f>CONCATENATE("&lt;valeur&gt;",Cellule_1921,"&lt;/valeur&gt;")</f>
        <v>&lt;valeur&gt;0&lt;/valeur&gt;</v>
      </c>
    </row>
    <row r="6716" spans="1:9" x14ac:dyDescent="0.2">
      <c r="A6716" s="997">
        <f t="shared" si="104"/>
        <v>6715</v>
      </c>
      <c r="B6716" s="983" t="s">
        <v>2716</v>
      </c>
      <c r="C6716" s="1000"/>
      <c r="G6716" s="983" t="s">
        <v>1109</v>
      </c>
    </row>
    <row r="6717" spans="1:9" x14ac:dyDescent="0.2">
      <c r="A6717" s="997">
        <f t="shared" si="104"/>
        <v>6716</v>
      </c>
      <c r="B6717" s="983" t="s">
        <v>2716</v>
      </c>
      <c r="C6717" s="999"/>
      <c r="G6717" s="983" t="s">
        <v>1106</v>
      </c>
    </row>
    <row r="6718" spans="1:9" x14ac:dyDescent="0.2">
      <c r="A6718" s="997">
        <f t="shared" si="104"/>
        <v>6717</v>
      </c>
      <c r="B6718" s="983" t="s">
        <v>2716</v>
      </c>
      <c r="C6718" s="998"/>
      <c r="H6718" s="983" t="s">
        <v>1107</v>
      </c>
    </row>
    <row r="6719" spans="1:9" x14ac:dyDescent="0.2">
      <c r="A6719" s="997">
        <f t="shared" si="104"/>
        <v>6718</v>
      </c>
      <c r="B6719" s="983" t="s">
        <v>2716</v>
      </c>
      <c r="C6719" s="998"/>
      <c r="I6719" s="983" t="s">
        <v>2136</v>
      </c>
    </row>
    <row r="6720" spans="1:9" x14ac:dyDescent="0.2">
      <c r="A6720" s="997">
        <f t="shared" si="104"/>
        <v>6719</v>
      </c>
      <c r="B6720" s="983" t="s">
        <v>2716</v>
      </c>
      <c r="C6720" s="995"/>
      <c r="H6720" s="983" t="s">
        <v>1108</v>
      </c>
    </row>
    <row r="6721" spans="1:9" x14ac:dyDescent="0.2">
      <c r="A6721" s="997">
        <f t="shared" si="104"/>
        <v>6720</v>
      </c>
      <c r="B6721" s="983" t="s">
        <v>2716</v>
      </c>
      <c r="C6721" s="995"/>
      <c r="H6721" s="983" t="str">
        <f>CONCATENATE("&lt;valeur&gt;",Cellule_1912,"&lt;/valeur&gt;")</f>
        <v>&lt;valeur&gt;0&lt;/valeur&gt;</v>
      </c>
    </row>
    <row r="6722" spans="1:9" x14ac:dyDescent="0.2">
      <c r="A6722" s="997">
        <f t="shared" si="104"/>
        <v>6721</v>
      </c>
      <c r="B6722" s="983" t="s">
        <v>2716</v>
      </c>
      <c r="C6722" s="998"/>
      <c r="G6722" s="983" t="s">
        <v>1109</v>
      </c>
    </row>
    <row r="6723" spans="1:9" x14ac:dyDescent="0.2">
      <c r="A6723" s="997">
        <f t="shared" si="104"/>
        <v>6722</v>
      </c>
      <c r="B6723" s="983" t="s">
        <v>2716</v>
      </c>
      <c r="C6723" s="999"/>
      <c r="G6723" s="983" t="s">
        <v>1106</v>
      </c>
    </row>
    <row r="6724" spans="1:9" x14ac:dyDescent="0.2">
      <c r="A6724" s="997">
        <f t="shared" ref="A6724:A6787" si="105">+A6723+1</f>
        <v>6723</v>
      </c>
      <c r="B6724" s="983" t="s">
        <v>2716</v>
      </c>
      <c r="C6724" s="998"/>
      <c r="H6724" s="983" t="s">
        <v>1107</v>
      </c>
    </row>
    <row r="6725" spans="1:9" x14ac:dyDescent="0.2">
      <c r="A6725" s="997">
        <f t="shared" si="105"/>
        <v>6724</v>
      </c>
      <c r="B6725" s="983" t="s">
        <v>2716</v>
      </c>
      <c r="C6725" s="998"/>
      <c r="I6725" s="983" t="s">
        <v>2137</v>
      </c>
    </row>
    <row r="6726" spans="1:9" x14ac:dyDescent="0.2">
      <c r="A6726" s="997">
        <f t="shared" si="105"/>
        <v>6725</v>
      </c>
      <c r="B6726" s="983" t="s">
        <v>2716</v>
      </c>
      <c r="C6726" s="999"/>
      <c r="H6726" s="983" t="s">
        <v>1108</v>
      </c>
    </row>
    <row r="6727" spans="1:9" x14ac:dyDescent="0.2">
      <c r="A6727" s="997">
        <f t="shared" si="105"/>
        <v>6726</v>
      </c>
      <c r="B6727" s="983" t="s">
        <v>2716</v>
      </c>
      <c r="C6727" s="1000"/>
      <c r="H6727" s="983" t="str">
        <f>CONCATENATE("&lt;valeur&gt;",Cellule_1749,"&lt;/valeur&gt;")</f>
        <v>&lt;valeur&gt;&lt;/valeur&gt;</v>
      </c>
    </row>
    <row r="6728" spans="1:9" x14ac:dyDescent="0.2">
      <c r="A6728" s="997">
        <f t="shared" si="105"/>
        <v>6727</v>
      </c>
      <c r="B6728" s="983" t="s">
        <v>2716</v>
      </c>
      <c r="C6728" s="1001"/>
      <c r="G6728" s="983" t="s">
        <v>1109</v>
      </c>
    </row>
    <row r="6729" spans="1:9" x14ac:dyDescent="0.2">
      <c r="A6729" s="997">
        <f t="shared" si="105"/>
        <v>6728</v>
      </c>
      <c r="B6729" s="983" t="s">
        <v>2716</v>
      </c>
      <c r="C6729" s="1000"/>
      <c r="G6729" s="983" t="s">
        <v>1106</v>
      </c>
    </row>
    <row r="6730" spans="1:9" x14ac:dyDescent="0.2">
      <c r="A6730" s="997">
        <f t="shared" si="105"/>
        <v>6729</v>
      </c>
      <c r="B6730" s="983" t="s">
        <v>2716</v>
      </c>
      <c r="C6730" s="1000"/>
      <c r="H6730" s="983" t="s">
        <v>1107</v>
      </c>
    </row>
    <row r="6731" spans="1:9" x14ac:dyDescent="0.2">
      <c r="A6731" s="997">
        <f t="shared" si="105"/>
        <v>6730</v>
      </c>
      <c r="B6731" s="983" t="s">
        <v>2716</v>
      </c>
      <c r="C6731" s="999"/>
      <c r="I6731" s="983" t="s">
        <v>2138</v>
      </c>
    </row>
    <row r="6732" spans="1:9" x14ac:dyDescent="0.2">
      <c r="A6732" s="997">
        <f t="shared" si="105"/>
        <v>6731</v>
      </c>
      <c r="B6732" s="983" t="s">
        <v>2716</v>
      </c>
      <c r="C6732" s="999"/>
      <c r="H6732" s="983" t="s">
        <v>1108</v>
      </c>
    </row>
    <row r="6733" spans="1:9" x14ac:dyDescent="0.2">
      <c r="A6733" s="997">
        <f t="shared" si="105"/>
        <v>6732</v>
      </c>
      <c r="B6733" s="983" t="s">
        <v>2716</v>
      </c>
      <c r="C6733" s="1000"/>
      <c r="H6733" s="983" t="str">
        <f>CONCATENATE("&lt;valeur&gt;",Cellule_1785,"&lt;/valeur&gt;")</f>
        <v>&lt;valeur&gt;&lt;/valeur&gt;</v>
      </c>
    </row>
    <row r="6734" spans="1:9" x14ac:dyDescent="0.2">
      <c r="A6734" s="997">
        <f t="shared" si="105"/>
        <v>6733</v>
      </c>
      <c r="B6734" s="983" t="s">
        <v>2716</v>
      </c>
      <c r="C6734" s="1001"/>
      <c r="G6734" s="983" t="s">
        <v>1109</v>
      </c>
    </row>
    <row r="6735" spans="1:9" x14ac:dyDescent="0.2">
      <c r="A6735" s="997">
        <f t="shared" si="105"/>
        <v>6734</v>
      </c>
      <c r="B6735" s="983" t="s">
        <v>2716</v>
      </c>
      <c r="C6735" s="1000"/>
      <c r="G6735" s="983" t="s">
        <v>1106</v>
      </c>
    </row>
    <row r="6736" spans="1:9" x14ac:dyDescent="0.2">
      <c r="A6736" s="997">
        <f t="shared" si="105"/>
        <v>6735</v>
      </c>
      <c r="B6736" s="983" t="s">
        <v>2716</v>
      </c>
      <c r="C6736" s="1000"/>
      <c r="H6736" s="983" t="s">
        <v>1107</v>
      </c>
    </row>
    <row r="6737" spans="1:9" x14ac:dyDescent="0.2">
      <c r="A6737" s="997">
        <f t="shared" si="105"/>
        <v>6736</v>
      </c>
      <c r="B6737" s="983" t="s">
        <v>2716</v>
      </c>
      <c r="C6737" s="999"/>
      <c r="I6737" s="983" t="s">
        <v>2139</v>
      </c>
    </row>
    <row r="6738" spans="1:9" x14ac:dyDescent="0.2">
      <c r="A6738" s="997">
        <f t="shared" si="105"/>
        <v>6737</v>
      </c>
      <c r="B6738" s="983" t="s">
        <v>2716</v>
      </c>
      <c r="C6738" s="999"/>
      <c r="H6738" s="983" t="s">
        <v>1108</v>
      </c>
    </row>
    <row r="6739" spans="1:9" x14ac:dyDescent="0.2">
      <c r="A6739" s="997">
        <f t="shared" si="105"/>
        <v>6738</v>
      </c>
      <c r="B6739" s="983" t="s">
        <v>2716</v>
      </c>
      <c r="C6739" s="1000"/>
      <c r="H6739" s="983" t="str">
        <f>CONCATENATE("&lt;valeur&gt;",Cellule_1828,"&lt;/valeur&gt;")</f>
        <v>&lt;valeur&gt;0&lt;/valeur&gt;</v>
      </c>
    </row>
    <row r="6740" spans="1:9" x14ac:dyDescent="0.2">
      <c r="A6740" s="997">
        <f t="shared" si="105"/>
        <v>6739</v>
      </c>
      <c r="B6740" s="983" t="s">
        <v>2716</v>
      </c>
      <c r="C6740" s="1001"/>
      <c r="G6740" s="983" t="s">
        <v>1109</v>
      </c>
    </row>
    <row r="6741" spans="1:9" x14ac:dyDescent="0.2">
      <c r="A6741" s="997">
        <f t="shared" si="105"/>
        <v>6740</v>
      </c>
      <c r="B6741" s="983" t="s">
        <v>2716</v>
      </c>
      <c r="C6741" s="1000"/>
      <c r="G6741" s="983" t="s">
        <v>1106</v>
      </c>
    </row>
    <row r="6742" spans="1:9" x14ac:dyDescent="0.2">
      <c r="A6742" s="997">
        <f t="shared" si="105"/>
        <v>6741</v>
      </c>
      <c r="B6742" s="983" t="s">
        <v>2716</v>
      </c>
      <c r="C6742" s="1000"/>
      <c r="H6742" s="983" t="s">
        <v>1107</v>
      </c>
    </row>
    <row r="6743" spans="1:9" x14ac:dyDescent="0.2">
      <c r="A6743" s="997">
        <f t="shared" si="105"/>
        <v>6742</v>
      </c>
      <c r="B6743" s="983" t="s">
        <v>2716</v>
      </c>
      <c r="C6743" s="999"/>
      <c r="I6743" s="983" t="s">
        <v>2140</v>
      </c>
    </row>
    <row r="6744" spans="1:9" x14ac:dyDescent="0.2">
      <c r="A6744" s="997">
        <f t="shared" si="105"/>
        <v>6743</v>
      </c>
      <c r="B6744" s="983" t="s">
        <v>2716</v>
      </c>
      <c r="C6744" s="999"/>
      <c r="H6744" s="983" t="s">
        <v>1108</v>
      </c>
    </row>
    <row r="6745" spans="1:9" x14ac:dyDescent="0.2">
      <c r="A6745" s="997">
        <f t="shared" si="105"/>
        <v>6744</v>
      </c>
      <c r="B6745" s="983" t="s">
        <v>2716</v>
      </c>
      <c r="C6745" s="1000"/>
      <c r="H6745" s="983" t="str">
        <f>CONCATENATE("&lt;valeur&gt;",Cellule_1845,"&lt;/valeur&gt;")</f>
        <v>&lt;valeur&gt;0&lt;/valeur&gt;</v>
      </c>
    </row>
    <row r="6746" spans="1:9" x14ac:dyDescent="0.2">
      <c r="A6746" s="997">
        <f t="shared" si="105"/>
        <v>6745</v>
      </c>
      <c r="B6746" s="983" t="s">
        <v>2716</v>
      </c>
      <c r="C6746" s="1001"/>
      <c r="G6746" s="983" t="s">
        <v>1109</v>
      </c>
    </row>
    <row r="6747" spans="1:9" x14ac:dyDescent="0.2">
      <c r="A6747" s="997">
        <f t="shared" si="105"/>
        <v>6746</v>
      </c>
      <c r="B6747" s="983" t="s">
        <v>2716</v>
      </c>
      <c r="C6747" s="1000"/>
      <c r="G6747" s="983" t="s">
        <v>1106</v>
      </c>
    </row>
    <row r="6748" spans="1:9" x14ac:dyDescent="0.2">
      <c r="A6748" s="997">
        <f t="shared" si="105"/>
        <v>6747</v>
      </c>
      <c r="B6748" s="983" t="s">
        <v>2716</v>
      </c>
      <c r="C6748" s="1000"/>
      <c r="H6748" s="983" t="s">
        <v>1107</v>
      </c>
    </row>
    <row r="6749" spans="1:9" x14ac:dyDescent="0.2">
      <c r="A6749" s="997">
        <f t="shared" si="105"/>
        <v>6748</v>
      </c>
      <c r="B6749" s="983" t="s">
        <v>2716</v>
      </c>
      <c r="C6749" s="999"/>
      <c r="I6749" s="983" t="s">
        <v>2141</v>
      </c>
    </row>
    <row r="6750" spans="1:9" x14ac:dyDescent="0.2">
      <c r="A6750" s="997">
        <f t="shared" si="105"/>
        <v>6749</v>
      </c>
      <c r="B6750" s="983" t="s">
        <v>2716</v>
      </c>
      <c r="C6750" s="999"/>
      <c r="H6750" s="983" t="s">
        <v>1108</v>
      </c>
    </row>
    <row r="6751" spans="1:9" x14ac:dyDescent="0.2">
      <c r="A6751" s="997">
        <f t="shared" si="105"/>
        <v>6750</v>
      </c>
      <c r="B6751" s="983" t="s">
        <v>2716</v>
      </c>
      <c r="C6751" s="1000"/>
      <c r="H6751" s="983" t="str">
        <f>CONCATENATE("&lt;valeur&gt;",Cellule_1878,"&lt;/valeur&gt;")</f>
        <v>&lt;valeur&gt;0&lt;/valeur&gt;</v>
      </c>
    </row>
    <row r="6752" spans="1:9" x14ac:dyDescent="0.2">
      <c r="A6752" s="997">
        <f t="shared" si="105"/>
        <v>6751</v>
      </c>
      <c r="B6752" s="983" t="s">
        <v>2716</v>
      </c>
      <c r="C6752" s="1001"/>
      <c r="G6752" s="983" t="s">
        <v>1109</v>
      </c>
    </row>
    <row r="6753" spans="1:9" x14ac:dyDescent="0.2">
      <c r="A6753" s="997">
        <f t="shared" si="105"/>
        <v>6752</v>
      </c>
      <c r="B6753" s="983" t="s">
        <v>2716</v>
      </c>
      <c r="C6753" s="1000"/>
      <c r="G6753" s="983" t="s">
        <v>1106</v>
      </c>
    </row>
    <row r="6754" spans="1:9" x14ac:dyDescent="0.2">
      <c r="A6754" s="997">
        <f t="shared" si="105"/>
        <v>6753</v>
      </c>
      <c r="B6754" s="983" t="s">
        <v>2716</v>
      </c>
      <c r="C6754" s="1000"/>
      <c r="H6754" s="983" t="s">
        <v>1107</v>
      </c>
    </row>
    <row r="6755" spans="1:9" x14ac:dyDescent="0.2">
      <c r="A6755" s="997">
        <f t="shared" si="105"/>
        <v>6754</v>
      </c>
      <c r="B6755" s="983" t="s">
        <v>2716</v>
      </c>
      <c r="C6755" s="999"/>
      <c r="I6755" s="983" t="s">
        <v>2142</v>
      </c>
    </row>
    <row r="6756" spans="1:9" x14ac:dyDescent="0.2">
      <c r="A6756" s="997">
        <f t="shared" si="105"/>
        <v>6755</v>
      </c>
      <c r="B6756" s="983" t="s">
        <v>2716</v>
      </c>
      <c r="C6756" s="999"/>
      <c r="H6756" s="983" t="s">
        <v>1108</v>
      </c>
    </row>
    <row r="6757" spans="1:9" x14ac:dyDescent="0.2">
      <c r="A6757" s="997">
        <f t="shared" si="105"/>
        <v>6756</v>
      </c>
      <c r="B6757" s="983" t="s">
        <v>2716</v>
      </c>
      <c r="C6757" s="1000"/>
      <c r="H6757" s="983" t="str">
        <f>CONCATENATE("&lt;valeur&gt;",Cellule_1895,"&lt;/valeur&gt;")</f>
        <v>&lt;valeur&gt;0&lt;/valeur&gt;</v>
      </c>
    </row>
    <row r="6758" spans="1:9" x14ac:dyDescent="0.2">
      <c r="A6758" s="997">
        <f t="shared" si="105"/>
        <v>6757</v>
      </c>
      <c r="B6758" s="983" t="s">
        <v>2716</v>
      </c>
      <c r="C6758" s="1001"/>
      <c r="G6758" s="983" t="s">
        <v>1109</v>
      </c>
    </row>
    <row r="6759" spans="1:9" x14ac:dyDescent="0.2">
      <c r="A6759" s="997">
        <f t="shared" si="105"/>
        <v>6758</v>
      </c>
      <c r="B6759" s="983" t="s">
        <v>2716</v>
      </c>
      <c r="C6759" s="1000"/>
      <c r="G6759" s="983" t="s">
        <v>1106</v>
      </c>
    </row>
    <row r="6760" spans="1:9" x14ac:dyDescent="0.2">
      <c r="A6760" s="997">
        <f t="shared" si="105"/>
        <v>6759</v>
      </c>
      <c r="B6760" s="983" t="s">
        <v>2716</v>
      </c>
      <c r="C6760" s="1000"/>
      <c r="H6760" s="983" t="s">
        <v>1107</v>
      </c>
    </row>
    <row r="6761" spans="1:9" x14ac:dyDescent="0.2">
      <c r="A6761" s="997">
        <f t="shared" si="105"/>
        <v>6760</v>
      </c>
      <c r="B6761" s="983" t="s">
        <v>2716</v>
      </c>
      <c r="C6761" s="999"/>
      <c r="I6761" s="983" t="s">
        <v>2143</v>
      </c>
    </row>
    <row r="6762" spans="1:9" x14ac:dyDescent="0.2">
      <c r="A6762" s="997">
        <f t="shared" si="105"/>
        <v>6761</v>
      </c>
      <c r="B6762" s="983" t="s">
        <v>2716</v>
      </c>
      <c r="C6762" s="999"/>
      <c r="H6762" s="983" t="s">
        <v>1108</v>
      </c>
    </row>
    <row r="6763" spans="1:9" x14ac:dyDescent="0.2">
      <c r="A6763" s="997">
        <f t="shared" si="105"/>
        <v>6762</v>
      </c>
      <c r="B6763" s="983" t="s">
        <v>2716</v>
      </c>
      <c r="C6763" s="1000"/>
      <c r="H6763" s="983" t="str">
        <f>CONCATENATE("&lt;valeur&gt;",Cellule_1904,"&lt;/valeur&gt;")</f>
        <v>&lt;valeur&gt;&lt;/valeur&gt;</v>
      </c>
    </row>
    <row r="6764" spans="1:9" x14ac:dyDescent="0.2">
      <c r="A6764" s="997">
        <f t="shared" si="105"/>
        <v>6763</v>
      </c>
      <c r="B6764" s="983" t="s">
        <v>2716</v>
      </c>
      <c r="C6764" s="1001"/>
      <c r="G6764" s="983" t="s">
        <v>1109</v>
      </c>
    </row>
    <row r="6765" spans="1:9" x14ac:dyDescent="0.2">
      <c r="A6765" s="997">
        <f t="shared" si="105"/>
        <v>6764</v>
      </c>
      <c r="B6765" s="983" t="s">
        <v>2716</v>
      </c>
      <c r="C6765" s="1000"/>
      <c r="G6765" s="983" t="s">
        <v>1106</v>
      </c>
    </row>
    <row r="6766" spans="1:9" x14ac:dyDescent="0.2">
      <c r="A6766" s="997">
        <f t="shared" si="105"/>
        <v>6765</v>
      </c>
      <c r="B6766" s="983" t="s">
        <v>2716</v>
      </c>
      <c r="C6766" s="1000"/>
      <c r="H6766" s="983" t="s">
        <v>1107</v>
      </c>
    </row>
    <row r="6767" spans="1:9" x14ac:dyDescent="0.2">
      <c r="A6767" s="997">
        <f t="shared" si="105"/>
        <v>6766</v>
      </c>
      <c r="B6767" s="983" t="s">
        <v>2716</v>
      </c>
      <c r="C6767" s="999"/>
      <c r="I6767" s="983" t="s">
        <v>2144</v>
      </c>
    </row>
    <row r="6768" spans="1:9" x14ac:dyDescent="0.2">
      <c r="A6768" s="997">
        <f t="shared" si="105"/>
        <v>6767</v>
      </c>
      <c r="B6768" s="983" t="s">
        <v>2716</v>
      </c>
      <c r="C6768" s="999"/>
      <c r="H6768" s="983" t="s">
        <v>1108</v>
      </c>
    </row>
    <row r="6769" spans="1:9" x14ac:dyDescent="0.2">
      <c r="A6769" s="997">
        <f t="shared" si="105"/>
        <v>6768</v>
      </c>
      <c r="B6769" s="983" t="s">
        <v>2716</v>
      </c>
      <c r="C6769" s="1000"/>
      <c r="H6769" s="983" t="str">
        <f>CONCATENATE("&lt;valeur&gt;",Cellule_1922,"&lt;/valeur&gt;")</f>
        <v>&lt;valeur&gt;0&lt;/valeur&gt;</v>
      </c>
    </row>
    <row r="6770" spans="1:9" x14ac:dyDescent="0.2">
      <c r="A6770" s="997">
        <f t="shared" si="105"/>
        <v>6769</v>
      </c>
      <c r="B6770" s="983" t="s">
        <v>2716</v>
      </c>
      <c r="C6770" s="1001"/>
      <c r="G6770" s="983" t="s">
        <v>1109</v>
      </c>
    </row>
    <row r="6771" spans="1:9" x14ac:dyDescent="0.2">
      <c r="A6771" s="997">
        <f t="shared" si="105"/>
        <v>6770</v>
      </c>
      <c r="B6771" s="983" t="s">
        <v>2716</v>
      </c>
      <c r="C6771" s="1000"/>
      <c r="G6771" s="983" t="s">
        <v>1106</v>
      </c>
    </row>
    <row r="6772" spans="1:9" x14ac:dyDescent="0.2">
      <c r="A6772" s="997">
        <f t="shared" si="105"/>
        <v>6771</v>
      </c>
      <c r="B6772" s="983" t="s">
        <v>2716</v>
      </c>
      <c r="C6772" s="1000"/>
      <c r="H6772" s="983" t="s">
        <v>1107</v>
      </c>
    </row>
    <row r="6773" spans="1:9" x14ac:dyDescent="0.2">
      <c r="A6773" s="997">
        <f t="shared" si="105"/>
        <v>6772</v>
      </c>
      <c r="B6773" s="983" t="s">
        <v>2716</v>
      </c>
      <c r="C6773" s="999"/>
      <c r="I6773" s="983" t="s">
        <v>2145</v>
      </c>
    </row>
    <row r="6774" spans="1:9" x14ac:dyDescent="0.2">
      <c r="A6774" s="997">
        <f t="shared" si="105"/>
        <v>6773</v>
      </c>
      <c r="B6774" s="983" t="s">
        <v>2716</v>
      </c>
      <c r="C6774" s="999"/>
      <c r="H6774" s="983" t="s">
        <v>1108</v>
      </c>
    </row>
    <row r="6775" spans="1:9" x14ac:dyDescent="0.2">
      <c r="A6775" s="997">
        <f t="shared" si="105"/>
        <v>6774</v>
      </c>
      <c r="B6775" s="983" t="s">
        <v>2716</v>
      </c>
      <c r="C6775" s="1000"/>
      <c r="H6775" s="983" t="str">
        <f>CONCATENATE("&lt;valeur&gt;",Cellule_1913,"&lt;/valeur&gt;")</f>
        <v>&lt;valeur&gt;0&lt;/valeur&gt;</v>
      </c>
    </row>
    <row r="6776" spans="1:9" x14ac:dyDescent="0.2">
      <c r="A6776" s="997">
        <f t="shared" si="105"/>
        <v>6775</v>
      </c>
      <c r="B6776" s="983" t="s">
        <v>2716</v>
      </c>
      <c r="C6776" s="1001"/>
      <c r="G6776" s="983" t="s">
        <v>1109</v>
      </c>
    </row>
    <row r="6777" spans="1:9" x14ac:dyDescent="0.2">
      <c r="A6777" s="997">
        <f t="shared" si="105"/>
        <v>6776</v>
      </c>
      <c r="B6777" s="983" t="s">
        <v>2716</v>
      </c>
      <c r="C6777" s="1000"/>
      <c r="G6777" s="983" t="s">
        <v>1106</v>
      </c>
    </row>
    <row r="6778" spans="1:9" x14ac:dyDescent="0.2">
      <c r="A6778" s="997">
        <f t="shared" si="105"/>
        <v>6777</v>
      </c>
      <c r="B6778" s="983" t="s">
        <v>2716</v>
      </c>
      <c r="C6778" s="1000"/>
      <c r="H6778" s="983" t="s">
        <v>1107</v>
      </c>
    </row>
    <row r="6779" spans="1:9" x14ac:dyDescent="0.2">
      <c r="A6779" s="997">
        <f t="shared" si="105"/>
        <v>6778</v>
      </c>
      <c r="B6779" s="983" t="s">
        <v>2716</v>
      </c>
      <c r="C6779" s="999"/>
      <c r="I6779" s="983" t="s">
        <v>2146</v>
      </c>
    </row>
    <row r="6780" spans="1:9" x14ac:dyDescent="0.2">
      <c r="A6780" s="997">
        <f t="shared" si="105"/>
        <v>6779</v>
      </c>
      <c r="B6780" s="983" t="s">
        <v>2716</v>
      </c>
      <c r="C6780" s="999"/>
      <c r="H6780" s="983" t="s">
        <v>1108</v>
      </c>
    </row>
    <row r="6781" spans="1:9" x14ac:dyDescent="0.2">
      <c r="A6781" s="997">
        <f t="shared" si="105"/>
        <v>6780</v>
      </c>
      <c r="B6781" s="983" t="s">
        <v>2716</v>
      </c>
      <c r="C6781" s="1000"/>
      <c r="H6781" s="983" t="str">
        <f>CONCATENATE("&lt;valeur&gt;",Cellule_1750,"&lt;/valeur&gt;")</f>
        <v>&lt;valeur&gt;0&lt;/valeur&gt;</v>
      </c>
    </row>
    <row r="6782" spans="1:9" x14ac:dyDescent="0.2">
      <c r="A6782" s="997">
        <f t="shared" si="105"/>
        <v>6781</v>
      </c>
      <c r="B6782" s="983" t="s">
        <v>2716</v>
      </c>
      <c r="C6782" s="1001"/>
      <c r="G6782" s="983" t="s">
        <v>1109</v>
      </c>
    </row>
    <row r="6783" spans="1:9" x14ac:dyDescent="0.2">
      <c r="A6783" s="997">
        <f t="shared" si="105"/>
        <v>6782</v>
      </c>
      <c r="B6783" s="983" t="s">
        <v>2716</v>
      </c>
      <c r="C6783" s="1000"/>
      <c r="G6783" s="983" t="s">
        <v>1106</v>
      </c>
    </row>
    <row r="6784" spans="1:9" x14ac:dyDescent="0.2">
      <c r="A6784" s="997">
        <f t="shared" si="105"/>
        <v>6783</v>
      </c>
      <c r="B6784" s="983" t="s">
        <v>2716</v>
      </c>
      <c r="C6784" s="1000"/>
      <c r="H6784" s="983" t="s">
        <v>1107</v>
      </c>
    </row>
    <row r="6785" spans="1:9" x14ac:dyDescent="0.2">
      <c r="A6785" s="997">
        <f t="shared" si="105"/>
        <v>6784</v>
      </c>
      <c r="B6785" s="983" t="s">
        <v>2716</v>
      </c>
      <c r="C6785" s="999"/>
      <c r="I6785" s="983" t="s">
        <v>2147</v>
      </c>
    </row>
    <row r="6786" spans="1:9" x14ac:dyDescent="0.2">
      <c r="A6786" s="997">
        <f t="shared" si="105"/>
        <v>6785</v>
      </c>
      <c r="B6786" s="983" t="s">
        <v>2716</v>
      </c>
      <c r="C6786" s="999"/>
      <c r="H6786" s="983" t="s">
        <v>1108</v>
      </c>
    </row>
    <row r="6787" spans="1:9" x14ac:dyDescent="0.2">
      <c r="A6787" s="997">
        <f t="shared" si="105"/>
        <v>6786</v>
      </c>
      <c r="B6787" s="983" t="s">
        <v>2716</v>
      </c>
      <c r="C6787" s="1000"/>
      <c r="H6787" s="983" t="str">
        <f>CONCATENATE("&lt;valeur&gt;",Cellule_1786,"&lt;/valeur&gt;")</f>
        <v>&lt;valeur&gt;&lt;/valeur&gt;</v>
      </c>
    </row>
    <row r="6788" spans="1:9" x14ac:dyDescent="0.2">
      <c r="A6788" s="997">
        <f t="shared" ref="A6788:A6851" si="106">+A6787+1</f>
        <v>6787</v>
      </c>
      <c r="B6788" s="983" t="s">
        <v>2716</v>
      </c>
      <c r="C6788" s="1001"/>
      <c r="G6788" s="983" t="s">
        <v>1109</v>
      </c>
    </row>
    <row r="6789" spans="1:9" x14ac:dyDescent="0.2">
      <c r="A6789" s="997">
        <f t="shared" si="106"/>
        <v>6788</v>
      </c>
      <c r="B6789" s="983" t="s">
        <v>2716</v>
      </c>
      <c r="C6789" s="1000"/>
      <c r="G6789" s="983" t="s">
        <v>1106</v>
      </c>
    </row>
    <row r="6790" spans="1:9" x14ac:dyDescent="0.2">
      <c r="A6790" s="997">
        <f t="shared" si="106"/>
        <v>6789</v>
      </c>
      <c r="B6790" s="983" t="s">
        <v>2716</v>
      </c>
      <c r="C6790" s="1000"/>
      <c r="H6790" s="983" t="s">
        <v>1107</v>
      </c>
    </row>
    <row r="6791" spans="1:9" x14ac:dyDescent="0.2">
      <c r="A6791" s="997">
        <f t="shared" si="106"/>
        <v>6790</v>
      </c>
      <c r="B6791" s="983" t="s">
        <v>2716</v>
      </c>
      <c r="C6791" s="999"/>
      <c r="I6791" s="983" t="s">
        <v>2148</v>
      </c>
    </row>
    <row r="6792" spans="1:9" x14ac:dyDescent="0.2">
      <c r="A6792" s="997">
        <f t="shared" si="106"/>
        <v>6791</v>
      </c>
      <c r="B6792" s="983" t="s">
        <v>2716</v>
      </c>
      <c r="C6792" s="999"/>
      <c r="H6792" s="983" t="s">
        <v>1108</v>
      </c>
    </row>
    <row r="6793" spans="1:9" x14ac:dyDescent="0.2">
      <c r="A6793" s="997">
        <f t="shared" si="106"/>
        <v>6792</v>
      </c>
      <c r="B6793" s="983" t="s">
        <v>2716</v>
      </c>
      <c r="C6793" s="1000"/>
      <c r="H6793" s="983" t="str">
        <f>CONCATENATE("&lt;valeur&gt;",Cellule_1829,"&lt;/valeur&gt;")</f>
        <v>&lt;valeur&gt;0&lt;/valeur&gt;</v>
      </c>
    </row>
    <row r="6794" spans="1:9" x14ac:dyDescent="0.2">
      <c r="A6794" s="997">
        <f t="shared" si="106"/>
        <v>6793</v>
      </c>
      <c r="B6794" s="983" t="s">
        <v>2716</v>
      </c>
      <c r="C6794" s="1001"/>
      <c r="G6794" s="983" t="s">
        <v>1109</v>
      </c>
    </row>
    <row r="6795" spans="1:9" x14ac:dyDescent="0.2">
      <c r="A6795" s="997">
        <f t="shared" si="106"/>
        <v>6794</v>
      </c>
      <c r="B6795" s="983" t="s">
        <v>2716</v>
      </c>
      <c r="C6795" s="1000"/>
      <c r="G6795" s="983" t="s">
        <v>1106</v>
      </c>
    </row>
    <row r="6796" spans="1:9" x14ac:dyDescent="0.2">
      <c r="A6796" s="997">
        <f t="shared" si="106"/>
        <v>6795</v>
      </c>
      <c r="B6796" s="983" t="s">
        <v>2716</v>
      </c>
      <c r="C6796" s="1000"/>
      <c r="H6796" s="983" t="s">
        <v>1107</v>
      </c>
    </row>
    <row r="6797" spans="1:9" x14ac:dyDescent="0.2">
      <c r="A6797" s="997">
        <f t="shared" si="106"/>
        <v>6796</v>
      </c>
      <c r="B6797" s="983" t="s">
        <v>2716</v>
      </c>
      <c r="C6797" s="999"/>
      <c r="I6797" s="983" t="s">
        <v>2149</v>
      </c>
    </row>
    <row r="6798" spans="1:9" x14ac:dyDescent="0.2">
      <c r="A6798" s="997">
        <f t="shared" si="106"/>
        <v>6797</v>
      </c>
      <c r="B6798" s="983" t="s">
        <v>2716</v>
      </c>
      <c r="C6798" s="999"/>
      <c r="H6798" s="983" t="s">
        <v>1108</v>
      </c>
    </row>
    <row r="6799" spans="1:9" x14ac:dyDescent="0.2">
      <c r="A6799" s="997">
        <f t="shared" si="106"/>
        <v>6798</v>
      </c>
      <c r="B6799" s="983" t="s">
        <v>2716</v>
      </c>
      <c r="C6799" s="1000"/>
      <c r="H6799" s="983" t="str">
        <f>CONCATENATE("&lt;valeur&gt;",Cellule_1846,"&lt;/valeur&gt;")</f>
        <v>&lt;valeur&gt;0&lt;/valeur&gt;</v>
      </c>
    </row>
    <row r="6800" spans="1:9" x14ac:dyDescent="0.2">
      <c r="A6800" s="997">
        <f t="shared" si="106"/>
        <v>6799</v>
      </c>
      <c r="B6800" s="983" t="s">
        <v>2716</v>
      </c>
      <c r="C6800" s="1001"/>
      <c r="G6800" s="983" t="s">
        <v>1109</v>
      </c>
    </row>
    <row r="6801" spans="1:9" x14ac:dyDescent="0.2">
      <c r="A6801" s="997">
        <f t="shared" si="106"/>
        <v>6800</v>
      </c>
      <c r="B6801" s="983" t="s">
        <v>2716</v>
      </c>
      <c r="C6801" s="1000"/>
      <c r="G6801" s="983" t="s">
        <v>1106</v>
      </c>
    </row>
    <row r="6802" spans="1:9" x14ac:dyDescent="0.2">
      <c r="A6802" s="997">
        <f t="shared" si="106"/>
        <v>6801</v>
      </c>
      <c r="B6802" s="983" t="s">
        <v>2716</v>
      </c>
      <c r="C6802" s="1000"/>
      <c r="H6802" s="983" t="s">
        <v>1107</v>
      </c>
    </row>
    <row r="6803" spans="1:9" x14ac:dyDescent="0.2">
      <c r="A6803" s="997">
        <f t="shared" si="106"/>
        <v>6802</v>
      </c>
      <c r="B6803" s="983" t="s">
        <v>2716</v>
      </c>
      <c r="C6803" s="999"/>
      <c r="I6803" s="983" t="s">
        <v>2150</v>
      </c>
    </row>
    <row r="6804" spans="1:9" x14ac:dyDescent="0.2">
      <c r="A6804" s="997">
        <f t="shared" si="106"/>
        <v>6803</v>
      </c>
      <c r="B6804" s="983" t="s">
        <v>2716</v>
      </c>
      <c r="C6804" s="999"/>
      <c r="H6804" s="983" t="s">
        <v>1108</v>
      </c>
    </row>
    <row r="6805" spans="1:9" x14ac:dyDescent="0.2">
      <c r="A6805" s="997">
        <f t="shared" si="106"/>
        <v>6804</v>
      </c>
      <c r="B6805" s="983" t="s">
        <v>2716</v>
      </c>
      <c r="C6805" s="1000"/>
      <c r="H6805" s="983" t="str">
        <f>CONCATENATE("&lt;valeur&gt;",Cellule_1879,"&lt;/valeur&gt;")</f>
        <v>&lt;valeur&gt;0&lt;/valeur&gt;</v>
      </c>
    </row>
    <row r="6806" spans="1:9" x14ac:dyDescent="0.2">
      <c r="A6806" s="997">
        <f t="shared" si="106"/>
        <v>6805</v>
      </c>
      <c r="B6806" s="983" t="s">
        <v>2716</v>
      </c>
      <c r="C6806" s="1001"/>
      <c r="G6806" s="983" t="s">
        <v>1109</v>
      </c>
    </row>
    <row r="6807" spans="1:9" x14ac:dyDescent="0.2">
      <c r="A6807" s="997">
        <f t="shared" si="106"/>
        <v>6806</v>
      </c>
      <c r="B6807" s="983" t="s">
        <v>2716</v>
      </c>
      <c r="C6807" s="1000"/>
      <c r="G6807" s="983" t="s">
        <v>1106</v>
      </c>
    </row>
    <row r="6808" spans="1:9" x14ac:dyDescent="0.2">
      <c r="A6808" s="997">
        <f t="shared" si="106"/>
        <v>6807</v>
      </c>
      <c r="B6808" s="983" t="s">
        <v>2716</v>
      </c>
      <c r="C6808" s="1000"/>
      <c r="H6808" s="983" t="s">
        <v>1107</v>
      </c>
    </row>
    <row r="6809" spans="1:9" x14ac:dyDescent="0.2">
      <c r="A6809" s="997">
        <f t="shared" si="106"/>
        <v>6808</v>
      </c>
      <c r="B6809" s="983" t="s">
        <v>2716</v>
      </c>
      <c r="C6809" s="999"/>
      <c r="I6809" s="983" t="s">
        <v>2151</v>
      </c>
    </row>
    <row r="6810" spans="1:9" x14ac:dyDescent="0.2">
      <c r="A6810" s="997">
        <f t="shared" si="106"/>
        <v>6809</v>
      </c>
      <c r="B6810" s="983" t="s">
        <v>2716</v>
      </c>
      <c r="C6810" s="999"/>
      <c r="H6810" s="983" t="s">
        <v>1108</v>
      </c>
    </row>
    <row r="6811" spans="1:9" x14ac:dyDescent="0.2">
      <c r="A6811" s="997">
        <f t="shared" si="106"/>
        <v>6810</v>
      </c>
      <c r="B6811" s="983" t="s">
        <v>2716</v>
      </c>
      <c r="C6811" s="1000"/>
      <c r="H6811" s="983" t="str">
        <f>CONCATENATE("&lt;valeur&gt;",Cellule_1896,"&lt;/valeur&gt;")</f>
        <v>&lt;valeur&gt;0&lt;/valeur&gt;</v>
      </c>
    </row>
    <row r="6812" spans="1:9" x14ac:dyDescent="0.2">
      <c r="A6812" s="997">
        <f t="shared" si="106"/>
        <v>6811</v>
      </c>
      <c r="B6812" s="983" t="s">
        <v>2716</v>
      </c>
      <c r="C6812" s="1001"/>
      <c r="G6812" s="983" t="s">
        <v>1109</v>
      </c>
    </row>
    <row r="6813" spans="1:9" x14ac:dyDescent="0.2">
      <c r="A6813" s="997">
        <f t="shared" si="106"/>
        <v>6812</v>
      </c>
      <c r="B6813" s="983" t="s">
        <v>2716</v>
      </c>
      <c r="C6813" s="1000"/>
      <c r="G6813" s="983" t="s">
        <v>1106</v>
      </c>
    </row>
    <row r="6814" spans="1:9" x14ac:dyDescent="0.2">
      <c r="A6814" s="997">
        <f t="shared" si="106"/>
        <v>6813</v>
      </c>
      <c r="B6814" s="983" t="s">
        <v>2716</v>
      </c>
      <c r="C6814" s="1000"/>
      <c r="H6814" s="983" t="s">
        <v>1107</v>
      </c>
    </row>
    <row r="6815" spans="1:9" x14ac:dyDescent="0.2">
      <c r="A6815" s="997">
        <f t="shared" si="106"/>
        <v>6814</v>
      </c>
      <c r="B6815" s="983" t="s">
        <v>2716</v>
      </c>
      <c r="C6815" s="999"/>
      <c r="I6815" s="983" t="s">
        <v>2152</v>
      </c>
    </row>
    <row r="6816" spans="1:9" x14ac:dyDescent="0.2">
      <c r="A6816" s="997">
        <f t="shared" si="106"/>
        <v>6815</v>
      </c>
      <c r="B6816" s="983" t="s">
        <v>2716</v>
      </c>
      <c r="C6816" s="999"/>
      <c r="H6816" s="983" t="s">
        <v>1108</v>
      </c>
    </row>
    <row r="6817" spans="1:9" x14ac:dyDescent="0.2">
      <c r="A6817" s="997">
        <f t="shared" si="106"/>
        <v>6816</v>
      </c>
      <c r="B6817" s="983" t="s">
        <v>2716</v>
      </c>
      <c r="C6817" s="1000"/>
      <c r="H6817" s="983" t="str">
        <f>CONCATENATE("&lt;valeur&gt;",Cellule_1905,"&lt;/valeur&gt;")</f>
        <v>&lt;valeur&gt;0&lt;/valeur&gt;</v>
      </c>
    </row>
    <row r="6818" spans="1:9" x14ac:dyDescent="0.2">
      <c r="A6818" s="997">
        <f t="shared" si="106"/>
        <v>6817</v>
      </c>
      <c r="B6818" s="983" t="s">
        <v>2716</v>
      </c>
      <c r="C6818" s="1001"/>
      <c r="G6818" s="983" t="s">
        <v>1109</v>
      </c>
    </row>
    <row r="6819" spans="1:9" x14ac:dyDescent="0.2">
      <c r="A6819" s="997">
        <f t="shared" si="106"/>
        <v>6818</v>
      </c>
      <c r="B6819" s="983" t="s">
        <v>2716</v>
      </c>
      <c r="C6819" s="1000"/>
      <c r="G6819" s="983" t="s">
        <v>1106</v>
      </c>
    </row>
    <row r="6820" spans="1:9" x14ac:dyDescent="0.2">
      <c r="A6820" s="997">
        <f t="shared" si="106"/>
        <v>6819</v>
      </c>
      <c r="B6820" s="983" t="s">
        <v>2716</v>
      </c>
      <c r="C6820" s="1000"/>
      <c r="H6820" s="983" t="s">
        <v>1107</v>
      </c>
    </row>
    <row r="6821" spans="1:9" x14ac:dyDescent="0.2">
      <c r="A6821" s="997">
        <f t="shared" si="106"/>
        <v>6820</v>
      </c>
      <c r="B6821" s="983" t="s">
        <v>2716</v>
      </c>
      <c r="C6821" s="999"/>
      <c r="I6821" s="983" t="s">
        <v>2153</v>
      </c>
    </row>
    <row r="6822" spans="1:9" x14ac:dyDescent="0.2">
      <c r="A6822" s="997">
        <f t="shared" si="106"/>
        <v>6821</v>
      </c>
      <c r="B6822" s="983" t="s">
        <v>2716</v>
      </c>
      <c r="C6822" s="999"/>
      <c r="H6822" s="983" t="s">
        <v>1108</v>
      </c>
    </row>
    <row r="6823" spans="1:9" x14ac:dyDescent="0.2">
      <c r="A6823" s="997">
        <f t="shared" si="106"/>
        <v>6822</v>
      </c>
      <c r="B6823" s="983" t="s">
        <v>2716</v>
      </c>
      <c r="C6823" s="1000"/>
      <c r="H6823" s="983" t="str">
        <f>CONCATENATE("&lt;valeur&gt;",Cellule_1914,"&lt;/valeur&gt;")</f>
        <v>&lt;valeur&gt;0&lt;/valeur&gt;</v>
      </c>
    </row>
    <row r="6824" spans="1:9" x14ac:dyDescent="0.2">
      <c r="A6824" s="997">
        <f t="shared" si="106"/>
        <v>6823</v>
      </c>
      <c r="B6824" s="983" t="s">
        <v>2716</v>
      </c>
      <c r="C6824" s="1001"/>
      <c r="G6824" s="983" t="s">
        <v>1109</v>
      </c>
    </row>
    <row r="6825" spans="1:9" x14ac:dyDescent="0.2">
      <c r="A6825" s="997">
        <f t="shared" si="106"/>
        <v>6824</v>
      </c>
      <c r="B6825" s="983" t="s">
        <v>2716</v>
      </c>
      <c r="C6825" s="1000"/>
      <c r="G6825" s="983" t="s">
        <v>1106</v>
      </c>
    </row>
    <row r="6826" spans="1:9" x14ac:dyDescent="0.2">
      <c r="A6826" s="997">
        <f t="shared" si="106"/>
        <v>6825</v>
      </c>
      <c r="B6826" s="983" t="s">
        <v>2716</v>
      </c>
      <c r="C6826" s="1000"/>
      <c r="H6826" s="983" t="s">
        <v>1107</v>
      </c>
    </row>
    <row r="6827" spans="1:9" x14ac:dyDescent="0.2">
      <c r="A6827" s="997">
        <f t="shared" si="106"/>
        <v>6826</v>
      </c>
      <c r="B6827" s="983" t="s">
        <v>2716</v>
      </c>
      <c r="C6827" s="999"/>
      <c r="I6827" s="983" t="s">
        <v>2154</v>
      </c>
    </row>
    <row r="6828" spans="1:9" x14ac:dyDescent="0.2">
      <c r="A6828" s="997">
        <f t="shared" si="106"/>
        <v>6827</v>
      </c>
      <c r="B6828" s="983" t="s">
        <v>2716</v>
      </c>
      <c r="C6828" s="999"/>
      <c r="H6828" s="983" t="s">
        <v>1108</v>
      </c>
    </row>
    <row r="6829" spans="1:9" x14ac:dyDescent="0.2">
      <c r="A6829" s="997">
        <f t="shared" si="106"/>
        <v>6828</v>
      </c>
      <c r="B6829" s="983" t="s">
        <v>2716</v>
      </c>
      <c r="C6829" s="1000"/>
      <c r="H6829" s="983" t="str">
        <f>CONCATENATE("&lt;valeur&gt;",Cellule_1923,"&lt;/valeur&gt;")</f>
        <v>&lt;valeur&gt;0&lt;/valeur&gt;</v>
      </c>
    </row>
    <row r="6830" spans="1:9" x14ac:dyDescent="0.2">
      <c r="A6830" s="997">
        <f t="shared" si="106"/>
        <v>6829</v>
      </c>
      <c r="B6830" s="983" t="s">
        <v>2716</v>
      </c>
      <c r="C6830" s="1001"/>
      <c r="G6830" s="983" t="s">
        <v>1109</v>
      </c>
    </row>
    <row r="6831" spans="1:9" x14ac:dyDescent="0.2">
      <c r="A6831" s="997">
        <f t="shared" si="106"/>
        <v>6830</v>
      </c>
      <c r="B6831" s="983" t="s">
        <v>2716</v>
      </c>
      <c r="C6831" s="1000"/>
      <c r="G6831" s="983" t="s">
        <v>1106</v>
      </c>
    </row>
    <row r="6832" spans="1:9" x14ac:dyDescent="0.2">
      <c r="A6832" s="997">
        <f t="shared" si="106"/>
        <v>6831</v>
      </c>
      <c r="B6832" s="983" t="s">
        <v>2716</v>
      </c>
      <c r="C6832" s="1000"/>
      <c r="H6832" s="983" t="s">
        <v>1107</v>
      </c>
    </row>
    <row r="6833" spans="1:9" x14ac:dyDescent="0.2">
      <c r="A6833" s="997">
        <f t="shared" si="106"/>
        <v>6832</v>
      </c>
      <c r="B6833" s="983" t="s">
        <v>2716</v>
      </c>
      <c r="C6833" s="999"/>
      <c r="I6833" s="983" t="s">
        <v>2155</v>
      </c>
    </row>
    <row r="6834" spans="1:9" x14ac:dyDescent="0.2">
      <c r="A6834" s="997">
        <f t="shared" si="106"/>
        <v>6833</v>
      </c>
      <c r="B6834" s="983" t="s">
        <v>2716</v>
      </c>
      <c r="C6834" s="999"/>
      <c r="H6834" s="983" t="s">
        <v>1108</v>
      </c>
    </row>
    <row r="6835" spans="1:9" x14ac:dyDescent="0.2">
      <c r="A6835" s="997">
        <f t="shared" si="106"/>
        <v>6834</v>
      </c>
      <c r="B6835" s="983" t="s">
        <v>2716</v>
      </c>
      <c r="C6835" s="1000"/>
      <c r="H6835" s="983" t="str">
        <f>CONCATENATE("&lt;valeur&gt;",Cellule_1751,"&lt;/valeur&gt;")</f>
        <v>&lt;valeur&gt;0&lt;/valeur&gt;</v>
      </c>
    </row>
    <row r="6836" spans="1:9" x14ac:dyDescent="0.2">
      <c r="A6836" s="997">
        <f t="shared" si="106"/>
        <v>6835</v>
      </c>
      <c r="B6836" s="983" t="s">
        <v>2716</v>
      </c>
      <c r="C6836" s="1001"/>
      <c r="G6836" s="983" t="s">
        <v>1109</v>
      </c>
    </row>
    <row r="6837" spans="1:9" x14ac:dyDescent="0.2">
      <c r="A6837" s="997">
        <f t="shared" si="106"/>
        <v>6836</v>
      </c>
      <c r="B6837" s="983" t="s">
        <v>2716</v>
      </c>
      <c r="C6837" s="1000"/>
      <c r="G6837" s="983" t="s">
        <v>1106</v>
      </c>
    </row>
    <row r="6838" spans="1:9" x14ac:dyDescent="0.2">
      <c r="A6838" s="997">
        <f t="shared" si="106"/>
        <v>6837</v>
      </c>
      <c r="B6838" s="983" t="s">
        <v>2716</v>
      </c>
      <c r="C6838" s="1000"/>
      <c r="H6838" s="983" t="s">
        <v>1107</v>
      </c>
    </row>
    <row r="6839" spans="1:9" x14ac:dyDescent="0.2">
      <c r="A6839" s="997">
        <f t="shared" si="106"/>
        <v>6838</v>
      </c>
      <c r="B6839" s="983" t="s">
        <v>2716</v>
      </c>
      <c r="C6839" s="999"/>
      <c r="I6839" s="983" t="s">
        <v>2156</v>
      </c>
    </row>
    <row r="6840" spans="1:9" x14ac:dyDescent="0.2">
      <c r="A6840" s="997">
        <f t="shared" si="106"/>
        <v>6839</v>
      </c>
      <c r="B6840" s="983" t="s">
        <v>2716</v>
      </c>
      <c r="C6840" s="999"/>
      <c r="H6840" s="983" t="s">
        <v>1108</v>
      </c>
    </row>
    <row r="6841" spans="1:9" x14ac:dyDescent="0.2">
      <c r="A6841" s="997">
        <f t="shared" si="106"/>
        <v>6840</v>
      </c>
      <c r="B6841" s="983" t="s">
        <v>2716</v>
      </c>
      <c r="C6841" s="1000"/>
      <c r="H6841" s="983" t="str">
        <f>CONCATENATE("&lt;valeur&gt;",Cellule_1787,"&lt;/valeur&gt;")</f>
        <v>&lt;valeur&gt;0&lt;/valeur&gt;</v>
      </c>
    </row>
    <row r="6842" spans="1:9" x14ac:dyDescent="0.2">
      <c r="A6842" s="997">
        <f t="shared" si="106"/>
        <v>6841</v>
      </c>
      <c r="B6842" s="983" t="s">
        <v>2716</v>
      </c>
      <c r="C6842" s="1001"/>
      <c r="G6842" s="983" t="s">
        <v>1109</v>
      </c>
    </row>
    <row r="6843" spans="1:9" x14ac:dyDescent="0.2">
      <c r="A6843" s="997">
        <f t="shared" si="106"/>
        <v>6842</v>
      </c>
      <c r="B6843" s="983" t="s">
        <v>2716</v>
      </c>
      <c r="C6843" s="1000"/>
      <c r="G6843" s="983" t="s">
        <v>1106</v>
      </c>
    </row>
    <row r="6844" spans="1:9" x14ac:dyDescent="0.2">
      <c r="A6844" s="997">
        <f t="shared" si="106"/>
        <v>6843</v>
      </c>
      <c r="B6844" s="983" t="s">
        <v>2716</v>
      </c>
      <c r="C6844" s="1000"/>
      <c r="H6844" s="983" t="s">
        <v>1107</v>
      </c>
    </row>
    <row r="6845" spans="1:9" x14ac:dyDescent="0.2">
      <c r="A6845" s="997">
        <f t="shared" si="106"/>
        <v>6844</v>
      </c>
      <c r="B6845" s="983" t="s">
        <v>2716</v>
      </c>
      <c r="C6845" s="999"/>
      <c r="I6845" s="983" t="s">
        <v>2157</v>
      </c>
    </row>
    <row r="6846" spans="1:9" x14ac:dyDescent="0.2">
      <c r="A6846" s="997">
        <f t="shared" si="106"/>
        <v>6845</v>
      </c>
      <c r="B6846" s="983" t="s">
        <v>2716</v>
      </c>
      <c r="C6846" s="999"/>
      <c r="H6846" s="983" t="s">
        <v>1108</v>
      </c>
    </row>
    <row r="6847" spans="1:9" x14ac:dyDescent="0.2">
      <c r="A6847" s="997">
        <f t="shared" si="106"/>
        <v>6846</v>
      </c>
      <c r="B6847" s="983" t="s">
        <v>2716</v>
      </c>
      <c r="C6847" s="1000"/>
      <c r="H6847" s="983" t="str">
        <f>CONCATENATE("&lt;valeur&gt;",Cellule_1830,"&lt;/valeur&gt;")</f>
        <v>&lt;valeur&gt;0&lt;/valeur&gt;</v>
      </c>
    </row>
    <row r="6848" spans="1:9" x14ac:dyDescent="0.2">
      <c r="A6848" s="997">
        <f t="shared" si="106"/>
        <v>6847</v>
      </c>
      <c r="B6848" s="983" t="s">
        <v>2716</v>
      </c>
      <c r="C6848" s="1001"/>
      <c r="G6848" s="983" t="s">
        <v>1109</v>
      </c>
    </row>
    <row r="6849" spans="1:9" x14ac:dyDescent="0.2">
      <c r="A6849" s="997">
        <f t="shared" si="106"/>
        <v>6848</v>
      </c>
      <c r="B6849" s="983" t="s">
        <v>2716</v>
      </c>
      <c r="C6849" s="1000"/>
      <c r="G6849" s="983" t="s">
        <v>1106</v>
      </c>
    </row>
    <row r="6850" spans="1:9" x14ac:dyDescent="0.2">
      <c r="A6850" s="997">
        <f t="shared" si="106"/>
        <v>6849</v>
      </c>
      <c r="B6850" s="983" t="s">
        <v>2716</v>
      </c>
      <c r="C6850" s="1000"/>
      <c r="H6850" s="983" t="s">
        <v>1107</v>
      </c>
    </row>
    <row r="6851" spans="1:9" x14ac:dyDescent="0.2">
      <c r="A6851" s="997">
        <f t="shared" si="106"/>
        <v>6850</v>
      </c>
      <c r="B6851" s="983" t="s">
        <v>2716</v>
      </c>
      <c r="C6851" s="999"/>
      <c r="I6851" s="983" t="s">
        <v>2158</v>
      </c>
    </row>
    <row r="6852" spans="1:9" x14ac:dyDescent="0.2">
      <c r="A6852" s="997">
        <f t="shared" ref="A6852:A6915" si="107">+A6851+1</f>
        <v>6851</v>
      </c>
      <c r="B6852" s="983" t="s">
        <v>2716</v>
      </c>
      <c r="C6852" s="999"/>
      <c r="H6852" s="983" t="s">
        <v>1108</v>
      </c>
    </row>
    <row r="6853" spans="1:9" x14ac:dyDescent="0.2">
      <c r="A6853" s="997">
        <f t="shared" si="107"/>
        <v>6852</v>
      </c>
      <c r="B6853" s="983" t="s">
        <v>2716</v>
      </c>
      <c r="C6853" s="1000"/>
      <c r="H6853" s="983" t="str">
        <f>CONCATENATE("&lt;valeur&gt;",Cellule_1847,"&lt;/valeur&gt;")</f>
        <v>&lt;valeur&gt;0&lt;/valeur&gt;</v>
      </c>
    </row>
    <row r="6854" spans="1:9" x14ac:dyDescent="0.2">
      <c r="A6854" s="997">
        <f t="shared" si="107"/>
        <v>6853</v>
      </c>
      <c r="B6854" s="983" t="s">
        <v>2716</v>
      </c>
      <c r="C6854" s="1001"/>
      <c r="G6854" s="983" t="s">
        <v>1109</v>
      </c>
    </row>
    <row r="6855" spans="1:9" x14ac:dyDescent="0.2">
      <c r="A6855" s="997">
        <f t="shared" si="107"/>
        <v>6854</v>
      </c>
      <c r="B6855" s="983" t="s">
        <v>2716</v>
      </c>
      <c r="C6855" s="1000"/>
      <c r="G6855" s="983" t="s">
        <v>1106</v>
      </c>
    </row>
    <row r="6856" spans="1:9" x14ac:dyDescent="0.2">
      <c r="A6856" s="997">
        <f t="shared" si="107"/>
        <v>6855</v>
      </c>
      <c r="B6856" s="983" t="s">
        <v>2716</v>
      </c>
      <c r="C6856" s="1000"/>
      <c r="H6856" s="983" t="s">
        <v>1107</v>
      </c>
    </row>
    <row r="6857" spans="1:9" x14ac:dyDescent="0.2">
      <c r="A6857" s="997">
        <f t="shared" si="107"/>
        <v>6856</v>
      </c>
      <c r="B6857" s="983" t="s">
        <v>2716</v>
      </c>
      <c r="C6857" s="999"/>
      <c r="I6857" s="983" t="s">
        <v>2159</v>
      </c>
    </row>
    <row r="6858" spans="1:9" x14ac:dyDescent="0.2">
      <c r="A6858" s="997">
        <f t="shared" si="107"/>
        <v>6857</v>
      </c>
      <c r="B6858" s="983" t="s">
        <v>2716</v>
      </c>
      <c r="C6858" s="999"/>
      <c r="H6858" s="983" t="s">
        <v>1108</v>
      </c>
    </row>
    <row r="6859" spans="1:9" x14ac:dyDescent="0.2">
      <c r="A6859" s="997">
        <f t="shared" si="107"/>
        <v>6858</v>
      </c>
      <c r="B6859" s="983" t="s">
        <v>2716</v>
      </c>
      <c r="C6859" s="1000"/>
      <c r="H6859" s="983" t="str">
        <f>CONCATENATE("&lt;valeur&gt;",Cellule_1880,"&lt;/valeur&gt;")</f>
        <v>&lt;valeur&gt;0&lt;/valeur&gt;</v>
      </c>
    </row>
    <row r="6860" spans="1:9" x14ac:dyDescent="0.2">
      <c r="A6860" s="997">
        <f t="shared" si="107"/>
        <v>6859</v>
      </c>
      <c r="B6860" s="983" t="s">
        <v>2716</v>
      </c>
      <c r="C6860" s="1001"/>
      <c r="G6860" s="983" t="s">
        <v>1109</v>
      </c>
    </row>
    <row r="6861" spans="1:9" x14ac:dyDescent="0.2">
      <c r="A6861" s="997">
        <f t="shared" si="107"/>
        <v>6860</v>
      </c>
      <c r="B6861" s="983" t="s">
        <v>2716</v>
      </c>
      <c r="C6861" s="1000"/>
      <c r="G6861" s="983" t="s">
        <v>1106</v>
      </c>
    </row>
    <row r="6862" spans="1:9" x14ac:dyDescent="0.2">
      <c r="A6862" s="997">
        <f t="shared" si="107"/>
        <v>6861</v>
      </c>
      <c r="B6862" s="983" t="s">
        <v>2716</v>
      </c>
      <c r="C6862" s="1000"/>
      <c r="H6862" s="983" t="s">
        <v>1107</v>
      </c>
    </row>
    <row r="6863" spans="1:9" x14ac:dyDescent="0.2">
      <c r="A6863" s="997">
        <f t="shared" si="107"/>
        <v>6862</v>
      </c>
      <c r="B6863" s="983" t="s">
        <v>2716</v>
      </c>
      <c r="C6863" s="999"/>
      <c r="I6863" s="983" t="s">
        <v>2160</v>
      </c>
    </row>
    <row r="6864" spans="1:9" x14ac:dyDescent="0.2">
      <c r="A6864" s="997">
        <f t="shared" si="107"/>
        <v>6863</v>
      </c>
      <c r="B6864" s="983" t="s">
        <v>2716</v>
      </c>
      <c r="C6864" s="999"/>
      <c r="H6864" s="983" t="s">
        <v>1108</v>
      </c>
    </row>
    <row r="6865" spans="1:9" x14ac:dyDescent="0.2">
      <c r="A6865" s="997">
        <f t="shared" si="107"/>
        <v>6864</v>
      </c>
      <c r="B6865" s="983" t="s">
        <v>2716</v>
      </c>
      <c r="C6865" s="1000"/>
      <c r="H6865" s="983" t="str">
        <f>CONCATENATE("&lt;valeur&gt;",Cellule_1897,"&lt;/valeur&gt;")</f>
        <v>&lt;valeur&gt;0&lt;/valeur&gt;</v>
      </c>
    </row>
    <row r="6866" spans="1:9" x14ac:dyDescent="0.2">
      <c r="A6866" s="997">
        <f t="shared" si="107"/>
        <v>6865</v>
      </c>
      <c r="B6866" s="983" t="s">
        <v>2716</v>
      </c>
      <c r="C6866" s="1001"/>
      <c r="G6866" s="983" t="s">
        <v>1109</v>
      </c>
    </row>
    <row r="6867" spans="1:9" x14ac:dyDescent="0.2">
      <c r="A6867" s="997">
        <f t="shared" si="107"/>
        <v>6866</v>
      </c>
      <c r="B6867" s="983" t="s">
        <v>2716</v>
      </c>
      <c r="C6867" s="1000"/>
      <c r="G6867" s="983" t="s">
        <v>1106</v>
      </c>
    </row>
    <row r="6868" spans="1:9" x14ac:dyDescent="0.2">
      <c r="A6868" s="997">
        <f t="shared" si="107"/>
        <v>6867</v>
      </c>
      <c r="B6868" s="983" t="s">
        <v>2716</v>
      </c>
      <c r="C6868" s="1000"/>
      <c r="H6868" s="983" t="s">
        <v>1107</v>
      </c>
    </row>
    <row r="6869" spans="1:9" x14ac:dyDescent="0.2">
      <c r="A6869" s="997">
        <f t="shared" si="107"/>
        <v>6868</v>
      </c>
      <c r="B6869" s="983" t="s">
        <v>2716</v>
      </c>
      <c r="C6869" s="999"/>
      <c r="I6869" s="983" t="s">
        <v>2161</v>
      </c>
    </row>
    <row r="6870" spans="1:9" x14ac:dyDescent="0.2">
      <c r="A6870" s="997">
        <f t="shared" si="107"/>
        <v>6869</v>
      </c>
      <c r="B6870" s="983" t="s">
        <v>2716</v>
      </c>
      <c r="C6870" s="999"/>
      <c r="H6870" s="983" t="s">
        <v>1108</v>
      </c>
    </row>
    <row r="6871" spans="1:9" x14ac:dyDescent="0.2">
      <c r="A6871" s="997">
        <f t="shared" si="107"/>
        <v>6870</v>
      </c>
      <c r="B6871" s="983" t="s">
        <v>2716</v>
      </c>
      <c r="C6871" s="1000"/>
      <c r="H6871" s="983" t="str">
        <f>CONCATENATE("&lt;valeur&gt;",Cellule_1906,"&lt;/valeur&gt;")</f>
        <v>&lt;valeur&gt;&lt;/valeur&gt;</v>
      </c>
    </row>
    <row r="6872" spans="1:9" x14ac:dyDescent="0.2">
      <c r="A6872" s="997">
        <f t="shared" si="107"/>
        <v>6871</v>
      </c>
      <c r="B6872" s="983" t="s">
        <v>2716</v>
      </c>
      <c r="C6872" s="1001"/>
      <c r="G6872" s="983" t="s">
        <v>1109</v>
      </c>
    </row>
    <row r="6873" spans="1:9" x14ac:dyDescent="0.2">
      <c r="A6873" s="997">
        <f t="shared" si="107"/>
        <v>6872</v>
      </c>
      <c r="B6873" s="983" t="s">
        <v>2716</v>
      </c>
      <c r="C6873" s="1000"/>
      <c r="G6873" s="983" t="s">
        <v>1106</v>
      </c>
    </row>
    <row r="6874" spans="1:9" x14ac:dyDescent="0.2">
      <c r="A6874" s="997">
        <f t="shared" si="107"/>
        <v>6873</v>
      </c>
      <c r="B6874" s="983" t="s">
        <v>2716</v>
      </c>
      <c r="C6874" s="1000"/>
      <c r="H6874" s="983" t="s">
        <v>1107</v>
      </c>
    </row>
    <row r="6875" spans="1:9" x14ac:dyDescent="0.2">
      <c r="A6875" s="997">
        <f t="shared" si="107"/>
        <v>6874</v>
      </c>
      <c r="B6875" s="983" t="s">
        <v>2716</v>
      </c>
      <c r="C6875" s="999"/>
      <c r="I6875" s="983" t="s">
        <v>2162</v>
      </c>
    </row>
    <row r="6876" spans="1:9" x14ac:dyDescent="0.2">
      <c r="A6876" s="997">
        <f t="shared" si="107"/>
        <v>6875</v>
      </c>
      <c r="B6876" s="983" t="s">
        <v>2716</v>
      </c>
      <c r="C6876" s="999"/>
      <c r="H6876" s="983" t="s">
        <v>1108</v>
      </c>
    </row>
    <row r="6877" spans="1:9" x14ac:dyDescent="0.2">
      <c r="A6877" s="997">
        <f t="shared" si="107"/>
        <v>6876</v>
      </c>
      <c r="B6877" s="983" t="s">
        <v>2716</v>
      </c>
      <c r="C6877" s="1000"/>
      <c r="H6877" s="983" t="str">
        <f>CONCATENATE("&lt;valeur&gt;",Cellule_1915,"&lt;/valeur&gt;")</f>
        <v>&lt;valeur&gt;0&lt;/valeur&gt;</v>
      </c>
    </row>
    <row r="6878" spans="1:9" x14ac:dyDescent="0.2">
      <c r="A6878" s="997">
        <f t="shared" si="107"/>
        <v>6877</v>
      </c>
      <c r="B6878" s="983" t="s">
        <v>2716</v>
      </c>
      <c r="C6878" s="1001"/>
      <c r="G6878" s="983" t="s">
        <v>1109</v>
      </c>
    </row>
    <row r="6879" spans="1:9" x14ac:dyDescent="0.2">
      <c r="A6879" s="997">
        <f t="shared" si="107"/>
        <v>6878</v>
      </c>
      <c r="B6879" s="983" t="s">
        <v>2716</v>
      </c>
      <c r="C6879" s="1000"/>
      <c r="G6879" s="983" t="s">
        <v>1106</v>
      </c>
    </row>
    <row r="6880" spans="1:9" x14ac:dyDescent="0.2">
      <c r="A6880" s="997">
        <f t="shared" si="107"/>
        <v>6879</v>
      </c>
      <c r="B6880" s="983" t="s">
        <v>2716</v>
      </c>
      <c r="C6880" s="1000"/>
      <c r="H6880" s="983" t="s">
        <v>1107</v>
      </c>
    </row>
    <row r="6881" spans="1:9" x14ac:dyDescent="0.2">
      <c r="A6881" s="997">
        <f t="shared" si="107"/>
        <v>6880</v>
      </c>
      <c r="B6881" s="983" t="s">
        <v>2716</v>
      </c>
      <c r="C6881" s="999"/>
      <c r="I6881" s="983" t="s">
        <v>2163</v>
      </c>
    </row>
    <row r="6882" spans="1:9" x14ac:dyDescent="0.2">
      <c r="A6882" s="997">
        <f t="shared" si="107"/>
        <v>6881</v>
      </c>
      <c r="B6882" s="983" t="s">
        <v>2716</v>
      </c>
      <c r="C6882" s="999"/>
      <c r="H6882" s="983" t="s">
        <v>1108</v>
      </c>
    </row>
    <row r="6883" spans="1:9" x14ac:dyDescent="0.2">
      <c r="A6883" s="997">
        <f t="shared" si="107"/>
        <v>6882</v>
      </c>
      <c r="B6883" s="983" t="s">
        <v>2716</v>
      </c>
      <c r="C6883" s="1000"/>
      <c r="H6883" s="983" t="str">
        <f>CONCATENATE("&lt;valeur&gt;",Cellule_1924,"&lt;/valeur&gt;")</f>
        <v>&lt;valeur&gt;0&lt;/valeur&gt;</v>
      </c>
    </row>
    <row r="6884" spans="1:9" x14ac:dyDescent="0.2">
      <c r="A6884" s="997">
        <f t="shared" si="107"/>
        <v>6883</v>
      </c>
      <c r="B6884" s="983" t="s">
        <v>2716</v>
      </c>
      <c r="C6884" s="1001"/>
      <c r="G6884" s="983" t="s">
        <v>1109</v>
      </c>
    </row>
    <row r="6885" spans="1:9" x14ac:dyDescent="0.2">
      <c r="A6885" s="997">
        <f t="shared" si="107"/>
        <v>6884</v>
      </c>
      <c r="B6885" s="983" t="s">
        <v>2716</v>
      </c>
      <c r="C6885" s="1000"/>
      <c r="G6885" s="983" t="s">
        <v>1106</v>
      </c>
    </row>
    <row r="6886" spans="1:9" x14ac:dyDescent="0.2">
      <c r="A6886" s="997">
        <f t="shared" si="107"/>
        <v>6885</v>
      </c>
      <c r="B6886" s="983" t="s">
        <v>2716</v>
      </c>
      <c r="C6886" s="1000"/>
      <c r="H6886" s="983" t="s">
        <v>1107</v>
      </c>
    </row>
    <row r="6887" spans="1:9" x14ac:dyDescent="0.2">
      <c r="A6887" s="997">
        <f t="shared" si="107"/>
        <v>6886</v>
      </c>
      <c r="B6887" s="983" t="s">
        <v>2716</v>
      </c>
      <c r="C6887" s="999"/>
      <c r="I6887" s="983" t="s">
        <v>2164</v>
      </c>
    </row>
    <row r="6888" spans="1:9" x14ac:dyDescent="0.2">
      <c r="A6888" s="997">
        <f t="shared" si="107"/>
        <v>6887</v>
      </c>
      <c r="B6888" s="983" t="s">
        <v>2716</v>
      </c>
      <c r="C6888" s="999"/>
      <c r="H6888" s="983" t="s">
        <v>1108</v>
      </c>
    </row>
    <row r="6889" spans="1:9" x14ac:dyDescent="0.2">
      <c r="A6889" s="997">
        <f t="shared" si="107"/>
        <v>6888</v>
      </c>
      <c r="B6889" s="983" t="s">
        <v>2716</v>
      </c>
      <c r="C6889" s="1000"/>
      <c r="H6889" s="983" t="str">
        <f>CONCATENATE("&lt;valeur&gt;",Cellule_1752,"&lt;/valeur&gt;")</f>
        <v>&lt;valeur&gt;0&lt;/valeur&gt;</v>
      </c>
    </row>
    <row r="6890" spans="1:9" x14ac:dyDescent="0.2">
      <c r="A6890" s="997">
        <f t="shared" si="107"/>
        <v>6889</v>
      </c>
      <c r="B6890" s="983" t="s">
        <v>2716</v>
      </c>
      <c r="C6890" s="1001"/>
      <c r="G6890" s="983" t="s">
        <v>1109</v>
      </c>
    </row>
    <row r="6891" spans="1:9" x14ac:dyDescent="0.2">
      <c r="A6891" s="997">
        <f t="shared" si="107"/>
        <v>6890</v>
      </c>
      <c r="B6891" s="983" t="s">
        <v>2716</v>
      </c>
      <c r="C6891" s="1000"/>
      <c r="G6891" s="983" t="s">
        <v>1106</v>
      </c>
    </row>
    <row r="6892" spans="1:9" x14ac:dyDescent="0.2">
      <c r="A6892" s="997">
        <f t="shared" si="107"/>
        <v>6891</v>
      </c>
      <c r="B6892" s="983" t="s">
        <v>2716</v>
      </c>
      <c r="C6892" s="1000"/>
      <c r="H6892" s="983" t="s">
        <v>1107</v>
      </c>
    </row>
    <row r="6893" spans="1:9" x14ac:dyDescent="0.2">
      <c r="A6893" s="997">
        <f t="shared" si="107"/>
        <v>6892</v>
      </c>
      <c r="B6893" s="983" t="s">
        <v>2716</v>
      </c>
      <c r="C6893" s="999"/>
      <c r="I6893" s="983" t="s">
        <v>2165</v>
      </c>
    </row>
    <row r="6894" spans="1:9" x14ac:dyDescent="0.2">
      <c r="A6894" s="997">
        <f t="shared" si="107"/>
        <v>6893</v>
      </c>
      <c r="B6894" s="983" t="s">
        <v>2716</v>
      </c>
      <c r="C6894" s="999"/>
      <c r="H6894" s="983" t="s">
        <v>1108</v>
      </c>
    </row>
    <row r="6895" spans="1:9" x14ac:dyDescent="0.2">
      <c r="A6895" s="997">
        <f t="shared" si="107"/>
        <v>6894</v>
      </c>
      <c r="B6895" s="983" t="s">
        <v>2716</v>
      </c>
      <c r="C6895" s="1000"/>
      <c r="H6895" s="983" t="str">
        <f>CONCATENATE("&lt;valeur&gt;",Cellule_1788,"&lt;/valeur&gt;")</f>
        <v>&lt;valeur&gt;&lt;/valeur&gt;</v>
      </c>
    </row>
    <row r="6896" spans="1:9" x14ac:dyDescent="0.2">
      <c r="A6896" s="997">
        <f t="shared" si="107"/>
        <v>6895</v>
      </c>
      <c r="B6896" s="983" t="s">
        <v>2716</v>
      </c>
      <c r="C6896" s="1001"/>
      <c r="G6896" s="983" t="s">
        <v>1109</v>
      </c>
    </row>
    <row r="6897" spans="1:9" x14ac:dyDescent="0.2">
      <c r="A6897" s="997">
        <f t="shared" si="107"/>
        <v>6896</v>
      </c>
      <c r="B6897" s="983" t="s">
        <v>2716</v>
      </c>
      <c r="C6897" s="1000"/>
      <c r="G6897" s="983" t="s">
        <v>1106</v>
      </c>
    </row>
    <row r="6898" spans="1:9" x14ac:dyDescent="0.2">
      <c r="A6898" s="997">
        <f t="shared" si="107"/>
        <v>6897</v>
      </c>
      <c r="B6898" s="983" t="s">
        <v>2716</v>
      </c>
      <c r="C6898" s="1000"/>
      <c r="H6898" s="983" t="s">
        <v>1107</v>
      </c>
    </row>
    <row r="6899" spans="1:9" x14ac:dyDescent="0.2">
      <c r="A6899" s="997">
        <f t="shared" si="107"/>
        <v>6898</v>
      </c>
      <c r="B6899" s="983" t="s">
        <v>2716</v>
      </c>
      <c r="C6899" s="999"/>
      <c r="I6899" s="983" t="s">
        <v>2166</v>
      </c>
    </row>
    <row r="6900" spans="1:9" x14ac:dyDescent="0.2">
      <c r="A6900" s="997">
        <f t="shared" si="107"/>
        <v>6899</v>
      </c>
      <c r="B6900" s="983" t="s">
        <v>2716</v>
      </c>
      <c r="C6900" s="999"/>
      <c r="H6900" s="983" t="s">
        <v>1108</v>
      </c>
    </row>
    <row r="6901" spans="1:9" x14ac:dyDescent="0.2">
      <c r="A6901" s="997">
        <f t="shared" si="107"/>
        <v>6900</v>
      </c>
      <c r="B6901" s="983" t="s">
        <v>2716</v>
      </c>
      <c r="C6901" s="1000"/>
      <c r="H6901" s="983" t="str">
        <f>CONCATENATE("&lt;valeur&gt;",Cellule_1831,"&lt;/valeur&gt;")</f>
        <v>&lt;valeur&gt;0&lt;/valeur&gt;</v>
      </c>
    </row>
    <row r="6902" spans="1:9" x14ac:dyDescent="0.2">
      <c r="A6902" s="997">
        <f t="shared" si="107"/>
        <v>6901</v>
      </c>
      <c r="B6902" s="983" t="s">
        <v>2716</v>
      </c>
      <c r="C6902" s="1001"/>
      <c r="G6902" s="983" t="s">
        <v>1109</v>
      </c>
    </row>
    <row r="6903" spans="1:9" x14ac:dyDescent="0.2">
      <c r="A6903" s="997">
        <f t="shared" si="107"/>
        <v>6902</v>
      </c>
      <c r="B6903" s="983" t="s">
        <v>2716</v>
      </c>
      <c r="C6903" s="1000"/>
      <c r="G6903" s="983" t="s">
        <v>1106</v>
      </c>
    </row>
    <row r="6904" spans="1:9" x14ac:dyDescent="0.2">
      <c r="A6904" s="997">
        <f t="shared" si="107"/>
        <v>6903</v>
      </c>
      <c r="B6904" s="983" t="s">
        <v>2716</v>
      </c>
      <c r="C6904" s="1000"/>
      <c r="H6904" s="983" t="s">
        <v>1107</v>
      </c>
    </row>
    <row r="6905" spans="1:9" x14ac:dyDescent="0.2">
      <c r="A6905" s="997">
        <f t="shared" si="107"/>
        <v>6904</v>
      </c>
      <c r="B6905" s="983" t="s">
        <v>2716</v>
      </c>
      <c r="C6905" s="999"/>
      <c r="I6905" s="983" t="s">
        <v>2167</v>
      </c>
    </row>
    <row r="6906" spans="1:9" x14ac:dyDescent="0.2">
      <c r="A6906" s="997">
        <f t="shared" si="107"/>
        <v>6905</v>
      </c>
      <c r="B6906" s="983" t="s">
        <v>2716</v>
      </c>
      <c r="C6906" s="999"/>
      <c r="H6906" s="983" t="s">
        <v>1108</v>
      </c>
    </row>
    <row r="6907" spans="1:9" x14ac:dyDescent="0.2">
      <c r="A6907" s="997">
        <f t="shared" si="107"/>
        <v>6906</v>
      </c>
      <c r="B6907" s="983" t="s">
        <v>2716</v>
      </c>
      <c r="C6907" s="1000"/>
      <c r="H6907" s="983" t="str">
        <f>CONCATENATE("&lt;valeur&gt;",Cellule_1848,"&lt;/valeur&gt;")</f>
        <v>&lt;valeur&gt;0&lt;/valeur&gt;</v>
      </c>
    </row>
    <row r="6908" spans="1:9" x14ac:dyDescent="0.2">
      <c r="A6908" s="997">
        <f t="shared" si="107"/>
        <v>6907</v>
      </c>
      <c r="B6908" s="983" t="s">
        <v>2716</v>
      </c>
      <c r="C6908" s="1001"/>
      <c r="G6908" s="983" t="s">
        <v>1109</v>
      </c>
    </row>
    <row r="6909" spans="1:9" x14ac:dyDescent="0.2">
      <c r="A6909" s="997">
        <f t="shared" si="107"/>
        <v>6908</v>
      </c>
      <c r="B6909" s="983" t="s">
        <v>2716</v>
      </c>
      <c r="C6909" s="1000"/>
      <c r="G6909" s="983" t="s">
        <v>1106</v>
      </c>
    </row>
    <row r="6910" spans="1:9" x14ac:dyDescent="0.2">
      <c r="A6910" s="997">
        <f t="shared" si="107"/>
        <v>6909</v>
      </c>
      <c r="B6910" s="983" t="s">
        <v>2716</v>
      </c>
      <c r="C6910" s="1000"/>
      <c r="H6910" s="983" t="s">
        <v>1107</v>
      </c>
    </row>
    <row r="6911" spans="1:9" x14ac:dyDescent="0.2">
      <c r="A6911" s="997">
        <f t="shared" si="107"/>
        <v>6910</v>
      </c>
      <c r="B6911" s="983" t="s">
        <v>2716</v>
      </c>
      <c r="C6911" s="999"/>
      <c r="I6911" s="983" t="s">
        <v>2168</v>
      </c>
    </row>
    <row r="6912" spans="1:9" x14ac:dyDescent="0.2">
      <c r="A6912" s="997">
        <f t="shared" si="107"/>
        <v>6911</v>
      </c>
      <c r="B6912" s="983" t="s">
        <v>2716</v>
      </c>
      <c r="C6912" s="999"/>
      <c r="H6912" s="983" t="s">
        <v>1108</v>
      </c>
    </row>
    <row r="6913" spans="1:9" x14ac:dyDescent="0.2">
      <c r="A6913" s="997">
        <f t="shared" si="107"/>
        <v>6912</v>
      </c>
      <c r="B6913" s="983" t="s">
        <v>2716</v>
      </c>
      <c r="C6913" s="1000"/>
      <c r="H6913" s="983" t="str">
        <f>CONCATENATE("&lt;valeur&gt;",Cellule_1881,"&lt;/valeur&gt;")</f>
        <v>&lt;valeur&gt;0&lt;/valeur&gt;</v>
      </c>
    </row>
    <row r="6914" spans="1:9" x14ac:dyDescent="0.2">
      <c r="A6914" s="997">
        <f t="shared" si="107"/>
        <v>6913</v>
      </c>
      <c r="B6914" s="983" t="s">
        <v>2716</v>
      </c>
      <c r="C6914" s="1001"/>
      <c r="G6914" s="983" t="s">
        <v>1109</v>
      </c>
    </row>
    <row r="6915" spans="1:9" x14ac:dyDescent="0.2">
      <c r="A6915" s="997">
        <f t="shared" si="107"/>
        <v>6914</v>
      </c>
      <c r="B6915" s="983" t="s">
        <v>2716</v>
      </c>
      <c r="C6915" s="1000"/>
      <c r="G6915" s="983" t="s">
        <v>1106</v>
      </c>
    </row>
    <row r="6916" spans="1:9" x14ac:dyDescent="0.2">
      <c r="A6916" s="997">
        <f t="shared" ref="A6916:A6979" si="108">+A6915+1</f>
        <v>6915</v>
      </c>
      <c r="B6916" s="983" t="s">
        <v>2716</v>
      </c>
      <c r="C6916" s="1000"/>
      <c r="H6916" s="983" t="s">
        <v>1107</v>
      </c>
    </row>
    <row r="6917" spans="1:9" x14ac:dyDescent="0.2">
      <c r="A6917" s="997">
        <f t="shared" si="108"/>
        <v>6916</v>
      </c>
      <c r="B6917" s="983" t="s">
        <v>2716</v>
      </c>
      <c r="C6917" s="999"/>
      <c r="I6917" s="983" t="s">
        <v>2169</v>
      </c>
    </row>
    <row r="6918" spans="1:9" x14ac:dyDescent="0.2">
      <c r="A6918" s="997">
        <f t="shared" si="108"/>
        <v>6917</v>
      </c>
      <c r="B6918" s="983" t="s">
        <v>2716</v>
      </c>
      <c r="C6918" s="999"/>
      <c r="H6918" s="983" t="s">
        <v>1108</v>
      </c>
    </row>
    <row r="6919" spans="1:9" x14ac:dyDescent="0.2">
      <c r="A6919" s="997">
        <f t="shared" si="108"/>
        <v>6918</v>
      </c>
      <c r="B6919" s="983" t="s">
        <v>2716</v>
      </c>
      <c r="C6919" s="1000"/>
      <c r="H6919" s="983" t="str">
        <f>CONCATENATE("&lt;valeur&gt;",Cellule_1898,"&lt;/valeur&gt;")</f>
        <v>&lt;valeur&gt;0&lt;/valeur&gt;</v>
      </c>
    </row>
    <row r="6920" spans="1:9" x14ac:dyDescent="0.2">
      <c r="A6920" s="997">
        <f t="shared" si="108"/>
        <v>6919</v>
      </c>
      <c r="B6920" s="983" t="s">
        <v>2716</v>
      </c>
      <c r="C6920" s="1001"/>
      <c r="G6920" s="983" t="s">
        <v>1109</v>
      </c>
    </row>
    <row r="6921" spans="1:9" x14ac:dyDescent="0.2">
      <c r="A6921" s="997">
        <f t="shared" si="108"/>
        <v>6920</v>
      </c>
      <c r="B6921" s="983" t="s">
        <v>2716</v>
      </c>
      <c r="C6921" s="1000"/>
      <c r="G6921" s="983" t="s">
        <v>1106</v>
      </c>
    </row>
    <row r="6922" spans="1:9" x14ac:dyDescent="0.2">
      <c r="A6922" s="997">
        <f t="shared" si="108"/>
        <v>6921</v>
      </c>
      <c r="B6922" s="983" t="s">
        <v>2716</v>
      </c>
      <c r="C6922" s="1000"/>
      <c r="H6922" s="983" t="s">
        <v>1107</v>
      </c>
    </row>
    <row r="6923" spans="1:9" x14ac:dyDescent="0.2">
      <c r="A6923" s="997">
        <f t="shared" si="108"/>
        <v>6922</v>
      </c>
      <c r="B6923" s="983" t="s">
        <v>2716</v>
      </c>
      <c r="C6923" s="999"/>
      <c r="I6923" s="983" t="s">
        <v>2170</v>
      </c>
    </row>
    <row r="6924" spans="1:9" x14ac:dyDescent="0.2">
      <c r="A6924" s="997">
        <f t="shared" si="108"/>
        <v>6923</v>
      </c>
      <c r="B6924" s="983" t="s">
        <v>2716</v>
      </c>
      <c r="C6924" s="999"/>
      <c r="H6924" s="983" t="s">
        <v>1108</v>
      </c>
    </row>
    <row r="6925" spans="1:9" x14ac:dyDescent="0.2">
      <c r="A6925" s="997">
        <f t="shared" si="108"/>
        <v>6924</v>
      </c>
      <c r="B6925" s="983" t="s">
        <v>2716</v>
      </c>
      <c r="C6925" s="1000"/>
      <c r="H6925" s="983" t="str">
        <f>CONCATENATE("&lt;valeur&gt;",Cellule_1907,"&lt;/valeur&gt;")</f>
        <v>&lt;valeur&gt;&lt;/valeur&gt;</v>
      </c>
    </row>
    <row r="6926" spans="1:9" x14ac:dyDescent="0.2">
      <c r="A6926" s="997">
        <f t="shared" si="108"/>
        <v>6925</v>
      </c>
      <c r="B6926" s="983" t="s">
        <v>2716</v>
      </c>
      <c r="C6926" s="1001"/>
      <c r="G6926" s="983" t="s">
        <v>1109</v>
      </c>
    </row>
    <row r="6927" spans="1:9" x14ac:dyDescent="0.2">
      <c r="A6927" s="997">
        <f t="shared" si="108"/>
        <v>6926</v>
      </c>
      <c r="B6927" s="983" t="s">
        <v>2716</v>
      </c>
      <c r="C6927" s="1000"/>
      <c r="G6927" s="983" t="s">
        <v>1106</v>
      </c>
    </row>
    <row r="6928" spans="1:9" x14ac:dyDescent="0.2">
      <c r="A6928" s="997">
        <f t="shared" si="108"/>
        <v>6927</v>
      </c>
      <c r="B6928" s="983" t="s">
        <v>2716</v>
      </c>
      <c r="C6928" s="1000"/>
      <c r="H6928" s="983" t="s">
        <v>1107</v>
      </c>
    </row>
    <row r="6929" spans="1:9" x14ac:dyDescent="0.2">
      <c r="A6929" s="997">
        <f t="shared" si="108"/>
        <v>6928</v>
      </c>
      <c r="B6929" s="983" t="s">
        <v>2716</v>
      </c>
      <c r="C6929" s="999"/>
      <c r="I6929" s="983" t="s">
        <v>2171</v>
      </c>
    </row>
    <row r="6930" spans="1:9" x14ac:dyDescent="0.2">
      <c r="A6930" s="997">
        <f t="shared" si="108"/>
        <v>6929</v>
      </c>
      <c r="B6930" s="983" t="s">
        <v>2716</v>
      </c>
      <c r="C6930" s="999"/>
      <c r="H6930" s="983" t="s">
        <v>1108</v>
      </c>
    </row>
    <row r="6931" spans="1:9" x14ac:dyDescent="0.2">
      <c r="A6931" s="997">
        <f t="shared" si="108"/>
        <v>6930</v>
      </c>
      <c r="B6931" s="983" t="s">
        <v>2716</v>
      </c>
      <c r="C6931" s="1000"/>
      <c r="H6931" s="983" t="str">
        <f>CONCATENATE("&lt;valeur&gt;",Cellule_1916,"&lt;/valeur&gt;")</f>
        <v>&lt;valeur&gt;0&lt;/valeur&gt;</v>
      </c>
    </row>
    <row r="6932" spans="1:9" x14ac:dyDescent="0.2">
      <c r="A6932" s="997">
        <f t="shared" si="108"/>
        <v>6931</v>
      </c>
      <c r="B6932" s="983" t="s">
        <v>2716</v>
      </c>
      <c r="C6932" s="1001"/>
      <c r="G6932" s="983" t="s">
        <v>1109</v>
      </c>
    </row>
    <row r="6933" spans="1:9" x14ac:dyDescent="0.2">
      <c r="A6933" s="997">
        <f t="shared" si="108"/>
        <v>6932</v>
      </c>
      <c r="B6933" s="983" t="s">
        <v>2716</v>
      </c>
      <c r="C6933" s="1000"/>
      <c r="G6933" s="983" t="s">
        <v>1106</v>
      </c>
    </row>
    <row r="6934" spans="1:9" x14ac:dyDescent="0.2">
      <c r="A6934" s="997">
        <f t="shared" si="108"/>
        <v>6933</v>
      </c>
      <c r="B6934" s="983" t="s">
        <v>2716</v>
      </c>
      <c r="C6934" s="1000"/>
      <c r="H6934" s="983" t="s">
        <v>1107</v>
      </c>
    </row>
    <row r="6935" spans="1:9" x14ac:dyDescent="0.2">
      <c r="A6935" s="997">
        <f t="shared" si="108"/>
        <v>6934</v>
      </c>
      <c r="B6935" s="983" t="s">
        <v>2716</v>
      </c>
      <c r="C6935" s="999"/>
      <c r="I6935" s="983" t="s">
        <v>2172</v>
      </c>
    </row>
    <row r="6936" spans="1:9" x14ac:dyDescent="0.2">
      <c r="A6936" s="997">
        <f t="shared" si="108"/>
        <v>6935</v>
      </c>
      <c r="B6936" s="983" t="s">
        <v>2716</v>
      </c>
      <c r="C6936" s="999"/>
      <c r="H6936" s="983" t="s">
        <v>1108</v>
      </c>
    </row>
    <row r="6937" spans="1:9" x14ac:dyDescent="0.2">
      <c r="A6937" s="997">
        <f t="shared" si="108"/>
        <v>6936</v>
      </c>
      <c r="B6937" s="983" t="s">
        <v>2716</v>
      </c>
      <c r="C6937" s="1000"/>
      <c r="H6937" s="983" t="str">
        <f>CONCATENATE("&lt;valeur&gt;",Cellule_1925,"&lt;/valeur&gt;")</f>
        <v>&lt;valeur&gt;0&lt;/valeur&gt;</v>
      </c>
    </row>
    <row r="6938" spans="1:9" x14ac:dyDescent="0.2">
      <c r="A6938" s="997">
        <f t="shared" si="108"/>
        <v>6937</v>
      </c>
      <c r="B6938" s="983" t="s">
        <v>2716</v>
      </c>
      <c r="C6938" s="1001"/>
      <c r="G6938" s="983" t="s">
        <v>1109</v>
      </c>
    </row>
    <row r="6939" spans="1:9" x14ac:dyDescent="0.2">
      <c r="A6939" s="997">
        <f t="shared" si="108"/>
        <v>6938</v>
      </c>
      <c r="B6939" s="983" t="s">
        <v>2716</v>
      </c>
      <c r="C6939" s="1000"/>
      <c r="G6939" s="983" t="s">
        <v>1106</v>
      </c>
    </row>
    <row r="6940" spans="1:9" x14ac:dyDescent="0.2">
      <c r="A6940" s="997">
        <f t="shared" si="108"/>
        <v>6939</v>
      </c>
      <c r="B6940" s="983" t="s">
        <v>2716</v>
      </c>
      <c r="C6940" s="1000"/>
      <c r="H6940" s="983" t="s">
        <v>1107</v>
      </c>
    </row>
    <row r="6941" spans="1:9" x14ac:dyDescent="0.2">
      <c r="A6941" s="997">
        <f t="shared" si="108"/>
        <v>6940</v>
      </c>
      <c r="B6941" s="983" t="s">
        <v>2716</v>
      </c>
      <c r="C6941" s="999"/>
      <c r="I6941" s="983" t="s">
        <v>2173</v>
      </c>
    </row>
    <row r="6942" spans="1:9" x14ac:dyDescent="0.2">
      <c r="A6942" s="997">
        <f t="shared" si="108"/>
        <v>6941</v>
      </c>
      <c r="B6942" s="983" t="s">
        <v>2716</v>
      </c>
      <c r="C6942" s="999"/>
      <c r="H6942" s="983" t="s">
        <v>1108</v>
      </c>
    </row>
    <row r="6943" spans="1:9" x14ac:dyDescent="0.2">
      <c r="A6943" s="997">
        <f t="shared" si="108"/>
        <v>6942</v>
      </c>
      <c r="B6943" s="983" t="s">
        <v>2716</v>
      </c>
      <c r="C6943" s="1000"/>
      <c r="H6943" s="983" t="str">
        <f>CONCATENATE("&lt;valeur&gt;",Cellule_1753,"&lt;/valeur&gt;")</f>
        <v>&lt;valeur&gt;0&lt;/valeur&gt;</v>
      </c>
    </row>
    <row r="6944" spans="1:9" x14ac:dyDescent="0.2">
      <c r="A6944" s="997">
        <f t="shared" si="108"/>
        <v>6943</v>
      </c>
      <c r="B6944" s="983" t="s">
        <v>2716</v>
      </c>
      <c r="C6944" s="1001"/>
      <c r="G6944" s="983" t="s">
        <v>1109</v>
      </c>
    </row>
    <row r="6945" spans="1:9" x14ac:dyDescent="0.2">
      <c r="A6945" s="997">
        <f t="shared" si="108"/>
        <v>6944</v>
      </c>
      <c r="B6945" s="983" t="s">
        <v>2716</v>
      </c>
      <c r="C6945" s="1000"/>
      <c r="G6945" s="983" t="s">
        <v>1106</v>
      </c>
    </row>
    <row r="6946" spans="1:9" x14ac:dyDescent="0.2">
      <c r="A6946" s="997">
        <f t="shared" si="108"/>
        <v>6945</v>
      </c>
      <c r="B6946" s="983" t="s">
        <v>2716</v>
      </c>
      <c r="C6946" s="1000"/>
      <c r="H6946" s="983" t="s">
        <v>1107</v>
      </c>
    </row>
    <row r="6947" spans="1:9" x14ac:dyDescent="0.2">
      <c r="A6947" s="997">
        <f t="shared" si="108"/>
        <v>6946</v>
      </c>
      <c r="B6947" s="983" t="s">
        <v>2716</v>
      </c>
      <c r="C6947" s="999"/>
      <c r="I6947" s="983" t="s">
        <v>2174</v>
      </c>
    </row>
    <row r="6948" spans="1:9" x14ac:dyDescent="0.2">
      <c r="A6948" s="997">
        <f t="shared" si="108"/>
        <v>6947</v>
      </c>
      <c r="B6948" s="983" t="s">
        <v>2716</v>
      </c>
      <c r="C6948" s="999"/>
      <c r="H6948" s="983" t="s">
        <v>1108</v>
      </c>
    </row>
    <row r="6949" spans="1:9" x14ac:dyDescent="0.2">
      <c r="A6949" s="997">
        <f t="shared" si="108"/>
        <v>6948</v>
      </c>
      <c r="B6949" s="983" t="s">
        <v>2716</v>
      </c>
      <c r="C6949" s="1000"/>
      <c r="H6949" s="983" t="str">
        <f>CONCATENATE("&lt;valeur&gt;",Cellule_1789,"&lt;/valeur&gt;")</f>
        <v>&lt;valeur&gt;&lt;/valeur&gt;</v>
      </c>
    </row>
    <row r="6950" spans="1:9" x14ac:dyDescent="0.2">
      <c r="A6950" s="997">
        <f t="shared" si="108"/>
        <v>6949</v>
      </c>
      <c r="B6950" s="983" t="s">
        <v>2716</v>
      </c>
      <c r="C6950" s="1001"/>
      <c r="G6950" s="983" t="s">
        <v>1109</v>
      </c>
    </row>
    <row r="6951" spans="1:9" x14ac:dyDescent="0.2">
      <c r="A6951" s="997">
        <f t="shared" si="108"/>
        <v>6950</v>
      </c>
      <c r="B6951" s="983" t="s">
        <v>2716</v>
      </c>
      <c r="C6951" s="1000"/>
      <c r="G6951" s="983" t="s">
        <v>1106</v>
      </c>
    </row>
    <row r="6952" spans="1:9" x14ac:dyDescent="0.2">
      <c r="A6952" s="997">
        <f t="shared" si="108"/>
        <v>6951</v>
      </c>
      <c r="B6952" s="983" t="s">
        <v>2716</v>
      </c>
      <c r="C6952" s="1000"/>
      <c r="H6952" s="983" t="s">
        <v>1107</v>
      </c>
    </row>
    <row r="6953" spans="1:9" x14ac:dyDescent="0.2">
      <c r="A6953" s="997">
        <f t="shared" si="108"/>
        <v>6952</v>
      </c>
      <c r="B6953" s="983" t="s">
        <v>2716</v>
      </c>
      <c r="C6953" s="999"/>
      <c r="I6953" s="983" t="s">
        <v>2175</v>
      </c>
    </row>
    <row r="6954" spans="1:9" x14ac:dyDescent="0.2">
      <c r="A6954" s="997">
        <f t="shared" si="108"/>
        <v>6953</v>
      </c>
      <c r="B6954" s="983" t="s">
        <v>2716</v>
      </c>
      <c r="C6954" s="999"/>
      <c r="H6954" s="983" t="s">
        <v>1108</v>
      </c>
    </row>
    <row r="6955" spans="1:9" x14ac:dyDescent="0.2">
      <c r="A6955" s="997">
        <f t="shared" si="108"/>
        <v>6954</v>
      </c>
      <c r="B6955" s="983" t="s">
        <v>2716</v>
      </c>
      <c r="C6955" s="1000"/>
      <c r="H6955" s="983" t="str">
        <f>CONCATENATE("&lt;valeur&gt;",Cellule_1832,"&lt;/valeur&gt;")</f>
        <v>&lt;valeur&gt;0&lt;/valeur&gt;</v>
      </c>
    </row>
    <row r="6956" spans="1:9" x14ac:dyDescent="0.2">
      <c r="A6956" s="997">
        <f t="shared" si="108"/>
        <v>6955</v>
      </c>
      <c r="B6956" s="983" t="s">
        <v>2716</v>
      </c>
      <c r="C6956" s="1001"/>
      <c r="G6956" s="983" t="s">
        <v>1109</v>
      </c>
    </row>
    <row r="6957" spans="1:9" x14ac:dyDescent="0.2">
      <c r="A6957" s="997">
        <f t="shared" si="108"/>
        <v>6956</v>
      </c>
      <c r="B6957" s="983" t="s">
        <v>2716</v>
      </c>
      <c r="C6957" s="1000"/>
      <c r="G6957" s="983" t="s">
        <v>1106</v>
      </c>
    </row>
    <row r="6958" spans="1:9" x14ac:dyDescent="0.2">
      <c r="A6958" s="997">
        <f t="shared" si="108"/>
        <v>6957</v>
      </c>
      <c r="B6958" s="983" t="s">
        <v>2716</v>
      </c>
      <c r="C6958" s="1000"/>
      <c r="H6958" s="983" t="s">
        <v>1107</v>
      </c>
    </row>
    <row r="6959" spans="1:9" x14ac:dyDescent="0.2">
      <c r="A6959" s="997">
        <f t="shared" si="108"/>
        <v>6958</v>
      </c>
      <c r="B6959" s="983" t="s">
        <v>2716</v>
      </c>
      <c r="C6959" s="999"/>
      <c r="I6959" s="983" t="s">
        <v>2176</v>
      </c>
    </row>
    <row r="6960" spans="1:9" x14ac:dyDescent="0.2">
      <c r="A6960" s="997">
        <f t="shared" si="108"/>
        <v>6959</v>
      </c>
      <c r="B6960" s="983" t="s">
        <v>2716</v>
      </c>
      <c r="C6960" s="999"/>
      <c r="H6960" s="983" t="s">
        <v>1108</v>
      </c>
    </row>
    <row r="6961" spans="1:9" x14ac:dyDescent="0.2">
      <c r="A6961" s="997">
        <f t="shared" si="108"/>
        <v>6960</v>
      </c>
      <c r="B6961" s="983" t="s">
        <v>2716</v>
      </c>
      <c r="C6961" s="1000"/>
      <c r="H6961" s="983" t="str">
        <f>CONCATENATE("&lt;valeur&gt;",Cellule_1849,"&lt;/valeur&gt;")</f>
        <v>&lt;valeur&gt;0&lt;/valeur&gt;</v>
      </c>
    </row>
    <row r="6962" spans="1:9" x14ac:dyDescent="0.2">
      <c r="A6962" s="997">
        <f t="shared" si="108"/>
        <v>6961</v>
      </c>
      <c r="B6962" s="983" t="s">
        <v>2716</v>
      </c>
      <c r="C6962" s="1001"/>
      <c r="G6962" s="983" t="s">
        <v>1109</v>
      </c>
    </row>
    <row r="6963" spans="1:9" x14ac:dyDescent="0.2">
      <c r="A6963" s="997">
        <f t="shared" si="108"/>
        <v>6962</v>
      </c>
      <c r="B6963" s="983" t="s">
        <v>2716</v>
      </c>
      <c r="C6963" s="1000"/>
      <c r="G6963" s="983" t="s">
        <v>1106</v>
      </c>
    </row>
    <row r="6964" spans="1:9" x14ac:dyDescent="0.2">
      <c r="A6964" s="997">
        <f t="shared" si="108"/>
        <v>6963</v>
      </c>
      <c r="B6964" s="983" t="s">
        <v>2716</v>
      </c>
      <c r="C6964" s="1000"/>
      <c r="H6964" s="983" t="s">
        <v>1107</v>
      </c>
    </row>
    <row r="6965" spans="1:9" x14ac:dyDescent="0.2">
      <c r="A6965" s="997">
        <f t="shared" si="108"/>
        <v>6964</v>
      </c>
      <c r="B6965" s="983" t="s">
        <v>2716</v>
      </c>
      <c r="C6965" s="999"/>
      <c r="I6965" s="983" t="s">
        <v>2177</v>
      </c>
    </row>
    <row r="6966" spans="1:9" x14ac:dyDescent="0.2">
      <c r="A6966" s="997">
        <f t="shared" si="108"/>
        <v>6965</v>
      </c>
      <c r="B6966" s="983" t="s">
        <v>2716</v>
      </c>
      <c r="C6966" s="999"/>
      <c r="H6966" s="983" t="s">
        <v>1108</v>
      </c>
    </row>
    <row r="6967" spans="1:9" x14ac:dyDescent="0.2">
      <c r="A6967" s="997">
        <f t="shared" si="108"/>
        <v>6966</v>
      </c>
      <c r="B6967" s="983" t="s">
        <v>2716</v>
      </c>
      <c r="C6967" s="1000"/>
      <c r="H6967" s="983" t="str">
        <f>CONCATENATE("&lt;valeur&gt;",Cellule_1882,"&lt;/valeur&gt;")</f>
        <v>&lt;valeur&gt;0&lt;/valeur&gt;</v>
      </c>
    </row>
    <row r="6968" spans="1:9" x14ac:dyDescent="0.2">
      <c r="A6968" s="997">
        <f t="shared" si="108"/>
        <v>6967</v>
      </c>
      <c r="B6968" s="983" t="s">
        <v>2716</v>
      </c>
      <c r="C6968" s="1001"/>
      <c r="G6968" s="983" t="s">
        <v>1109</v>
      </c>
    </row>
    <row r="6969" spans="1:9" x14ac:dyDescent="0.2">
      <c r="A6969" s="997">
        <f t="shared" si="108"/>
        <v>6968</v>
      </c>
      <c r="B6969" s="983" t="s">
        <v>2716</v>
      </c>
      <c r="C6969" s="1000"/>
      <c r="G6969" s="983" t="s">
        <v>1106</v>
      </c>
    </row>
    <row r="6970" spans="1:9" x14ac:dyDescent="0.2">
      <c r="A6970" s="997">
        <f t="shared" si="108"/>
        <v>6969</v>
      </c>
      <c r="B6970" s="983" t="s">
        <v>2716</v>
      </c>
      <c r="C6970" s="1000"/>
      <c r="H6970" s="983" t="s">
        <v>1107</v>
      </c>
    </row>
    <row r="6971" spans="1:9" x14ac:dyDescent="0.2">
      <c r="A6971" s="997">
        <f t="shared" si="108"/>
        <v>6970</v>
      </c>
      <c r="B6971" s="983" t="s">
        <v>2716</v>
      </c>
      <c r="C6971" s="999"/>
      <c r="I6971" s="983" t="s">
        <v>2178</v>
      </c>
    </row>
    <row r="6972" spans="1:9" x14ac:dyDescent="0.2">
      <c r="A6972" s="997">
        <f t="shared" si="108"/>
        <v>6971</v>
      </c>
      <c r="B6972" s="983" t="s">
        <v>2716</v>
      </c>
      <c r="C6972" s="999"/>
      <c r="H6972" s="983" t="s">
        <v>1108</v>
      </c>
    </row>
    <row r="6973" spans="1:9" x14ac:dyDescent="0.2">
      <c r="A6973" s="997">
        <f t="shared" si="108"/>
        <v>6972</v>
      </c>
      <c r="B6973" s="983" t="s">
        <v>2716</v>
      </c>
      <c r="C6973" s="1000"/>
      <c r="H6973" s="983" t="str">
        <f>CONCATENATE("&lt;valeur&gt;",Cellule_1899,"&lt;/valeur&gt;")</f>
        <v>&lt;valeur&gt;0&lt;/valeur&gt;</v>
      </c>
    </row>
    <row r="6974" spans="1:9" x14ac:dyDescent="0.2">
      <c r="A6974" s="997">
        <f t="shared" si="108"/>
        <v>6973</v>
      </c>
      <c r="B6974" s="983" t="s">
        <v>2716</v>
      </c>
      <c r="C6974" s="1001"/>
      <c r="G6974" s="983" t="s">
        <v>1109</v>
      </c>
    </row>
    <row r="6975" spans="1:9" x14ac:dyDescent="0.2">
      <c r="A6975" s="997">
        <f t="shared" si="108"/>
        <v>6974</v>
      </c>
      <c r="B6975" s="983" t="s">
        <v>2716</v>
      </c>
      <c r="C6975" s="1000"/>
      <c r="G6975" s="983" t="s">
        <v>1106</v>
      </c>
    </row>
    <row r="6976" spans="1:9" x14ac:dyDescent="0.2">
      <c r="A6976" s="997">
        <f t="shared" si="108"/>
        <v>6975</v>
      </c>
      <c r="B6976" s="983" t="s">
        <v>2716</v>
      </c>
      <c r="C6976" s="1000"/>
      <c r="H6976" s="983" t="s">
        <v>1107</v>
      </c>
    </row>
    <row r="6977" spans="1:9" x14ac:dyDescent="0.2">
      <c r="A6977" s="997">
        <f t="shared" si="108"/>
        <v>6976</v>
      </c>
      <c r="B6977" s="983" t="s">
        <v>2716</v>
      </c>
      <c r="C6977" s="999"/>
      <c r="I6977" s="983" t="s">
        <v>2179</v>
      </c>
    </row>
    <row r="6978" spans="1:9" x14ac:dyDescent="0.2">
      <c r="A6978" s="997">
        <f t="shared" si="108"/>
        <v>6977</v>
      </c>
      <c r="B6978" s="983" t="s">
        <v>2716</v>
      </c>
      <c r="C6978" s="999"/>
      <c r="H6978" s="983" t="s">
        <v>1108</v>
      </c>
    </row>
    <row r="6979" spans="1:9" x14ac:dyDescent="0.2">
      <c r="A6979" s="997">
        <f t="shared" si="108"/>
        <v>6978</v>
      </c>
      <c r="B6979" s="983" t="s">
        <v>2716</v>
      </c>
      <c r="C6979" s="1000"/>
      <c r="H6979" s="983" t="str">
        <f>CONCATENATE("&lt;valeur&gt;",Cellule_1908,"&lt;/valeur&gt;")</f>
        <v>&lt;valeur&gt;0&lt;/valeur&gt;</v>
      </c>
    </row>
    <row r="6980" spans="1:9" x14ac:dyDescent="0.2">
      <c r="A6980" s="997">
        <f t="shared" ref="A6980:A7043" si="109">+A6979+1</f>
        <v>6979</v>
      </c>
      <c r="B6980" s="983" t="s">
        <v>2716</v>
      </c>
      <c r="C6980" s="1001"/>
      <c r="G6980" s="983" t="s">
        <v>1109</v>
      </c>
    </row>
    <row r="6981" spans="1:9" x14ac:dyDescent="0.2">
      <c r="A6981" s="997">
        <f t="shared" si="109"/>
        <v>6980</v>
      </c>
      <c r="B6981" s="983" t="s">
        <v>2716</v>
      </c>
      <c r="C6981" s="1000"/>
      <c r="G6981" s="983" t="s">
        <v>1106</v>
      </c>
    </row>
    <row r="6982" spans="1:9" x14ac:dyDescent="0.2">
      <c r="A6982" s="997">
        <f t="shared" si="109"/>
        <v>6981</v>
      </c>
      <c r="B6982" s="983" t="s">
        <v>2716</v>
      </c>
      <c r="C6982" s="1000"/>
      <c r="H6982" s="983" t="s">
        <v>1107</v>
      </c>
    </row>
    <row r="6983" spans="1:9" x14ac:dyDescent="0.2">
      <c r="A6983" s="997">
        <f t="shared" si="109"/>
        <v>6982</v>
      </c>
      <c r="B6983" s="983" t="s">
        <v>2716</v>
      </c>
      <c r="C6983" s="999"/>
      <c r="I6983" s="983" t="s">
        <v>2180</v>
      </c>
    </row>
    <row r="6984" spans="1:9" x14ac:dyDescent="0.2">
      <c r="A6984" s="997">
        <f t="shared" si="109"/>
        <v>6983</v>
      </c>
      <c r="B6984" s="983" t="s">
        <v>2716</v>
      </c>
      <c r="C6984" s="999"/>
      <c r="H6984" s="983" t="s">
        <v>1108</v>
      </c>
    </row>
    <row r="6985" spans="1:9" x14ac:dyDescent="0.2">
      <c r="A6985" s="997">
        <f t="shared" si="109"/>
        <v>6984</v>
      </c>
      <c r="B6985" s="983" t="s">
        <v>2716</v>
      </c>
      <c r="C6985" s="1000"/>
      <c r="H6985" s="983" t="str">
        <f>CONCATENATE("&lt;valeur&gt;",Cellule_1917,"&lt;/valeur&gt;")</f>
        <v>&lt;valeur&gt;0&lt;/valeur&gt;</v>
      </c>
    </row>
    <row r="6986" spans="1:9" x14ac:dyDescent="0.2">
      <c r="A6986" s="997">
        <f t="shared" si="109"/>
        <v>6985</v>
      </c>
      <c r="B6986" s="983" t="s">
        <v>2716</v>
      </c>
      <c r="C6986" s="1001"/>
      <c r="G6986" s="983" t="s">
        <v>1109</v>
      </c>
    </row>
    <row r="6987" spans="1:9" x14ac:dyDescent="0.2">
      <c r="A6987" s="997">
        <f t="shared" si="109"/>
        <v>6986</v>
      </c>
      <c r="B6987" s="983" t="s">
        <v>2716</v>
      </c>
      <c r="C6987" s="1000"/>
      <c r="G6987" s="983" t="s">
        <v>1106</v>
      </c>
    </row>
    <row r="6988" spans="1:9" x14ac:dyDescent="0.2">
      <c r="A6988" s="997">
        <f t="shared" si="109"/>
        <v>6987</v>
      </c>
      <c r="B6988" s="983" t="s">
        <v>2716</v>
      </c>
      <c r="C6988" s="1000"/>
      <c r="H6988" s="983" t="s">
        <v>1107</v>
      </c>
    </row>
    <row r="6989" spans="1:9" x14ac:dyDescent="0.2">
      <c r="A6989" s="997">
        <f t="shared" si="109"/>
        <v>6988</v>
      </c>
      <c r="B6989" s="983" t="s">
        <v>2716</v>
      </c>
      <c r="C6989" s="999"/>
      <c r="I6989" s="983" t="s">
        <v>2181</v>
      </c>
    </row>
    <row r="6990" spans="1:9" x14ac:dyDescent="0.2">
      <c r="A6990" s="997">
        <f t="shared" si="109"/>
        <v>6989</v>
      </c>
      <c r="B6990" s="983" t="s">
        <v>2716</v>
      </c>
      <c r="C6990" s="999"/>
      <c r="H6990" s="983" t="s">
        <v>1108</v>
      </c>
    </row>
    <row r="6991" spans="1:9" x14ac:dyDescent="0.2">
      <c r="A6991" s="997">
        <f t="shared" si="109"/>
        <v>6990</v>
      </c>
      <c r="B6991" s="983" t="s">
        <v>2716</v>
      </c>
      <c r="C6991" s="1000"/>
      <c r="H6991" s="983" t="str">
        <f>CONCATENATE("&lt;valeur&gt;",Cellule_1926,"&lt;/valeur&gt;")</f>
        <v>&lt;valeur&gt;0&lt;/valeur&gt;</v>
      </c>
    </row>
    <row r="6992" spans="1:9" x14ac:dyDescent="0.2">
      <c r="A6992" s="997">
        <f t="shared" si="109"/>
        <v>6991</v>
      </c>
      <c r="B6992" s="983" t="s">
        <v>2716</v>
      </c>
      <c r="C6992" s="1001"/>
      <c r="G6992" s="983" t="s">
        <v>1109</v>
      </c>
    </row>
    <row r="6993" spans="1:9" x14ac:dyDescent="0.2">
      <c r="A6993" s="997">
        <f t="shared" si="109"/>
        <v>6992</v>
      </c>
      <c r="B6993" s="983" t="s">
        <v>2716</v>
      </c>
      <c r="C6993" s="1000"/>
      <c r="G6993" s="983" t="s">
        <v>1106</v>
      </c>
    </row>
    <row r="6994" spans="1:9" x14ac:dyDescent="0.2">
      <c r="A6994" s="997">
        <f t="shared" si="109"/>
        <v>6993</v>
      </c>
      <c r="B6994" s="983" t="s">
        <v>2716</v>
      </c>
      <c r="C6994" s="1000"/>
      <c r="H6994" s="983" t="s">
        <v>1107</v>
      </c>
    </row>
    <row r="6995" spans="1:9" x14ac:dyDescent="0.2">
      <c r="A6995" s="997">
        <f t="shared" si="109"/>
        <v>6994</v>
      </c>
      <c r="B6995" s="983" t="s">
        <v>2716</v>
      </c>
      <c r="C6995" s="999"/>
      <c r="I6995" s="983" t="s">
        <v>2182</v>
      </c>
    </row>
    <row r="6996" spans="1:9" x14ac:dyDescent="0.2">
      <c r="A6996" s="997">
        <f t="shared" si="109"/>
        <v>6995</v>
      </c>
      <c r="B6996" s="983" t="s">
        <v>2716</v>
      </c>
      <c r="C6996" s="999"/>
      <c r="H6996" s="983" t="s">
        <v>1108</v>
      </c>
    </row>
    <row r="6997" spans="1:9" x14ac:dyDescent="0.2">
      <c r="A6997" s="997">
        <f t="shared" si="109"/>
        <v>6996</v>
      </c>
      <c r="B6997" s="983" t="s">
        <v>2716</v>
      </c>
      <c r="C6997" s="1000"/>
      <c r="H6997" s="983" t="str">
        <f>CONCATENATE("&lt;valeur&gt;",Cellule_1754,"&lt;/valeur&gt;")</f>
        <v>&lt;valeur&gt;0&lt;/valeur&gt;</v>
      </c>
    </row>
    <row r="6998" spans="1:9" x14ac:dyDescent="0.2">
      <c r="A6998" s="997">
        <f t="shared" si="109"/>
        <v>6997</v>
      </c>
      <c r="B6998" s="983" t="s">
        <v>2716</v>
      </c>
      <c r="C6998" s="1001"/>
      <c r="G6998" s="983" t="s">
        <v>1109</v>
      </c>
    </row>
    <row r="6999" spans="1:9" x14ac:dyDescent="0.2">
      <c r="A6999" s="997">
        <f t="shared" si="109"/>
        <v>6998</v>
      </c>
      <c r="B6999" s="983" t="s">
        <v>2716</v>
      </c>
      <c r="C6999" s="1000"/>
      <c r="G6999" s="983" t="s">
        <v>1106</v>
      </c>
    </row>
    <row r="7000" spans="1:9" x14ac:dyDescent="0.2">
      <c r="A7000" s="997">
        <f t="shared" si="109"/>
        <v>6999</v>
      </c>
      <c r="B7000" s="983" t="s">
        <v>2716</v>
      </c>
      <c r="C7000" s="1000"/>
      <c r="H7000" s="983" t="s">
        <v>1107</v>
      </c>
    </row>
    <row r="7001" spans="1:9" x14ac:dyDescent="0.2">
      <c r="A7001" s="997">
        <f t="shared" si="109"/>
        <v>7000</v>
      </c>
      <c r="B7001" s="983" t="s">
        <v>2716</v>
      </c>
      <c r="C7001" s="999"/>
      <c r="I7001" s="983" t="s">
        <v>2183</v>
      </c>
    </row>
    <row r="7002" spans="1:9" x14ac:dyDescent="0.2">
      <c r="A7002" s="997">
        <f t="shared" si="109"/>
        <v>7001</v>
      </c>
      <c r="B7002" s="983" t="s">
        <v>2716</v>
      </c>
      <c r="C7002" s="999"/>
      <c r="H7002" s="983" t="s">
        <v>1108</v>
      </c>
    </row>
    <row r="7003" spans="1:9" x14ac:dyDescent="0.2">
      <c r="A7003" s="997">
        <f t="shared" si="109"/>
        <v>7002</v>
      </c>
      <c r="B7003" s="983" t="s">
        <v>2716</v>
      </c>
      <c r="C7003" s="1000"/>
      <c r="H7003" s="983" t="str">
        <f>CONCATENATE("&lt;valeur&gt;",Cellule_1790,"&lt;/valeur&gt;")</f>
        <v>&lt;valeur&gt;0&lt;/valeur&gt;</v>
      </c>
    </row>
    <row r="7004" spans="1:9" x14ac:dyDescent="0.2">
      <c r="A7004" s="997">
        <f t="shared" si="109"/>
        <v>7003</v>
      </c>
      <c r="B7004" s="983" t="s">
        <v>2716</v>
      </c>
      <c r="C7004" s="1001"/>
      <c r="G7004" s="983" t="s">
        <v>1109</v>
      </c>
    </row>
    <row r="7005" spans="1:9" x14ac:dyDescent="0.2">
      <c r="A7005" s="997">
        <f t="shared" si="109"/>
        <v>7004</v>
      </c>
      <c r="B7005" s="983" t="s">
        <v>2716</v>
      </c>
      <c r="C7005" s="1000"/>
      <c r="G7005" s="983" t="s">
        <v>1106</v>
      </c>
    </row>
    <row r="7006" spans="1:9" x14ac:dyDescent="0.2">
      <c r="A7006" s="997">
        <f t="shared" si="109"/>
        <v>7005</v>
      </c>
      <c r="B7006" s="983" t="s">
        <v>2716</v>
      </c>
      <c r="C7006" s="1000"/>
      <c r="H7006" s="983" t="s">
        <v>1107</v>
      </c>
    </row>
    <row r="7007" spans="1:9" x14ac:dyDescent="0.2">
      <c r="A7007" s="997">
        <f t="shared" si="109"/>
        <v>7006</v>
      </c>
      <c r="B7007" s="983" t="s">
        <v>2716</v>
      </c>
      <c r="C7007" s="999"/>
      <c r="I7007" s="983" t="s">
        <v>2184</v>
      </c>
    </row>
    <row r="7008" spans="1:9" x14ac:dyDescent="0.2">
      <c r="A7008" s="997">
        <f t="shared" si="109"/>
        <v>7007</v>
      </c>
      <c r="B7008" s="983" t="s">
        <v>2716</v>
      </c>
      <c r="C7008" s="999"/>
      <c r="H7008" s="983" t="s">
        <v>1108</v>
      </c>
    </row>
    <row r="7009" spans="1:9" x14ac:dyDescent="0.2">
      <c r="A7009" s="997">
        <f t="shared" si="109"/>
        <v>7008</v>
      </c>
      <c r="B7009" s="983" t="s">
        <v>2716</v>
      </c>
      <c r="C7009" s="1000"/>
      <c r="H7009" s="983" t="str">
        <f>CONCATENATE("&lt;valeur&gt;",Cellule_1833,"&lt;/valeur&gt;")</f>
        <v>&lt;valeur&gt;0&lt;/valeur&gt;</v>
      </c>
    </row>
    <row r="7010" spans="1:9" x14ac:dyDescent="0.2">
      <c r="A7010" s="997">
        <f t="shared" si="109"/>
        <v>7009</v>
      </c>
      <c r="B7010" s="983" t="s">
        <v>2716</v>
      </c>
      <c r="C7010" s="1001"/>
      <c r="G7010" s="983" t="s">
        <v>1109</v>
      </c>
    </row>
    <row r="7011" spans="1:9" x14ac:dyDescent="0.2">
      <c r="A7011" s="997">
        <f t="shared" si="109"/>
        <v>7010</v>
      </c>
      <c r="B7011" s="983" t="s">
        <v>2716</v>
      </c>
      <c r="C7011" s="1000"/>
      <c r="G7011" s="983" t="s">
        <v>1106</v>
      </c>
    </row>
    <row r="7012" spans="1:9" x14ac:dyDescent="0.2">
      <c r="A7012" s="997">
        <f t="shared" si="109"/>
        <v>7011</v>
      </c>
      <c r="B7012" s="983" t="s">
        <v>2716</v>
      </c>
      <c r="C7012" s="1000"/>
      <c r="H7012" s="983" t="s">
        <v>1107</v>
      </c>
    </row>
    <row r="7013" spans="1:9" x14ac:dyDescent="0.2">
      <c r="A7013" s="997">
        <f t="shared" si="109"/>
        <v>7012</v>
      </c>
      <c r="B7013" s="983" t="s">
        <v>2716</v>
      </c>
      <c r="C7013" s="999"/>
      <c r="I7013" s="983" t="s">
        <v>2185</v>
      </c>
    </row>
    <row r="7014" spans="1:9" x14ac:dyDescent="0.2">
      <c r="A7014" s="997">
        <f t="shared" si="109"/>
        <v>7013</v>
      </c>
      <c r="B7014" s="983" t="s">
        <v>2716</v>
      </c>
      <c r="C7014" s="999"/>
      <c r="H7014" s="983" t="s">
        <v>1108</v>
      </c>
    </row>
    <row r="7015" spans="1:9" x14ac:dyDescent="0.2">
      <c r="A7015" s="997">
        <f t="shared" si="109"/>
        <v>7014</v>
      </c>
      <c r="B7015" s="983" t="s">
        <v>2716</v>
      </c>
      <c r="C7015" s="1000"/>
      <c r="H7015" s="983" t="str">
        <f>CONCATENATE("&lt;valeur&gt;",Cellule_1850,"&lt;/valeur&gt;")</f>
        <v>&lt;valeur&gt;0&lt;/valeur&gt;</v>
      </c>
    </row>
    <row r="7016" spans="1:9" x14ac:dyDescent="0.2">
      <c r="A7016" s="997">
        <f t="shared" si="109"/>
        <v>7015</v>
      </c>
      <c r="B7016" s="983" t="s">
        <v>2716</v>
      </c>
      <c r="C7016" s="1001"/>
      <c r="G7016" s="983" t="s">
        <v>1109</v>
      </c>
    </row>
    <row r="7017" spans="1:9" x14ac:dyDescent="0.2">
      <c r="A7017" s="997">
        <f t="shared" si="109"/>
        <v>7016</v>
      </c>
      <c r="B7017" s="983" t="s">
        <v>2716</v>
      </c>
      <c r="C7017" s="1000"/>
      <c r="G7017" s="983" t="s">
        <v>1106</v>
      </c>
    </row>
    <row r="7018" spans="1:9" x14ac:dyDescent="0.2">
      <c r="A7018" s="997">
        <f t="shared" si="109"/>
        <v>7017</v>
      </c>
      <c r="B7018" s="983" t="s">
        <v>2716</v>
      </c>
      <c r="C7018" s="1000"/>
      <c r="H7018" s="983" t="s">
        <v>1107</v>
      </c>
    </row>
    <row r="7019" spans="1:9" x14ac:dyDescent="0.2">
      <c r="A7019" s="997">
        <f t="shared" si="109"/>
        <v>7018</v>
      </c>
      <c r="B7019" s="983" t="s">
        <v>2716</v>
      </c>
      <c r="C7019" s="999"/>
      <c r="I7019" s="983" t="s">
        <v>2186</v>
      </c>
    </row>
    <row r="7020" spans="1:9" x14ac:dyDescent="0.2">
      <c r="A7020" s="997">
        <f t="shared" si="109"/>
        <v>7019</v>
      </c>
      <c r="B7020" s="983" t="s">
        <v>2716</v>
      </c>
      <c r="C7020" s="999"/>
      <c r="H7020" s="983" t="s">
        <v>1108</v>
      </c>
    </row>
    <row r="7021" spans="1:9" x14ac:dyDescent="0.2">
      <c r="A7021" s="997">
        <f t="shared" si="109"/>
        <v>7020</v>
      </c>
      <c r="B7021" s="983" t="s">
        <v>2716</v>
      </c>
      <c r="C7021" s="1000"/>
      <c r="H7021" s="983" t="str">
        <f>CONCATENATE("&lt;valeur&gt;",Cellule_1883,"&lt;/valeur&gt;")</f>
        <v>&lt;valeur&gt;0&lt;/valeur&gt;</v>
      </c>
    </row>
    <row r="7022" spans="1:9" x14ac:dyDescent="0.2">
      <c r="A7022" s="997">
        <f t="shared" si="109"/>
        <v>7021</v>
      </c>
      <c r="B7022" s="983" t="s">
        <v>2716</v>
      </c>
      <c r="C7022" s="1001"/>
      <c r="G7022" s="983" t="s">
        <v>1109</v>
      </c>
    </row>
    <row r="7023" spans="1:9" x14ac:dyDescent="0.2">
      <c r="A7023" s="997">
        <f t="shared" si="109"/>
        <v>7022</v>
      </c>
      <c r="B7023" s="983" t="s">
        <v>2716</v>
      </c>
      <c r="C7023" s="1000"/>
      <c r="G7023" s="983" t="s">
        <v>1106</v>
      </c>
    </row>
    <row r="7024" spans="1:9" x14ac:dyDescent="0.2">
      <c r="A7024" s="997">
        <f t="shared" si="109"/>
        <v>7023</v>
      </c>
      <c r="B7024" s="983" t="s">
        <v>2716</v>
      </c>
      <c r="C7024" s="1000"/>
      <c r="H7024" s="983" t="s">
        <v>1107</v>
      </c>
    </row>
    <row r="7025" spans="1:12" x14ac:dyDescent="0.2">
      <c r="A7025" s="997">
        <f t="shared" si="109"/>
        <v>7024</v>
      </c>
      <c r="B7025" s="983" t="s">
        <v>2716</v>
      </c>
      <c r="C7025" s="999"/>
      <c r="I7025" s="983" t="s">
        <v>2187</v>
      </c>
    </row>
    <row r="7026" spans="1:12" x14ac:dyDescent="0.2">
      <c r="A7026" s="997">
        <f t="shared" si="109"/>
        <v>7025</v>
      </c>
      <c r="B7026" s="983" t="s">
        <v>2716</v>
      </c>
      <c r="C7026" s="999"/>
      <c r="H7026" s="983" t="s">
        <v>1108</v>
      </c>
    </row>
    <row r="7027" spans="1:12" x14ac:dyDescent="0.2">
      <c r="A7027" s="997">
        <f t="shared" si="109"/>
        <v>7026</v>
      </c>
      <c r="B7027" s="983" t="s">
        <v>2716</v>
      </c>
      <c r="C7027" s="1000"/>
      <c r="H7027" s="983" t="str">
        <f>CONCATENATE("&lt;valeur&gt;",Cellule_1900,"&lt;/valeur&gt;")</f>
        <v>&lt;valeur&gt;0&lt;/valeur&gt;</v>
      </c>
      <c r="J7027" s="985"/>
      <c r="L7027" s="985"/>
    </row>
    <row r="7028" spans="1:12" x14ac:dyDescent="0.2">
      <c r="A7028" s="997">
        <f t="shared" si="109"/>
        <v>7027</v>
      </c>
      <c r="B7028" s="983" t="s">
        <v>2716</v>
      </c>
      <c r="C7028" s="1001"/>
      <c r="G7028" s="983" t="s">
        <v>1109</v>
      </c>
    </row>
    <row r="7029" spans="1:12" x14ac:dyDescent="0.2">
      <c r="A7029" s="997">
        <f t="shared" si="109"/>
        <v>7028</v>
      </c>
      <c r="B7029" s="983" t="s">
        <v>2716</v>
      </c>
      <c r="C7029" s="1000"/>
      <c r="G7029" s="983" t="s">
        <v>1106</v>
      </c>
      <c r="J7029" s="985"/>
    </row>
    <row r="7030" spans="1:12" x14ac:dyDescent="0.2">
      <c r="A7030" s="997">
        <f t="shared" si="109"/>
        <v>7029</v>
      </c>
      <c r="B7030" s="983" t="s">
        <v>2716</v>
      </c>
      <c r="C7030" s="1000"/>
      <c r="H7030" s="983" t="s">
        <v>1107</v>
      </c>
    </row>
    <row r="7031" spans="1:12" x14ac:dyDescent="0.2">
      <c r="A7031" s="997">
        <f t="shared" si="109"/>
        <v>7030</v>
      </c>
      <c r="B7031" s="983" t="s">
        <v>2716</v>
      </c>
      <c r="C7031" s="999"/>
      <c r="I7031" s="983" t="s">
        <v>2188</v>
      </c>
      <c r="J7031" s="985"/>
    </row>
    <row r="7032" spans="1:12" x14ac:dyDescent="0.2">
      <c r="A7032" s="997">
        <f t="shared" si="109"/>
        <v>7031</v>
      </c>
      <c r="B7032" s="983" t="s">
        <v>2716</v>
      </c>
      <c r="C7032" s="999"/>
      <c r="H7032" s="983" t="s">
        <v>1108</v>
      </c>
    </row>
    <row r="7033" spans="1:12" x14ac:dyDescent="0.2">
      <c r="A7033" s="997">
        <f t="shared" si="109"/>
        <v>7032</v>
      </c>
      <c r="B7033" s="983" t="s">
        <v>2716</v>
      </c>
      <c r="C7033" s="1000"/>
      <c r="H7033" s="983" t="str">
        <f>CONCATENATE("&lt;valeur&gt;",Cellule_1909,"&lt;/valeur&gt;")</f>
        <v>&lt;valeur&gt;&lt;/valeur&gt;</v>
      </c>
      <c r="J7033" s="985"/>
    </row>
    <row r="7034" spans="1:12" x14ac:dyDescent="0.2">
      <c r="A7034" s="997">
        <f t="shared" si="109"/>
        <v>7033</v>
      </c>
      <c r="B7034" s="983" t="s">
        <v>2716</v>
      </c>
      <c r="C7034" s="1001"/>
      <c r="G7034" s="983" t="s">
        <v>1109</v>
      </c>
    </row>
    <row r="7035" spans="1:12" x14ac:dyDescent="0.2">
      <c r="A7035" s="997">
        <f t="shared" si="109"/>
        <v>7034</v>
      </c>
      <c r="B7035" s="983" t="s">
        <v>2716</v>
      </c>
      <c r="C7035" s="1000"/>
      <c r="G7035" s="983" t="s">
        <v>1106</v>
      </c>
    </row>
    <row r="7036" spans="1:12" x14ac:dyDescent="0.2">
      <c r="A7036" s="997">
        <f t="shared" si="109"/>
        <v>7035</v>
      </c>
      <c r="B7036" s="983" t="s">
        <v>2716</v>
      </c>
      <c r="C7036" s="1000"/>
      <c r="H7036" s="983" t="s">
        <v>1107</v>
      </c>
    </row>
    <row r="7037" spans="1:12" x14ac:dyDescent="0.2">
      <c r="A7037" s="997">
        <f t="shared" si="109"/>
        <v>7036</v>
      </c>
      <c r="B7037" s="983" t="s">
        <v>2716</v>
      </c>
      <c r="C7037" s="999"/>
      <c r="I7037" s="983" t="s">
        <v>2189</v>
      </c>
    </row>
    <row r="7038" spans="1:12" x14ac:dyDescent="0.2">
      <c r="A7038" s="997">
        <f t="shared" si="109"/>
        <v>7037</v>
      </c>
      <c r="B7038" s="983" t="s">
        <v>2716</v>
      </c>
      <c r="C7038" s="999"/>
      <c r="H7038" s="983" t="s">
        <v>1108</v>
      </c>
    </row>
    <row r="7039" spans="1:12" x14ac:dyDescent="0.2">
      <c r="A7039" s="997">
        <f t="shared" si="109"/>
        <v>7038</v>
      </c>
      <c r="B7039" s="983" t="s">
        <v>2716</v>
      </c>
      <c r="C7039" s="1000"/>
      <c r="H7039" s="983" t="str">
        <f>CONCATENATE("&lt;valeur&gt;",Cellule_1918,"&lt;/valeur&gt;")</f>
        <v>&lt;valeur&gt;&lt;/valeur&gt;</v>
      </c>
    </row>
    <row r="7040" spans="1:12" x14ac:dyDescent="0.2">
      <c r="A7040" s="997">
        <f t="shared" si="109"/>
        <v>7039</v>
      </c>
      <c r="B7040" s="983" t="s">
        <v>2716</v>
      </c>
      <c r="C7040" s="1001"/>
      <c r="G7040" s="983" t="s">
        <v>1109</v>
      </c>
    </row>
    <row r="7041" spans="1:9" x14ac:dyDescent="0.2">
      <c r="A7041" s="997">
        <f t="shared" si="109"/>
        <v>7040</v>
      </c>
      <c r="B7041" s="983" t="s">
        <v>2716</v>
      </c>
      <c r="C7041" s="1000"/>
      <c r="G7041" s="983" t="s">
        <v>1106</v>
      </c>
    </row>
    <row r="7042" spans="1:9" x14ac:dyDescent="0.2">
      <c r="A7042" s="997">
        <f t="shared" si="109"/>
        <v>7041</v>
      </c>
      <c r="B7042" s="983" t="s">
        <v>2716</v>
      </c>
      <c r="C7042" s="1000"/>
      <c r="H7042" s="983" t="s">
        <v>1107</v>
      </c>
    </row>
    <row r="7043" spans="1:9" x14ac:dyDescent="0.2">
      <c r="A7043" s="997">
        <f t="shared" si="109"/>
        <v>7042</v>
      </c>
      <c r="B7043" s="983" t="s">
        <v>2716</v>
      </c>
      <c r="C7043" s="999"/>
      <c r="I7043" s="983" t="s">
        <v>2190</v>
      </c>
    </row>
    <row r="7044" spans="1:9" x14ac:dyDescent="0.2">
      <c r="A7044" s="997">
        <f t="shared" ref="A7044:A7107" si="110">+A7043+1</f>
        <v>7043</v>
      </c>
      <c r="B7044" s="983" t="s">
        <v>2716</v>
      </c>
      <c r="C7044" s="999"/>
      <c r="H7044" s="983" t="s">
        <v>1108</v>
      </c>
    </row>
    <row r="7045" spans="1:9" x14ac:dyDescent="0.2">
      <c r="A7045" s="997">
        <f t="shared" si="110"/>
        <v>7044</v>
      </c>
      <c r="B7045" s="983" t="s">
        <v>2716</v>
      </c>
      <c r="C7045" s="1000"/>
      <c r="H7045" s="983" t="str">
        <f>CONCATENATE("&lt;valeur&gt;",Cellule_1927,"&lt;/valeur&gt;")</f>
        <v>&lt;valeur&gt;0&lt;/valeur&gt;</v>
      </c>
    </row>
    <row r="7046" spans="1:9" x14ac:dyDescent="0.2">
      <c r="A7046" s="997">
        <f t="shared" si="110"/>
        <v>7045</v>
      </c>
      <c r="B7046" s="983" t="s">
        <v>2716</v>
      </c>
      <c r="C7046" s="1001"/>
      <c r="G7046" s="983" t="s">
        <v>1109</v>
      </c>
    </row>
    <row r="7047" spans="1:9" x14ac:dyDescent="0.2">
      <c r="A7047" s="997">
        <f t="shared" si="110"/>
        <v>7046</v>
      </c>
      <c r="B7047" s="983" t="s">
        <v>2716</v>
      </c>
      <c r="C7047" s="1000"/>
      <c r="G7047" s="983" t="s">
        <v>1106</v>
      </c>
    </row>
    <row r="7048" spans="1:9" x14ac:dyDescent="0.2">
      <c r="A7048" s="997">
        <f t="shared" si="110"/>
        <v>7047</v>
      </c>
      <c r="B7048" s="983" t="s">
        <v>2716</v>
      </c>
      <c r="C7048" s="1000"/>
      <c r="H7048" s="983" t="s">
        <v>1107</v>
      </c>
    </row>
    <row r="7049" spans="1:9" x14ac:dyDescent="0.2">
      <c r="A7049" s="997">
        <f t="shared" si="110"/>
        <v>7048</v>
      </c>
      <c r="B7049" s="983" t="s">
        <v>2716</v>
      </c>
      <c r="C7049" s="999"/>
      <c r="I7049" s="983" t="s">
        <v>2191</v>
      </c>
    </row>
    <row r="7050" spans="1:9" x14ac:dyDescent="0.2">
      <c r="A7050" s="997">
        <f t="shared" si="110"/>
        <v>7049</v>
      </c>
      <c r="B7050" s="983" t="s">
        <v>2716</v>
      </c>
      <c r="C7050" s="999"/>
      <c r="H7050" s="983" t="s">
        <v>1108</v>
      </c>
    </row>
    <row r="7051" spans="1:9" x14ac:dyDescent="0.2">
      <c r="A7051" s="997">
        <f t="shared" si="110"/>
        <v>7050</v>
      </c>
      <c r="B7051" s="983" t="s">
        <v>2716</v>
      </c>
      <c r="C7051" s="1000"/>
      <c r="H7051" s="983" t="str">
        <f>CONCATENATE("&lt;valeur&gt;",Cellule_1755,"&lt;/valeur&gt;")</f>
        <v>&lt;valeur&gt;0&lt;/valeur&gt;</v>
      </c>
    </row>
    <row r="7052" spans="1:9" x14ac:dyDescent="0.2">
      <c r="A7052" s="997">
        <f t="shared" si="110"/>
        <v>7051</v>
      </c>
      <c r="B7052" s="983" t="s">
        <v>2716</v>
      </c>
      <c r="C7052" s="1001"/>
      <c r="G7052" s="983" t="s">
        <v>1109</v>
      </c>
    </row>
    <row r="7053" spans="1:9" x14ac:dyDescent="0.2">
      <c r="A7053" s="997">
        <f t="shared" si="110"/>
        <v>7052</v>
      </c>
      <c r="B7053" s="983" t="s">
        <v>2716</v>
      </c>
      <c r="C7053" s="1000"/>
      <c r="G7053" s="983" t="s">
        <v>1106</v>
      </c>
    </row>
    <row r="7054" spans="1:9" x14ac:dyDescent="0.2">
      <c r="A7054" s="997">
        <f t="shared" si="110"/>
        <v>7053</v>
      </c>
      <c r="B7054" s="983" t="s">
        <v>2716</v>
      </c>
      <c r="C7054" s="1000"/>
      <c r="H7054" s="983" t="s">
        <v>1107</v>
      </c>
    </row>
    <row r="7055" spans="1:9" x14ac:dyDescent="0.2">
      <c r="A7055" s="997">
        <f t="shared" si="110"/>
        <v>7054</v>
      </c>
      <c r="B7055" s="983" t="s">
        <v>2716</v>
      </c>
      <c r="C7055" s="999"/>
      <c r="I7055" s="983" t="s">
        <v>2192</v>
      </c>
    </row>
    <row r="7056" spans="1:9" x14ac:dyDescent="0.2">
      <c r="A7056" s="997">
        <f t="shared" si="110"/>
        <v>7055</v>
      </c>
      <c r="B7056" s="983" t="s">
        <v>2716</v>
      </c>
      <c r="C7056" s="999"/>
      <c r="H7056" s="983" t="s">
        <v>1108</v>
      </c>
    </row>
    <row r="7057" spans="1:9" x14ac:dyDescent="0.2">
      <c r="A7057" s="997">
        <f t="shared" si="110"/>
        <v>7056</v>
      </c>
      <c r="B7057" s="983" t="s">
        <v>2716</v>
      </c>
      <c r="C7057" s="1000"/>
      <c r="H7057" s="983" t="str">
        <f>CONCATENATE("&lt;valeur&gt;",Cellule_1791,"&lt;/valeur&gt;")</f>
        <v>&lt;valeur&gt;0&lt;/valeur&gt;</v>
      </c>
    </row>
    <row r="7058" spans="1:9" x14ac:dyDescent="0.2">
      <c r="A7058" s="997">
        <f t="shared" si="110"/>
        <v>7057</v>
      </c>
      <c r="B7058" s="983" t="s">
        <v>2716</v>
      </c>
      <c r="C7058" s="1001"/>
      <c r="G7058" s="983" t="s">
        <v>1109</v>
      </c>
    </row>
    <row r="7059" spans="1:9" x14ac:dyDescent="0.2">
      <c r="A7059" s="997">
        <f t="shared" si="110"/>
        <v>7058</v>
      </c>
      <c r="B7059" s="983" t="s">
        <v>2716</v>
      </c>
      <c r="C7059" s="1000"/>
      <c r="G7059" s="983" t="s">
        <v>1106</v>
      </c>
    </row>
    <row r="7060" spans="1:9" x14ac:dyDescent="0.2">
      <c r="A7060" s="997">
        <f t="shared" si="110"/>
        <v>7059</v>
      </c>
      <c r="B7060" s="983" t="s">
        <v>2716</v>
      </c>
      <c r="C7060" s="1000"/>
      <c r="H7060" s="983" t="s">
        <v>1107</v>
      </c>
    </row>
    <row r="7061" spans="1:9" x14ac:dyDescent="0.2">
      <c r="A7061" s="997">
        <f t="shared" si="110"/>
        <v>7060</v>
      </c>
      <c r="B7061" s="983" t="s">
        <v>2716</v>
      </c>
      <c r="C7061" s="999"/>
      <c r="I7061" s="983" t="s">
        <v>2193</v>
      </c>
    </row>
    <row r="7062" spans="1:9" x14ac:dyDescent="0.2">
      <c r="A7062" s="997">
        <f t="shared" si="110"/>
        <v>7061</v>
      </c>
      <c r="B7062" s="983" t="s">
        <v>2716</v>
      </c>
      <c r="C7062" s="999"/>
      <c r="H7062" s="983" t="s">
        <v>1108</v>
      </c>
    </row>
    <row r="7063" spans="1:9" x14ac:dyDescent="0.2">
      <c r="A7063" s="997">
        <f t="shared" si="110"/>
        <v>7062</v>
      </c>
      <c r="B7063" s="983" t="s">
        <v>2716</v>
      </c>
      <c r="C7063" s="1000"/>
      <c r="H7063" s="983" t="str">
        <f>CONCATENATE("&lt;valeur&gt;",Cellule_1834,"&lt;/valeur&gt;")</f>
        <v>&lt;valeur&gt;0&lt;/valeur&gt;</v>
      </c>
    </row>
    <row r="7064" spans="1:9" x14ac:dyDescent="0.2">
      <c r="A7064" s="997">
        <f t="shared" si="110"/>
        <v>7063</v>
      </c>
      <c r="B7064" s="983" t="s">
        <v>2716</v>
      </c>
      <c r="C7064" s="1001"/>
      <c r="G7064" s="983" t="s">
        <v>1109</v>
      </c>
    </row>
    <row r="7065" spans="1:9" x14ac:dyDescent="0.2">
      <c r="A7065" s="997">
        <f t="shared" si="110"/>
        <v>7064</v>
      </c>
      <c r="B7065" s="983" t="s">
        <v>2716</v>
      </c>
      <c r="C7065" s="1000"/>
      <c r="G7065" s="983" t="s">
        <v>1106</v>
      </c>
    </row>
    <row r="7066" spans="1:9" x14ac:dyDescent="0.2">
      <c r="A7066" s="997">
        <f t="shared" si="110"/>
        <v>7065</v>
      </c>
      <c r="B7066" s="983" t="s">
        <v>2716</v>
      </c>
      <c r="C7066" s="1000"/>
      <c r="H7066" s="983" t="s">
        <v>1107</v>
      </c>
    </row>
    <row r="7067" spans="1:9" x14ac:dyDescent="0.2">
      <c r="A7067" s="997">
        <f t="shared" si="110"/>
        <v>7066</v>
      </c>
      <c r="B7067" s="983" t="s">
        <v>2716</v>
      </c>
      <c r="C7067" s="999"/>
      <c r="I7067" s="983" t="s">
        <v>2194</v>
      </c>
    </row>
    <row r="7068" spans="1:9" x14ac:dyDescent="0.2">
      <c r="A7068" s="997">
        <f t="shared" si="110"/>
        <v>7067</v>
      </c>
      <c r="B7068" s="983" t="s">
        <v>2716</v>
      </c>
      <c r="C7068" s="999"/>
      <c r="H7068" s="983" t="s">
        <v>1108</v>
      </c>
    </row>
    <row r="7069" spans="1:9" x14ac:dyDescent="0.2">
      <c r="A7069" s="997">
        <f t="shared" si="110"/>
        <v>7068</v>
      </c>
      <c r="B7069" s="983" t="s">
        <v>2716</v>
      </c>
      <c r="C7069" s="1000"/>
      <c r="H7069" s="983" t="str">
        <f>CONCATENATE("&lt;valeur&gt;",Cellule_1851,"&lt;/valeur&gt;")</f>
        <v>&lt;valeur&gt;0&lt;/valeur&gt;</v>
      </c>
    </row>
    <row r="7070" spans="1:9" x14ac:dyDescent="0.2">
      <c r="A7070" s="997">
        <f t="shared" si="110"/>
        <v>7069</v>
      </c>
      <c r="B7070" s="983" t="s">
        <v>2716</v>
      </c>
      <c r="C7070" s="1001"/>
      <c r="G7070" s="983" t="s">
        <v>1109</v>
      </c>
    </row>
    <row r="7071" spans="1:9" x14ac:dyDescent="0.2">
      <c r="A7071" s="997">
        <f t="shared" si="110"/>
        <v>7070</v>
      </c>
      <c r="B7071" s="983" t="s">
        <v>2716</v>
      </c>
      <c r="C7071" s="1000"/>
      <c r="G7071" s="983" t="s">
        <v>1106</v>
      </c>
    </row>
    <row r="7072" spans="1:9" x14ac:dyDescent="0.2">
      <c r="A7072" s="997">
        <f t="shared" si="110"/>
        <v>7071</v>
      </c>
      <c r="B7072" s="983" t="s">
        <v>2716</v>
      </c>
      <c r="C7072" s="1000"/>
      <c r="H7072" s="983" t="s">
        <v>1107</v>
      </c>
    </row>
    <row r="7073" spans="1:9" x14ac:dyDescent="0.2">
      <c r="A7073" s="997">
        <f t="shared" si="110"/>
        <v>7072</v>
      </c>
      <c r="B7073" s="983" t="s">
        <v>2716</v>
      </c>
      <c r="C7073" s="999"/>
      <c r="I7073" s="983" t="s">
        <v>2195</v>
      </c>
    </row>
    <row r="7074" spans="1:9" x14ac:dyDescent="0.2">
      <c r="A7074" s="997">
        <f t="shared" si="110"/>
        <v>7073</v>
      </c>
      <c r="B7074" s="983" t="s">
        <v>2716</v>
      </c>
      <c r="C7074" s="999"/>
      <c r="H7074" s="983" t="s">
        <v>1108</v>
      </c>
    </row>
    <row r="7075" spans="1:9" x14ac:dyDescent="0.2">
      <c r="A7075" s="997">
        <f t="shared" si="110"/>
        <v>7074</v>
      </c>
      <c r="B7075" s="983" t="s">
        <v>2716</v>
      </c>
      <c r="C7075" s="1000"/>
      <c r="H7075" s="983" t="str">
        <f>CONCATENATE("&lt;valeur&gt;",Cellule_1884,"&lt;/valeur&gt;")</f>
        <v>&lt;valeur&gt;0&lt;/valeur&gt;</v>
      </c>
    </row>
    <row r="7076" spans="1:9" x14ac:dyDescent="0.2">
      <c r="A7076" s="997">
        <f t="shared" si="110"/>
        <v>7075</v>
      </c>
      <c r="B7076" s="983" t="s">
        <v>2716</v>
      </c>
      <c r="C7076" s="1001"/>
      <c r="G7076" s="983" t="s">
        <v>1109</v>
      </c>
    </row>
    <row r="7077" spans="1:9" x14ac:dyDescent="0.2">
      <c r="A7077" s="997">
        <f t="shared" si="110"/>
        <v>7076</v>
      </c>
      <c r="B7077" s="983" t="s">
        <v>2716</v>
      </c>
      <c r="C7077" s="1000"/>
      <c r="G7077" s="983" t="s">
        <v>1106</v>
      </c>
    </row>
    <row r="7078" spans="1:9" x14ac:dyDescent="0.2">
      <c r="A7078" s="997">
        <f t="shared" si="110"/>
        <v>7077</v>
      </c>
      <c r="B7078" s="983" t="s">
        <v>2716</v>
      </c>
      <c r="C7078" s="1000"/>
      <c r="H7078" s="983" t="s">
        <v>1107</v>
      </c>
    </row>
    <row r="7079" spans="1:9" x14ac:dyDescent="0.2">
      <c r="A7079" s="997">
        <f t="shared" si="110"/>
        <v>7078</v>
      </c>
      <c r="B7079" s="983" t="s">
        <v>2716</v>
      </c>
      <c r="C7079" s="999"/>
      <c r="I7079" s="983" t="s">
        <v>2196</v>
      </c>
    </row>
    <row r="7080" spans="1:9" x14ac:dyDescent="0.2">
      <c r="A7080" s="997">
        <f t="shared" si="110"/>
        <v>7079</v>
      </c>
      <c r="B7080" s="983" t="s">
        <v>2716</v>
      </c>
      <c r="C7080" s="999"/>
      <c r="H7080" s="983" t="s">
        <v>1108</v>
      </c>
    </row>
    <row r="7081" spans="1:9" x14ac:dyDescent="0.2">
      <c r="A7081" s="997">
        <f t="shared" si="110"/>
        <v>7080</v>
      </c>
      <c r="B7081" s="983" t="s">
        <v>2716</v>
      </c>
      <c r="C7081" s="1000"/>
      <c r="H7081" s="983" t="str">
        <f>CONCATENATE("&lt;valeur&gt;",Cellule_1901,"&lt;/valeur&gt;")</f>
        <v>&lt;valeur&gt;0&lt;/valeur&gt;</v>
      </c>
    </row>
    <row r="7082" spans="1:9" x14ac:dyDescent="0.2">
      <c r="A7082" s="997">
        <f t="shared" si="110"/>
        <v>7081</v>
      </c>
      <c r="B7082" s="983" t="s">
        <v>2716</v>
      </c>
      <c r="C7082" s="1001"/>
      <c r="G7082" s="983" t="s">
        <v>1109</v>
      </c>
    </row>
    <row r="7083" spans="1:9" x14ac:dyDescent="0.2">
      <c r="A7083" s="997">
        <f t="shared" si="110"/>
        <v>7082</v>
      </c>
      <c r="B7083" s="983" t="s">
        <v>2716</v>
      </c>
      <c r="C7083" s="1000"/>
      <c r="G7083" s="983" t="s">
        <v>1106</v>
      </c>
    </row>
    <row r="7084" spans="1:9" x14ac:dyDescent="0.2">
      <c r="A7084" s="997">
        <f t="shared" si="110"/>
        <v>7083</v>
      </c>
      <c r="B7084" s="983" t="s">
        <v>2716</v>
      </c>
      <c r="C7084" s="1000"/>
      <c r="H7084" s="983" t="s">
        <v>1107</v>
      </c>
    </row>
    <row r="7085" spans="1:9" x14ac:dyDescent="0.2">
      <c r="A7085" s="997">
        <f t="shared" si="110"/>
        <v>7084</v>
      </c>
      <c r="B7085" s="983" t="s">
        <v>2716</v>
      </c>
      <c r="C7085" s="999"/>
      <c r="I7085" s="983" t="s">
        <v>2197</v>
      </c>
    </row>
    <row r="7086" spans="1:9" x14ac:dyDescent="0.2">
      <c r="A7086" s="997">
        <f t="shared" si="110"/>
        <v>7085</v>
      </c>
      <c r="B7086" s="983" t="s">
        <v>2716</v>
      </c>
      <c r="C7086" s="999"/>
      <c r="H7086" s="983" t="s">
        <v>1108</v>
      </c>
    </row>
    <row r="7087" spans="1:9" x14ac:dyDescent="0.2">
      <c r="A7087" s="997">
        <f t="shared" si="110"/>
        <v>7086</v>
      </c>
      <c r="B7087" s="983" t="s">
        <v>2716</v>
      </c>
      <c r="C7087" s="1000"/>
      <c r="H7087" s="983" t="str">
        <f>CONCATENATE("&lt;valeur&gt;",Cellule_1910,"&lt;/valeur&gt;")</f>
        <v>&lt;valeur&gt;0&lt;/valeur&gt;</v>
      </c>
    </row>
    <row r="7088" spans="1:9" x14ac:dyDescent="0.2">
      <c r="A7088" s="997">
        <f t="shared" si="110"/>
        <v>7087</v>
      </c>
      <c r="B7088" s="983" t="s">
        <v>2716</v>
      </c>
      <c r="C7088" s="1001"/>
      <c r="G7088" s="983" t="s">
        <v>1109</v>
      </c>
    </row>
    <row r="7089" spans="1:9" x14ac:dyDescent="0.2">
      <c r="A7089" s="997">
        <f t="shared" si="110"/>
        <v>7088</v>
      </c>
      <c r="B7089" s="983" t="s">
        <v>2716</v>
      </c>
      <c r="C7089" s="1000"/>
      <c r="G7089" s="983" t="s">
        <v>1106</v>
      </c>
    </row>
    <row r="7090" spans="1:9" x14ac:dyDescent="0.2">
      <c r="A7090" s="997">
        <f t="shared" si="110"/>
        <v>7089</v>
      </c>
      <c r="B7090" s="983" t="s">
        <v>2716</v>
      </c>
      <c r="C7090" s="1000"/>
      <c r="H7090" s="983" t="s">
        <v>1107</v>
      </c>
    </row>
    <row r="7091" spans="1:9" x14ac:dyDescent="0.2">
      <c r="A7091" s="997">
        <f t="shared" si="110"/>
        <v>7090</v>
      </c>
      <c r="B7091" s="983" t="s">
        <v>2716</v>
      </c>
      <c r="C7091" s="999"/>
      <c r="I7091" s="983" t="s">
        <v>2198</v>
      </c>
    </row>
    <row r="7092" spans="1:9" x14ac:dyDescent="0.2">
      <c r="A7092" s="997">
        <f t="shared" si="110"/>
        <v>7091</v>
      </c>
      <c r="B7092" s="983" t="s">
        <v>2716</v>
      </c>
      <c r="C7092" s="999"/>
      <c r="H7092" s="983" t="s">
        <v>1108</v>
      </c>
    </row>
    <row r="7093" spans="1:9" x14ac:dyDescent="0.2">
      <c r="A7093" s="997">
        <f t="shared" si="110"/>
        <v>7092</v>
      </c>
      <c r="B7093" s="983" t="s">
        <v>2716</v>
      </c>
      <c r="C7093" s="1000"/>
      <c r="H7093" s="983" t="str">
        <f>CONCATENATE("&lt;valeur&gt;",Cellule_1919,"&lt;/valeur&gt;")</f>
        <v>&lt;valeur&gt;0&lt;/valeur&gt;</v>
      </c>
    </row>
    <row r="7094" spans="1:9" x14ac:dyDescent="0.2">
      <c r="A7094" s="997">
        <f t="shared" si="110"/>
        <v>7093</v>
      </c>
      <c r="B7094" s="983" t="s">
        <v>2716</v>
      </c>
      <c r="C7094" s="1001"/>
      <c r="G7094" s="983" t="s">
        <v>1109</v>
      </c>
    </row>
    <row r="7095" spans="1:9" x14ac:dyDescent="0.2">
      <c r="A7095" s="997">
        <f t="shared" si="110"/>
        <v>7094</v>
      </c>
      <c r="B7095" s="983" t="s">
        <v>2716</v>
      </c>
      <c r="C7095" s="1000"/>
      <c r="G7095" s="983" t="s">
        <v>1106</v>
      </c>
    </row>
    <row r="7096" spans="1:9" x14ac:dyDescent="0.2">
      <c r="A7096" s="997">
        <f t="shared" si="110"/>
        <v>7095</v>
      </c>
      <c r="B7096" s="983" t="s">
        <v>2716</v>
      </c>
      <c r="C7096" s="1000"/>
      <c r="H7096" s="983" t="s">
        <v>1107</v>
      </c>
    </row>
    <row r="7097" spans="1:9" x14ac:dyDescent="0.2">
      <c r="A7097" s="997">
        <f t="shared" si="110"/>
        <v>7096</v>
      </c>
      <c r="B7097" s="983" t="s">
        <v>2716</v>
      </c>
      <c r="C7097" s="999"/>
      <c r="I7097" s="983" t="s">
        <v>2199</v>
      </c>
    </row>
    <row r="7098" spans="1:9" x14ac:dyDescent="0.2">
      <c r="A7098" s="997">
        <f t="shared" si="110"/>
        <v>7097</v>
      </c>
      <c r="B7098" s="983" t="s">
        <v>2716</v>
      </c>
      <c r="C7098" s="999"/>
      <c r="H7098" s="983" t="s">
        <v>1108</v>
      </c>
    </row>
    <row r="7099" spans="1:9" x14ac:dyDescent="0.2">
      <c r="A7099" s="997">
        <f t="shared" si="110"/>
        <v>7098</v>
      </c>
      <c r="B7099" s="983" t="s">
        <v>2716</v>
      </c>
      <c r="C7099" s="1000"/>
      <c r="H7099" s="983" t="str">
        <f>CONCATENATE("&lt;valeur&gt;",Cellule_1928,"&lt;/valeur&gt;")</f>
        <v>&lt;valeur&gt;0&lt;/valeur&gt;</v>
      </c>
    </row>
    <row r="7100" spans="1:9" x14ac:dyDescent="0.2">
      <c r="A7100" s="997">
        <f t="shared" si="110"/>
        <v>7099</v>
      </c>
      <c r="B7100" s="983" t="s">
        <v>2716</v>
      </c>
      <c r="C7100" s="1001"/>
      <c r="G7100" s="983" t="s">
        <v>1109</v>
      </c>
    </row>
    <row r="7101" spans="1:9" x14ac:dyDescent="0.2">
      <c r="A7101" s="997">
        <f t="shared" si="110"/>
        <v>7100</v>
      </c>
      <c r="B7101" s="983" t="s">
        <v>2716</v>
      </c>
      <c r="C7101" s="1000"/>
      <c r="F7101" s="983" t="s">
        <v>1110</v>
      </c>
    </row>
    <row r="7102" spans="1:9" x14ac:dyDescent="0.2">
      <c r="A7102" s="997">
        <f t="shared" si="110"/>
        <v>7101</v>
      </c>
      <c r="B7102" s="983" t="s">
        <v>2716</v>
      </c>
      <c r="C7102" s="999"/>
      <c r="F7102" s="983" t="s">
        <v>1111</v>
      </c>
    </row>
    <row r="7103" spans="1:9" x14ac:dyDescent="0.2">
      <c r="A7103" s="997">
        <f t="shared" si="110"/>
        <v>7102</v>
      </c>
      <c r="B7103" s="983" t="s">
        <v>2716</v>
      </c>
      <c r="C7103" s="999"/>
      <c r="G7103" s="983" t="s">
        <v>1114</v>
      </c>
    </row>
    <row r="7104" spans="1:9" x14ac:dyDescent="0.2">
      <c r="A7104" s="997">
        <f t="shared" si="110"/>
        <v>7103</v>
      </c>
      <c r="B7104" s="983" t="s">
        <v>2716</v>
      </c>
      <c r="C7104" s="1000"/>
      <c r="H7104" s="983" t="s">
        <v>1115</v>
      </c>
    </row>
    <row r="7105" spans="1:9" x14ac:dyDescent="0.2">
      <c r="A7105" s="997">
        <f t="shared" si="110"/>
        <v>7104</v>
      </c>
      <c r="B7105" s="983" t="s">
        <v>2716</v>
      </c>
      <c r="C7105" s="1001"/>
      <c r="I7105" s="983" t="s">
        <v>2200</v>
      </c>
    </row>
    <row r="7106" spans="1:9" x14ac:dyDescent="0.2">
      <c r="A7106" s="997">
        <f t="shared" si="110"/>
        <v>7105</v>
      </c>
      <c r="B7106" s="983" t="s">
        <v>2716</v>
      </c>
      <c r="C7106" s="1000"/>
      <c r="H7106" s="983" t="s">
        <v>1116</v>
      </c>
    </row>
    <row r="7107" spans="1:9" x14ac:dyDescent="0.2">
      <c r="A7107" s="997">
        <f t="shared" si="110"/>
        <v>7106</v>
      </c>
      <c r="B7107" s="983" t="s">
        <v>2716</v>
      </c>
      <c r="C7107" s="1000"/>
      <c r="H7107" s="983" t="str">
        <f>CONCATENATE("&lt;valeur&gt;",'T9 B5-PROV'!I3,"&lt;/valeur&gt;")</f>
        <v>&lt;valeur&gt;31/12/2022&lt;/valeur&gt;</v>
      </c>
    </row>
    <row r="7108" spans="1:9" x14ac:dyDescent="0.2">
      <c r="A7108" s="997">
        <f t="shared" ref="A7108:A7171" si="111">+A7107+1</f>
        <v>7107</v>
      </c>
      <c r="B7108" s="983" t="s">
        <v>2716</v>
      </c>
      <c r="C7108" s="999"/>
      <c r="G7108" s="983" t="s">
        <v>1117</v>
      </c>
    </row>
    <row r="7109" spans="1:9" x14ac:dyDescent="0.2">
      <c r="A7109" s="997">
        <f t="shared" si="111"/>
        <v>7108</v>
      </c>
      <c r="B7109" s="983" t="s">
        <v>2716</v>
      </c>
      <c r="C7109" s="999"/>
      <c r="F7109" s="983" t="s">
        <v>1112</v>
      </c>
    </row>
    <row r="7110" spans="1:9" x14ac:dyDescent="0.2">
      <c r="A7110" s="997">
        <f t="shared" si="111"/>
        <v>7109</v>
      </c>
      <c r="B7110" s="983" t="s">
        <v>2716</v>
      </c>
      <c r="C7110" s="1000"/>
      <c r="E7110" s="983" t="s">
        <v>1113</v>
      </c>
    </row>
    <row r="7111" spans="1:9" x14ac:dyDescent="0.2">
      <c r="A7111" s="997">
        <f t="shared" si="111"/>
        <v>7110</v>
      </c>
      <c r="B7111" s="983" t="s">
        <v>2717</v>
      </c>
      <c r="C7111" s="1001"/>
      <c r="E7111" s="983" t="s">
        <v>1104</v>
      </c>
    </row>
    <row r="7112" spans="1:9" x14ac:dyDescent="0.2">
      <c r="A7112" s="997">
        <f t="shared" si="111"/>
        <v>7111</v>
      </c>
      <c r="B7112" s="983" t="s">
        <v>2717</v>
      </c>
      <c r="C7112" s="1000"/>
      <c r="F7112" s="983" t="s">
        <v>2201</v>
      </c>
    </row>
    <row r="7113" spans="1:9" x14ac:dyDescent="0.2">
      <c r="A7113" s="997">
        <f t="shared" si="111"/>
        <v>7112</v>
      </c>
      <c r="B7113" s="983" t="s">
        <v>2717</v>
      </c>
      <c r="C7113" s="1000"/>
      <c r="F7113" s="983" t="s">
        <v>1105</v>
      </c>
    </row>
    <row r="7114" spans="1:9" x14ac:dyDescent="0.2">
      <c r="A7114" s="997">
        <f t="shared" si="111"/>
        <v>7113</v>
      </c>
      <c r="B7114" s="983" t="s">
        <v>2717</v>
      </c>
      <c r="C7114" s="999"/>
      <c r="G7114" s="983" t="s">
        <v>1106</v>
      </c>
    </row>
    <row r="7115" spans="1:9" x14ac:dyDescent="0.2">
      <c r="A7115" s="997">
        <f t="shared" si="111"/>
        <v>7114</v>
      </c>
      <c r="B7115" s="983" t="s">
        <v>2717</v>
      </c>
      <c r="C7115" s="999"/>
      <c r="H7115" s="983" t="s">
        <v>2202</v>
      </c>
    </row>
    <row r="7116" spans="1:9" x14ac:dyDescent="0.2">
      <c r="A7116" s="997">
        <f t="shared" si="111"/>
        <v>7115</v>
      </c>
      <c r="B7116" s="983" t="s">
        <v>2717</v>
      </c>
      <c r="C7116" s="1000"/>
      <c r="H7116" s="983" t="str">
        <f>CONCATENATE("&lt;valeur&gt;",Cellule_1929_1,"&lt;/valeur&gt;")</f>
        <v>&lt;valeur&gt;&lt;/valeur&gt;</v>
      </c>
    </row>
    <row r="7117" spans="1:9" x14ac:dyDescent="0.2">
      <c r="A7117" s="997">
        <f t="shared" si="111"/>
        <v>7116</v>
      </c>
      <c r="B7117" s="983" t="s">
        <v>2717</v>
      </c>
      <c r="C7117" s="1001"/>
      <c r="H7117" s="983" t="s">
        <v>1348</v>
      </c>
    </row>
    <row r="7118" spans="1:9" x14ac:dyDescent="0.2">
      <c r="A7118" s="997">
        <f t="shared" si="111"/>
        <v>7117</v>
      </c>
      <c r="B7118" s="983" t="s">
        <v>2717</v>
      </c>
      <c r="C7118" s="1000"/>
      <c r="G7118" s="983" t="s">
        <v>1109</v>
      </c>
    </row>
    <row r="7119" spans="1:9" x14ac:dyDescent="0.2">
      <c r="A7119" s="997">
        <f t="shared" si="111"/>
        <v>7118</v>
      </c>
      <c r="B7119" s="983" t="s">
        <v>2717</v>
      </c>
      <c r="C7119" s="1000"/>
      <c r="G7119" s="983" t="s">
        <v>1106</v>
      </c>
    </row>
    <row r="7120" spans="1:9" x14ac:dyDescent="0.2">
      <c r="A7120" s="997">
        <f t="shared" si="111"/>
        <v>7119</v>
      </c>
      <c r="B7120" s="983" t="s">
        <v>2717</v>
      </c>
      <c r="C7120" s="999"/>
      <c r="H7120" s="983" t="s">
        <v>2203</v>
      </c>
    </row>
    <row r="7121" spans="1:8" x14ac:dyDescent="0.2">
      <c r="A7121" s="997">
        <f t="shared" si="111"/>
        <v>7120</v>
      </c>
      <c r="B7121" s="983" t="s">
        <v>2717</v>
      </c>
      <c r="C7121" s="999"/>
      <c r="H7121" s="983" t="str">
        <f>CONCATENATE("&lt;valeur&gt;",Cellule_1930_1,"&lt;/valeur&gt;")</f>
        <v>&lt;valeur&gt;&lt;/valeur&gt;</v>
      </c>
    </row>
    <row r="7122" spans="1:8" x14ac:dyDescent="0.2">
      <c r="A7122" s="997">
        <f t="shared" si="111"/>
        <v>7121</v>
      </c>
      <c r="B7122" s="983" t="s">
        <v>2717</v>
      </c>
      <c r="C7122" s="1000"/>
      <c r="H7122" s="983" t="s">
        <v>1348</v>
      </c>
    </row>
    <row r="7123" spans="1:8" x14ac:dyDescent="0.2">
      <c r="A7123" s="997">
        <f t="shared" si="111"/>
        <v>7122</v>
      </c>
      <c r="B7123" s="983" t="s">
        <v>2717</v>
      </c>
      <c r="C7123" s="1001"/>
      <c r="G7123" s="983" t="s">
        <v>1109</v>
      </c>
    </row>
    <row r="7124" spans="1:8" x14ac:dyDescent="0.2">
      <c r="A7124" s="997">
        <f t="shared" si="111"/>
        <v>7123</v>
      </c>
      <c r="B7124" s="983" t="s">
        <v>2717</v>
      </c>
      <c r="C7124" s="1000"/>
      <c r="G7124" s="983" t="s">
        <v>1106</v>
      </c>
    </row>
    <row r="7125" spans="1:8" x14ac:dyDescent="0.2">
      <c r="A7125" s="997">
        <f t="shared" si="111"/>
        <v>7124</v>
      </c>
      <c r="B7125" s="983" t="s">
        <v>2717</v>
      </c>
      <c r="C7125" s="1000"/>
      <c r="H7125" s="983" t="s">
        <v>2204</v>
      </c>
    </row>
    <row r="7126" spans="1:8" x14ac:dyDescent="0.2">
      <c r="A7126" s="997">
        <f t="shared" si="111"/>
        <v>7125</v>
      </c>
      <c r="B7126" s="983" t="s">
        <v>2717</v>
      </c>
      <c r="C7126" s="999"/>
      <c r="H7126" s="983" t="str">
        <f>CONCATENATE("&lt;valeur&gt;",Cellule_1931_1,"&lt;/valeur&gt;")</f>
        <v>&lt;valeur&gt;&lt;/valeur&gt;</v>
      </c>
    </row>
    <row r="7127" spans="1:8" x14ac:dyDescent="0.2">
      <c r="A7127" s="997">
        <f t="shared" si="111"/>
        <v>7126</v>
      </c>
      <c r="B7127" s="983" t="s">
        <v>2717</v>
      </c>
      <c r="C7127" s="999"/>
      <c r="H7127" s="983" t="s">
        <v>1348</v>
      </c>
    </row>
    <row r="7128" spans="1:8" x14ac:dyDescent="0.2">
      <c r="A7128" s="997">
        <f t="shared" si="111"/>
        <v>7127</v>
      </c>
      <c r="B7128" s="983" t="s">
        <v>2717</v>
      </c>
      <c r="C7128" s="1000"/>
      <c r="G7128" s="983" t="s">
        <v>1109</v>
      </c>
    </row>
    <row r="7129" spans="1:8" x14ac:dyDescent="0.2">
      <c r="A7129" s="997">
        <f t="shared" si="111"/>
        <v>7128</v>
      </c>
      <c r="B7129" s="983" t="s">
        <v>2717</v>
      </c>
      <c r="C7129" s="1001"/>
      <c r="G7129" s="983" t="s">
        <v>1106</v>
      </c>
    </row>
    <row r="7130" spans="1:8" x14ac:dyDescent="0.2">
      <c r="A7130" s="997">
        <f t="shared" si="111"/>
        <v>7129</v>
      </c>
      <c r="B7130" s="983" t="s">
        <v>2717</v>
      </c>
      <c r="C7130" s="1000"/>
      <c r="H7130" s="983" t="s">
        <v>2205</v>
      </c>
    </row>
    <row r="7131" spans="1:8" x14ac:dyDescent="0.2">
      <c r="A7131" s="997">
        <f t="shared" si="111"/>
        <v>7130</v>
      </c>
      <c r="B7131" s="983" t="s">
        <v>2717</v>
      </c>
      <c r="C7131" s="1000"/>
      <c r="H7131" s="983" t="str">
        <f>CONCATENATE("&lt;valeur&gt;",Cellule_1932_1,"&lt;/valeur&gt;")</f>
        <v>&lt;valeur&gt;&lt;/valeur&gt;</v>
      </c>
    </row>
    <row r="7132" spans="1:8" x14ac:dyDescent="0.2">
      <c r="A7132" s="997">
        <f t="shared" si="111"/>
        <v>7131</v>
      </c>
      <c r="B7132" s="983" t="s">
        <v>2717</v>
      </c>
      <c r="C7132" s="999"/>
      <c r="H7132" s="983" t="s">
        <v>1348</v>
      </c>
    </row>
    <row r="7133" spans="1:8" x14ac:dyDescent="0.2">
      <c r="A7133" s="997">
        <f t="shared" si="111"/>
        <v>7132</v>
      </c>
      <c r="B7133" s="983" t="s">
        <v>2717</v>
      </c>
      <c r="C7133" s="999"/>
      <c r="G7133" s="983" t="s">
        <v>1109</v>
      </c>
    </row>
    <row r="7134" spans="1:8" x14ac:dyDescent="0.2">
      <c r="A7134" s="997">
        <f t="shared" si="111"/>
        <v>7133</v>
      </c>
      <c r="B7134" s="983" t="s">
        <v>2717</v>
      </c>
      <c r="C7134" s="1000"/>
      <c r="G7134" s="983" t="s">
        <v>1106</v>
      </c>
    </row>
    <row r="7135" spans="1:8" x14ac:dyDescent="0.2">
      <c r="A7135" s="997">
        <f t="shared" si="111"/>
        <v>7134</v>
      </c>
      <c r="B7135" s="983" t="s">
        <v>2717</v>
      </c>
      <c r="C7135" s="1001"/>
      <c r="H7135" s="983" t="s">
        <v>2206</v>
      </c>
    </row>
    <row r="7136" spans="1:8" x14ac:dyDescent="0.2">
      <c r="A7136" s="997">
        <f t="shared" si="111"/>
        <v>7135</v>
      </c>
      <c r="B7136" s="983" t="s">
        <v>2717</v>
      </c>
      <c r="C7136" s="1000"/>
      <c r="H7136" s="983" t="str">
        <f>CONCATENATE("&lt;valeur&gt;",Cellule_1933_1,"&lt;/valeur&gt;")</f>
        <v>&lt;valeur&gt;&lt;/valeur&gt;</v>
      </c>
    </row>
    <row r="7137" spans="1:8" x14ac:dyDescent="0.2">
      <c r="A7137" s="997">
        <f t="shared" si="111"/>
        <v>7136</v>
      </c>
      <c r="B7137" s="983" t="s">
        <v>2717</v>
      </c>
      <c r="C7137" s="1000"/>
      <c r="H7137" s="983" t="s">
        <v>1348</v>
      </c>
    </row>
    <row r="7138" spans="1:8" x14ac:dyDescent="0.2">
      <c r="A7138" s="997">
        <f t="shared" si="111"/>
        <v>7137</v>
      </c>
      <c r="B7138" s="983" t="s">
        <v>2717</v>
      </c>
      <c r="C7138" s="999"/>
      <c r="G7138" s="983" t="s">
        <v>1109</v>
      </c>
    </row>
    <row r="7139" spans="1:8" x14ac:dyDescent="0.2">
      <c r="A7139" s="997">
        <f t="shared" si="111"/>
        <v>7138</v>
      </c>
      <c r="B7139" s="983" t="s">
        <v>2717</v>
      </c>
      <c r="C7139" s="999"/>
      <c r="G7139" s="983" t="s">
        <v>1106</v>
      </c>
    </row>
    <row r="7140" spans="1:8" x14ac:dyDescent="0.2">
      <c r="A7140" s="997">
        <f t="shared" si="111"/>
        <v>7139</v>
      </c>
      <c r="B7140" s="983" t="s">
        <v>2717</v>
      </c>
      <c r="C7140" s="1000"/>
      <c r="H7140" s="983" t="s">
        <v>2207</v>
      </c>
    </row>
    <row r="7141" spans="1:8" x14ac:dyDescent="0.2">
      <c r="A7141" s="997">
        <f t="shared" si="111"/>
        <v>7140</v>
      </c>
      <c r="B7141" s="983" t="s">
        <v>2717</v>
      </c>
      <c r="C7141" s="1001"/>
      <c r="H7141" s="983" t="str">
        <f>CONCATENATE("&lt;valeur&gt;",Cellule_1934_1,"&lt;/valeur&gt;")</f>
        <v>&lt;valeur&gt;&lt;/valeur&gt;</v>
      </c>
    </row>
    <row r="7142" spans="1:8" x14ac:dyDescent="0.2">
      <c r="A7142" s="997">
        <f t="shared" si="111"/>
        <v>7141</v>
      </c>
      <c r="B7142" s="983" t="s">
        <v>2717</v>
      </c>
      <c r="C7142" s="1000"/>
      <c r="H7142" s="983" t="s">
        <v>1348</v>
      </c>
    </row>
    <row r="7143" spans="1:8" x14ac:dyDescent="0.2">
      <c r="A7143" s="997">
        <f t="shared" si="111"/>
        <v>7142</v>
      </c>
      <c r="B7143" s="983" t="s">
        <v>2717</v>
      </c>
      <c r="C7143" s="1000"/>
      <c r="G7143" s="983" t="s">
        <v>1109</v>
      </c>
    </row>
    <row r="7144" spans="1:8" x14ac:dyDescent="0.2">
      <c r="A7144" s="997">
        <f t="shared" si="111"/>
        <v>7143</v>
      </c>
      <c r="B7144" s="983" t="s">
        <v>2717</v>
      </c>
      <c r="C7144" s="999"/>
      <c r="G7144" s="983" t="s">
        <v>1106</v>
      </c>
    </row>
    <row r="7145" spans="1:8" x14ac:dyDescent="0.2">
      <c r="A7145" s="997">
        <f t="shared" si="111"/>
        <v>7144</v>
      </c>
      <c r="B7145" s="983" t="s">
        <v>2717</v>
      </c>
      <c r="C7145" s="999"/>
      <c r="H7145" s="983" t="s">
        <v>2208</v>
      </c>
    </row>
    <row r="7146" spans="1:8" x14ac:dyDescent="0.2">
      <c r="A7146" s="997">
        <f t="shared" si="111"/>
        <v>7145</v>
      </c>
      <c r="B7146" s="983" t="s">
        <v>2717</v>
      </c>
      <c r="C7146" s="1000"/>
      <c r="H7146" s="983" t="str">
        <f>CONCATENATE("&lt;valeur&gt;",Cellule_1935_1,"&lt;/valeur&gt;")</f>
        <v>&lt;valeur&gt;&lt;/valeur&gt;</v>
      </c>
    </row>
    <row r="7147" spans="1:8" x14ac:dyDescent="0.2">
      <c r="A7147" s="997">
        <f t="shared" si="111"/>
        <v>7146</v>
      </c>
      <c r="B7147" s="983" t="s">
        <v>2717</v>
      </c>
      <c r="C7147" s="1001"/>
      <c r="H7147" s="983" t="s">
        <v>1348</v>
      </c>
    </row>
    <row r="7148" spans="1:8" x14ac:dyDescent="0.2">
      <c r="A7148" s="997">
        <f t="shared" si="111"/>
        <v>7147</v>
      </c>
      <c r="B7148" s="983" t="s">
        <v>2717</v>
      </c>
      <c r="C7148" s="1000"/>
      <c r="G7148" s="983" t="s">
        <v>1109</v>
      </c>
    </row>
    <row r="7149" spans="1:8" x14ac:dyDescent="0.2">
      <c r="A7149" s="997">
        <f t="shared" si="111"/>
        <v>7148</v>
      </c>
      <c r="B7149" s="983" t="s">
        <v>2717</v>
      </c>
      <c r="C7149" s="1000"/>
      <c r="G7149" s="983" t="s">
        <v>1106</v>
      </c>
    </row>
    <row r="7150" spans="1:8" x14ac:dyDescent="0.2">
      <c r="A7150" s="997">
        <f t="shared" si="111"/>
        <v>7149</v>
      </c>
      <c r="B7150" s="983" t="s">
        <v>2717</v>
      </c>
      <c r="C7150" s="999"/>
      <c r="H7150" s="983" t="s">
        <v>2209</v>
      </c>
    </row>
    <row r="7151" spans="1:8" x14ac:dyDescent="0.2">
      <c r="A7151" s="997">
        <f t="shared" si="111"/>
        <v>7150</v>
      </c>
      <c r="B7151" s="983" t="s">
        <v>2717</v>
      </c>
      <c r="C7151" s="999"/>
      <c r="H7151" s="983" t="str">
        <f>CONCATENATE("&lt;valeur&gt;",Cellule_1936_1,"&lt;/valeur&gt;")</f>
        <v>&lt;valeur&gt;0&lt;/valeur&gt;</v>
      </c>
    </row>
    <row r="7152" spans="1:8" x14ac:dyDescent="0.2">
      <c r="A7152" s="997">
        <f t="shared" si="111"/>
        <v>7151</v>
      </c>
      <c r="B7152" s="983" t="s">
        <v>2717</v>
      </c>
      <c r="C7152" s="1000"/>
      <c r="H7152" s="983" t="s">
        <v>1348</v>
      </c>
    </row>
    <row r="7153" spans="1:8" x14ac:dyDescent="0.2">
      <c r="A7153" s="997">
        <f t="shared" si="111"/>
        <v>7152</v>
      </c>
      <c r="B7153" s="983" t="s">
        <v>2717</v>
      </c>
      <c r="C7153" s="1001"/>
      <c r="G7153" s="983" t="s">
        <v>1109</v>
      </c>
    </row>
    <row r="7154" spans="1:8" x14ac:dyDescent="0.2">
      <c r="A7154" s="997">
        <f t="shared" si="111"/>
        <v>7153</v>
      </c>
      <c r="B7154" s="983" t="s">
        <v>2717</v>
      </c>
      <c r="C7154" s="999"/>
      <c r="G7154" s="983" t="s">
        <v>1106</v>
      </c>
    </row>
    <row r="7155" spans="1:8" x14ac:dyDescent="0.2">
      <c r="A7155" s="997">
        <f t="shared" si="111"/>
        <v>7154</v>
      </c>
      <c r="B7155" s="983" t="s">
        <v>2717</v>
      </c>
      <c r="C7155" s="999"/>
      <c r="H7155" s="983" t="s">
        <v>2202</v>
      </c>
    </row>
    <row r="7156" spans="1:8" x14ac:dyDescent="0.2">
      <c r="A7156" s="997">
        <f t="shared" si="111"/>
        <v>7155</v>
      </c>
      <c r="B7156" s="983" t="s">
        <v>2717</v>
      </c>
      <c r="C7156" s="1000"/>
      <c r="H7156" s="983" t="str">
        <f>CONCATENATE("&lt;valeur&gt;",Cellule_1929_2,"&lt;/valeur&gt;")</f>
        <v>&lt;valeur&gt;&lt;/valeur&gt;</v>
      </c>
    </row>
    <row r="7157" spans="1:8" x14ac:dyDescent="0.2">
      <c r="A7157" s="997">
        <f t="shared" si="111"/>
        <v>7156</v>
      </c>
      <c r="B7157" s="983" t="s">
        <v>2717</v>
      </c>
      <c r="C7157" s="1001"/>
      <c r="H7157" s="983" t="s">
        <v>2735</v>
      </c>
    </row>
    <row r="7158" spans="1:8" x14ac:dyDescent="0.2">
      <c r="A7158" s="997">
        <f t="shared" si="111"/>
        <v>7157</v>
      </c>
      <c r="B7158" s="983" t="s">
        <v>2717</v>
      </c>
      <c r="C7158" s="1000"/>
      <c r="G7158" s="983" t="s">
        <v>1109</v>
      </c>
    </row>
    <row r="7159" spans="1:8" x14ac:dyDescent="0.2">
      <c r="A7159" s="997">
        <f t="shared" si="111"/>
        <v>7158</v>
      </c>
      <c r="B7159" s="983" t="s">
        <v>2717</v>
      </c>
      <c r="C7159" s="1000"/>
      <c r="G7159" s="983" t="s">
        <v>1106</v>
      </c>
    </row>
    <row r="7160" spans="1:8" x14ac:dyDescent="0.2">
      <c r="A7160" s="997">
        <f t="shared" si="111"/>
        <v>7159</v>
      </c>
      <c r="B7160" s="983" t="s">
        <v>2717</v>
      </c>
      <c r="C7160" s="999"/>
      <c r="H7160" s="983" t="s">
        <v>2203</v>
      </c>
    </row>
    <row r="7161" spans="1:8" x14ac:dyDescent="0.2">
      <c r="A7161" s="997">
        <f t="shared" si="111"/>
        <v>7160</v>
      </c>
      <c r="B7161" s="983" t="s">
        <v>2717</v>
      </c>
      <c r="C7161" s="999"/>
      <c r="H7161" s="983" t="str">
        <f>CONCATENATE("&lt;valeur&gt;",Cellule_1930_2,"&lt;/valeur&gt;")</f>
        <v>&lt;valeur&gt;&lt;/valeur&gt;</v>
      </c>
    </row>
    <row r="7162" spans="1:8" x14ac:dyDescent="0.2">
      <c r="A7162" s="997">
        <f t="shared" si="111"/>
        <v>7161</v>
      </c>
      <c r="B7162" s="983" t="s">
        <v>2717</v>
      </c>
      <c r="C7162" s="1000"/>
      <c r="H7162" s="983" t="s">
        <v>2735</v>
      </c>
    </row>
    <row r="7163" spans="1:8" x14ac:dyDescent="0.2">
      <c r="A7163" s="997">
        <f t="shared" si="111"/>
        <v>7162</v>
      </c>
      <c r="B7163" s="983" t="s">
        <v>2717</v>
      </c>
      <c r="C7163" s="1001"/>
      <c r="G7163" s="983" t="s">
        <v>1109</v>
      </c>
    </row>
    <row r="7164" spans="1:8" x14ac:dyDescent="0.2">
      <c r="A7164" s="997">
        <f t="shared" si="111"/>
        <v>7163</v>
      </c>
      <c r="B7164" s="983" t="s">
        <v>2717</v>
      </c>
      <c r="C7164" s="1000"/>
      <c r="G7164" s="983" t="s">
        <v>1106</v>
      </c>
    </row>
    <row r="7165" spans="1:8" x14ac:dyDescent="0.2">
      <c r="A7165" s="997">
        <f t="shared" si="111"/>
        <v>7164</v>
      </c>
      <c r="B7165" s="983" t="s">
        <v>2717</v>
      </c>
      <c r="C7165" s="1000"/>
      <c r="H7165" s="983" t="s">
        <v>2204</v>
      </c>
    </row>
    <row r="7166" spans="1:8" x14ac:dyDescent="0.2">
      <c r="A7166" s="997">
        <f t="shared" si="111"/>
        <v>7165</v>
      </c>
      <c r="B7166" s="983" t="s">
        <v>2717</v>
      </c>
      <c r="C7166" s="999"/>
      <c r="H7166" s="983" t="str">
        <f>CONCATENATE("&lt;valeur&gt;",Cellule_1931_2,"&lt;/valeur&gt;")</f>
        <v>&lt;valeur&gt;&lt;/valeur&gt;</v>
      </c>
    </row>
    <row r="7167" spans="1:8" x14ac:dyDescent="0.2">
      <c r="A7167" s="997">
        <f t="shared" si="111"/>
        <v>7166</v>
      </c>
      <c r="B7167" s="983" t="s">
        <v>2717</v>
      </c>
      <c r="C7167" s="999"/>
      <c r="H7167" s="983" t="s">
        <v>2735</v>
      </c>
    </row>
    <row r="7168" spans="1:8" x14ac:dyDescent="0.2">
      <c r="A7168" s="997">
        <f t="shared" si="111"/>
        <v>7167</v>
      </c>
      <c r="B7168" s="983" t="s">
        <v>2717</v>
      </c>
      <c r="C7168" s="1000"/>
      <c r="G7168" s="983" t="s">
        <v>1109</v>
      </c>
    </row>
    <row r="7169" spans="1:8" x14ac:dyDescent="0.2">
      <c r="A7169" s="997">
        <f t="shared" si="111"/>
        <v>7168</v>
      </c>
      <c r="B7169" s="983" t="s">
        <v>2717</v>
      </c>
      <c r="C7169" s="1001"/>
      <c r="G7169" s="983" t="s">
        <v>1106</v>
      </c>
    </row>
    <row r="7170" spans="1:8" x14ac:dyDescent="0.2">
      <c r="A7170" s="997">
        <f t="shared" si="111"/>
        <v>7169</v>
      </c>
      <c r="B7170" s="983" t="s">
        <v>2717</v>
      </c>
      <c r="C7170" s="1000"/>
      <c r="H7170" s="983" t="s">
        <v>2205</v>
      </c>
    </row>
    <row r="7171" spans="1:8" x14ac:dyDescent="0.2">
      <c r="A7171" s="997">
        <f t="shared" si="111"/>
        <v>7170</v>
      </c>
      <c r="B7171" s="983" t="s">
        <v>2717</v>
      </c>
      <c r="C7171" s="1000"/>
      <c r="H7171" s="983" t="str">
        <f>CONCATENATE("&lt;valeur&gt;",Cellule_1932_2,"&lt;/valeur&gt;")</f>
        <v>&lt;valeur&gt;&lt;/valeur&gt;</v>
      </c>
    </row>
    <row r="7172" spans="1:8" x14ac:dyDescent="0.2">
      <c r="A7172" s="997">
        <f t="shared" ref="A7172:A7235" si="112">+A7171+1</f>
        <v>7171</v>
      </c>
      <c r="B7172" s="983" t="s">
        <v>2717</v>
      </c>
      <c r="C7172" s="999"/>
      <c r="H7172" s="983" t="s">
        <v>2735</v>
      </c>
    </row>
    <row r="7173" spans="1:8" x14ac:dyDescent="0.2">
      <c r="A7173" s="997">
        <f t="shared" si="112"/>
        <v>7172</v>
      </c>
      <c r="B7173" s="983" t="s">
        <v>2717</v>
      </c>
      <c r="C7173" s="999"/>
      <c r="G7173" s="983" t="s">
        <v>1109</v>
      </c>
    </row>
    <row r="7174" spans="1:8" x14ac:dyDescent="0.2">
      <c r="A7174" s="997">
        <f t="shared" si="112"/>
        <v>7173</v>
      </c>
      <c r="B7174" s="983" t="s">
        <v>2717</v>
      </c>
      <c r="C7174" s="1000"/>
      <c r="G7174" s="983" t="s">
        <v>1106</v>
      </c>
    </row>
    <row r="7175" spans="1:8" x14ac:dyDescent="0.2">
      <c r="A7175" s="997">
        <f t="shared" si="112"/>
        <v>7174</v>
      </c>
      <c r="B7175" s="983" t="s">
        <v>2717</v>
      </c>
      <c r="C7175" s="1001"/>
      <c r="H7175" s="983" t="s">
        <v>2206</v>
      </c>
    </row>
    <row r="7176" spans="1:8" x14ac:dyDescent="0.2">
      <c r="A7176" s="997">
        <f t="shared" si="112"/>
        <v>7175</v>
      </c>
      <c r="B7176" s="983" t="s">
        <v>2717</v>
      </c>
      <c r="C7176" s="1000"/>
      <c r="H7176" s="983" t="str">
        <f>CONCATENATE("&lt;valeur&gt;",Cellule_1933_2,"&lt;/valeur&gt;")</f>
        <v>&lt;valeur&gt;&lt;/valeur&gt;</v>
      </c>
    </row>
    <row r="7177" spans="1:8" x14ac:dyDescent="0.2">
      <c r="A7177" s="997">
        <f t="shared" si="112"/>
        <v>7176</v>
      </c>
      <c r="B7177" s="983" t="s">
        <v>2717</v>
      </c>
      <c r="C7177" s="1000"/>
      <c r="H7177" s="983" t="s">
        <v>2735</v>
      </c>
    </row>
    <row r="7178" spans="1:8" x14ac:dyDescent="0.2">
      <c r="A7178" s="997">
        <f t="shared" si="112"/>
        <v>7177</v>
      </c>
      <c r="B7178" s="983" t="s">
        <v>2717</v>
      </c>
      <c r="C7178" s="999"/>
      <c r="G7178" s="983" t="s">
        <v>1109</v>
      </c>
    </row>
    <row r="7179" spans="1:8" x14ac:dyDescent="0.2">
      <c r="A7179" s="997">
        <f t="shared" si="112"/>
        <v>7178</v>
      </c>
      <c r="B7179" s="983" t="s">
        <v>2717</v>
      </c>
      <c r="C7179" s="999"/>
      <c r="G7179" s="983" t="s">
        <v>1106</v>
      </c>
    </row>
    <row r="7180" spans="1:8" x14ac:dyDescent="0.2">
      <c r="A7180" s="997">
        <f t="shared" si="112"/>
        <v>7179</v>
      </c>
      <c r="B7180" s="983" t="s">
        <v>2717</v>
      </c>
      <c r="C7180" s="1000"/>
      <c r="H7180" s="983" t="s">
        <v>2207</v>
      </c>
    </row>
    <row r="7181" spans="1:8" x14ac:dyDescent="0.2">
      <c r="A7181" s="997">
        <f t="shared" si="112"/>
        <v>7180</v>
      </c>
      <c r="B7181" s="983" t="s">
        <v>2717</v>
      </c>
      <c r="C7181" s="1001"/>
      <c r="H7181" s="983" t="str">
        <f>CONCATENATE("&lt;valeur&gt;",Cellule_1934_2,"&lt;/valeur&gt;")</f>
        <v>&lt;valeur&gt;&lt;/valeur&gt;</v>
      </c>
    </row>
    <row r="7182" spans="1:8" x14ac:dyDescent="0.2">
      <c r="A7182" s="997">
        <f t="shared" si="112"/>
        <v>7181</v>
      </c>
      <c r="B7182" s="983" t="s">
        <v>2717</v>
      </c>
      <c r="C7182" s="1000"/>
      <c r="H7182" s="983" t="s">
        <v>2735</v>
      </c>
    </row>
    <row r="7183" spans="1:8" x14ac:dyDescent="0.2">
      <c r="A7183" s="997">
        <f t="shared" si="112"/>
        <v>7182</v>
      </c>
      <c r="B7183" s="983" t="s">
        <v>2717</v>
      </c>
      <c r="C7183" s="1000"/>
      <c r="G7183" s="983" t="s">
        <v>1109</v>
      </c>
    </row>
    <row r="7184" spans="1:8" x14ac:dyDescent="0.2">
      <c r="A7184" s="997">
        <f t="shared" si="112"/>
        <v>7183</v>
      </c>
      <c r="B7184" s="983" t="s">
        <v>2717</v>
      </c>
      <c r="C7184" s="999"/>
      <c r="G7184" s="983" t="s">
        <v>1106</v>
      </c>
    </row>
    <row r="7185" spans="1:8" x14ac:dyDescent="0.2">
      <c r="A7185" s="997">
        <f t="shared" si="112"/>
        <v>7184</v>
      </c>
      <c r="B7185" s="983" t="s">
        <v>2717</v>
      </c>
      <c r="C7185" s="999"/>
      <c r="H7185" s="983" t="s">
        <v>2208</v>
      </c>
    </row>
    <row r="7186" spans="1:8" x14ac:dyDescent="0.2">
      <c r="A7186" s="997">
        <f t="shared" si="112"/>
        <v>7185</v>
      </c>
      <c r="B7186" s="983" t="s">
        <v>2717</v>
      </c>
      <c r="C7186" s="1000"/>
      <c r="H7186" s="983" t="str">
        <f>CONCATENATE("&lt;valeur&gt;",Cellule_1935_2,"&lt;/valeur&gt;")</f>
        <v>&lt;valeur&gt;&lt;/valeur&gt;</v>
      </c>
    </row>
    <row r="7187" spans="1:8" x14ac:dyDescent="0.2">
      <c r="A7187" s="997">
        <f t="shared" si="112"/>
        <v>7186</v>
      </c>
      <c r="B7187" s="983" t="s">
        <v>2717</v>
      </c>
      <c r="C7187" s="1001"/>
      <c r="H7187" s="983" t="s">
        <v>2735</v>
      </c>
    </row>
    <row r="7188" spans="1:8" x14ac:dyDescent="0.2">
      <c r="A7188" s="997">
        <f t="shared" si="112"/>
        <v>7187</v>
      </c>
      <c r="B7188" s="983" t="s">
        <v>2717</v>
      </c>
      <c r="C7188" s="1000"/>
      <c r="G7188" s="983" t="s">
        <v>1109</v>
      </c>
    </row>
    <row r="7189" spans="1:8" x14ac:dyDescent="0.2">
      <c r="A7189" s="997">
        <f t="shared" si="112"/>
        <v>7188</v>
      </c>
      <c r="B7189" s="983" t="s">
        <v>2717</v>
      </c>
      <c r="C7189" s="1000"/>
      <c r="G7189" s="983" t="s">
        <v>1106</v>
      </c>
    </row>
    <row r="7190" spans="1:8" x14ac:dyDescent="0.2">
      <c r="A7190" s="997">
        <f t="shared" si="112"/>
        <v>7189</v>
      </c>
      <c r="B7190" s="983" t="s">
        <v>2717</v>
      </c>
      <c r="C7190" s="999"/>
      <c r="H7190" s="983" t="s">
        <v>2209</v>
      </c>
    </row>
    <row r="7191" spans="1:8" x14ac:dyDescent="0.2">
      <c r="A7191" s="997">
        <f t="shared" si="112"/>
        <v>7190</v>
      </c>
      <c r="B7191" s="983" t="s">
        <v>2717</v>
      </c>
      <c r="C7191" s="999"/>
      <c r="H7191" s="983" t="str">
        <f>CONCATENATE("&lt;valeur&gt;",Cellule_1936_2,"&lt;/valeur&gt;")</f>
        <v>&lt;valeur&gt;0&lt;/valeur&gt;</v>
      </c>
    </row>
    <row r="7192" spans="1:8" x14ac:dyDescent="0.2">
      <c r="A7192" s="997">
        <f t="shared" si="112"/>
        <v>7191</v>
      </c>
      <c r="B7192" s="983" t="s">
        <v>2717</v>
      </c>
      <c r="C7192" s="1000"/>
      <c r="H7192" s="983" t="s">
        <v>2735</v>
      </c>
    </row>
    <row r="7193" spans="1:8" x14ac:dyDescent="0.2">
      <c r="A7193" s="997">
        <f t="shared" si="112"/>
        <v>7192</v>
      </c>
      <c r="B7193" s="983" t="s">
        <v>2717</v>
      </c>
      <c r="C7193" s="1001"/>
      <c r="G7193" s="983" t="s">
        <v>1109</v>
      </c>
    </row>
    <row r="7194" spans="1:8" x14ac:dyDescent="0.2">
      <c r="A7194" s="997">
        <f t="shared" si="112"/>
        <v>7193</v>
      </c>
      <c r="B7194" s="983" t="s">
        <v>2717</v>
      </c>
      <c r="C7194" s="999"/>
      <c r="G7194" s="983" t="s">
        <v>1106</v>
      </c>
    </row>
    <row r="7195" spans="1:8" x14ac:dyDescent="0.2">
      <c r="A7195" s="997">
        <f t="shared" si="112"/>
        <v>7194</v>
      </c>
      <c r="B7195" s="983" t="s">
        <v>2717</v>
      </c>
      <c r="C7195" s="999"/>
      <c r="H7195" s="983" t="s">
        <v>2202</v>
      </c>
    </row>
    <row r="7196" spans="1:8" x14ac:dyDescent="0.2">
      <c r="A7196" s="997">
        <f t="shared" si="112"/>
        <v>7195</v>
      </c>
      <c r="B7196" s="983" t="s">
        <v>2717</v>
      </c>
      <c r="C7196" s="1000"/>
      <c r="H7196" s="983" t="str">
        <f>CONCATENATE("&lt;valeur&gt;",Cellule_1929_3,"&lt;/valeur&gt;")</f>
        <v>&lt;valeur&gt;&lt;/valeur&gt;</v>
      </c>
    </row>
    <row r="7197" spans="1:8" x14ac:dyDescent="0.2">
      <c r="A7197" s="997">
        <f t="shared" si="112"/>
        <v>7196</v>
      </c>
      <c r="B7197" s="983" t="s">
        <v>2717</v>
      </c>
      <c r="C7197" s="1001"/>
      <c r="H7197" s="983" t="s">
        <v>2736</v>
      </c>
    </row>
    <row r="7198" spans="1:8" x14ac:dyDescent="0.2">
      <c r="A7198" s="997">
        <f t="shared" si="112"/>
        <v>7197</v>
      </c>
      <c r="B7198" s="983" t="s">
        <v>2717</v>
      </c>
      <c r="C7198" s="1000"/>
      <c r="G7198" s="983" t="s">
        <v>1109</v>
      </c>
    </row>
    <row r="7199" spans="1:8" x14ac:dyDescent="0.2">
      <c r="A7199" s="997">
        <f t="shared" si="112"/>
        <v>7198</v>
      </c>
      <c r="B7199" s="983" t="s">
        <v>2717</v>
      </c>
      <c r="C7199" s="1000"/>
      <c r="G7199" s="983" t="s">
        <v>1106</v>
      </c>
    </row>
    <row r="7200" spans="1:8" x14ac:dyDescent="0.2">
      <c r="A7200" s="997">
        <f t="shared" si="112"/>
        <v>7199</v>
      </c>
      <c r="B7200" s="983" t="s">
        <v>2717</v>
      </c>
      <c r="C7200" s="999"/>
      <c r="H7200" s="983" t="s">
        <v>2203</v>
      </c>
    </row>
    <row r="7201" spans="1:8" x14ac:dyDescent="0.2">
      <c r="A7201" s="997">
        <f t="shared" si="112"/>
        <v>7200</v>
      </c>
      <c r="B7201" s="983" t="s">
        <v>2717</v>
      </c>
      <c r="C7201" s="999"/>
      <c r="H7201" s="983" t="str">
        <f>CONCATENATE("&lt;valeur&gt;",Cellule_1930_3,"&lt;/valeur&gt;")</f>
        <v>&lt;valeur&gt;&lt;/valeur&gt;</v>
      </c>
    </row>
    <row r="7202" spans="1:8" x14ac:dyDescent="0.2">
      <c r="A7202" s="997">
        <f t="shared" si="112"/>
        <v>7201</v>
      </c>
      <c r="B7202" s="983" t="s">
        <v>2717</v>
      </c>
      <c r="C7202" s="1000"/>
      <c r="H7202" s="983" t="s">
        <v>2736</v>
      </c>
    </row>
    <row r="7203" spans="1:8" x14ac:dyDescent="0.2">
      <c r="A7203" s="997">
        <f t="shared" si="112"/>
        <v>7202</v>
      </c>
      <c r="B7203" s="983" t="s">
        <v>2717</v>
      </c>
      <c r="C7203" s="1001"/>
      <c r="G7203" s="983" t="s">
        <v>1109</v>
      </c>
    </row>
    <row r="7204" spans="1:8" x14ac:dyDescent="0.2">
      <c r="A7204" s="997">
        <f t="shared" si="112"/>
        <v>7203</v>
      </c>
      <c r="B7204" s="983" t="s">
        <v>2717</v>
      </c>
      <c r="C7204" s="1000"/>
      <c r="G7204" s="983" t="s">
        <v>1106</v>
      </c>
    </row>
    <row r="7205" spans="1:8" x14ac:dyDescent="0.2">
      <c r="A7205" s="997">
        <f t="shared" si="112"/>
        <v>7204</v>
      </c>
      <c r="B7205" s="983" t="s">
        <v>2717</v>
      </c>
      <c r="C7205" s="1000"/>
      <c r="H7205" s="983" t="s">
        <v>2204</v>
      </c>
    </row>
    <row r="7206" spans="1:8" x14ac:dyDescent="0.2">
      <c r="A7206" s="997">
        <f t="shared" si="112"/>
        <v>7205</v>
      </c>
      <c r="B7206" s="983" t="s">
        <v>2717</v>
      </c>
      <c r="C7206" s="999"/>
      <c r="H7206" s="983" t="str">
        <f>CONCATENATE("&lt;valeur&gt;",Cellule_1931_3,"&lt;/valeur&gt;")</f>
        <v>&lt;valeur&gt;&lt;/valeur&gt;</v>
      </c>
    </row>
    <row r="7207" spans="1:8" x14ac:dyDescent="0.2">
      <c r="A7207" s="997">
        <f t="shared" si="112"/>
        <v>7206</v>
      </c>
      <c r="B7207" s="983" t="s">
        <v>2717</v>
      </c>
      <c r="C7207" s="999"/>
      <c r="H7207" s="983" t="s">
        <v>2736</v>
      </c>
    </row>
    <row r="7208" spans="1:8" x14ac:dyDescent="0.2">
      <c r="A7208" s="997">
        <f t="shared" si="112"/>
        <v>7207</v>
      </c>
      <c r="B7208" s="983" t="s">
        <v>2717</v>
      </c>
      <c r="C7208" s="1000"/>
      <c r="G7208" s="983" t="s">
        <v>1109</v>
      </c>
    </row>
    <row r="7209" spans="1:8" x14ac:dyDescent="0.2">
      <c r="A7209" s="997">
        <f t="shared" si="112"/>
        <v>7208</v>
      </c>
      <c r="B7209" s="983" t="s">
        <v>2717</v>
      </c>
      <c r="C7209" s="1001"/>
      <c r="G7209" s="983" t="s">
        <v>1106</v>
      </c>
    </row>
    <row r="7210" spans="1:8" x14ac:dyDescent="0.2">
      <c r="A7210" s="997">
        <f t="shared" si="112"/>
        <v>7209</v>
      </c>
      <c r="B7210" s="983" t="s">
        <v>2717</v>
      </c>
      <c r="C7210" s="1000"/>
      <c r="H7210" s="983" t="s">
        <v>2205</v>
      </c>
    </row>
    <row r="7211" spans="1:8" x14ac:dyDescent="0.2">
      <c r="A7211" s="997">
        <f t="shared" si="112"/>
        <v>7210</v>
      </c>
      <c r="B7211" s="983" t="s">
        <v>2717</v>
      </c>
      <c r="C7211" s="1000"/>
      <c r="H7211" s="983" t="str">
        <f>CONCATENATE("&lt;valeur&gt;",Cellule_1932_3,"&lt;/valeur&gt;")</f>
        <v>&lt;valeur&gt;&lt;/valeur&gt;</v>
      </c>
    </row>
    <row r="7212" spans="1:8" x14ac:dyDescent="0.2">
      <c r="A7212" s="997">
        <f t="shared" si="112"/>
        <v>7211</v>
      </c>
      <c r="B7212" s="983" t="s">
        <v>2717</v>
      </c>
      <c r="C7212" s="999"/>
      <c r="H7212" s="983" t="s">
        <v>2736</v>
      </c>
    </row>
    <row r="7213" spans="1:8" x14ac:dyDescent="0.2">
      <c r="A7213" s="997">
        <f t="shared" si="112"/>
        <v>7212</v>
      </c>
      <c r="B7213" s="983" t="s">
        <v>2717</v>
      </c>
      <c r="C7213" s="999"/>
      <c r="G7213" s="983" t="s">
        <v>1109</v>
      </c>
    </row>
    <row r="7214" spans="1:8" x14ac:dyDescent="0.2">
      <c r="A7214" s="997">
        <f t="shared" si="112"/>
        <v>7213</v>
      </c>
      <c r="B7214" s="983" t="s">
        <v>2717</v>
      </c>
      <c r="C7214" s="1000"/>
      <c r="G7214" s="983" t="s">
        <v>1106</v>
      </c>
    </row>
    <row r="7215" spans="1:8" x14ac:dyDescent="0.2">
      <c r="A7215" s="997">
        <f t="shared" si="112"/>
        <v>7214</v>
      </c>
      <c r="B7215" s="983" t="s">
        <v>2717</v>
      </c>
      <c r="C7215" s="1001"/>
      <c r="H7215" s="983" t="s">
        <v>2206</v>
      </c>
    </row>
    <row r="7216" spans="1:8" x14ac:dyDescent="0.2">
      <c r="A7216" s="997">
        <f t="shared" si="112"/>
        <v>7215</v>
      </c>
      <c r="B7216" s="983" t="s">
        <v>2717</v>
      </c>
      <c r="C7216" s="1000"/>
      <c r="H7216" s="983" t="str">
        <f>CONCATENATE("&lt;valeur&gt;",Cellule_1933_3,"&lt;/valeur&gt;")</f>
        <v>&lt;valeur&gt;&lt;/valeur&gt;</v>
      </c>
    </row>
    <row r="7217" spans="1:8" x14ac:dyDescent="0.2">
      <c r="A7217" s="997">
        <f t="shared" si="112"/>
        <v>7216</v>
      </c>
      <c r="B7217" s="983" t="s">
        <v>2717</v>
      </c>
      <c r="C7217" s="1000"/>
      <c r="H7217" s="983" t="s">
        <v>2736</v>
      </c>
    </row>
    <row r="7218" spans="1:8" x14ac:dyDescent="0.2">
      <c r="A7218" s="997">
        <f t="shared" si="112"/>
        <v>7217</v>
      </c>
      <c r="B7218" s="983" t="s">
        <v>2717</v>
      </c>
      <c r="C7218" s="999"/>
      <c r="G7218" s="983" t="s">
        <v>1109</v>
      </c>
    </row>
    <row r="7219" spans="1:8" x14ac:dyDescent="0.2">
      <c r="A7219" s="997">
        <f t="shared" si="112"/>
        <v>7218</v>
      </c>
      <c r="B7219" s="983" t="s">
        <v>2717</v>
      </c>
      <c r="C7219" s="999"/>
      <c r="G7219" s="983" t="s">
        <v>1106</v>
      </c>
    </row>
    <row r="7220" spans="1:8" x14ac:dyDescent="0.2">
      <c r="A7220" s="997">
        <f t="shared" si="112"/>
        <v>7219</v>
      </c>
      <c r="B7220" s="983" t="s">
        <v>2717</v>
      </c>
      <c r="C7220" s="1000"/>
      <c r="H7220" s="983" t="s">
        <v>2207</v>
      </c>
    </row>
    <row r="7221" spans="1:8" x14ac:dyDescent="0.2">
      <c r="A7221" s="997">
        <f t="shared" si="112"/>
        <v>7220</v>
      </c>
      <c r="B7221" s="983" t="s">
        <v>2717</v>
      </c>
      <c r="C7221" s="1001"/>
      <c r="H7221" s="983" t="str">
        <f>CONCATENATE("&lt;valeur&gt;",Cellule_1934_3,"&lt;/valeur&gt;")</f>
        <v>&lt;valeur&gt;&lt;/valeur&gt;</v>
      </c>
    </row>
    <row r="7222" spans="1:8" x14ac:dyDescent="0.2">
      <c r="A7222" s="997">
        <f t="shared" si="112"/>
        <v>7221</v>
      </c>
      <c r="B7222" s="983" t="s">
        <v>2717</v>
      </c>
      <c r="C7222" s="1000"/>
      <c r="H7222" s="983" t="s">
        <v>2736</v>
      </c>
    </row>
    <row r="7223" spans="1:8" x14ac:dyDescent="0.2">
      <c r="A7223" s="997">
        <f t="shared" si="112"/>
        <v>7222</v>
      </c>
      <c r="B7223" s="983" t="s">
        <v>2717</v>
      </c>
      <c r="C7223" s="1000"/>
      <c r="G7223" s="983" t="s">
        <v>1109</v>
      </c>
    </row>
    <row r="7224" spans="1:8" x14ac:dyDescent="0.2">
      <c r="A7224" s="997">
        <f t="shared" si="112"/>
        <v>7223</v>
      </c>
      <c r="B7224" s="983" t="s">
        <v>2717</v>
      </c>
      <c r="C7224" s="999"/>
      <c r="G7224" s="983" t="s">
        <v>1106</v>
      </c>
    </row>
    <row r="7225" spans="1:8" x14ac:dyDescent="0.2">
      <c r="A7225" s="997">
        <f t="shared" si="112"/>
        <v>7224</v>
      </c>
      <c r="B7225" s="983" t="s">
        <v>2717</v>
      </c>
      <c r="C7225" s="999"/>
      <c r="H7225" s="983" t="s">
        <v>2208</v>
      </c>
    </row>
    <row r="7226" spans="1:8" x14ac:dyDescent="0.2">
      <c r="A7226" s="997">
        <f t="shared" si="112"/>
        <v>7225</v>
      </c>
      <c r="B7226" s="983" t="s">
        <v>2717</v>
      </c>
      <c r="C7226" s="1000"/>
      <c r="H7226" s="983" t="str">
        <f>CONCATENATE("&lt;valeur&gt;",Cellule_1935_3,"&lt;/valeur&gt;")</f>
        <v>&lt;valeur&gt;&lt;/valeur&gt;</v>
      </c>
    </row>
    <row r="7227" spans="1:8" x14ac:dyDescent="0.2">
      <c r="A7227" s="997">
        <f t="shared" si="112"/>
        <v>7226</v>
      </c>
      <c r="B7227" s="983" t="s">
        <v>2717</v>
      </c>
      <c r="C7227" s="1001"/>
      <c r="H7227" s="983" t="s">
        <v>2736</v>
      </c>
    </row>
    <row r="7228" spans="1:8" x14ac:dyDescent="0.2">
      <c r="A7228" s="997">
        <f t="shared" si="112"/>
        <v>7227</v>
      </c>
      <c r="B7228" s="983" t="s">
        <v>2717</v>
      </c>
      <c r="C7228" s="1000"/>
      <c r="G7228" s="983" t="s">
        <v>1109</v>
      </c>
    </row>
    <row r="7229" spans="1:8" x14ac:dyDescent="0.2">
      <c r="A7229" s="997">
        <f t="shared" si="112"/>
        <v>7228</v>
      </c>
      <c r="B7229" s="983" t="s">
        <v>2717</v>
      </c>
      <c r="C7229" s="1000"/>
      <c r="G7229" s="983" t="s">
        <v>1106</v>
      </c>
    </row>
    <row r="7230" spans="1:8" x14ac:dyDescent="0.2">
      <c r="A7230" s="997">
        <f t="shared" si="112"/>
        <v>7229</v>
      </c>
      <c r="B7230" s="983" t="s">
        <v>2717</v>
      </c>
      <c r="C7230" s="999"/>
      <c r="H7230" s="983" t="s">
        <v>2209</v>
      </c>
    </row>
    <row r="7231" spans="1:8" x14ac:dyDescent="0.2">
      <c r="A7231" s="997">
        <f t="shared" si="112"/>
        <v>7230</v>
      </c>
      <c r="B7231" s="983" t="s">
        <v>2717</v>
      </c>
      <c r="C7231" s="999"/>
      <c r="H7231" s="983" t="str">
        <f>CONCATENATE("&lt;valeur&gt;",Cellule_1936_3,"&lt;/valeur&gt;")</f>
        <v>&lt;valeur&gt;0&lt;/valeur&gt;</v>
      </c>
    </row>
    <row r="7232" spans="1:8" x14ac:dyDescent="0.2">
      <c r="A7232" s="997">
        <f t="shared" si="112"/>
        <v>7231</v>
      </c>
      <c r="B7232" s="983" t="s">
        <v>2717</v>
      </c>
      <c r="C7232" s="1000"/>
      <c r="H7232" s="983" t="s">
        <v>2736</v>
      </c>
    </row>
    <row r="7233" spans="1:8" x14ac:dyDescent="0.2">
      <c r="A7233" s="997">
        <f t="shared" si="112"/>
        <v>7232</v>
      </c>
      <c r="B7233" s="983" t="s">
        <v>2717</v>
      </c>
      <c r="C7233" s="1001"/>
      <c r="G7233" s="983" t="s">
        <v>1109</v>
      </c>
    </row>
    <row r="7234" spans="1:8" x14ac:dyDescent="0.2">
      <c r="A7234" s="997">
        <f t="shared" si="112"/>
        <v>7233</v>
      </c>
      <c r="B7234" s="983" t="s">
        <v>2717</v>
      </c>
      <c r="C7234" s="999"/>
      <c r="G7234" s="983" t="s">
        <v>1106</v>
      </c>
    </row>
    <row r="7235" spans="1:8" x14ac:dyDescent="0.2">
      <c r="A7235" s="997">
        <f t="shared" si="112"/>
        <v>7234</v>
      </c>
      <c r="B7235" s="983" t="s">
        <v>2717</v>
      </c>
      <c r="C7235" s="999"/>
      <c r="H7235" s="983" t="s">
        <v>2202</v>
      </c>
    </row>
    <row r="7236" spans="1:8" x14ac:dyDescent="0.2">
      <c r="A7236" s="997">
        <f t="shared" ref="A7236:A7299" si="113">+A7235+1</f>
        <v>7235</v>
      </c>
      <c r="B7236" s="983" t="s">
        <v>2717</v>
      </c>
      <c r="C7236" s="1000"/>
      <c r="H7236" s="983" t="str">
        <f>CONCATENATE("&lt;valeur&gt;",Cellule_1929_4,"&lt;/valeur&gt;")</f>
        <v>&lt;valeur&gt;&lt;/valeur&gt;</v>
      </c>
    </row>
    <row r="7237" spans="1:8" x14ac:dyDescent="0.2">
      <c r="A7237" s="997">
        <f t="shared" si="113"/>
        <v>7236</v>
      </c>
      <c r="B7237" s="983" t="s">
        <v>2717</v>
      </c>
      <c r="C7237" s="1001"/>
      <c r="H7237" s="983" t="s">
        <v>2737</v>
      </c>
    </row>
    <row r="7238" spans="1:8" x14ac:dyDescent="0.2">
      <c r="A7238" s="997">
        <f t="shared" si="113"/>
        <v>7237</v>
      </c>
      <c r="B7238" s="983" t="s">
        <v>2717</v>
      </c>
      <c r="C7238" s="1000"/>
      <c r="G7238" s="983" t="s">
        <v>1109</v>
      </c>
    </row>
    <row r="7239" spans="1:8" x14ac:dyDescent="0.2">
      <c r="A7239" s="997">
        <f t="shared" si="113"/>
        <v>7238</v>
      </c>
      <c r="B7239" s="983" t="s">
        <v>2717</v>
      </c>
      <c r="C7239" s="1000"/>
      <c r="G7239" s="983" t="s">
        <v>1106</v>
      </c>
    </row>
    <row r="7240" spans="1:8" x14ac:dyDescent="0.2">
      <c r="A7240" s="997">
        <f t="shared" si="113"/>
        <v>7239</v>
      </c>
      <c r="B7240" s="983" t="s">
        <v>2717</v>
      </c>
      <c r="C7240" s="999"/>
      <c r="H7240" s="983" t="s">
        <v>2203</v>
      </c>
    </row>
    <row r="7241" spans="1:8" x14ac:dyDescent="0.2">
      <c r="A7241" s="997">
        <f t="shared" si="113"/>
        <v>7240</v>
      </c>
      <c r="B7241" s="983" t="s">
        <v>2717</v>
      </c>
      <c r="C7241" s="999"/>
      <c r="H7241" s="983" t="str">
        <f>CONCATENATE("&lt;valeur&gt;",Cellule_1930_4,"&lt;/valeur&gt;")</f>
        <v>&lt;valeur&gt;&lt;/valeur&gt;</v>
      </c>
    </row>
    <row r="7242" spans="1:8" x14ac:dyDescent="0.2">
      <c r="A7242" s="997">
        <f t="shared" si="113"/>
        <v>7241</v>
      </c>
      <c r="B7242" s="983" t="s">
        <v>2717</v>
      </c>
      <c r="C7242" s="1000"/>
      <c r="H7242" s="983" t="s">
        <v>2737</v>
      </c>
    </row>
    <row r="7243" spans="1:8" x14ac:dyDescent="0.2">
      <c r="A7243" s="997">
        <f t="shared" si="113"/>
        <v>7242</v>
      </c>
      <c r="B7243" s="983" t="s">
        <v>2717</v>
      </c>
      <c r="C7243" s="1001"/>
      <c r="G7243" s="983" t="s">
        <v>1109</v>
      </c>
    </row>
    <row r="7244" spans="1:8" x14ac:dyDescent="0.2">
      <c r="A7244" s="997">
        <f t="shared" si="113"/>
        <v>7243</v>
      </c>
      <c r="B7244" s="983" t="s">
        <v>2717</v>
      </c>
      <c r="C7244" s="1000"/>
      <c r="G7244" s="983" t="s">
        <v>1106</v>
      </c>
    </row>
    <row r="7245" spans="1:8" x14ac:dyDescent="0.2">
      <c r="A7245" s="997">
        <f t="shared" si="113"/>
        <v>7244</v>
      </c>
      <c r="B7245" s="983" t="s">
        <v>2717</v>
      </c>
      <c r="C7245" s="1000"/>
      <c r="H7245" s="983" t="s">
        <v>2204</v>
      </c>
    </row>
    <row r="7246" spans="1:8" x14ac:dyDescent="0.2">
      <c r="A7246" s="997">
        <f t="shared" si="113"/>
        <v>7245</v>
      </c>
      <c r="B7246" s="983" t="s">
        <v>2717</v>
      </c>
      <c r="C7246" s="999"/>
      <c r="H7246" s="983" t="str">
        <f>CONCATENATE("&lt;valeur&gt;",Cellule_1931_4,"&lt;/valeur&gt;")</f>
        <v>&lt;valeur&gt;&lt;/valeur&gt;</v>
      </c>
    </row>
    <row r="7247" spans="1:8" x14ac:dyDescent="0.2">
      <c r="A7247" s="997">
        <f t="shared" si="113"/>
        <v>7246</v>
      </c>
      <c r="B7247" s="983" t="s">
        <v>2717</v>
      </c>
      <c r="C7247" s="999"/>
      <c r="H7247" s="983" t="s">
        <v>2737</v>
      </c>
    </row>
    <row r="7248" spans="1:8" x14ac:dyDescent="0.2">
      <c r="A7248" s="997">
        <f t="shared" si="113"/>
        <v>7247</v>
      </c>
      <c r="B7248" s="983" t="s">
        <v>2717</v>
      </c>
      <c r="C7248" s="1000"/>
      <c r="G7248" s="983" t="s">
        <v>1109</v>
      </c>
    </row>
    <row r="7249" spans="1:8" x14ac:dyDescent="0.2">
      <c r="A7249" s="997">
        <f t="shared" si="113"/>
        <v>7248</v>
      </c>
      <c r="B7249" s="983" t="s">
        <v>2717</v>
      </c>
      <c r="C7249" s="1001"/>
      <c r="G7249" s="983" t="s">
        <v>1106</v>
      </c>
    </row>
    <row r="7250" spans="1:8" x14ac:dyDescent="0.2">
      <c r="A7250" s="997">
        <f t="shared" si="113"/>
        <v>7249</v>
      </c>
      <c r="B7250" s="983" t="s">
        <v>2717</v>
      </c>
      <c r="C7250" s="1000"/>
      <c r="H7250" s="983" t="s">
        <v>2205</v>
      </c>
    </row>
    <row r="7251" spans="1:8" x14ac:dyDescent="0.2">
      <c r="A7251" s="997">
        <f t="shared" si="113"/>
        <v>7250</v>
      </c>
      <c r="B7251" s="983" t="s">
        <v>2717</v>
      </c>
      <c r="C7251" s="1000"/>
      <c r="H7251" s="983" t="str">
        <f>CONCATENATE("&lt;valeur&gt;",Cellule_1932_4,"&lt;/valeur&gt;")</f>
        <v>&lt;valeur&gt;&lt;/valeur&gt;</v>
      </c>
    </row>
    <row r="7252" spans="1:8" x14ac:dyDescent="0.2">
      <c r="A7252" s="997">
        <f t="shared" si="113"/>
        <v>7251</v>
      </c>
      <c r="B7252" s="983" t="s">
        <v>2717</v>
      </c>
      <c r="C7252" s="999"/>
      <c r="H7252" s="983" t="s">
        <v>2737</v>
      </c>
    </row>
    <row r="7253" spans="1:8" x14ac:dyDescent="0.2">
      <c r="A7253" s="997">
        <f t="shared" si="113"/>
        <v>7252</v>
      </c>
      <c r="B7253" s="983" t="s">
        <v>2717</v>
      </c>
      <c r="C7253" s="999"/>
      <c r="G7253" s="983" t="s">
        <v>1109</v>
      </c>
    </row>
    <row r="7254" spans="1:8" x14ac:dyDescent="0.2">
      <c r="A7254" s="997">
        <f t="shared" si="113"/>
        <v>7253</v>
      </c>
      <c r="B7254" s="983" t="s">
        <v>2717</v>
      </c>
      <c r="C7254" s="1000"/>
      <c r="G7254" s="983" t="s">
        <v>1106</v>
      </c>
    </row>
    <row r="7255" spans="1:8" x14ac:dyDescent="0.2">
      <c r="A7255" s="997">
        <f t="shared" si="113"/>
        <v>7254</v>
      </c>
      <c r="B7255" s="983" t="s">
        <v>2717</v>
      </c>
      <c r="C7255" s="1001"/>
      <c r="H7255" s="983" t="s">
        <v>2206</v>
      </c>
    </row>
    <row r="7256" spans="1:8" x14ac:dyDescent="0.2">
      <c r="A7256" s="997">
        <f t="shared" si="113"/>
        <v>7255</v>
      </c>
      <c r="B7256" s="983" t="s">
        <v>2717</v>
      </c>
      <c r="C7256" s="1000"/>
      <c r="H7256" s="983" t="str">
        <f>CONCATENATE("&lt;valeur&gt;",Cellule_1933_4,"&lt;/valeur&gt;")</f>
        <v>&lt;valeur&gt;&lt;/valeur&gt;</v>
      </c>
    </row>
    <row r="7257" spans="1:8" x14ac:dyDescent="0.2">
      <c r="A7257" s="997">
        <f t="shared" si="113"/>
        <v>7256</v>
      </c>
      <c r="B7257" s="983" t="s">
        <v>2717</v>
      </c>
      <c r="C7257" s="1000"/>
      <c r="H7257" s="983" t="s">
        <v>2737</v>
      </c>
    </row>
    <row r="7258" spans="1:8" x14ac:dyDescent="0.2">
      <c r="A7258" s="997">
        <f t="shared" si="113"/>
        <v>7257</v>
      </c>
      <c r="B7258" s="983" t="s">
        <v>2717</v>
      </c>
      <c r="C7258" s="999"/>
      <c r="G7258" s="983" t="s">
        <v>1109</v>
      </c>
    </row>
    <row r="7259" spans="1:8" x14ac:dyDescent="0.2">
      <c r="A7259" s="997">
        <f t="shared" si="113"/>
        <v>7258</v>
      </c>
      <c r="B7259" s="983" t="s">
        <v>2717</v>
      </c>
      <c r="C7259" s="999"/>
      <c r="G7259" s="983" t="s">
        <v>1106</v>
      </c>
    </row>
    <row r="7260" spans="1:8" x14ac:dyDescent="0.2">
      <c r="A7260" s="997">
        <f t="shared" si="113"/>
        <v>7259</v>
      </c>
      <c r="B7260" s="983" t="s">
        <v>2717</v>
      </c>
      <c r="C7260" s="1000"/>
      <c r="H7260" s="983" t="s">
        <v>2207</v>
      </c>
    </row>
    <row r="7261" spans="1:8" x14ac:dyDescent="0.2">
      <c r="A7261" s="997">
        <f t="shared" si="113"/>
        <v>7260</v>
      </c>
      <c r="B7261" s="983" t="s">
        <v>2717</v>
      </c>
      <c r="C7261" s="1001"/>
      <c r="H7261" s="983" t="str">
        <f>CONCATENATE("&lt;valeur&gt;",Cellule_1934_4,"&lt;/valeur&gt;")</f>
        <v>&lt;valeur&gt;&lt;/valeur&gt;</v>
      </c>
    </row>
    <row r="7262" spans="1:8" x14ac:dyDescent="0.2">
      <c r="A7262" s="997">
        <f t="shared" si="113"/>
        <v>7261</v>
      </c>
      <c r="B7262" s="983" t="s">
        <v>2717</v>
      </c>
      <c r="C7262" s="1000"/>
      <c r="H7262" s="983" t="s">
        <v>2737</v>
      </c>
    </row>
    <row r="7263" spans="1:8" x14ac:dyDescent="0.2">
      <c r="A7263" s="997">
        <f t="shared" si="113"/>
        <v>7262</v>
      </c>
      <c r="B7263" s="983" t="s">
        <v>2717</v>
      </c>
      <c r="C7263" s="1000"/>
      <c r="G7263" s="983" t="s">
        <v>1109</v>
      </c>
    </row>
    <row r="7264" spans="1:8" x14ac:dyDescent="0.2">
      <c r="A7264" s="997">
        <f t="shared" si="113"/>
        <v>7263</v>
      </c>
      <c r="B7264" s="983" t="s">
        <v>2717</v>
      </c>
      <c r="C7264" s="999"/>
      <c r="G7264" s="983" t="s">
        <v>1106</v>
      </c>
    </row>
    <row r="7265" spans="1:8" x14ac:dyDescent="0.2">
      <c r="A7265" s="997">
        <f t="shared" si="113"/>
        <v>7264</v>
      </c>
      <c r="B7265" s="983" t="s">
        <v>2717</v>
      </c>
      <c r="C7265" s="999"/>
      <c r="H7265" s="983" t="s">
        <v>2208</v>
      </c>
    </row>
    <row r="7266" spans="1:8" x14ac:dyDescent="0.2">
      <c r="A7266" s="997">
        <f t="shared" si="113"/>
        <v>7265</v>
      </c>
      <c r="B7266" s="983" t="s">
        <v>2717</v>
      </c>
      <c r="C7266" s="1000"/>
      <c r="H7266" s="983" t="str">
        <f>CONCATENATE("&lt;valeur&gt;",Cellule_1935_4,"&lt;/valeur&gt;")</f>
        <v>&lt;valeur&gt;&lt;/valeur&gt;</v>
      </c>
    </row>
    <row r="7267" spans="1:8" x14ac:dyDescent="0.2">
      <c r="A7267" s="997">
        <f t="shared" si="113"/>
        <v>7266</v>
      </c>
      <c r="B7267" s="983" t="s">
        <v>2717</v>
      </c>
      <c r="C7267" s="1001"/>
      <c r="H7267" s="983" t="s">
        <v>2737</v>
      </c>
    </row>
    <row r="7268" spans="1:8" x14ac:dyDescent="0.2">
      <c r="A7268" s="997">
        <f t="shared" si="113"/>
        <v>7267</v>
      </c>
      <c r="B7268" s="983" t="s">
        <v>2717</v>
      </c>
      <c r="C7268" s="1000"/>
      <c r="G7268" s="983" t="s">
        <v>1109</v>
      </c>
    </row>
    <row r="7269" spans="1:8" x14ac:dyDescent="0.2">
      <c r="A7269" s="997">
        <f t="shared" si="113"/>
        <v>7268</v>
      </c>
      <c r="B7269" s="983" t="s">
        <v>2717</v>
      </c>
      <c r="C7269" s="1000"/>
      <c r="G7269" s="983" t="s">
        <v>1106</v>
      </c>
    </row>
    <row r="7270" spans="1:8" x14ac:dyDescent="0.2">
      <c r="A7270" s="997">
        <f t="shared" si="113"/>
        <v>7269</v>
      </c>
      <c r="B7270" s="983" t="s">
        <v>2717</v>
      </c>
      <c r="C7270" s="999"/>
      <c r="H7270" s="983" t="s">
        <v>2209</v>
      </c>
    </row>
    <row r="7271" spans="1:8" x14ac:dyDescent="0.2">
      <c r="A7271" s="997">
        <f t="shared" si="113"/>
        <v>7270</v>
      </c>
      <c r="B7271" s="983" t="s">
        <v>2717</v>
      </c>
      <c r="C7271" s="999"/>
      <c r="H7271" s="983" t="str">
        <f>CONCATENATE("&lt;valeur&gt;",Cellule_1936_4,"&lt;/valeur&gt;")</f>
        <v>&lt;valeur&gt;0&lt;/valeur&gt;</v>
      </c>
    </row>
    <row r="7272" spans="1:8" x14ac:dyDescent="0.2">
      <c r="A7272" s="997">
        <f t="shared" si="113"/>
        <v>7271</v>
      </c>
      <c r="B7272" s="983" t="s">
        <v>2717</v>
      </c>
      <c r="C7272" s="1000"/>
      <c r="H7272" s="983" t="s">
        <v>2737</v>
      </c>
    </row>
    <row r="7273" spans="1:8" x14ac:dyDescent="0.2">
      <c r="A7273" s="997">
        <f t="shared" si="113"/>
        <v>7272</v>
      </c>
      <c r="B7273" s="983" t="s">
        <v>2717</v>
      </c>
      <c r="C7273" s="1001"/>
      <c r="G7273" s="983" t="s">
        <v>1109</v>
      </c>
    </row>
    <row r="7274" spans="1:8" x14ac:dyDescent="0.2">
      <c r="A7274" s="997">
        <f t="shared" si="113"/>
        <v>7273</v>
      </c>
      <c r="B7274" s="983" t="s">
        <v>2717</v>
      </c>
      <c r="C7274" s="999"/>
      <c r="G7274" s="983" t="s">
        <v>1106</v>
      </c>
    </row>
    <row r="7275" spans="1:8" x14ac:dyDescent="0.2">
      <c r="A7275" s="997">
        <f t="shared" si="113"/>
        <v>7274</v>
      </c>
      <c r="B7275" s="983" t="s">
        <v>2717</v>
      </c>
      <c r="C7275" s="999"/>
      <c r="H7275" s="983" t="s">
        <v>2202</v>
      </c>
    </row>
    <row r="7276" spans="1:8" x14ac:dyDescent="0.2">
      <c r="A7276" s="997">
        <f t="shared" si="113"/>
        <v>7275</v>
      </c>
      <c r="B7276" s="983" t="s">
        <v>2717</v>
      </c>
      <c r="C7276" s="1000"/>
      <c r="H7276" s="983" t="str">
        <f>CONCATENATE("&lt;valeur&gt;",Cellule_1929_5,"&lt;/valeur&gt;")</f>
        <v>&lt;valeur&gt;&lt;/valeur&gt;</v>
      </c>
    </row>
    <row r="7277" spans="1:8" x14ac:dyDescent="0.2">
      <c r="A7277" s="997">
        <f t="shared" si="113"/>
        <v>7276</v>
      </c>
      <c r="B7277" s="983" t="s">
        <v>2717</v>
      </c>
      <c r="C7277" s="1001"/>
      <c r="H7277" s="983" t="s">
        <v>2738</v>
      </c>
    </row>
    <row r="7278" spans="1:8" x14ac:dyDescent="0.2">
      <c r="A7278" s="997">
        <f t="shared" si="113"/>
        <v>7277</v>
      </c>
      <c r="B7278" s="983" t="s">
        <v>2717</v>
      </c>
      <c r="C7278" s="1000"/>
      <c r="G7278" s="983" t="s">
        <v>1109</v>
      </c>
    </row>
    <row r="7279" spans="1:8" x14ac:dyDescent="0.2">
      <c r="A7279" s="997">
        <f t="shared" si="113"/>
        <v>7278</v>
      </c>
      <c r="B7279" s="983" t="s">
        <v>2717</v>
      </c>
      <c r="C7279" s="1000"/>
      <c r="G7279" s="983" t="s">
        <v>1106</v>
      </c>
    </row>
    <row r="7280" spans="1:8" x14ac:dyDescent="0.2">
      <c r="A7280" s="997">
        <f t="shared" si="113"/>
        <v>7279</v>
      </c>
      <c r="B7280" s="983" t="s">
        <v>2717</v>
      </c>
      <c r="C7280" s="999"/>
      <c r="H7280" s="983" t="s">
        <v>2203</v>
      </c>
    </row>
    <row r="7281" spans="1:8" x14ac:dyDescent="0.2">
      <c r="A7281" s="997">
        <f t="shared" si="113"/>
        <v>7280</v>
      </c>
      <c r="B7281" s="983" t="s">
        <v>2717</v>
      </c>
      <c r="C7281" s="999"/>
      <c r="H7281" s="983" t="str">
        <f>CONCATENATE("&lt;valeur&gt;",Cellule_1930_5,"&lt;/valeur&gt;")</f>
        <v>&lt;valeur&gt;&lt;/valeur&gt;</v>
      </c>
    </row>
    <row r="7282" spans="1:8" x14ac:dyDescent="0.2">
      <c r="A7282" s="997">
        <f t="shared" si="113"/>
        <v>7281</v>
      </c>
      <c r="B7282" s="983" t="s">
        <v>2717</v>
      </c>
      <c r="C7282" s="1000"/>
      <c r="H7282" s="983" t="s">
        <v>2738</v>
      </c>
    </row>
    <row r="7283" spans="1:8" x14ac:dyDescent="0.2">
      <c r="A7283" s="997">
        <f t="shared" si="113"/>
        <v>7282</v>
      </c>
      <c r="B7283" s="983" t="s">
        <v>2717</v>
      </c>
      <c r="C7283" s="1001"/>
      <c r="G7283" s="983" t="s">
        <v>1109</v>
      </c>
    </row>
    <row r="7284" spans="1:8" x14ac:dyDescent="0.2">
      <c r="A7284" s="997">
        <f t="shared" si="113"/>
        <v>7283</v>
      </c>
      <c r="B7284" s="983" t="s">
        <v>2717</v>
      </c>
      <c r="C7284" s="1000"/>
      <c r="G7284" s="983" t="s">
        <v>1106</v>
      </c>
    </row>
    <row r="7285" spans="1:8" x14ac:dyDescent="0.2">
      <c r="A7285" s="997">
        <f t="shared" si="113"/>
        <v>7284</v>
      </c>
      <c r="B7285" s="983" t="s">
        <v>2717</v>
      </c>
      <c r="C7285" s="1000"/>
      <c r="H7285" s="983" t="s">
        <v>2204</v>
      </c>
    </row>
    <row r="7286" spans="1:8" x14ac:dyDescent="0.2">
      <c r="A7286" s="997">
        <f t="shared" si="113"/>
        <v>7285</v>
      </c>
      <c r="B7286" s="983" t="s">
        <v>2717</v>
      </c>
      <c r="C7286" s="999"/>
      <c r="H7286" s="983" t="str">
        <f>CONCATENATE("&lt;valeur&gt;",Cellule_1931_5,"&lt;/valeur&gt;")</f>
        <v>&lt;valeur&gt;&lt;/valeur&gt;</v>
      </c>
    </row>
    <row r="7287" spans="1:8" x14ac:dyDescent="0.2">
      <c r="A7287" s="997">
        <f t="shared" si="113"/>
        <v>7286</v>
      </c>
      <c r="B7287" s="983" t="s">
        <v>2717</v>
      </c>
      <c r="C7287" s="999"/>
      <c r="H7287" s="983" t="s">
        <v>2738</v>
      </c>
    </row>
    <row r="7288" spans="1:8" x14ac:dyDescent="0.2">
      <c r="A7288" s="997">
        <f t="shared" si="113"/>
        <v>7287</v>
      </c>
      <c r="B7288" s="983" t="s">
        <v>2717</v>
      </c>
      <c r="C7288" s="1000"/>
      <c r="G7288" s="983" t="s">
        <v>1109</v>
      </c>
    </row>
    <row r="7289" spans="1:8" x14ac:dyDescent="0.2">
      <c r="A7289" s="997">
        <f t="shared" si="113"/>
        <v>7288</v>
      </c>
      <c r="B7289" s="983" t="s">
        <v>2717</v>
      </c>
      <c r="C7289" s="1001"/>
      <c r="G7289" s="983" t="s">
        <v>1106</v>
      </c>
    </row>
    <row r="7290" spans="1:8" x14ac:dyDescent="0.2">
      <c r="A7290" s="997">
        <f t="shared" si="113"/>
        <v>7289</v>
      </c>
      <c r="B7290" s="983" t="s">
        <v>2717</v>
      </c>
      <c r="C7290" s="1000"/>
      <c r="H7290" s="983" t="s">
        <v>2205</v>
      </c>
    </row>
    <row r="7291" spans="1:8" x14ac:dyDescent="0.2">
      <c r="A7291" s="997">
        <f t="shared" si="113"/>
        <v>7290</v>
      </c>
      <c r="B7291" s="983" t="s">
        <v>2717</v>
      </c>
      <c r="C7291" s="1000"/>
      <c r="H7291" s="983" t="str">
        <f>CONCATENATE("&lt;valeur&gt;",Cellule_1932_5,"&lt;/valeur&gt;")</f>
        <v>&lt;valeur&gt;&lt;/valeur&gt;</v>
      </c>
    </row>
    <row r="7292" spans="1:8" x14ac:dyDescent="0.2">
      <c r="A7292" s="997">
        <f t="shared" si="113"/>
        <v>7291</v>
      </c>
      <c r="B7292" s="983" t="s">
        <v>2717</v>
      </c>
      <c r="C7292" s="999"/>
      <c r="H7292" s="983" t="s">
        <v>2738</v>
      </c>
    </row>
    <row r="7293" spans="1:8" x14ac:dyDescent="0.2">
      <c r="A7293" s="997">
        <f t="shared" si="113"/>
        <v>7292</v>
      </c>
      <c r="B7293" s="983" t="s">
        <v>2717</v>
      </c>
      <c r="C7293" s="999"/>
      <c r="G7293" s="983" t="s">
        <v>1109</v>
      </c>
    </row>
    <row r="7294" spans="1:8" x14ac:dyDescent="0.2">
      <c r="A7294" s="997">
        <f t="shared" si="113"/>
        <v>7293</v>
      </c>
      <c r="B7294" s="983" t="s">
        <v>2717</v>
      </c>
      <c r="C7294" s="1000"/>
      <c r="G7294" s="983" t="s">
        <v>1106</v>
      </c>
    </row>
    <row r="7295" spans="1:8" x14ac:dyDescent="0.2">
      <c r="A7295" s="997">
        <f t="shared" si="113"/>
        <v>7294</v>
      </c>
      <c r="B7295" s="983" t="s">
        <v>2717</v>
      </c>
      <c r="C7295" s="1001"/>
      <c r="H7295" s="983" t="s">
        <v>2206</v>
      </c>
    </row>
    <row r="7296" spans="1:8" x14ac:dyDescent="0.2">
      <c r="A7296" s="997">
        <f t="shared" si="113"/>
        <v>7295</v>
      </c>
      <c r="B7296" s="983" t="s">
        <v>2717</v>
      </c>
      <c r="C7296" s="1000"/>
      <c r="H7296" s="983" t="str">
        <f>CONCATENATE("&lt;valeur&gt;",Cellule_1933_5,"&lt;/valeur&gt;")</f>
        <v>&lt;valeur&gt;&lt;/valeur&gt;</v>
      </c>
    </row>
    <row r="7297" spans="1:8" x14ac:dyDescent="0.2">
      <c r="A7297" s="997">
        <f t="shared" si="113"/>
        <v>7296</v>
      </c>
      <c r="B7297" s="983" t="s">
        <v>2717</v>
      </c>
      <c r="C7297" s="1000"/>
      <c r="H7297" s="983" t="s">
        <v>2738</v>
      </c>
    </row>
    <row r="7298" spans="1:8" x14ac:dyDescent="0.2">
      <c r="A7298" s="997">
        <f t="shared" si="113"/>
        <v>7297</v>
      </c>
      <c r="B7298" s="983" t="s">
        <v>2717</v>
      </c>
      <c r="C7298" s="999"/>
      <c r="G7298" s="983" t="s">
        <v>1109</v>
      </c>
    </row>
    <row r="7299" spans="1:8" x14ac:dyDescent="0.2">
      <c r="A7299" s="997">
        <f t="shared" si="113"/>
        <v>7298</v>
      </c>
      <c r="B7299" s="983" t="s">
        <v>2717</v>
      </c>
      <c r="C7299" s="999"/>
      <c r="G7299" s="983" t="s">
        <v>1106</v>
      </c>
    </row>
    <row r="7300" spans="1:8" x14ac:dyDescent="0.2">
      <c r="A7300" s="997">
        <f t="shared" ref="A7300:A7363" si="114">+A7299+1</f>
        <v>7299</v>
      </c>
      <c r="B7300" s="983" t="s">
        <v>2717</v>
      </c>
      <c r="C7300" s="1000"/>
      <c r="H7300" s="983" t="s">
        <v>2207</v>
      </c>
    </row>
    <row r="7301" spans="1:8" x14ac:dyDescent="0.2">
      <c r="A7301" s="997">
        <f t="shared" si="114"/>
        <v>7300</v>
      </c>
      <c r="B7301" s="983" t="s">
        <v>2717</v>
      </c>
      <c r="C7301" s="1001"/>
      <c r="H7301" s="983" t="str">
        <f>CONCATENATE("&lt;valeur&gt;",Cellule_1934_5,"&lt;/valeur&gt;")</f>
        <v>&lt;valeur&gt;&lt;/valeur&gt;</v>
      </c>
    </row>
    <row r="7302" spans="1:8" x14ac:dyDescent="0.2">
      <c r="A7302" s="997">
        <f t="shared" si="114"/>
        <v>7301</v>
      </c>
      <c r="B7302" s="983" t="s">
        <v>2717</v>
      </c>
      <c r="C7302" s="1000"/>
      <c r="H7302" s="983" t="s">
        <v>2738</v>
      </c>
    </row>
    <row r="7303" spans="1:8" x14ac:dyDescent="0.2">
      <c r="A7303" s="997">
        <f t="shared" si="114"/>
        <v>7302</v>
      </c>
      <c r="B7303" s="983" t="s">
        <v>2717</v>
      </c>
      <c r="C7303" s="1000"/>
      <c r="G7303" s="983" t="s">
        <v>1109</v>
      </c>
    </row>
    <row r="7304" spans="1:8" x14ac:dyDescent="0.2">
      <c r="A7304" s="997">
        <f t="shared" si="114"/>
        <v>7303</v>
      </c>
      <c r="B7304" s="983" t="s">
        <v>2717</v>
      </c>
      <c r="C7304" s="999"/>
      <c r="G7304" s="983" t="s">
        <v>1106</v>
      </c>
    </row>
    <row r="7305" spans="1:8" x14ac:dyDescent="0.2">
      <c r="A7305" s="997">
        <f t="shared" si="114"/>
        <v>7304</v>
      </c>
      <c r="B7305" s="983" t="s">
        <v>2717</v>
      </c>
      <c r="C7305" s="999"/>
      <c r="H7305" s="983" t="s">
        <v>2208</v>
      </c>
    </row>
    <row r="7306" spans="1:8" x14ac:dyDescent="0.2">
      <c r="A7306" s="997">
        <f t="shared" si="114"/>
        <v>7305</v>
      </c>
      <c r="B7306" s="983" t="s">
        <v>2717</v>
      </c>
      <c r="C7306" s="1000"/>
      <c r="H7306" s="983" t="str">
        <f>CONCATENATE("&lt;valeur&gt;",Cellule_1935_5,"&lt;/valeur&gt;")</f>
        <v>&lt;valeur&gt;&lt;/valeur&gt;</v>
      </c>
    </row>
    <row r="7307" spans="1:8" x14ac:dyDescent="0.2">
      <c r="A7307" s="997">
        <f t="shared" si="114"/>
        <v>7306</v>
      </c>
      <c r="B7307" s="983" t="s">
        <v>2717</v>
      </c>
      <c r="C7307" s="1001"/>
      <c r="H7307" s="983" t="s">
        <v>2738</v>
      </c>
    </row>
    <row r="7308" spans="1:8" x14ac:dyDescent="0.2">
      <c r="A7308" s="997">
        <f t="shared" si="114"/>
        <v>7307</v>
      </c>
      <c r="B7308" s="983" t="s">
        <v>2717</v>
      </c>
      <c r="C7308" s="1000"/>
      <c r="G7308" s="983" t="s">
        <v>1109</v>
      </c>
    </row>
    <row r="7309" spans="1:8" x14ac:dyDescent="0.2">
      <c r="A7309" s="997">
        <f t="shared" si="114"/>
        <v>7308</v>
      </c>
      <c r="B7309" s="983" t="s">
        <v>2717</v>
      </c>
      <c r="C7309" s="1000"/>
      <c r="G7309" s="983" t="s">
        <v>1106</v>
      </c>
    </row>
    <row r="7310" spans="1:8" x14ac:dyDescent="0.2">
      <c r="A7310" s="997">
        <f t="shared" si="114"/>
        <v>7309</v>
      </c>
      <c r="B7310" s="983" t="s">
        <v>2717</v>
      </c>
      <c r="C7310" s="999"/>
      <c r="H7310" s="983" t="s">
        <v>2209</v>
      </c>
    </row>
    <row r="7311" spans="1:8" x14ac:dyDescent="0.2">
      <c r="A7311" s="997">
        <f t="shared" si="114"/>
        <v>7310</v>
      </c>
      <c r="B7311" s="983" t="s">
        <v>2717</v>
      </c>
      <c r="C7311" s="999"/>
      <c r="H7311" s="983" t="str">
        <f>CONCATENATE("&lt;valeur&gt;",Cellule_1936_5,"&lt;/valeur&gt;")</f>
        <v>&lt;valeur&gt;0&lt;/valeur&gt;</v>
      </c>
    </row>
    <row r="7312" spans="1:8" x14ac:dyDescent="0.2">
      <c r="A7312" s="997">
        <f t="shared" si="114"/>
        <v>7311</v>
      </c>
      <c r="B7312" s="983" t="s">
        <v>2717</v>
      </c>
      <c r="C7312" s="1000"/>
      <c r="H7312" s="983" t="s">
        <v>2738</v>
      </c>
    </row>
    <row r="7313" spans="1:8" x14ac:dyDescent="0.2">
      <c r="A7313" s="997">
        <f t="shared" si="114"/>
        <v>7312</v>
      </c>
      <c r="B7313" s="983" t="s">
        <v>2717</v>
      </c>
      <c r="C7313" s="1001"/>
      <c r="G7313" s="983" t="s">
        <v>1109</v>
      </c>
    </row>
    <row r="7314" spans="1:8" x14ac:dyDescent="0.2">
      <c r="A7314" s="997">
        <f t="shared" si="114"/>
        <v>7313</v>
      </c>
      <c r="B7314" s="983" t="s">
        <v>2717</v>
      </c>
      <c r="C7314" s="999"/>
      <c r="G7314" s="983" t="s">
        <v>1106</v>
      </c>
    </row>
    <row r="7315" spans="1:8" x14ac:dyDescent="0.2">
      <c r="A7315" s="997">
        <f t="shared" si="114"/>
        <v>7314</v>
      </c>
      <c r="B7315" s="983" t="s">
        <v>2717</v>
      </c>
      <c r="C7315" s="999"/>
      <c r="H7315" s="983" t="s">
        <v>2202</v>
      </c>
    </row>
    <row r="7316" spans="1:8" x14ac:dyDescent="0.2">
      <c r="A7316" s="997">
        <f t="shared" si="114"/>
        <v>7315</v>
      </c>
      <c r="B7316" s="983" t="s">
        <v>2717</v>
      </c>
      <c r="C7316" s="1000"/>
      <c r="H7316" s="983" t="str">
        <f>CONCATENATE("&lt;valeur&gt;",Cellule_1929_6,"&lt;/valeur&gt;")</f>
        <v>&lt;valeur&gt;&lt;/valeur&gt;</v>
      </c>
    </row>
    <row r="7317" spans="1:8" x14ac:dyDescent="0.2">
      <c r="A7317" s="997">
        <f t="shared" si="114"/>
        <v>7316</v>
      </c>
      <c r="B7317" s="983" t="s">
        <v>2717</v>
      </c>
      <c r="C7317" s="1001"/>
      <c r="H7317" s="983" t="s">
        <v>2739</v>
      </c>
    </row>
    <row r="7318" spans="1:8" x14ac:dyDescent="0.2">
      <c r="A7318" s="997">
        <f t="shared" si="114"/>
        <v>7317</v>
      </c>
      <c r="B7318" s="983" t="s">
        <v>2717</v>
      </c>
      <c r="C7318" s="1000"/>
      <c r="G7318" s="983" t="s">
        <v>1109</v>
      </c>
    </row>
    <row r="7319" spans="1:8" x14ac:dyDescent="0.2">
      <c r="A7319" s="997">
        <f t="shared" si="114"/>
        <v>7318</v>
      </c>
      <c r="B7319" s="983" t="s">
        <v>2717</v>
      </c>
      <c r="C7319" s="1000"/>
      <c r="G7319" s="983" t="s">
        <v>1106</v>
      </c>
    </row>
    <row r="7320" spans="1:8" x14ac:dyDescent="0.2">
      <c r="A7320" s="997">
        <f t="shared" si="114"/>
        <v>7319</v>
      </c>
      <c r="B7320" s="983" t="s">
        <v>2717</v>
      </c>
      <c r="C7320" s="999"/>
      <c r="H7320" s="983" t="s">
        <v>2203</v>
      </c>
    </row>
    <row r="7321" spans="1:8" x14ac:dyDescent="0.2">
      <c r="A7321" s="997">
        <f t="shared" si="114"/>
        <v>7320</v>
      </c>
      <c r="B7321" s="983" t="s">
        <v>2717</v>
      </c>
      <c r="C7321" s="999"/>
      <c r="H7321" s="983" t="str">
        <f>CONCATENATE("&lt;valeur&gt;",Cellule_1930_6,"&lt;/valeur&gt;")</f>
        <v>&lt;valeur&gt;&lt;/valeur&gt;</v>
      </c>
    </row>
    <row r="7322" spans="1:8" x14ac:dyDescent="0.2">
      <c r="A7322" s="997">
        <f t="shared" si="114"/>
        <v>7321</v>
      </c>
      <c r="B7322" s="983" t="s">
        <v>2717</v>
      </c>
      <c r="C7322" s="1000"/>
      <c r="H7322" s="983" t="s">
        <v>2739</v>
      </c>
    </row>
    <row r="7323" spans="1:8" x14ac:dyDescent="0.2">
      <c r="A7323" s="997">
        <f t="shared" si="114"/>
        <v>7322</v>
      </c>
      <c r="B7323" s="983" t="s">
        <v>2717</v>
      </c>
      <c r="C7323" s="1001"/>
      <c r="G7323" s="983" t="s">
        <v>1109</v>
      </c>
    </row>
    <row r="7324" spans="1:8" x14ac:dyDescent="0.2">
      <c r="A7324" s="997">
        <f t="shared" si="114"/>
        <v>7323</v>
      </c>
      <c r="B7324" s="983" t="s">
        <v>2717</v>
      </c>
      <c r="C7324" s="1000"/>
      <c r="G7324" s="983" t="s">
        <v>1106</v>
      </c>
    </row>
    <row r="7325" spans="1:8" x14ac:dyDescent="0.2">
      <c r="A7325" s="997">
        <f t="shared" si="114"/>
        <v>7324</v>
      </c>
      <c r="B7325" s="983" t="s">
        <v>2717</v>
      </c>
      <c r="C7325" s="1000"/>
      <c r="H7325" s="983" t="s">
        <v>2204</v>
      </c>
    </row>
    <row r="7326" spans="1:8" x14ac:dyDescent="0.2">
      <c r="A7326" s="997">
        <f t="shared" si="114"/>
        <v>7325</v>
      </c>
      <c r="B7326" s="983" t="s">
        <v>2717</v>
      </c>
      <c r="C7326" s="999"/>
      <c r="H7326" s="983" t="str">
        <f>CONCATENATE("&lt;valeur&gt;",Cellule_1931_6,"&lt;/valeur&gt;")</f>
        <v>&lt;valeur&gt;&lt;/valeur&gt;</v>
      </c>
    </row>
    <row r="7327" spans="1:8" x14ac:dyDescent="0.2">
      <c r="A7327" s="997">
        <f t="shared" si="114"/>
        <v>7326</v>
      </c>
      <c r="B7327" s="983" t="s">
        <v>2717</v>
      </c>
      <c r="C7327" s="999"/>
      <c r="H7327" s="983" t="s">
        <v>2739</v>
      </c>
    </row>
    <row r="7328" spans="1:8" x14ac:dyDescent="0.2">
      <c r="A7328" s="997">
        <f t="shared" si="114"/>
        <v>7327</v>
      </c>
      <c r="B7328" s="983" t="s">
        <v>2717</v>
      </c>
      <c r="C7328" s="1000"/>
      <c r="G7328" s="983" t="s">
        <v>1109</v>
      </c>
    </row>
    <row r="7329" spans="1:8" x14ac:dyDescent="0.2">
      <c r="A7329" s="997">
        <f t="shared" si="114"/>
        <v>7328</v>
      </c>
      <c r="B7329" s="983" t="s">
        <v>2717</v>
      </c>
      <c r="C7329" s="1001"/>
      <c r="G7329" s="983" t="s">
        <v>1106</v>
      </c>
    </row>
    <row r="7330" spans="1:8" x14ac:dyDescent="0.2">
      <c r="A7330" s="997">
        <f t="shared" si="114"/>
        <v>7329</v>
      </c>
      <c r="B7330" s="983" t="s">
        <v>2717</v>
      </c>
      <c r="C7330" s="1000"/>
      <c r="H7330" s="983" t="s">
        <v>2205</v>
      </c>
    </row>
    <row r="7331" spans="1:8" x14ac:dyDescent="0.2">
      <c r="A7331" s="997">
        <f t="shared" si="114"/>
        <v>7330</v>
      </c>
      <c r="B7331" s="983" t="s">
        <v>2717</v>
      </c>
      <c r="C7331" s="1000"/>
      <c r="H7331" s="983" t="str">
        <f>CONCATENATE("&lt;valeur&gt;",Cellule_1932_6,"&lt;/valeur&gt;")</f>
        <v>&lt;valeur&gt;&lt;/valeur&gt;</v>
      </c>
    </row>
    <row r="7332" spans="1:8" x14ac:dyDescent="0.2">
      <c r="A7332" s="997">
        <f t="shared" si="114"/>
        <v>7331</v>
      </c>
      <c r="B7332" s="983" t="s">
        <v>2717</v>
      </c>
      <c r="C7332" s="999"/>
      <c r="H7332" s="983" t="s">
        <v>2739</v>
      </c>
    </row>
    <row r="7333" spans="1:8" x14ac:dyDescent="0.2">
      <c r="A7333" s="997">
        <f t="shared" si="114"/>
        <v>7332</v>
      </c>
      <c r="B7333" s="983" t="s">
        <v>2717</v>
      </c>
      <c r="C7333" s="999"/>
      <c r="G7333" s="983" t="s">
        <v>1109</v>
      </c>
    </row>
    <row r="7334" spans="1:8" x14ac:dyDescent="0.2">
      <c r="A7334" s="997">
        <f t="shared" si="114"/>
        <v>7333</v>
      </c>
      <c r="B7334" s="983" t="s">
        <v>2717</v>
      </c>
      <c r="C7334" s="1000"/>
      <c r="G7334" s="983" t="s">
        <v>1106</v>
      </c>
    </row>
    <row r="7335" spans="1:8" x14ac:dyDescent="0.2">
      <c r="A7335" s="997">
        <f t="shared" si="114"/>
        <v>7334</v>
      </c>
      <c r="B7335" s="983" t="s">
        <v>2717</v>
      </c>
      <c r="C7335" s="1001"/>
      <c r="H7335" s="983" t="s">
        <v>2206</v>
      </c>
    </row>
    <row r="7336" spans="1:8" x14ac:dyDescent="0.2">
      <c r="A7336" s="997">
        <f t="shared" si="114"/>
        <v>7335</v>
      </c>
      <c r="B7336" s="983" t="s">
        <v>2717</v>
      </c>
      <c r="C7336" s="1000"/>
      <c r="H7336" s="983" t="str">
        <f>CONCATENATE("&lt;valeur&gt;",Cellule_1933_6,"&lt;/valeur&gt;")</f>
        <v>&lt;valeur&gt;0&lt;/valeur&gt;</v>
      </c>
    </row>
    <row r="7337" spans="1:8" x14ac:dyDescent="0.2">
      <c r="A7337" s="997">
        <f t="shared" si="114"/>
        <v>7336</v>
      </c>
      <c r="B7337" s="983" t="s">
        <v>2717</v>
      </c>
      <c r="C7337" s="1000"/>
      <c r="H7337" s="983" t="s">
        <v>2739</v>
      </c>
    </row>
    <row r="7338" spans="1:8" x14ac:dyDescent="0.2">
      <c r="A7338" s="997">
        <f t="shared" si="114"/>
        <v>7337</v>
      </c>
      <c r="B7338" s="983" t="s">
        <v>2717</v>
      </c>
      <c r="C7338" s="999"/>
      <c r="G7338" s="983" t="s">
        <v>1109</v>
      </c>
    </row>
    <row r="7339" spans="1:8" x14ac:dyDescent="0.2">
      <c r="A7339" s="997">
        <f t="shared" si="114"/>
        <v>7338</v>
      </c>
      <c r="B7339" s="983" t="s">
        <v>2717</v>
      </c>
      <c r="C7339" s="999"/>
      <c r="G7339" s="983" t="s">
        <v>1106</v>
      </c>
    </row>
    <row r="7340" spans="1:8" x14ac:dyDescent="0.2">
      <c r="A7340" s="997">
        <f t="shared" si="114"/>
        <v>7339</v>
      </c>
      <c r="B7340" s="983" t="s">
        <v>2717</v>
      </c>
      <c r="C7340" s="1000"/>
      <c r="H7340" s="983" t="s">
        <v>2207</v>
      </c>
    </row>
    <row r="7341" spans="1:8" x14ac:dyDescent="0.2">
      <c r="A7341" s="997">
        <f t="shared" si="114"/>
        <v>7340</v>
      </c>
      <c r="B7341" s="983" t="s">
        <v>2717</v>
      </c>
      <c r="C7341" s="1001"/>
      <c r="H7341" s="983" t="str">
        <f>CONCATENATE("&lt;valeur&gt;",Cellule_1934_6,"&lt;/valeur&gt;")</f>
        <v>&lt;valeur&gt;&lt;/valeur&gt;</v>
      </c>
    </row>
    <row r="7342" spans="1:8" x14ac:dyDescent="0.2">
      <c r="A7342" s="997">
        <f t="shared" si="114"/>
        <v>7341</v>
      </c>
      <c r="B7342" s="983" t="s">
        <v>2717</v>
      </c>
      <c r="C7342" s="1000"/>
      <c r="H7342" s="983" t="s">
        <v>2739</v>
      </c>
    </row>
    <row r="7343" spans="1:8" x14ac:dyDescent="0.2">
      <c r="A7343" s="997">
        <f t="shared" si="114"/>
        <v>7342</v>
      </c>
      <c r="B7343" s="983" t="s">
        <v>2717</v>
      </c>
      <c r="C7343" s="1000"/>
      <c r="G7343" s="983" t="s">
        <v>1109</v>
      </c>
    </row>
    <row r="7344" spans="1:8" x14ac:dyDescent="0.2">
      <c r="A7344" s="997">
        <f t="shared" si="114"/>
        <v>7343</v>
      </c>
      <c r="B7344" s="983" t="s">
        <v>2717</v>
      </c>
      <c r="C7344" s="999"/>
      <c r="G7344" s="983" t="s">
        <v>1106</v>
      </c>
    </row>
    <row r="7345" spans="1:9" x14ac:dyDescent="0.2">
      <c r="A7345" s="997">
        <f t="shared" si="114"/>
        <v>7344</v>
      </c>
      <c r="B7345" s="983" t="s">
        <v>2717</v>
      </c>
      <c r="C7345" s="999"/>
      <c r="H7345" s="983" t="s">
        <v>2208</v>
      </c>
    </row>
    <row r="7346" spans="1:9" x14ac:dyDescent="0.2">
      <c r="A7346" s="997">
        <f t="shared" si="114"/>
        <v>7345</v>
      </c>
      <c r="B7346" s="983" t="s">
        <v>2717</v>
      </c>
      <c r="C7346" s="1000"/>
      <c r="H7346" s="983" t="str">
        <f>CONCATENATE("&lt;valeur&gt;",Cellule_1935_6,"&lt;/valeur&gt;")</f>
        <v>&lt;valeur&gt;0&lt;/valeur&gt;</v>
      </c>
    </row>
    <row r="7347" spans="1:9" x14ac:dyDescent="0.2">
      <c r="A7347" s="997">
        <f t="shared" si="114"/>
        <v>7346</v>
      </c>
      <c r="B7347" s="983" t="s">
        <v>2717</v>
      </c>
      <c r="C7347" s="1001"/>
      <c r="H7347" s="983" t="s">
        <v>2739</v>
      </c>
    </row>
    <row r="7348" spans="1:9" x14ac:dyDescent="0.2">
      <c r="A7348" s="997">
        <f t="shared" si="114"/>
        <v>7347</v>
      </c>
      <c r="B7348" s="983" t="s">
        <v>2717</v>
      </c>
      <c r="C7348" s="1000"/>
      <c r="G7348" s="983" t="s">
        <v>1109</v>
      </c>
    </row>
    <row r="7349" spans="1:9" x14ac:dyDescent="0.2">
      <c r="A7349" s="997">
        <f t="shared" si="114"/>
        <v>7348</v>
      </c>
      <c r="B7349" s="983" t="s">
        <v>2717</v>
      </c>
      <c r="C7349" s="1000"/>
      <c r="G7349" s="983" t="s">
        <v>1106</v>
      </c>
    </row>
    <row r="7350" spans="1:9" x14ac:dyDescent="0.2">
      <c r="A7350" s="997">
        <f t="shared" si="114"/>
        <v>7349</v>
      </c>
      <c r="B7350" s="983" t="s">
        <v>2717</v>
      </c>
      <c r="C7350" s="999"/>
      <c r="H7350" s="983" t="s">
        <v>2209</v>
      </c>
    </row>
    <row r="7351" spans="1:9" x14ac:dyDescent="0.2">
      <c r="A7351" s="997">
        <f t="shared" si="114"/>
        <v>7350</v>
      </c>
      <c r="B7351" s="983" t="s">
        <v>2717</v>
      </c>
      <c r="C7351" s="999"/>
      <c r="H7351" s="983" t="str">
        <f>CONCATENATE("&lt;valeur&gt;",Cellule_1936_6,"&lt;/valeur&gt;")</f>
        <v>&lt;valeur&gt;0&lt;/valeur&gt;</v>
      </c>
    </row>
    <row r="7352" spans="1:9" x14ac:dyDescent="0.2">
      <c r="A7352" s="997">
        <f t="shared" si="114"/>
        <v>7351</v>
      </c>
      <c r="B7352" s="983" t="s">
        <v>2717</v>
      </c>
      <c r="C7352" s="1000"/>
      <c r="H7352" s="983" t="s">
        <v>2739</v>
      </c>
    </row>
    <row r="7353" spans="1:9" x14ac:dyDescent="0.2">
      <c r="A7353" s="997">
        <f t="shared" si="114"/>
        <v>7352</v>
      </c>
      <c r="B7353" s="983" t="s">
        <v>2717</v>
      </c>
      <c r="C7353" s="1001"/>
      <c r="G7353" s="983" t="s">
        <v>1109</v>
      </c>
    </row>
    <row r="7354" spans="1:9" x14ac:dyDescent="0.2">
      <c r="A7354" s="997">
        <f t="shared" si="114"/>
        <v>7353</v>
      </c>
      <c r="B7354" s="983" t="s">
        <v>2717</v>
      </c>
      <c r="C7354" s="1000"/>
      <c r="G7354" s="983" t="s">
        <v>1106</v>
      </c>
    </row>
    <row r="7355" spans="1:9" x14ac:dyDescent="0.2">
      <c r="A7355" s="997">
        <f t="shared" si="114"/>
        <v>7354</v>
      </c>
      <c r="B7355" s="983" t="s">
        <v>2717</v>
      </c>
      <c r="C7355" s="1000"/>
      <c r="H7355" s="983" t="s">
        <v>1107</v>
      </c>
    </row>
    <row r="7356" spans="1:9" x14ac:dyDescent="0.2">
      <c r="A7356" s="997">
        <f t="shared" si="114"/>
        <v>7355</v>
      </c>
      <c r="B7356" s="983" t="s">
        <v>2717</v>
      </c>
      <c r="C7356" s="999"/>
      <c r="I7356" s="983" t="s">
        <v>2210</v>
      </c>
    </row>
    <row r="7357" spans="1:9" x14ac:dyDescent="0.2">
      <c r="A7357" s="997">
        <f t="shared" si="114"/>
        <v>7356</v>
      </c>
      <c r="B7357" s="983" t="s">
        <v>2717</v>
      </c>
      <c r="C7357" s="998"/>
      <c r="H7357" s="983" t="s">
        <v>1108</v>
      </c>
    </row>
    <row r="7358" spans="1:9" x14ac:dyDescent="0.2">
      <c r="A7358" s="997">
        <f t="shared" si="114"/>
        <v>7357</v>
      </c>
      <c r="B7358" s="983" t="s">
        <v>2717</v>
      </c>
      <c r="C7358" s="998"/>
      <c r="H7358" s="983" t="str">
        <f>CONCATENATE("&lt;valeur&gt;",Cellule_2037,"&lt;/valeur&gt;")</f>
        <v>&lt;valeur&gt;0&lt;/valeur&gt;</v>
      </c>
    </row>
    <row r="7359" spans="1:9" x14ac:dyDescent="0.2">
      <c r="A7359" s="997">
        <f t="shared" si="114"/>
        <v>7358</v>
      </c>
      <c r="B7359" s="983" t="s">
        <v>2717</v>
      </c>
      <c r="C7359" s="999"/>
      <c r="G7359" s="983" t="s">
        <v>1109</v>
      </c>
    </row>
    <row r="7360" spans="1:9" x14ac:dyDescent="0.2">
      <c r="A7360" s="997">
        <f t="shared" si="114"/>
        <v>7359</v>
      </c>
      <c r="B7360" s="983" t="s">
        <v>2717</v>
      </c>
      <c r="C7360" s="1000"/>
      <c r="G7360" s="983" t="s">
        <v>1106</v>
      </c>
    </row>
    <row r="7361" spans="1:9" x14ac:dyDescent="0.2">
      <c r="A7361" s="997">
        <f t="shared" si="114"/>
        <v>7360</v>
      </c>
      <c r="B7361" s="983" t="s">
        <v>2717</v>
      </c>
      <c r="C7361" s="1001"/>
      <c r="H7361" s="983" t="s">
        <v>1107</v>
      </c>
    </row>
    <row r="7362" spans="1:9" x14ac:dyDescent="0.2">
      <c r="A7362" s="997">
        <f t="shared" si="114"/>
        <v>7361</v>
      </c>
      <c r="B7362" s="983" t="s">
        <v>2717</v>
      </c>
      <c r="C7362" s="1000"/>
      <c r="I7362" s="983" t="s">
        <v>2211</v>
      </c>
    </row>
    <row r="7363" spans="1:9" x14ac:dyDescent="0.2">
      <c r="A7363" s="997">
        <f t="shared" si="114"/>
        <v>7362</v>
      </c>
      <c r="B7363" s="983" t="s">
        <v>2717</v>
      </c>
      <c r="C7363" s="1000"/>
      <c r="H7363" s="983" t="s">
        <v>1108</v>
      </c>
    </row>
    <row r="7364" spans="1:9" x14ac:dyDescent="0.2">
      <c r="A7364" s="997">
        <f t="shared" ref="A7364:A7427" si="115">+A7363+1</f>
        <v>7363</v>
      </c>
      <c r="B7364" s="983" t="s">
        <v>2717</v>
      </c>
      <c r="C7364" s="999"/>
      <c r="H7364" s="983" t="str">
        <f>CONCATENATE("&lt;valeur&gt;",Cellule_2038,"&lt;/valeur&gt;")</f>
        <v>&lt;valeur&gt;0&lt;/valeur&gt;</v>
      </c>
    </row>
    <row r="7365" spans="1:9" x14ac:dyDescent="0.2">
      <c r="A7365" s="997">
        <f t="shared" si="115"/>
        <v>7364</v>
      </c>
      <c r="B7365" s="983" t="s">
        <v>2717</v>
      </c>
      <c r="C7365" s="998"/>
      <c r="G7365" s="983" t="s">
        <v>1109</v>
      </c>
    </row>
    <row r="7366" spans="1:9" x14ac:dyDescent="0.2">
      <c r="A7366" s="997">
        <f t="shared" si="115"/>
        <v>7365</v>
      </c>
      <c r="B7366" s="983" t="s">
        <v>2717</v>
      </c>
      <c r="C7366" s="995"/>
      <c r="G7366" s="983" t="s">
        <v>1106</v>
      </c>
    </row>
    <row r="7367" spans="1:9" x14ac:dyDescent="0.2">
      <c r="A7367" s="997">
        <f t="shared" si="115"/>
        <v>7366</v>
      </c>
      <c r="B7367" s="983" t="s">
        <v>2717</v>
      </c>
      <c r="C7367" s="995"/>
      <c r="H7367" s="983" t="s">
        <v>1107</v>
      </c>
    </row>
    <row r="7368" spans="1:9" x14ac:dyDescent="0.2">
      <c r="A7368" s="997">
        <f t="shared" si="115"/>
        <v>7367</v>
      </c>
      <c r="B7368" s="983" t="s">
        <v>2717</v>
      </c>
      <c r="C7368" s="998"/>
      <c r="I7368" s="983" t="s">
        <v>2212</v>
      </c>
    </row>
    <row r="7369" spans="1:9" x14ac:dyDescent="0.2">
      <c r="A7369" s="997">
        <f t="shared" si="115"/>
        <v>7368</v>
      </c>
      <c r="B7369" s="983" t="s">
        <v>2717</v>
      </c>
      <c r="C7369" s="999"/>
      <c r="H7369" s="983" t="s">
        <v>1108</v>
      </c>
    </row>
    <row r="7370" spans="1:9" x14ac:dyDescent="0.2">
      <c r="A7370" s="997">
        <f t="shared" si="115"/>
        <v>7369</v>
      </c>
      <c r="B7370" s="983" t="s">
        <v>2717</v>
      </c>
      <c r="C7370" s="998"/>
      <c r="H7370" s="983" t="str">
        <f>CONCATENATE("&lt;valeur&gt;",Cellule_2039,"&lt;/valeur&gt;")</f>
        <v>&lt;valeur&gt;0&lt;/valeur&gt;</v>
      </c>
    </row>
    <row r="7371" spans="1:9" x14ac:dyDescent="0.2">
      <c r="A7371" s="997">
        <f t="shared" si="115"/>
        <v>7370</v>
      </c>
      <c r="B7371" s="983" t="s">
        <v>2717</v>
      </c>
      <c r="C7371" s="998"/>
      <c r="G7371" s="983" t="s">
        <v>1109</v>
      </c>
    </row>
    <row r="7372" spans="1:9" x14ac:dyDescent="0.2">
      <c r="A7372" s="997">
        <f t="shared" si="115"/>
        <v>7371</v>
      </c>
      <c r="B7372" s="983" t="s">
        <v>2717</v>
      </c>
      <c r="C7372" s="999"/>
      <c r="G7372" s="983" t="s">
        <v>1106</v>
      </c>
    </row>
    <row r="7373" spans="1:9" x14ac:dyDescent="0.2">
      <c r="A7373" s="997">
        <f t="shared" si="115"/>
        <v>7372</v>
      </c>
      <c r="B7373" s="983" t="s">
        <v>2717</v>
      </c>
      <c r="C7373" s="1000"/>
      <c r="H7373" s="983" t="s">
        <v>1107</v>
      </c>
    </row>
    <row r="7374" spans="1:9" x14ac:dyDescent="0.2">
      <c r="A7374" s="997">
        <f t="shared" si="115"/>
        <v>7373</v>
      </c>
      <c r="B7374" s="983" t="s">
        <v>2717</v>
      </c>
      <c r="C7374" s="1001"/>
      <c r="I7374" s="983" t="s">
        <v>2213</v>
      </c>
    </row>
    <row r="7375" spans="1:9" x14ac:dyDescent="0.2">
      <c r="A7375" s="997">
        <f t="shared" si="115"/>
        <v>7374</v>
      </c>
      <c r="B7375" s="983" t="s">
        <v>2717</v>
      </c>
      <c r="C7375" s="1000"/>
      <c r="H7375" s="983" t="s">
        <v>1108</v>
      </c>
    </row>
    <row r="7376" spans="1:9" x14ac:dyDescent="0.2">
      <c r="A7376" s="997">
        <f t="shared" si="115"/>
        <v>7375</v>
      </c>
      <c r="B7376" s="983" t="s">
        <v>2717</v>
      </c>
      <c r="C7376" s="1062"/>
      <c r="H7376" s="983" t="str">
        <f>CONCATENATE("&lt;valeur&gt;",Cellule_2040,"&lt;/valeur&gt;")</f>
        <v>&lt;valeur&gt;0&lt;/valeur&gt;</v>
      </c>
    </row>
    <row r="7377" spans="1:9" x14ac:dyDescent="0.2">
      <c r="A7377" s="997">
        <f t="shared" si="115"/>
        <v>7376</v>
      </c>
      <c r="B7377" s="983" t="s">
        <v>2717</v>
      </c>
      <c r="C7377" s="1000"/>
      <c r="G7377" s="983" t="s">
        <v>1109</v>
      </c>
    </row>
    <row r="7378" spans="1:9" x14ac:dyDescent="0.2">
      <c r="A7378" s="997">
        <f t="shared" si="115"/>
        <v>7377</v>
      </c>
      <c r="B7378" s="983" t="s">
        <v>2717</v>
      </c>
      <c r="C7378" s="999"/>
      <c r="G7378" s="983" t="s">
        <v>1106</v>
      </c>
    </row>
    <row r="7379" spans="1:9" x14ac:dyDescent="0.2">
      <c r="A7379" s="997">
        <f t="shared" si="115"/>
        <v>7378</v>
      </c>
      <c r="B7379" s="983" t="s">
        <v>2717</v>
      </c>
      <c r="C7379" s="999"/>
      <c r="H7379" s="983" t="s">
        <v>1107</v>
      </c>
    </row>
    <row r="7380" spans="1:9" x14ac:dyDescent="0.2">
      <c r="A7380" s="997">
        <f t="shared" si="115"/>
        <v>7379</v>
      </c>
      <c r="B7380" s="983" t="s">
        <v>2717</v>
      </c>
      <c r="C7380" s="1000"/>
      <c r="I7380" s="983" t="s">
        <v>2214</v>
      </c>
    </row>
    <row r="7381" spans="1:9" x14ac:dyDescent="0.2">
      <c r="A7381" s="997">
        <f t="shared" si="115"/>
        <v>7380</v>
      </c>
      <c r="B7381" s="983" t="s">
        <v>2717</v>
      </c>
      <c r="C7381" s="1001"/>
      <c r="H7381" s="983" t="s">
        <v>1108</v>
      </c>
    </row>
    <row r="7382" spans="1:9" x14ac:dyDescent="0.2">
      <c r="A7382" s="997">
        <f t="shared" si="115"/>
        <v>7381</v>
      </c>
      <c r="B7382" s="983" t="s">
        <v>2717</v>
      </c>
      <c r="C7382" s="1000"/>
      <c r="H7382" s="983" t="str">
        <f>CONCATENATE("&lt;valeur&gt;",Cellule_2041,"&lt;/valeur&gt;")</f>
        <v>&lt;valeur&gt;0&lt;/valeur&gt;</v>
      </c>
    </row>
    <row r="7383" spans="1:9" x14ac:dyDescent="0.2">
      <c r="A7383" s="997">
        <f t="shared" si="115"/>
        <v>7382</v>
      </c>
      <c r="B7383" s="983" t="s">
        <v>2717</v>
      </c>
      <c r="C7383" s="1000"/>
      <c r="G7383" s="983" t="s">
        <v>1109</v>
      </c>
    </row>
    <row r="7384" spans="1:9" x14ac:dyDescent="0.2">
      <c r="A7384" s="997">
        <f t="shared" si="115"/>
        <v>7383</v>
      </c>
      <c r="B7384" s="983" t="s">
        <v>2717</v>
      </c>
      <c r="C7384" s="1000"/>
      <c r="G7384" s="983" t="s">
        <v>1106</v>
      </c>
    </row>
    <row r="7385" spans="1:9" x14ac:dyDescent="0.2">
      <c r="A7385" s="997">
        <f t="shared" si="115"/>
        <v>7384</v>
      </c>
      <c r="B7385" s="983" t="s">
        <v>2717</v>
      </c>
      <c r="C7385" s="999"/>
      <c r="H7385" s="983" t="s">
        <v>1107</v>
      </c>
    </row>
    <row r="7386" spans="1:9" x14ac:dyDescent="0.2">
      <c r="A7386" s="997">
        <f t="shared" si="115"/>
        <v>7385</v>
      </c>
      <c r="B7386" s="983" t="s">
        <v>2717</v>
      </c>
      <c r="C7386" s="999"/>
      <c r="I7386" s="983" t="s">
        <v>2215</v>
      </c>
    </row>
    <row r="7387" spans="1:9" x14ac:dyDescent="0.2">
      <c r="A7387" s="997">
        <f t="shared" si="115"/>
        <v>7386</v>
      </c>
      <c r="B7387" s="983" t="s">
        <v>2717</v>
      </c>
      <c r="C7387" s="1000"/>
      <c r="H7387" s="983" t="s">
        <v>1108</v>
      </c>
    </row>
    <row r="7388" spans="1:9" x14ac:dyDescent="0.2">
      <c r="A7388" s="997">
        <f t="shared" si="115"/>
        <v>7387</v>
      </c>
      <c r="B7388" s="983" t="s">
        <v>2717</v>
      </c>
      <c r="C7388" s="1001"/>
      <c r="H7388" s="983" t="str">
        <f>CONCATENATE("&lt;valeur&gt;",Cellule_2042,"&lt;/valeur&gt;")</f>
        <v>&lt;valeur&gt;0&lt;/valeur&gt;</v>
      </c>
    </row>
    <row r="7389" spans="1:9" x14ac:dyDescent="0.2">
      <c r="A7389" s="997">
        <f t="shared" si="115"/>
        <v>7388</v>
      </c>
      <c r="B7389" s="983" t="s">
        <v>2717</v>
      </c>
      <c r="C7389" s="1000"/>
      <c r="G7389" s="983" t="s">
        <v>1109</v>
      </c>
    </row>
    <row r="7390" spans="1:9" x14ac:dyDescent="0.2">
      <c r="A7390" s="997">
        <f t="shared" si="115"/>
        <v>7389</v>
      </c>
      <c r="B7390" s="983" t="s">
        <v>2717</v>
      </c>
      <c r="C7390" s="1000"/>
      <c r="G7390" s="983" t="s">
        <v>1106</v>
      </c>
    </row>
    <row r="7391" spans="1:9" x14ac:dyDescent="0.2">
      <c r="A7391" s="997">
        <f t="shared" si="115"/>
        <v>7390</v>
      </c>
      <c r="B7391" s="983" t="s">
        <v>2717</v>
      </c>
      <c r="C7391" s="1000"/>
      <c r="H7391" s="983" t="s">
        <v>1107</v>
      </c>
    </row>
    <row r="7392" spans="1:9" x14ac:dyDescent="0.2">
      <c r="A7392" s="997">
        <f t="shared" si="115"/>
        <v>7391</v>
      </c>
      <c r="B7392" s="983" t="s">
        <v>2717</v>
      </c>
      <c r="C7392" s="999"/>
      <c r="I7392" s="983" t="s">
        <v>2216</v>
      </c>
    </row>
    <row r="7393" spans="1:9" x14ac:dyDescent="0.2">
      <c r="A7393" s="997">
        <f t="shared" si="115"/>
        <v>7392</v>
      </c>
      <c r="B7393" s="983" t="s">
        <v>2717</v>
      </c>
      <c r="C7393" s="999"/>
      <c r="H7393" s="983" t="s">
        <v>1108</v>
      </c>
    </row>
    <row r="7394" spans="1:9" x14ac:dyDescent="0.2">
      <c r="A7394" s="997">
        <f t="shared" si="115"/>
        <v>7393</v>
      </c>
      <c r="B7394" s="983" t="s">
        <v>2717</v>
      </c>
      <c r="C7394" s="1000"/>
      <c r="H7394" s="983" t="str">
        <f>CONCATENATE("&lt;valeur&gt;",Cellule_2043,"&lt;/valeur&gt;")</f>
        <v>&lt;valeur&gt;0&lt;/valeur&gt;</v>
      </c>
    </row>
    <row r="7395" spans="1:9" x14ac:dyDescent="0.2">
      <c r="A7395" s="997">
        <f t="shared" si="115"/>
        <v>7394</v>
      </c>
      <c r="B7395" s="983" t="s">
        <v>2717</v>
      </c>
      <c r="C7395" s="1001"/>
      <c r="G7395" s="983" t="s">
        <v>1109</v>
      </c>
    </row>
    <row r="7396" spans="1:9" x14ac:dyDescent="0.2">
      <c r="A7396" s="997">
        <f t="shared" si="115"/>
        <v>7395</v>
      </c>
      <c r="B7396" s="983" t="s">
        <v>2717</v>
      </c>
      <c r="C7396" s="1000"/>
      <c r="F7396" s="983" t="s">
        <v>1110</v>
      </c>
    </row>
    <row r="7397" spans="1:9" x14ac:dyDescent="0.2">
      <c r="A7397" s="997">
        <f t="shared" si="115"/>
        <v>7396</v>
      </c>
      <c r="B7397" s="983" t="s">
        <v>2717</v>
      </c>
      <c r="C7397" s="1000"/>
      <c r="F7397" s="983" t="s">
        <v>1111</v>
      </c>
    </row>
    <row r="7398" spans="1:9" x14ac:dyDescent="0.2">
      <c r="A7398" s="997">
        <f t="shared" si="115"/>
        <v>7397</v>
      </c>
      <c r="B7398" s="983" t="s">
        <v>2717</v>
      </c>
      <c r="C7398" s="999"/>
      <c r="G7398" s="983" t="s">
        <v>1114</v>
      </c>
    </row>
    <row r="7399" spans="1:9" x14ac:dyDescent="0.2">
      <c r="A7399" s="997">
        <f t="shared" si="115"/>
        <v>7398</v>
      </c>
      <c r="B7399" s="983" t="s">
        <v>2717</v>
      </c>
      <c r="C7399" s="999"/>
      <c r="H7399" s="983" t="s">
        <v>1115</v>
      </c>
    </row>
    <row r="7400" spans="1:9" x14ac:dyDescent="0.2">
      <c r="A7400" s="997">
        <f t="shared" si="115"/>
        <v>7399</v>
      </c>
      <c r="B7400" s="983" t="s">
        <v>2717</v>
      </c>
      <c r="C7400" s="1000"/>
      <c r="I7400" s="983" t="s">
        <v>2217</v>
      </c>
    </row>
    <row r="7401" spans="1:9" x14ac:dyDescent="0.2">
      <c r="A7401" s="997">
        <f t="shared" si="115"/>
        <v>7400</v>
      </c>
      <c r="B7401" s="983" t="s">
        <v>2717</v>
      </c>
      <c r="C7401" s="1001"/>
      <c r="H7401" s="983" t="s">
        <v>1116</v>
      </c>
    </row>
    <row r="7402" spans="1:9" x14ac:dyDescent="0.2">
      <c r="A7402" s="997">
        <f t="shared" si="115"/>
        <v>7401</v>
      </c>
      <c r="B7402" s="983" t="s">
        <v>2717</v>
      </c>
      <c r="C7402" s="1000"/>
      <c r="H7402" s="983" t="str">
        <f>CONCATENATE("&lt;valeur&gt;",Identification!E11,"&lt;/valeur&gt;")</f>
        <v>&lt;valeur&gt;31/12/2022&lt;/valeur&gt;</v>
      </c>
    </row>
    <row r="7403" spans="1:9" x14ac:dyDescent="0.2">
      <c r="A7403" s="997">
        <f t="shared" si="115"/>
        <v>7402</v>
      </c>
      <c r="B7403" s="983" t="s">
        <v>2717</v>
      </c>
      <c r="C7403" s="1000"/>
      <c r="G7403" s="983" t="s">
        <v>1117</v>
      </c>
    </row>
    <row r="7404" spans="1:9" x14ac:dyDescent="0.2">
      <c r="A7404" s="997">
        <f t="shared" si="115"/>
        <v>7403</v>
      </c>
      <c r="B7404" s="983" t="s">
        <v>2717</v>
      </c>
      <c r="C7404" s="1000"/>
      <c r="F7404" s="983" t="s">
        <v>1112</v>
      </c>
    </row>
    <row r="7405" spans="1:9" x14ac:dyDescent="0.2">
      <c r="A7405" s="997">
        <f t="shared" si="115"/>
        <v>7404</v>
      </c>
      <c r="B7405" s="983" t="s">
        <v>2717</v>
      </c>
      <c r="C7405" s="999"/>
      <c r="E7405" s="983" t="s">
        <v>1113</v>
      </c>
    </row>
    <row r="7406" spans="1:9" x14ac:dyDescent="0.2">
      <c r="A7406" s="997">
        <f t="shared" si="115"/>
        <v>7405</v>
      </c>
      <c r="B7406" s="983" t="s">
        <v>2718</v>
      </c>
      <c r="C7406" s="999"/>
      <c r="E7406" s="983" t="s">
        <v>1104</v>
      </c>
    </row>
    <row r="7407" spans="1:9" x14ac:dyDescent="0.2">
      <c r="A7407" s="997">
        <f t="shared" si="115"/>
        <v>7406</v>
      </c>
      <c r="B7407" s="983" t="s">
        <v>2718</v>
      </c>
      <c r="C7407" s="1000"/>
      <c r="F7407" s="983" t="s">
        <v>2218</v>
      </c>
    </row>
    <row r="7408" spans="1:9" x14ac:dyDescent="0.2">
      <c r="A7408" s="997">
        <f t="shared" si="115"/>
        <v>7407</v>
      </c>
      <c r="B7408" s="983" t="s">
        <v>2718</v>
      </c>
      <c r="C7408" s="1001"/>
      <c r="F7408" s="983" t="s">
        <v>1105</v>
      </c>
    </row>
    <row r="7409" spans="1:10" x14ac:dyDescent="0.2">
      <c r="A7409" s="997">
        <f t="shared" si="115"/>
        <v>7408</v>
      </c>
      <c r="B7409" s="1128" t="s">
        <v>2718</v>
      </c>
      <c r="C7409" s="1143"/>
      <c r="D7409" s="1128"/>
      <c r="E7409" s="1128"/>
      <c r="F7409" s="1128"/>
      <c r="G7409" s="1128" t="s">
        <v>1106</v>
      </c>
      <c r="H7409" s="1128"/>
      <c r="I7409" s="1128"/>
      <c r="J7409" s="1124"/>
    </row>
    <row r="7410" spans="1:10" x14ac:dyDescent="0.2">
      <c r="A7410" s="997">
        <f t="shared" si="115"/>
        <v>7409</v>
      </c>
      <c r="B7410" s="1129" t="s">
        <v>2718</v>
      </c>
      <c r="C7410" s="1139"/>
      <c r="D7410" s="1129"/>
      <c r="E7410" s="1129"/>
      <c r="F7410" s="1129"/>
      <c r="G7410" s="1129"/>
      <c r="H7410" s="1129" t="s">
        <v>2219</v>
      </c>
      <c r="I7410" s="1129"/>
      <c r="J7410" s="1127"/>
    </row>
    <row r="7411" spans="1:10" x14ac:dyDescent="0.2">
      <c r="A7411" s="997">
        <f t="shared" si="115"/>
        <v>7410</v>
      </c>
      <c r="B7411" s="1129" t="s">
        <v>2718</v>
      </c>
      <c r="C7411" s="1139"/>
      <c r="D7411" s="1129"/>
      <c r="E7411" s="1129"/>
      <c r="F7411" s="1129"/>
      <c r="G7411" s="1129"/>
      <c r="H7411" s="1129" t="str">
        <f>CONCATENATE("&lt;valeur&gt;",Cellule_2044_1,"&lt;/valeur&gt;")</f>
        <v>&lt;valeur&gt;&lt;/valeur&gt;</v>
      </c>
      <c r="I7411" s="1129"/>
      <c r="J7411" s="1127"/>
    </row>
    <row r="7412" spans="1:10" x14ac:dyDescent="0.2">
      <c r="A7412" s="997">
        <f t="shared" si="115"/>
        <v>7411</v>
      </c>
      <c r="B7412" s="1129" t="s">
        <v>2718</v>
      </c>
      <c r="C7412" s="1138"/>
      <c r="D7412" s="1129"/>
      <c r="E7412" s="1129"/>
      <c r="F7412" s="1129"/>
      <c r="G7412" s="1129"/>
      <c r="H7412" s="1129" t="s">
        <v>1348</v>
      </c>
      <c r="I7412" s="1129"/>
      <c r="J7412" s="1127"/>
    </row>
    <row r="7413" spans="1:10" x14ac:dyDescent="0.2">
      <c r="A7413" s="997">
        <f t="shared" si="115"/>
        <v>7412</v>
      </c>
      <c r="B7413" s="1129" t="s">
        <v>2718</v>
      </c>
      <c r="C7413" s="1138"/>
      <c r="D7413" s="1129"/>
      <c r="E7413" s="1129"/>
      <c r="F7413" s="1129"/>
      <c r="G7413" s="1129" t="s">
        <v>1109</v>
      </c>
      <c r="H7413" s="1129"/>
      <c r="I7413" s="1129"/>
      <c r="J7413" s="1127"/>
    </row>
    <row r="7414" spans="1:10" x14ac:dyDescent="0.2">
      <c r="A7414" s="997">
        <f t="shared" si="115"/>
        <v>7413</v>
      </c>
      <c r="B7414" s="1129" t="s">
        <v>2718</v>
      </c>
      <c r="C7414" s="1139"/>
      <c r="D7414" s="1129"/>
      <c r="E7414" s="1129"/>
      <c r="F7414" s="1129"/>
      <c r="G7414" s="1129" t="s">
        <v>1106</v>
      </c>
      <c r="H7414" s="1129"/>
      <c r="I7414" s="1129"/>
      <c r="J7414" s="1127"/>
    </row>
    <row r="7415" spans="1:10" x14ac:dyDescent="0.2">
      <c r="A7415" s="997">
        <f t="shared" si="115"/>
        <v>7414</v>
      </c>
      <c r="B7415" s="1129" t="s">
        <v>2718</v>
      </c>
      <c r="C7415" s="1140"/>
      <c r="D7415" s="1129"/>
      <c r="E7415" s="1129"/>
      <c r="F7415" s="1129"/>
      <c r="G7415" s="1129"/>
      <c r="H7415" s="1129" t="s">
        <v>2220</v>
      </c>
      <c r="I7415" s="1129"/>
      <c r="J7415" s="1127"/>
    </row>
    <row r="7416" spans="1:10" x14ac:dyDescent="0.2">
      <c r="A7416" s="997">
        <f t="shared" si="115"/>
        <v>7415</v>
      </c>
      <c r="B7416" s="1129" t="s">
        <v>2718</v>
      </c>
      <c r="C7416" s="1139"/>
      <c r="D7416" s="1129"/>
      <c r="E7416" s="1129"/>
      <c r="F7416" s="1129"/>
      <c r="G7416" s="1129"/>
      <c r="H7416" s="1129" t="str">
        <f>CONCATENATE("&lt;valeur&gt;",Cellule_2045_1,"&lt;/valeur&gt;")</f>
        <v>&lt;valeur&gt;&lt;/valeur&gt;</v>
      </c>
      <c r="I7416" s="1129"/>
      <c r="J7416" s="1127"/>
    </row>
    <row r="7417" spans="1:10" x14ac:dyDescent="0.2">
      <c r="A7417" s="997">
        <f t="shared" si="115"/>
        <v>7416</v>
      </c>
      <c r="B7417" s="1129" t="s">
        <v>2718</v>
      </c>
      <c r="C7417" s="1139"/>
      <c r="D7417" s="1129"/>
      <c r="E7417" s="1129"/>
      <c r="F7417" s="1129"/>
      <c r="G7417" s="1129"/>
      <c r="H7417" s="1129" t="s">
        <v>1348</v>
      </c>
      <c r="I7417" s="1129"/>
      <c r="J7417" s="1127"/>
    </row>
    <row r="7418" spans="1:10" x14ac:dyDescent="0.2">
      <c r="A7418" s="997">
        <f t="shared" si="115"/>
        <v>7417</v>
      </c>
      <c r="B7418" s="1129" t="s">
        <v>2718</v>
      </c>
      <c r="C7418" s="1139"/>
      <c r="D7418" s="1129"/>
      <c r="E7418" s="1129"/>
      <c r="F7418" s="1129"/>
      <c r="G7418" s="1129" t="s">
        <v>1109</v>
      </c>
      <c r="H7418" s="1129"/>
      <c r="I7418" s="1129"/>
      <c r="J7418" s="1127"/>
    </row>
    <row r="7419" spans="1:10" x14ac:dyDescent="0.2">
      <c r="A7419" s="997">
        <f t="shared" si="115"/>
        <v>7418</v>
      </c>
      <c r="B7419" s="1129" t="s">
        <v>2718</v>
      </c>
      <c r="C7419" s="1138"/>
      <c r="D7419" s="1129"/>
      <c r="E7419" s="1129"/>
      <c r="F7419" s="1129"/>
      <c r="G7419" s="1129" t="s">
        <v>1106</v>
      </c>
      <c r="H7419" s="1129"/>
      <c r="I7419" s="1129"/>
      <c r="J7419" s="1127"/>
    </row>
    <row r="7420" spans="1:10" x14ac:dyDescent="0.2">
      <c r="A7420" s="997">
        <f t="shared" si="115"/>
        <v>7419</v>
      </c>
      <c r="B7420" s="1129" t="s">
        <v>2718</v>
      </c>
      <c r="C7420" s="1138"/>
      <c r="D7420" s="1129"/>
      <c r="E7420" s="1129"/>
      <c r="F7420" s="1129"/>
      <c r="G7420" s="1129"/>
      <c r="H7420" s="1129" t="s">
        <v>2221</v>
      </c>
      <c r="I7420" s="1129"/>
      <c r="J7420" s="1127"/>
    </row>
    <row r="7421" spans="1:10" x14ac:dyDescent="0.2">
      <c r="A7421" s="997">
        <f t="shared" si="115"/>
        <v>7420</v>
      </c>
      <c r="B7421" s="1129" t="s">
        <v>2718</v>
      </c>
      <c r="C7421" s="1139"/>
      <c r="D7421" s="1129"/>
      <c r="E7421" s="1129"/>
      <c r="F7421" s="1129"/>
      <c r="G7421" s="1129"/>
      <c r="H7421" s="1129" t="str">
        <f>CONCATENATE("&lt;valeur&gt;",Cellule_2046_1,"&lt;/valeur&gt;")</f>
        <v>&lt;valeur&gt;&lt;/valeur&gt;</v>
      </c>
      <c r="I7421" s="1129"/>
      <c r="J7421" s="1127"/>
    </row>
    <row r="7422" spans="1:10" x14ac:dyDescent="0.2">
      <c r="A7422" s="997">
        <f t="shared" si="115"/>
        <v>7421</v>
      </c>
      <c r="B7422" s="1129" t="s">
        <v>2718</v>
      </c>
      <c r="C7422" s="1140"/>
      <c r="D7422" s="1129"/>
      <c r="E7422" s="1129"/>
      <c r="F7422" s="1129"/>
      <c r="G7422" s="1129"/>
      <c r="H7422" s="1129" t="s">
        <v>1348</v>
      </c>
      <c r="I7422" s="1129"/>
      <c r="J7422" s="1127"/>
    </row>
    <row r="7423" spans="1:10" x14ac:dyDescent="0.2">
      <c r="A7423" s="997">
        <f t="shared" si="115"/>
        <v>7422</v>
      </c>
      <c r="B7423" s="1129" t="s">
        <v>2718</v>
      </c>
      <c r="C7423" s="1139"/>
      <c r="D7423" s="1129"/>
      <c r="E7423" s="1129"/>
      <c r="F7423" s="1129"/>
      <c r="G7423" s="1129" t="s">
        <v>1109</v>
      </c>
      <c r="H7423" s="1129"/>
      <c r="I7423" s="1129"/>
      <c r="J7423" s="1127"/>
    </row>
    <row r="7424" spans="1:10" x14ac:dyDescent="0.2">
      <c r="A7424" s="997">
        <f t="shared" si="115"/>
        <v>7423</v>
      </c>
      <c r="B7424" s="1129" t="s">
        <v>2718</v>
      </c>
      <c r="C7424" s="1139"/>
      <c r="D7424" s="1129"/>
      <c r="E7424" s="1129"/>
      <c r="F7424" s="1129"/>
      <c r="G7424" s="1129" t="s">
        <v>1106</v>
      </c>
      <c r="H7424" s="1129"/>
      <c r="I7424" s="1129"/>
      <c r="J7424" s="1127"/>
    </row>
    <row r="7425" spans="1:10" x14ac:dyDescent="0.2">
      <c r="A7425" s="997">
        <f t="shared" si="115"/>
        <v>7424</v>
      </c>
      <c r="B7425" s="1129" t="s">
        <v>2718</v>
      </c>
      <c r="C7425" s="1139"/>
      <c r="D7425" s="1129"/>
      <c r="E7425" s="1129"/>
      <c r="F7425" s="1129"/>
      <c r="G7425" s="1129"/>
      <c r="H7425" s="1129" t="s">
        <v>2222</v>
      </c>
      <c r="I7425" s="1129"/>
      <c r="J7425" s="1127"/>
    </row>
    <row r="7426" spans="1:10" x14ac:dyDescent="0.2">
      <c r="A7426" s="997">
        <f t="shared" si="115"/>
        <v>7425</v>
      </c>
      <c r="B7426" s="1129" t="s">
        <v>2718</v>
      </c>
      <c r="C7426" s="1138"/>
      <c r="D7426" s="1129"/>
      <c r="E7426" s="1129"/>
      <c r="F7426" s="1129"/>
      <c r="G7426" s="1129"/>
      <c r="H7426" s="1129" t="str">
        <f>CONCATENATE("&lt;valeur&gt;",Cellule_2047_1,"&lt;/valeur&gt;")</f>
        <v>&lt;valeur&gt;&lt;/valeur&gt;</v>
      </c>
      <c r="I7426" s="1129"/>
      <c r="J7426" s="1127"/>
    </row>
    <row r="7427" spans="1:10" x14ac:dyDescent="0.2">
      <c r="A7427" s="997">
        <f t="shared" si="115"/>
        <v>7426</v>
      </c>
      <c r="B7427" s="1129" t="s">
        <v>2718</v>
      </c>
      <c r="C7427" s="1138"/>
      <c r="D7427" s="1129"/>
      <c r="E7427" s="1129"/>
      <c r="F7427" s="1129"/>
      <c r="G7427" s="1129"/>
      <c r="H7427" s="1129" t="s">
        <v>1348</v>
      </c>
      <c r="I7427" s="1129"/>
      <c r="J7427" s="1127"/>
    </row>
    <row r="7428" spans="1:10" x14ac:dyDescent="0.2">
      <c r="A7428" s="997">
        <f t="shared" ref="A7428:A7491" si="116">+A7427+1</f>
        <v>7427</v>
      </c>
      <c r="B7428" s="1129" t="s">
        <v>2718</v>
      </c>
      <c r="C7428" s="1139"/>
      <c r="D7428" s="1129"/>
      <c r="E7428" s="1129"/>
      <c r="F7428" s="1129"/>
      <c r="G7428" s="1129" t="s">
        <v>1109</v>
      </c>
      <c r="H7428" s="1129"/>
      <c r="I7428" s="1129"/>
      <c r="J7428" s="1127"/>
    </row>
    <row r="7429" spans="1:10" x14ac:dyDescent="0.2">
      <c r="A7429" s="997">
        <f t="shared" si="116"/>
        <v>7428</v>
      </c>
      <c r="B7429" s="1129" t="s">
        <v>2718</v>
      </c>
      <c r="C7429" s="1140"/>
      <c r="D7429" s="1129"/>
      <c r="E7429" s="1129"/>
      <c r="F7429" s="1129"/>
      <c r="G7429" s="1129" t="s">
        <v>1106</v>
      </c>
      <c r="H7429" s="1129"/>
      <c r="I7429" s="1129"/>
      <c r="J7429" s="1127"/>
    </row>
    <row r="7430" spans="1:10" x14ac:dyDescent="0.2">
      <c r="A7430" s="997">
        <f t="shared" si="116"/>
        <v>7429</v>
      </c>
      <c r="B7430" s="1129" t="s">
        <v>2718</v>
      </c>
      <c r="C7430" s="1139"/>
      <c r="D7430" s="1129"/>
      <c r="E7430" s="1129"/>
      <c r="F7430" s="1129"/>
      <c r="G7430" s="1129"/>
      <c r="H7430" s="1129" t="s">
        <v>2223</v>
      </c>
      <c r="I7430" s="1129"/>
      <c r="J7430" s="1127"/>
    </row>
    <row r="7431" spans="1:10" x14ac:dyDescent="0.2">
      <c r="A7431" s="997">
        <f t="shared" si="116"/>
        <v>7430</v>
      </c>
      <c r="B7431" s="1129" t="s">
        <v>2718</v>
      </c>
      <c r="C7431" s="1139"/>
      <c r="D7431" s="1129"/>
      <c r="E7431" s="1129"/>
      <c r="F7431" s="1129"/>
      <c r="G7431" s="1129"/>
      <c r="H7431" s="1129" t="str">
        <f>CONCATENATE("&lt;valeur&gt;",Cellule_2048_1,"&lt;/valeur&gt;")</f>
        <v>&lt;valeur&gt;&lt;/valeur&gt;</v>
      </c>
      <c r="I7431" s="1129"/>
      <c r="J7431" s="1127"/>
    </row>
    <row r="7432" spans="1:10" x14ac:dyDescent="0.2">
      <c r="A7432" s="997">
        <f t="shared" si="116"/>
        <v>7431</v>
      </c>
      <c r="B7432" s="1129" t="s">
        <v>2718</v>
      </c>
      <c r="C7432" s="1138"/>
      <c r="D7432" s="1129"/>
      <c r="E7432" s="1129"/>
      <c r="F7432" s="1129"/>
      <c r="G7432" s="1129"/>
      <c r="H7432" s="1129" t="s">
        <v>1348</v>
      </c>
      <c r="I7432" s="1129"/>
      <c r="J7432" s="1127"/>
    </row>
    <row r="7433" spans="1:10" x14ac:dyDescent="0.2">
      <c r="A7433" s="997">
        <f t="shared" si="116"/>
        <v>7432</v>
      </c>
      <c r="B7433" s="1129" t="s">
        <v>2718</v>
      </c>
      <c r="C7433" s="1138"/>
      <c r="D7433" s="1129"/>
      <c r="E7433" s="1129"/>
      <c r="F7433" s="1129"/>
      <c r="G7433" s="1129" t="s">
        <v>1109</v>
      </c>
      <c r="H7433" s="1129"/>
      <c r="I7433" s="1129"/>
      <c r="J7433" s="1127"/>
    </row>
    <row r="7434" spans="1:10" x14ac:dyDescent="0.2">
      <c r="A7434" s="997">
        <f t="shared" si="116"/>
        <v>7433</v>
      </c>
      <c r="B7434" s="1129" t="s">
        <v>2718</v>
      </c>
      <c r="C7434" s="1139"/>
      <c r="D7434" s="1129"/>
      <c r="E7434" s="1129"/>
      <c r="F7434" s="1129"/>
      <c r="G7434" s="1129" t="s">
        <v>1106</v>
      </c>
      <c r="H7434" s="1129"/>
      <c r="I7434" s="1129"/>
      <c r="J7434" s="1127"/>
    </row>
    <row r="7435" spans="1:10" x14ac:dyDescent="0.2">
      <c r="A7435" s="997">
        <f t="shared" si="116"/>
        <v>7434</v>
      </c>
      <c r="B7435" s="1129" t="s">
        <v>2718</v>
      </c>
      <c r="C7435" s="1140"/>
      <c r="D7435" s="1129"/>
      <c r="E7435" s="1129"/>
      <c r="F7435" s="1129"/>
      <c r="G7435" s="1129"/>
      <c r="H7435" s="1129" t="s">
        <v>2224</v>
      </c>
      <c r="I7435" s="1129"/>
      <c r="J7435" s="1127"/>
    </row>
    <row r="7436" spans="1:10" x14ac:dyDescent="0.2">
      <c r="A7436" s="997">
        <f t="shared" si="116"/>
        <v>7435</v>
      </c>
      <c r="B7436" s="1129" t="s">
        <v>2718</v>
      </c>
      <c r="C7436" s="1139"/>
      <c r="D7436" s="1129"/>
      <c r="E7436" s="1129"/>
      <c r="F7436" s="1129"/>
      <c r="G7436" s="1129"/>
      <c r="H7436" s="1129" t="str">
        <f>CONCATENATE("&lt;valeur&gt;",Cellule_2049_1,"&lt;/valeur&gt;")</f>
        <v>&lt;valeur&gt;&lt;/valeur&gt;</v>
      </c>
      <c r="I7436" s="1129"/>
      <c r="J7436" s="1127"/>
    </row>
    <row r="7437" spans="1:10" x14ac:dyDescent="0.2">
      <c r="A7437" s="997">
        <f t="shared" si="116"/>
        <v>7436</v>
      </c>
      <c r="B7437" s="1129" t="s">
        <v>2718</v>
      </c>
      <c r="C7437" s="1139"/>
      <c r="D7437" s="1129"/>
      <c r="E7437" s="1129"/>
      <c r="F7437" s="1129"/>
      <c r="G7437" s="1129"/>
      <c r="H7437" s="1129" t="s">
        <v>1348</v>
      </c>
      <c r="I7437" s="1129"/>
      <c r="J7437" s="1127"/>
    </row>
    <row r="7438" spans="1:10" x14ac:dyDescent="0.2">
      <c r="A7438" s="997">
        <f t="shared" si="116"/>
        <v>7437</v>
      </c>
      <c r="B7438" s="1129" t="s">
        <v>2718</v>
      </c>
      <c r="C7438" s="1138"/>
      <c r="D7438" s="1129"/>
      <c r="E7438" s="1129"/>
      <c r="F7438" s="1129"/>
      <c r="G7438" s="1129" t="s">
        <v>1109</v>
      </c>
      <c r="H7438" s="1129"/>
      <c r="I7438" s="1129"/>
      <c r="J7438" s="1127"/>
    </row>
    <row r="7439" spans="1:10" x14ac:dyDescent="0.2">
      <c r="A7439" s="997">
        <f t="shared" si="116"/>
        <v>7438</v>
      </c>
      <c r="B7439" s="1129" t="s">
        <v>2718</v>
      </c>
      <c r="C7439" s="1138"/>
      <c r="D7439" s="1129"/>
      <c r="E7439" s="1129"/>
      <c r="F7439" s="1129"/>
      <c r="G7439" s="1129" t="s">
        <v>1106</v>
      </c>
      <c r="H7439" s="1129"/>
      <c r="I7439" s="1129"/>
      <c r="J7439" s="1127"/>
    </row>
    <row r="7440" spans="1:10" x14ac:dyDescent="0.2">
      <c r="A7440" s="997">
        <f t="shared" si="116"/>
        <v>7439</v>
      </c>
      <c r="B7440" s="1129" t="s">
        <v>2718</v>
      </c>
      <c r="C7440" s="1139"/>
      <c r="D7440" s="1129"/>
      <c r="E7440" s="1129"/>
      <c r="F7440" s="1129"/>
      <c r="G7440" s="1129"/>
      <c r="H7440" s="1129" t="s">
        <v>2225</v>
      </c>
      <c r="I7440" s="1129"/>
      <c r="J7440" s="1127"/>
    </row>
    <row r="7441" spans="1:10" x14ac:dyDescent="0.2">
      <c r="A7441" s="997">
        <f t="shared" si="116"/>
        <v>7440</v>
      </c>
      <c r="B7441" s="1129" t="s">
        <v>2718</v>
      </c>
      <c r="C7441" s="1140"/>
      <c r="D7441" s="1129"/>
      <c r="E7441" s="1129"/>
      <c r="F7441" s="1129"/>
      <c r="G7441" s="1129"/>
      <c r="H7441" s="1129" t="str">
        <f>CONCATENATE("&lt;valeur&gt;",Cellule_2050_1,"&lt;/valeur&gt;")</f>
        <v>&lt;valeur&gt;&lt;/valeur&gt;</v>
      </c>
      <c r="I7441" s="1129"/>
      <c r="J7441" s="1127"/>
    </row>
    <row r="7442" spans="1:10" x14ac:dyDescent="0.2">
      <c r="A7442" s="997">
        <f t="shared" si="116"/>
        <v>7441</v>
      </c>
      <c r="B7442" s="1129" t="s">
        <v>2718</v>
      </c>
      <c r="C7442" s="1139"/>
      <c r="D7442" s="1129"/>
      <c r="E7442" s="1129"/>
      <c r="F7442" s="1129"/>
      <c r="G7442" s="1129"/>
      <c r="H7442" s="1129" t="s">
        <v>1348</v>
      </c>
      <c r="I7442" s="1129"/>
      <c r="J7442" s="1127"/>
    </row>
    <row r="7443" spans="1:10" x14ac:dyDescent="0.2">
      <c r="A7443" s="997">
        <f t="shared" si="116"/>
        <v>7442</v>
      </c>
      <c r="B7443" s="1129" t="s">
        <v>2718</v>
      </c>
      <c r="C7443" s="1139"/>
      <c r="D7443" s="1129"/>
      <c r="E7443" s="1129"/>
      <c r="F7443" s="1129"/>
      <c r="G7443" s="1129" t="s">
        <v>1109</v>
      </c>
      <c r="H7443" s="1129"/>
      <c r="I7443" s="1129"/>
      <c r="J7443" s="1127"/>
    </row>
    <row r="7444" spans="1:10" x14ac:dyDescent="0.2">
      <c r="A7444" s="997">
        <f t="shared" si="116"/>
        <v>7443</v>
      </c>
      <c r="B7444" s="1129" t="s">
        <v>2718</v>
      </c>
      <c r="C7444" s="1138"/>
      <c r="D7444" s="1129"/>
      <c r="E7444" s="1129"/>
      <c r="F7444" s="1129"/>
      <c r="G7444" s="1129" t="s">
        <v>1106</v>
      </c>
      <c r="H7444" s="1129"/>
      <c r="I7444" s="1129"/>
      <c r="J7444" s="1127"/>
    </row>
    <row r="7445" spans="1:10" x14ac:dyDescent="0.2">
      <c r="A7445" s="997">
        <f t="shared" si="116"/>
        <v>7444</v>
      </c>
      <c r="B7445" s="1129" t="s">
        <v>2718</v>
      </c>
      <c r="C7445" s="1138"/>
      <c r="D7445" s="1129"/>
      <c r="E7445" s="1129"/>
      <c r="F7445" s="1129"/>
      <c r="G7445" s="1129"/>
      <c r="H7445" s="1129" t="s">
        <v>2226</v>
      </c>
      <c r="I7445" s="1129"/>
      <c r="J7445" s="1127"/>
    </row>
    <row r="7446" spans="1:10" x14ac:dyDescent="0.2">
      <c r="A7446" s="997">
        <f t="shared" si="116"/>
        <v>7445</v>
      </c>
      <c r="B7446" s="1129" t="s">
        <v>2718</v>
      </c>
      <c r="C7446" s="1139"/>
      <c r="D7446" s="1129"/>
      <c r="E7446" s="1129"/>
      <c r="F7446" s="1129"/>
      <c r="G7446" s="1129"/>
      <c r="H7446" s="1129" t="str">
        <f>CONCATENATE("&lt;valeur&gt;",Cellule_2051_1,"&lt;/valeur&gt;")</f>
        <v>&lt;valeur&gt;&lt;/valeur&gt;</v>
      </c>
      <c r="I7446" s="1129"/>
      <c r="J7446" s="1127"/>
    </row>
    <row r="7447" spans="1:10" x14ac:dyDescent="0.2">
      <c r="A7447" s="997">
        <f t="shared" si="116"/>
        <v>7446</v>
      </c>
      <c r="B7447" s="1129" t="s">
        <v>2718</v>
      </c>
      <c r="C7447" s="1140"/>
      <c r="D7447" s="1129"/>
      <c r="E7447" s="1129"/>
      <c r="F7447" s="1129"/>
      <c r="G7447" s="1129"/>
      <c r="H7447" s="1129" t="s">
        <v>1348</v>
      </c>
      <c r="I7447" s="1129"/>
      <c r="J7447" s="1127"/>
    </row>
    <row r="7448" spans="1:10" x14ac:dyDescent="0.2">
      <c r="A7448" s="997">
        <f t="shared" si="116"/>
        <v>7447</v>
      </c>
      <c r="B7448" s="1129" t="s">
        <v>2718</v>
      </c>
      <c r="C7448" s="1139"/>
      <c r="D7448" s="1129"/>
      <c r="E7448" s="1129"/>
      <c r="F7448" s="1129"/>
      <c r="G7448" s="1129" t="s">
        <v>1109</v>
      </c>
      <c r="H7448" s="1129"/>
      <c r="I7448" s="1129"/>
      <c r="J7448" s="1127"/>
    </row>
    <row r="7449" spans="1:10" x14ac:dyDescent="0.2">
      <c r="A7449" s="997">
        <f t="shared" si="116"/>
        <v>7448</v>
      </c>
      <c r="B7449" s="1129" t="s">
        <v>2718</v>
      </c>
      <c r="C7449" s="1139"/>
      <c r="D7449" s="1129"/>
      <c r="E7449" s="1129"/>
      <c r="F7449" s="1129"/>
      <c r="G7449" s="1129" t="s">
        <v>1106</v>
      </c>
      <c r="H7449" s="1129"/>
      <c r="I7449" s="1129"/>
      <c r="J7449" s="1127"/>
    </row>
    <row r="7450" spans="1:10" x14ac:dyDescent="0.2">
      <c r="A7450" s="997">
        <f t="shared" si="116"/>
        <v>7449</v>
      </c>
      <c r="B7450" s="1129" t="s">
        <v>2718</v>
      </c>
      <c r="C7450" s="1138"/>
      <c r="D7450" s="1129"/>
      <c r="E7450" s="1129"/>
      <c r="F7450" s="1129"/>
      <c r="G7450" s="1129"/>
      <c r="H7450" s="1129" t="s">
        <v>2227</v>
      </c>
      <c r="I7450" s="1129"/>
      <c r="J7450" s="1127"/>
    </row>
    <row r="7451" spans="1:10" x14ac:dyDescent="0.2">
      <c r="A7451" s="997">
        <f t="shared" si="116"/>
        <v>7450</v>
      </c>
      <c r="B7451" s="1129" t="s">
        <v>2718</v>
      </c>
      <c r="C7451" s="1138"/>
      <c r="D7451" s="1129"/>
      <c r="E7451" s="1129"/>
      <c r="F7451" s="1129"/>
      <c r="G7451" s="1129"/>
      <c r="H7451" s="1129" t="str">
        <f>CONCATENATE("&lt;valeur&gt;",Cellule_2052_1,"&lt;/valeur&gt;")</f>
        <v>&lt;valeur&gt;&lt;/valeur&gt;</v>
      </c>
      <c r="I7451" s="1129"/>
      <c r="J7451" s="1127"/>
    </row>
    <row r="7452" spans="1:10" x14ac:dyDescent="0.2">
      <c r="A7452" s="997">
        <f t="shared" si="116"/>
        <v>7451</v>
      </c>
      <c r="B7452" s="1129" t="s">
        <v>2718</v>
      </c>
      <c r="C7452" s="1139"/>
      <c r="D7452" s="1129"/>
      <c r="E7452" s="1129"/>
      <c r="F7452" s="1129"/>
      <c r="G7452" s="1129"/>
      <c r="H7452" s="1129" t="s">
        <v>1348</v>
      </c>
      <c r="I7452" s="1129"/>
      <c r="J7452" s="1127"/>
    </row>
    <row r="7453" spans="1:10" x14ac:dyDescent="0.2">
      <c r="A7453" s="997">
        <f t="shared" si="116"/>
        <v>7452</v>
      </c>
      <c r="B7453" s="1129" t="s">
        <v>2718</v>
      </c>
      <c r="C7453" s="1140"/>
      <c r="D7453" s="1129"/>
      <c r="E7453" s="1129"/>
      <c r="F7453" s="1129"/>
      <c r="G7453" s="1129" t="s">
        <v>1109</v>
      </c>
      <c r="H7453" s="1129"/>
      <c r="I7453" s="1129"/>
      <c r="J7453" s="1127"/>
    </row>
    <row r="7454" spans="1:10" x14ac:dyDescent="0.2">
      <c r="A7454" s="997">
        <f t="shared" si="116"/>
        <v>7453</v>
      </c>
      <c r="B7454" s="1129" t="s">
        <v>2718</v>
      </c>
      <c r="C7454" s="1139"/>
      <c r="D7454" s="1129"/>
      <c r="E7454" s="1129"/>
      <c r="F7454" s="1129"/>
      <c r="G7454" s="1129" t="s">
        <v>1106</v>
      </c>
      <c r="H7454" s="1129"/>
      <c r="I7454" s="1129"/>
      <c r="J7454" s="1127"/>
    </row>
    <row r="7455" spans="1:10" x14ac:dyDescent="0.2">
      <c r="A7455" s="997">
        <f t="shared" si="116"/>
        <v>7454</v>
      </c>
      <c r="B7455" s="1129" t="s">
        <v>2718</v>
      </c>
      <c r="C7455" s="1139"/>
      <c r="D7455" s="1129"/>
      <c r="E7455" s="1129"/>
      <c r="F7455" s="1129"/>
      <c r="G7455" s="1129"/>
      <c r="H7455" s="1129" t="s">
        <v>2228</v>
      </c>
      <c r="I7455" s="1129"/>
      <c r="J7455" s="1127"/>
    </row>
    <row r="7456" spans="1:10" x14ac:dyDescent="0.2">
      <c r="A7456" s="997">
        <f t="shared" si="116"/>
        <v>7455</v>
      </c>
      <c r="B7456" s="1129" t="s">
        <v>2718</v>
      </c>
      <c r="C7456" s="1138"/>
      <c r="D7456" s="1129"/>
      <c r="E7456" s="1129"/>
      <c r="F7456" s="1129"/>
      <c r="G7456" s="1129"/>
      <c r="H7456" s="1129" t="str">
        <f>CONCATENATE("&lt;valeur&gt;",Cellule_2053_1,"&lt;/valeur&gt;")</f>
        <v>&lt;valeur&gt;&lt;/valeur&gt;</v>
      </c>
      <c r="I7456" s="1129"/>
      <c r="J7456" s="1127"/>
    </row>
    <row r="7457" spans="1:10" x14ac:dyDescent="0.2">
      <c r="A7457" s="997">
        <f t="shared" si="116"/>
        <v>7456</v>
      </c>
      <c r="B7457" s="1129" t="s">
        <v>2718</v>
      </c>
      <c r="C7457" s="1138"/>
      <c r="D7457" s="1129"/>
      <c r="E7457" s="1129"/>
      <c r="F7457" s="1129"/>
      <c r="G7457" s="1129"/>
      <c r="H7457" s="1129" t="s">
        <v>1348</v>
      </c>
      <c r="I7457" s="1129"/>
      <c r="J7457" s="1127"/>
    </row>
    <row r="7458" spans="1:10" x14ac:dyDescent="0.2">
      <c r="A7458" s="997">
        <f t="shared" si="116"/>
        <v>7457</v>
      </c>
      <c r="B7458" s="1130" t="s">
        <v>2718</v>
      </c>
      <c r="C7458" s="1144"/>
      <c r="D7458" s="1130"/>
      <c r="E7458" s="1130"/>
      <c r="F7458" s="1130"/>
      <c r="G7458" s="1130" t="s">
        <v>1109</v>
      </c>
      <c r="H7458" s="1130"/>
      <c r="I7458" s="1130"/>
      <c r="J7458" s="1142"/>
    </row>
    <row r="7459" spans="1:10" x14ac:dyDescent="0.2">
      <c r="A7459" s="997">
        <f t="shared" si="116"/>
        <v>7458</v>
      </c>
      <c r="B7459" s="1128" t="s">
        <v>2718</v>
      </c>
      <c r="C7459" s="1143"/>
      <c r="D7459" s="1128"/>
      <c r="E7459" s="1128"/>
      <c r="F7459" s="1128"/>
      <c r="G7459" s="1128" t="s">
        <v>1106</v>
      </c>
      <c r="H7459" s="1128"/>
      <c r="I7459" s="1128"/>
      <c r="J7459" s="1124"/>
    </row>
    <row r="7460" spans="1:10" x14ac:dyDescent="0.2">
      <c r="A7460" s="997">
        <f t="shared" si="116"/>
        <v>7459</v>
      </c>
      <c r="B7460" s="1129" t="s">
        <v>2718</v>
      </c>
      <c r="C7460" s="1139"/>
      <c r="D7460" s="1129"/>
      <c r="E7460" s="1129"/>
      <c r="F7460" s="1129"/>
      <c r="G7460" s="1129"/>
      <c r="H7460" s="1129" t="s">
        <v>2219</v>
      </c>
      <c r="I7460" s="1129"/>
      <c r="J7460" s="1127"/>
    </row>
    <row r="7461" spans="1:10" x14ac:dyDescent="0.2">
      <c r="A7461" s="997">
        <f t="shared" si="116"/>
        <v>7460</v>
      </c>
      <c r="B7461" s="1129" t="s">
        <v>2718</v>
      </c>
      <c r="C7461" s="1139"/>
      <c r="D7461" s="1129"/>
      <c r="E7461" s="1129"/>
      <c r="F7461" s="1129"/>
      <c r="G7461" s="1129"/>
      <c r="H7461" s="1129" t="str">
        <f>CONCATENATE("&lt;valeur&gt;",Cellule_2044_2,"&lt;/valeur&gt;")</f>
        <v>&lt;valeur&gt;&lt;/valeur&gt;</v>
      </c>
      <c r="I7461" s="1129"/>
      <c r="J7461" s="1127"/>
    </row>
    <row r="7462" spans="1:10" x14ac:dyDescent="0.2">
      <c r="A7462" s="997">
        <f t="shared" si="116"/>
        <v>7461</v>
      </c>
      <c r="B7462" s="1129" t="s">
        <v>2718</v>
      </c>
      <c r="C7462" s="1138"/>
      <c r="D7462" s="1129"/>
      <c r="E7462" s="1129"/>
      <c r="F7462" s="1129"/>
      <c r="G7462" s="1129"/>
      <c r="H7462" s="1129" t="s">
        <v>2735</v>
      </c>
      <c r="I7462" s="1129"/>
      <c r="J7462" s="1127"/>
    </row>
    <row r="7463" spans="1:10" x14ac:dyDescent="0.2">
      <c r="A7463" s="997">
        <f t="shared" si="116"/>
        <v>7462</v>
      </c>
      <c r="B7463" s="1129" t="s">
        <v>2718</v>
      </c>
      <c r="C7463" s="1138"/>
      <c r="D7463" s="1129"/>
      <c r="E7463" s="1129"/>
      <c r="F7463" s="1129"/>
      <c r="G7463" s="1129" t="s">
        <v>1109</v>
      </c>
      <c r="H7463" s="1129"/>
      <c r="I7463" s="1129"/>
      <c r="J7463" s="1127"/>
    </row>
    <row r="7464" spans="1:10" x14ac:dyDescent="0.2">
      <c r="A7464" s="997">
        <f t="shared" si="116"/>
        <v>7463</v>
      </c>
      <c r="B7464" s="1129" t="s">
        <v>2718</v>
      </c>
      <c r="C7464" s="1139"/>
      <c r="D7464" s="1129"/>
      <c r="E7464" s="1129"/>
      <c r="F7464" s="1129"/>
      <c r="G7464" s="1129" t="s">
        <v>1106</v>
      </c>
      <c r="H7464" s="1129"/>
      <c r="I7464" s="1129"/>
      <c r="J7464" s="1127"/>
    </row>
    <row r="7465" spans="1:10" x14ac:dyDescent="0.2">
      <c r="A7465" s="997">
        <f t="shared" si="116"/>
        <v>7464</v>
      </c>
      <c r="B7465" s="1129" t="s">
        <v>2718</v>
      </c>
      <c r="C7465" s="1140"/>
      <c r="D7465" s="1129"/>
      <c r="E7465" s="1129"/>
      <c r="F7465" s="1129"/>
      <c r="G7465" s="1129"/>
      <c r="H7465" s="1129" t="s">
        <v>2220</v>
      </c>
      <c r="I7465" s="1129"/>
      <c r="J7465" s="1127"/>
    </row>
    <row r="7466" spans="1:10" x14ac:dyDescent="0.2">
      <c r="A7466" s="997">
        <f t="shared" si="116"/>
        <v>7465</v>
      </c>
      <c r="B7466" s="1129" t="s">
        <v>2718</v>
      </c>
      <c r="C7466" s="1139"/>
      <c r="D7466" s="1129"/>
      <c r="E7466" s="1129"/>
      <c r="F7466" s="1129"/>
      <c r="G7466" s="1129"/>
      <c r="H7466" s="1129" t="str">
        <f>CONCATENATE("&lt;valeur&gt;",Cellule_2045_2,"&lt;/valeur&gt;")</f>
        <v>&lt;valeur&gt;&lt;/valeur&gt;</v>
      </c>
      <c r="I7466" s="1129"/>
      <c r="J7466" s="1127"/>
    </row>
    <row r="7467" spans="1:10" x14ac:dyDescent="0.2">
      <c r="A7467" s="997">
        <f t="shared" si="116"/>
        <v>7466</v>
      </c>
      <c r="B7467" s="1129" t="s">
        <v>2718</v>
      </c>
      <c r="C7467" s="1139"/>
      <c r="D7467" s="1129"/>
      <c r="E7467" s="1129"/>
      <c r="F7467" s="1129"/>
      <c r="G7467" s="1129"/>
      <c r="H7467" s="1129" t="s">
        <v>2735</v>
      </c>
      <c r="I7467" s="1129"/>
      <c r="J7467" s="1127"/>
    </row>
    <row r="7468" spans="1:10" x14ac:dyDescent="0.2">
      <c r="A7468" s="997">
        <f t="shared" si="116"/>
        <v>7467</v>
      </c>
      <c r="B7468" s="1129" t="s">
        <v>2718</v>
      </c>
      <c r="C7468" s="1139"/>
      <c r="D7468" s="1129"/>
      <c r="E7468" s="1129"/>
      <c r="F7468" s="1129"/>
      <c r="G7468" s="1129" t="s">
        <v>1109</v>
      </c>
      <c r="H7468" s="1129"/>
      <c r="I7468" s="1129"/>
      <c r="J7468" s="1127"/>
    </row>
    <row r="7469" spans="1:10" x14ac:dyDescent="0.2">
      <c r="A7469" s="997">
        <f t="shared" si="116"/>
        <v>7468</v>
      </c>
      <c r="B7469" s="1129" t="s">
        <v>2718</v>
      </c>
      <c r="C7469" s="1138"/>
      <c r="D7469" s="1129"/>
      <c r="E7469" s="1129"/>
      <c r="F7469" s="1129"/>
      <c r="G7469" s="1129" t="s">
        <v>1106</v>
      </c>
      <c r="H7469" s="1129"/>
      <c r="I7469" s="1129"/>
      <c r="J7469" s="1127"/>
    </row>
    <row r="7470" spans="1:10" x14ac:dyDescent="0.2">
      <c r="A7470" s="997">
        <f t="shared" si="116"/>
        <v>7469</v>
      </c>
      <c r="B7470" s="1129" t="s">
        <v>2718</v>
      </c>
      <c r="C7470" s="1138"/>
      <c r="D7470" s="1129"/>
      <c r="E7470" s="1129"/>
      <c r="F7470" s="1129"/>
      <c r="G7470" s="1129"/>
      <c r="H7470" s="1129" t="s">
        <v>2221</v>
      </c>
      <c r="I7470" s="1129"/>
      <c r="J7470" s="1127"/>
    </row>
    <row r="7471" spans="1:10" x14ac:dyDescent="0.2">
      <c r="A7471" s="997">
        <f t="shared" si="116"/>
        <v>7470</v>
      </c>
      <c r="B7471" s="1129" t="s">
        <v>2718</v>
      </c>
      <c r="C7471" s="1139"/>
      <c r="D7471" s="1129"/>
      <c r="E7471" s="1129"/>
      <c r="F7471" s="1129"/>
      <c r="G7471" s="1129"/>
      <c r="H7471" s="1129" t="str">
        <f>CONCATENATE("&lt;valeur&gt;",Cellule_2046_2,"&lt;/valeur&gt;")</f>
        <v>&lt;valeur&gt;&lt;/valeur&gt;</v>
      </c>
      <c r="I7471" s="1129"/>
      <c r="J7471" s="1127"/>
    </row>
    <row r="7472" spans="1:10" x14ac:dyDescent="0.2">
      <c r="A7472" s="997">
        <f t="shared" si="116"/>
        <v>7471</v>
      </c>
      <c r="B7472" s="1129" t="s">
        <v>2718</v>
      </c>
      <c r="C7472" s="1140"/>
      <c r="D7472" s="1129"/>
      <c r="E7472" s="1129"/>
      <c r="F7472" s="1129"/>
      <c r="G7472" s="1129"/>
      <c r="H7472" s="1129" t="s">
        <v>2735</v>
      </c>
      <c r="I7472" s="1129"/>
      <c r="J7472" s="1127"/>
    </row>
    <row r="7473" spans="1:10" x14ac:dyDescent="0.2">
      <c r="A7473" s="997">
        <f t="shared" si="116"/>
        <v>7472</v>
      </c>
      <c r="B7473" s="1129" t="s">
        <v>2718</v>
      </c>
      <c r="C7473" s="1139"/>
      <c r="D7473" s="1129"/>
      <c r="E7473" s="1129"/>
      <c r="F7473" s="1129"/>
      <c r="G7473" s="1129" t="s">
        <v>1109</v>
      </c>
      <c r="H7473" s="1129"/>
      <c r="I7473" s="1129"/>
      <c r="J7473" s="1127"/>
    </row>
    <row r="7474" spans="1:10" x14ac:dyDescent="0.2">
      <c r="A7474" s="997">
        <f t="shared" si="116"/>
        <v>7473</v>
      </c>
      <c r="B7474" s="1129" t="s">
        <v>2718</v>
      </c>
      <c r="C7474" s="1139"/>
      <c r="D7474" s="1129"/>
      <c r="E7474" s="1129"/>
      <c r="F7474" s="1129"/>
      <c r="G7474" s="1129" t="s">
        <v>1106</v>
      </c>
      <c r="H7474" s="1129"/>
      <c r="I7474" s="1129"/>
      <c r="J7474" s="1127"/>
    </row>
    <row r="7475" spans="1:10" x14ac:dyDescent="0.2">
      <c r="A7475" s="997">
        <f t="shared" si="116"/>
        <v>7474</v>
      </c>
      <c r="B7475" s="1129" t="s">
        <v>2718</v>
      </c>
      <c r="C7475" s="1139"/>
      <c r="D7475" s="1129"/>
      <c r="E7475" s="1129"/>
      <c r="F7475" s="1129"/>
      <c r="G7475" s="1129"/>
      <c r="H7475" s="1129" t="s">
        <v>2222</v>
      </c>
      <c r="I7475" s="1129"/>
      <c r="J7475" s="1127"/>
    </row>
    <row r="7476" spans="1:10" x14ac:dyDescent="0.2">
      <c r="A7476" s="997">
        <f t="shared" si="116"/>
        <v>7475</v>
      </c>
      <c r="B7476" s="1129" t="s">
        <v>2718</v>
      </c>
      <c r="C7476" s="1138"/>
      <c r="D7476" s="1129"/>
      <c r="E7476" s="1129"/>
      <c r="F7476" s="1129"/>
      <c r="G7476" s="1129"/>
      <c r="H7476" s="1129" t="str">
        <f>CONCATENATE("&lt;valeur&gt;",Cellule_2047_2,"&lt;/valeur&gt;")</f>
        <v>&lt;valeur&gt;&lt;/valeur&gt;</v>
      </c>
      <c r="I7476" s="1129"/>
      <c r="J7476" s="1127"/>
    </row>
    <row r="7477" spans="1:10" x14ac:dyDescent="0.2">
      <c r="A7477" s="997">
        <f t="shared" si="116"/>
        <v>7476</v>
      </c>
      <c r="B7477" s="1129" t="s">
        <v>2718</v>
      </c>
      <c r="C7477" s="1138"/>
      <c r="D7477" s="1129"/>
      <c r="E7477" s="1129"/>
      <c r="F7477" s="1129"/>
      <c r="G7477" s="1129"/>
      <c r="H7477" s="1129" t="s">
        <v>2735</v>
      </c>
      <c r="I7477" s="1129"/>
      <c r="J7477" s="1127"/>
    </row>
    <row r="7478" spans="1:10" x14ac:dyDescent="0.2">
      <c r="A7478" s="997">
        <f t="shared" si="116"/>
        <v>7477</v>
      </c>
      <c r="B7478" s="1129" t="s">
        <v>2718</v>
      </c>
      <c r="C7478" s="1139"/>
      <c r="D7478" s="1129"/>
      <c r="E7478" s="1129"/>
      <c r="F7478" s="1129"/>
      <c r="G7478" s="1129" t="s">
        <v>1109</v>
      </c>
      <c r="H7478" s="1129"/>
      <c r="I7478" s="1129"/>
      <c r="J7478" s="1127"/>
    </row>
    <row r="7479" spans="1:10" x14ac:dyDescent="0.2">
      <c r="A7479" s="997">
        <f t="shared" si="116"/>
        <v>7478</v>
      </c>
      <c r="B7479" s="1129" t="s">
        <v>2718</v>
      </c>
      <c r="C7479" s="1140"/>
      <c r="D7479" s="1129"/>
      <c r="E7479" s="1129"/>
      <c r="F7479" s="1129"/>
      <c r="G7479" s="1129" t="s">
        <v>1106</v>
      </c>
      <c r="H7479" s="1129"/>
      <c r="I7479" s="1129"/>
      <c r="J7479" s="1127"/>
    </row>
    <row r="7480" spans="1:10" x14ac:dyDescent="0.2">
      <c r="A7480" s="997">
        <f t="shared" si="116"/>
        <v>7479</v>
      </c>
      <c r="B7480" s="1129" t="s">
        <v>2718</v>
      </c>
      <c r="C7480" s="1139"/>
      <c r="D7480" s="1129"/>
      <c r="E7480" s="1129"/>
      <c r="F7480" s="1129"/>
      <c r="G7480" s="1129"/>
      <c r="H7480" s="1129" t="s">
        <v>2223</v>
      </c>
      <c r="I7480" s="1129"/>
      <c r="J7480" s="1127"/>
    </row>
    <row r="7481" spans="1:10" x14ac:dyDescent="0.2">
      <c r="A7481" s="997">
        <f t="shared" si="116"/>
        <v>7480</v>
      </c>
      <c r="B7481" s="1129" t="s">
        <v>2718</v>
      </c>
      <c r="C7481" s="1139"/>
      <c r="D7481" s="1129"/>
      <c r="E7481" s="1129"/>
      <c r="F7481" s="1129"/>
      <c r="G7481" s="1129"/>
      <c r="H7481" s="1129" t="str">
        <f>CONCATENATE("&lt;valeur&gt;",Cellule_2048_2,"&lt;/valeur&gt;")</f>
        <v>&lt;valeur&gt;&lt;/valeur&gt;</v>
      </c>
      <c r="I7481" s="1129"/>
      <c r="J7481" s="1127"/>
    </row>
    <row r="7482" spans="1:10" x14ac:dyDescent="0.2">
      <c r="A7482" s="997">
        <f t="shared" si="116"/>
        <v>7481</v>
      </c>
      <c r="B7482" s="1129" t="s">
        <v>2718</v>
      </c>
      <c r="C7482" s="1138"/>
      <c r="D7482" s="1129"/>
      <c r="E7482" s="1129"/>
      <c r="F7482" s="1129"/>
      <c r="G7482" s="1129"/>
      <c r="H7482" s="1129" t="s">
        <v>2735</v>
      </c>
      <c r="I7482" s="1129"/>
      <c r="J7482" s="1127"/>
    </row>
    <row r="7483" spans="1:10" x14ac:dyDescent="0.2">
      <c r="A7483" s="997">
        <f t="shared" si="116"/>
        <v>7482</v>
      </c>
      <c r="B7483" s="1129" t="s">
        <v>2718</v>
      </c>
      <c r="C7483" s="1138"/>
      <c r="D7483" s="1129"/>
      <c r="E7483" s="1129"/>
      <c r="F7483" s="1129"/>
      <c r="G7483" s="1129" t="s">
        <v>1109</v>
      </c>
      <c r="H7483" s="1129"/>
      <c r="I7483" s="1129"/>
      <c r="J7483" s="1127"/>
    </row>
    <row r="7484" spans="1:10" x14ac:dyDescent="0.2">
      <c r="A7484" s="997">
        <f t="shared" si="116"/>
        <v>7483</v>
      </c>
      <c r="B7484" s="1129" t="s">
        <v>2718</v>
      </c>
      <c r="C7484" s="1139"/>
      <c r="D7484" s="1129"/>
      <c r="E7484" s="1129"/>
      <c r="F7484" s="1129"/>
      <c r="G7484" s="1129" t="s">
        <v>1106</v>
      </c>
      <c r="H7484" s="1129"/>
      <c r="I7484" s="1129"/>
      <c r="J7484" s="1127"/>
    </row>
    <row r="7485" spans="1:10" x14ac:dyDescent="0.2">
      <c r="A7485" s="997">
        <f t="shared" si="116"/>
        <v>7484</v>
      </c>
      <c r="B7485" s="1129" t="s">
        <v>2718</v>
      </c>
      <c r="C7485" s="1140"/>
      <c r="D7485" s="1129"/>
      <c r="E7485" s="1129"/>
      <c r="F7485" s="1129"/>
      <c r="G7485" s="1129"/>
      <c r="H7485" s="1129" t="s">
        <v>2224</v>
      </c>
      <c r="I7485" s="1129"/>
      <c r="J7485" s="1127"/>
    </row>
    <row r="7486" spans="1:10" x14ac:dyDescent="0.2">
      <c r="A7486" s="997">
        <f t="shared" si="116"/>
        <v>7485</v>
      </c>
      <c r="B7486" s="1129" t="s">
        <v>2718</v>
      </c>
      <c r="C7486" s="1139"/>
      <c r="D7486" s="1129"/>
      <c r="E7486" s="1129"/>
      <c r="F7486" s="1129"/>
      <c r="G7486" s="1129"/>
      <c r="H7486" s="1129" t="str">
        <f>CONCATENATE("&lt;valeur&gt;",Cellule_2049_2,"&lt;/valeur&gt;")</f>
        <v>&lt;valeur&gt;&lt;/valeur&gt;</v>
      </c>
      <c r="I7486" s="1129"/>
      <c r="J7486" s="1127"/>
    </row>
    <row r="7487" spans="1:10" x14ac:dyDescent="0.2">
      <c r="A7487" s="997">
        <f t="shared" si="116"/>
        <v>7486</v>
      </c>
      <c r="B7487" s="1129" t="s">
        <v>2718</v>
      </c>
      <c r="C7487" s="1139"/>
      <c r="D7487" s="1129"/>
      <c r="E7487" s="1129"/>
      <c r="F7487" s="1129"/>
      <c r="G7487" s="1129"/>
      <c r="H7487" s="1129" t="s">
        <v>2735</v>
      </c>
      <c r="I7487" s="1129"/>
      <c r="J7487" s="1127"/>
    </row>
    <row r="7488" spans="1:10" x14ac:dyDescent="0.2">
      <c r="A7488" s="997">
        <f t="shared" si="116"/>
        <v>7487</v>
      </c>
      <c r="B7488" s="1129" t="s">
        <v>2718</v>
      </c>
      <c r="C7488" s="1138"/>
      <c r="D7488" s="1129"/>
      <c r="E7488" s="1129"/>
      <c r="F7488" s="1129"/>
      <c r="G7488" s="1129" t="s">
        <v>1109</v>
      </c>
      <c r="H7488" s="1129"/>
      <c r="I7488" s="1129"/>
      <c r="J7488" s="1127"/>
    </row>
    <row r="7489" spans="1:10" x14ac:dyDescent="0.2">
      <c r="A7489" s="997">
        <f t="shared" si="116"/>
        <v>7488</v>
      </c>
      <c r="B7489" s="1129" t="s">
        <v>2718</v>
      </c>
      <c r="C7489" s="1138"/>
      <c r="D7489" s="1129"/>
      <c r="E7489" s="1129"/>
      <c r="F7489" s="1129"/>
      <c r="G7489" s="1129" t="s">
        <v>1106</v>
      </c>
      <c r="H7489" s="1129"/>
      <c r="I7489" s="1129"/>
      <c r="J7489" s="1127"/>
    </row>
    <row r="7490" spans="1:10" x14ac:dyDescent="0.2">
      <c r="A7490" s="997">
        <f t="shared" si="116"/>
        <v>7489</v>
      </c>
      <c r="B7490" s="1129" t="s">
        <v>2718</v>
      </c>
      <c r="C7490" s="1139"/>
      <c r="D7490" s="1129"/>
      <c r="E7490" s="1129"/>
      <c r="F7490" s="1129"/>
      <c r="G7490" s="1129"/>
      <c r="H7490" s="1129" t="s">
        <v>2225</v>
      </c>
      <c r="I7490" s="1129"/>
      <c r="J7490" s="1127"/>
    </row>
    <row r="7491" spans="1:10" x14ac:dyDescent="0.2">
      <c r="A7491" s="997">
        <f t="shared" si="116"/>
        <v>7490</v>
      </c>
      <c r="B7491" s="1129" t="s">
        <v>2718</v>
      </c>
      <c r="C7491" s="1140"/>
      <c r="D7491" s="1129"/>
      <c r="E7491" s="1129"/>
      <c r="F7491" s="1129"/>
      <c r="G7491" s="1129"/>
      <c r="H7491" s="1129" t="str">
        <f>CONCATENATE("&lt;valeur&gt;",Cellule_2050_2,"&lt;/valeur&gt;")</f>
        <v>&lt;valeur&gt;&lt;/valeur&gt;</v>
      </c>
      <c r="I7491" s="1129"/>
      <c r="J7491" s="1127"/>
    </row>
    <row r="7492" spans="1:10" x14ac:dyDescent="0.2">
      <c r="A7492" s="997">
        <f t="shared" ref="A7492:A7555" si="117">+A7491+1</f>
        <v>7491</v>
      </c>
      <c r="B7492" s="1129" t="s">
        <v>2718</v>
      </c>
      <c r="C7492" s="1139"/>
      <c r="D7492" s="1129"/>
      <c r="E7492" s="1129"/>
      <c r="F7492" s="1129"/>
      <c r="G7492" s="1129"/>
      <c r="H7492" s="1129" t="s">
        <v>2735</v>
      </c>
      <c r="I7492" s="1129"/>
      <c r="J7492" s="1127"/>
    </row>
    <row r="7493" spans="1:10" x14ac:dyDescent="0.2">
      <c r="A7493" s="997">
        <f t="shared" si="117"/>
        <v>7492</v>
      </c>
      <c r="B7493" s="1129" t="s">
        <v>2718</v>
      </c>
      <c r="C7493" s="1139"/>
      <c r="D7493" s="1129"/>
      <c r="E7493" s="1129"/>
      <c r="F7493" s="1129"/>
      <c r="G7493" s="1129" t="s">
        <v>1109</v>
      </c>
      <c r="H7493" s="1129"/>
      <c r="I7493" s="1129"/>
      <c r="J7493" s="1127"/>
    </row>
    <row r="7494" spans="1:10" x14ac:dyDescent="0.2">
      <c r="A7494" s="997">
        <f t="shared" si="117"/>
        <v>7493</v>
      </c>
      <c r="B7494" s="1129" t="s">
        <v>2718</v>
      </c>
      <c r="C7494" s="1138"/>
      <c r="D7494" s="1129"/>
      <c r="E7494" s="1129"/>
      <c r="F7494" s="1129"/>
      <c r="G7494" s="1129" t="s">
        <v>1106</v>
      </c>
      <c r="H7494" s="1129"/>
      <c r="I7494" s="1129"/>
      <c r="J7494" s="1127"/>
    </row>
    <row r="7495" spans="1:10" x14ac:dyDescent="0.2">
      <c r="A7495" s="997">
        <f t="shared" si="117"/>
        <v>7494</v>
      </c>
      <c r="B7495" s="1129" t="s">
        <v>2718</v>
      </c>
      <c r="C7495" s="1138"/>
      <c r="D7495" s="1129"/>
      <c r="E7495" s="1129"/>
      <c r="F7495" s="1129"/>
      <c r="G7495" s="1129"/>
      <c r="H7495" s="1129" t="s">
        <v>2226</v>
      </c>
      <c r="I7495" s="1129"/>
      <c r="J7495" s="1127"/>
    </row>
    <row r="7496" spans="1:10" x14ac:dyDescent="0.2">
      <c r="A7496" s="997">
        <f t="shared" si="117"/>
        <v>7495</v>
      </c>
      <c r="B7496" s="1129" t="s">
        <v>2718</v>
      </c>
      <c r="C7496" s="1139"/>
      <c r="D7496" s="1129"/>
      <c r="E7496" s="1129"/>
      <c r="F7496" s="1129"/>
      <c r="G7496" s="1129"/>
      <c r="H7496" s="1129" t="str">
        <f>CONCATENATE("&lt;valeur&gt;",Cellule_2051_2,"&lt;/valeur&gt;")</f>
        <v>&lt;valeur&gt;&lt;/valeur&gt;</v>
      </c>
      <c r="I7496" s="1129"/>
      <c r="J7496" s="1127"/>
    </row>
    <row r="7497" spans="1:10" x14ac:dyDescent="0.2">
      <c r="A7497" s="997">
        <f t="shared" si="117"/>
        <v>7496</v>
      </c>
      <c r="B7497" s="1129" t="s">
        <v>2718</v>
      </c>
      <c r="C7497" s="1140"/>
      <c r="D7497" s="1129"/>
      <c r="E7497" s="1129"/>
      <c r="F7497" s="1129"/>
      <c r="G7497" s="1129"/>
      <c r="H7497" s="1129" t="s">
        <v>2735</v>
      </c>
      <c r="I7497" s="1129"/>
      <c r="J7497" s="1127"/>
    </row>
    <row r="7498" spans="1:10" x14ac:dyDescent="0.2">
      <c r="A7498" s="997">
        <f t="shared" si="117"/>
        <v>7497</v>
      </c>
      <c r="B7498" s="1129" t="s">
        <v>2718</v>
      </c>
      <c r="C7498" s="1139"/>
      <c r="D7498" s="1129"/>
      <c r="E7498" s="1129"/>
      <c r="F7498" s="1129"/>
      <c r="G7498" s="1129" t="s">
        <v>1109</v>
      </c>
      <c r="H7498" s="1129"/>
      <c r="I7498" s="1129"/>
      <c r="J7498" s="1127"/>
    </row>
    <row r="7499" spans="1:10" x14ac:dyDescent="0.2">
      <c r="A7499" s="997">
        <f t="shared" si="117"/>
        <v>7498</v>
      </c>
      <c r="B7499" s="1129" t="s">
        <v>2718</v>
      </c>
      <c r="C7499" s="1139"/>
      <c r="D7499" s="1129"/>
      <c r="E7499" s="1129"/>
      <c r="F7499" s="1129"/>
      <c r="G7499" s="1129" t="s">
        <v>1106</v>
      </c>
      <c r="H7499" s="1129"/>
      <c r="I7499" s="1129"/>
      <c r="J7499" s="1127"/>
    </row>
    <row r="7500" spans="1:10" x14ac:dyDescent="0.2">
      <c r="A7500" s="997">
        <f t="shared" si="117"/>
        <v>7499</v>
      </c>
      <c r="B7500" s="1129" t="s">
        <v>2718</v>
      </c>
      <c r="C7500" s="1138"/>
      <c r="D7500" s="1129"/>
      <c r="E7500" s="1129"/>
      <c r="F7500" s="1129"/>
      <c r="G7500" s="1129"/>
      <c r="H7500" s="1129" t="s">
        <v>2227</v>
      </c>
      <c r="I7500" s="1129"/>
      <c r="J7500" s="1127"/>
    </row>
    <row r="7501" spans="1:10" x14ac:dyDescent="0.2">
      <c r="A7501" s="997">
        <f t="shared" si="117"/>
        <v>7500</v>
      </c>
      <c r="B7501" s="1129" t="s">
        <v>2718</v>
      </c>
      <c r="C7501" s="1138"/>
      <c r="D7501" s="1129"/>
      <c r="E7501" s="1129"/>
      <c r="F7501" s="1129"/>
      <c r="G7501" s="1129"/>
      <c r="H7501" s="1129" t="str">
        <f>CONCATENATE("&lt;valeur&gt;",Cellule_2052_2,"&lt;/valeur&gt;")</f>
        <v>&lt;valeur&gt;&lt;/valeur&gt;</v>
      </c>
      <c r="I7501" s="1129"/>
      <c r="J7501" s="1127"/>
    </row>
    <row r="7502" spans="1:10" x14ac:dyDescent="0.2">
      <c r="A7502" s="997">
        <f t="shared" si="117"/>
        <v>7501</v>
      </c>
      <c r="B7502" s="1129" t="s">
        <v>2718</v>
      </c>
      <c r="C7502" s="1139"/>
      <c r="D7502" s="1129"/>
      <c r="E7502" s="1129"/>
      <c r="F7502" s="1129"/>
      <c r="G7502" s="1129"/>
      <c r="H7502" s="1129" t="s">
        <v>2735</v>
      </c>
      <c r="I7502" s="1129"/>
      <c r="J7502" s="1127"/>
    </row>
    <row r="7503" spans="1:10" x14ac:dyDescent="0.2">
      <c r="A7503" s="997">
        <f t="shared" si="117"/>
        <v>7502</v>
      </c>
      <c r="B7503" s="1129" t="s">
        <v>2718</v>
      </c>
      <c r="C7503" s="1140"/>
      <c r="D7503" s="1129"/>
      <c r="E7503" s="1129"/>
      <c r="F7503" s="1129"/>
      <c r="G7503" s="1129" t="s">
        <v>1109</v>
      </c>
      <c r="H7503" s="1129"/>
      <c r="I7503" s="1129"/>
      <c r="J7503" s="1127"/>
    </row>
    <row r="7504" spans="1:10" x14ac:dyDescent="0.2">
      <c r="A7504" s="997">
        <f t="shared" si="117"/>
        <v>7503</v>
      </c>
      <c r="B7504" s="1129" t="s">
        <v>2718</v>
      </c>
      <c r="C7504" s="1139"/>
      <c r="D7504" s="1129"/>
      <c r="E7504" s="1129"/>
      <c r="F7504" s="1129"/>
      <c r="G7504" s="1129" t="s">
        <v>1106</v>
      </c>
      <c r="H7504" s="1129"/>
      <c r="I7504" s="1129"/>
      <c r="J7504" s="1127"/>
    </row>
    <row r="7505" spans="1:10" x14ac:dyDescent="0.2">
      <c r="A7505" s="997">
        <f t="shared" si="117"/>
        <v>7504</v>
      </c>
      <c r="B7505" s="1129" t="s">
        <v>2718</v>
      </c>
      <c r="C7505" s="1139"/>
      <c r="D7505" s="1129"/>
      <c r="E7505" s="1129"/>
      <c r="F7505" s="1129"/>
      <c r="G7505" s="1129"/>
      <c r="H7505" s="1129" t="s">
        <v>2228</v>
      </c>
      <c r="I7505" s="1129"/>
      <c r="J7505" s="1127"/>
    </row>
    <row r="7506" spans="1:10" x14ac:dyDescent="0.2">
      <c r="A7506" s="997">
        <f t="shared" si="117"/>
        <v>7505</v>
      </c>
      <c r="B7506" s="1129" t="s">
        <v>2718</v>
      </c>
      <c r="C7506" s="1138"/>
      <c r="D7506" s="1129"/>
      <c r="E7506" s="1129"/>
      <c r="F7506" s="1129"/>
      <c r="G7506" s="1129"/>
      <c r="H7506" s="1129" t="str">
        <f>CONCATENATE("&lt;valeur&gt;",Cellule_2053_2,"&lt;/valeur&gt;")</f>
        <v>&lt;valeur&gt;&lt;/valeur&gt;</v>
      </c>
      <c r="I7506" s="1129"/>
      <c r="J7506" s="1127"/>
    </row>
    <row r="7507" spans="1:10" x14ac:dyDescent="0.2">
      <c r="A7507" s="997">
        <f t="shared" si="117"/>
        <v>7506</v>
      </c>
      <c r="B7507" s="1129" t="s">
        <v>2718</v>
      </c>
      <c r="C7507" s="1138"/>
      <c r="D7507" s="1129"/>
      <c r="E7507" s="1129"/>
      <c r="F7507" s="1129"/>
      <c r="G7507" s="1129"/>
      <c r="H7507" s="1129" t="s">
        <v>2735</v>
      </c>
      <c r="I7507" s="1129"/>
      <c r="J7507" s="1127"/>
    </row>
    <row r="7508" spans="1:10" x14ac:dyDescent="0.2">
      <c r="A7508" s="997">
        <f t="shared" si="117"/>
        <v>7507</v>
      </c>
      <c r="B7508" s="1130" t="s">
        <v>2718</v>
      </c>
      <c r="C7508" s="1144"/>
      <c r="D7508" s="1130"/>
      <c r="E7508" s="1130"/>
      <c r="F7508" s="1130"/>
      <c r="G7508" s="1130" t="s">
        <v>1109</v>
      </c>
      <c r="H7508" s="1130"/>
      <c r="I7508" s="1130"/>
      <c r="J7508" s="1142"/>
    </row>
    <row r="7509" spans="1:10" x14ac:dyDescent="0.2">
      <c r="A7509" s="997">
        <f t="shared" si="117"/>
        <v>7508</v>
      </c>
      <c r="B7509" s="1128" t="s">
        <v>2718</v>
      </c>
      <c r="C7509" s="1143"/>
      <c r="D7509" s="1128"/>
      <c r="E7509" s="1128"/>
      <c r="F7509" s="1128"/>
      <c r="G7509" s="1128" t="s">
        <v>1106</v>
      </c>
      <c r="H7509" s="1128"/>
      <c r="I7509" s="1128"/>
      <c r="J7509" s="1124"/>
    </row>
    <row r="7510" spans="1:10" x14ac:dyDescent="0.2">
      <c r="A7510" s="997">
        <f t="shared" si="117"/>
        <v>7509</v>
      </c>
      <c r="B7510" s="1129" t="s">
        <v>2718</v>
      </c>
      <c r="C7510" s="1139"/>
      <c r="D7510" s="1129"/>
      <c r="E7510" s="1129"/>
      <c r="F7510" s="1129"/>
      <c r="G7510" s="1129"/>
      <c r="H7510" s="1129" t="s">
        <v>2219</v>
      </c>
      <c r="I7510" s="1129"/>
      <c r="J7510" s="1127"/>
    </row>
    <row r="7511" spans="1:10" x14ac:dyDescent="0.2">
      <c r="A7511" s="997">
        <f t="shared" si="117"/>
        <v>7510</v>
      </c>
      <c r="B7511" s="1129" t="s">
        <v>2718</v>
      </c>
      <c r="C7511" s="1139"/>
      <c r="D7511" s="1129"/>
      <c r="E7511" s="1129"/>
      <c r="F7511" s="1129"/>
      <c r="G7511" s="1129"/>
      <c r="H7511" s="1129" t="str">
        <f>CONCATENATE("&lt;valeur&gt;",Cellule_2044_3,"&lt;/valeur&gt;")</f>
        <v>&lt;valeur&gt;&lt;/valeur&gt;</v>
      </c>
      <c r="I7511" s="1129"/>
      <c r="J7511" s="1127"/>
    </row>
    <row r="7512" spans="1:10" x14ac:dyDescent="0.2">
      <c r="A7512" s="997">
        <f t="shared" si="117"/>
        <v>7511</v>
      </c>
      <c r="B7512" s="1129" t="s">
        <v>2718</v>
      </c>
      <c r="C7512" s="1138"/>
      <c r="D7512" s="1129"/>
      <c r="E7512" s="1129"/>
      <c r="F7512" s="1129"/>
      <c r="G7512" s="1129"/>
      <c r="H7512" s="1129" t="s">
        <v>2736</v>
      </c>
      <c r="I7512" s="1129"/>
      <c r="J7512" s="1127"/>
    </row>
    <row r="7513" spans="1:10" x14ac:dyDescent="0.2">
      <c r="A7513" s="997">
        <f t="shared" si="117"/>
        <v>7512</v>
      </c>
      <c r="B7513" s="1129" t="s">
        <v>2718</v>
      </c>
      <c r="C7513" s="1138"/>
      <c r="D7513" s="1129"/>
      <c r="E7513" s="1129"/>
      <c r="F7513" s="1129"/>
      <c r="G7513" s="1129" t="s">
        <v>1109</v>
      </c>
      <c r="H7513" s="1129"/>
      <c r="I7513" s="1129"/>
      <c r="J7513" s="1127"/>
    </row>
    <row r="7514" spans="1:10" x14ac:dyDescent="0.2">
      <c r="A7514" s="997">
        <f t="shared" si="117"/>
        <v>7513</v>
      </c>
      <c r="B7514" s="1129" t="s">
        <v>2718</v>
      </c>
      <c r="C7514" s="1139"/>
      <c r="D7514" s="1129"/>
      <c r="E7514" s="1129"/>
      <c r="F7514" s="1129"/>
      <c r="G7514" s="1129" t="s">
        <v>1106</v>
      </c>
      <c r="H7514" s="1129"/>
      <c r="I7514" s="1129"/>
      <c r="J7514" s="1127"/>
    </row>
    <row r="7515" spans="1:10" x14ac:dyDescent="0.2">
      <c r="A7515" s="997">
        <f t="shared" si="117"/>
        <v>7514</v>
      </c>
      <c r="B7515" s="1129" t="s">
        <v>2718</v>
      </c>
      <c r="C7515" s="1140"/>
      <c r="D7515" s="1129"/>
      <c r="E7515" s="1129"/>
      <c r="F7515" s="1129"/>
      <c r="G7515" s="1129"/>
      <c r="H7515" s="1129" t="s">
        <v>2220</v>
      </c>
      <c r="I7515" s="1129"/>
      <c r="J7515" s="1127"/>
    </row>
    <row r="7516" spans="1:10" x14ac:dyDescent="0.2">
      <c r="A7516" s="997">
        <f t="shared" si="117"/>
        <v>7515</v>
      </c>
      <c r="B7516" s="1129" t="s">
        <v>2718</v>
      </c>
      <c r="C7516" s="1139"/>
      <c r="D7516" s="1129"/>
      <c r="E7516" s="1129"/>
      <c r="F7516" s="1129"/>
      <c r="G7516" s="1129"/>
      <c r="H7516" s="1129" t="str">
        <f>CONCATENATE("&lt;valeur&gt;",Cellule_2045_3,"&lt;/valeur&gt;")</f>
        <v>&lt;valeur&gt;&lt;/valeur&gt;</v>
      </c>
      <c r="I7516" s="1129"/>
      <c r="J7516" s="1127"/>
    </row>
    <row r="7517" spans="1:10" x14ac:dyDescent="0.2">
      <c r="A7517" s="997">
        <f t="shared" si="117"/>
        <v>7516</v>
      </c>
      <c r="B7517" s="1129" t="s">
        <v>2718</v>
      </c>
      <c r="C7517" s="1139"/>
      <c r="D7517" s="1129"/>
      <c r="E7517" s="1129"/>
      <c r="F7517" s="1129"/>
      <c r="G7517" s="1129"/>
      <c r="H7517" s="1129" t="s">
        <v>2736</v>
      </c>
      <c r="I7517" s="1129"/>
      <c r="J7517" s="1127"/>
    </row>
    <row r="7518" spans="1:10" x14ac:dyDescent="0.2">
      <c r="A7518" s="997">
        <f t="shared" si="117"/>
        <v>7517</v>
      </c>
      <c r="B7518" s="1129" t="s">
        <v>2718</v>
      </c>
      <c r="C7518" s="1139"/>
      <c r="D7518" s="1129"/>
      <c r="E7518" s="1129"/>
      <c r="F7518" s="1129"/>
      <c r="G7518" s="1129" t="s">
        <v>1109</v>
      </c>
      <c r="H7518" s="1129"/>
      <c r="I7518" s="1129"/>
      <c r="J7518" s="1127"/>
    </row>
    <row r="7519" spans="1:10" x14ac:dyDescent="0.2">
      <c r="A7519" s="997">
        <f t="shared" si="117"/>
        <v>7518</v>
      </c>
      <c r="B7519" s="1129" t="s">
        <v>2718</v>
      </c>
      <c r="C7519" s="1138"/>
      <c r="D7519" s="1129"/>
      <c r="E7519" s="1129"/>
      <c r="F7519" s="1129"/>
      <c r="G7519" s="1129" t="s">
        <v>1106</v>
      </c>
      <c r="H7519" s="1129"/>
      <c r="I7519" s="1129"/>
      <c r="J7519" s="1127"/>
    </row>
    <row r="7520" spans="1:10" x14ac:dyDescent="0.2">
      <c r="A7520" s="997">
        <f t="shared" si="117"/>
        <v>7519</v>
      </c>
      <c r="B7520" s="1129" t="s">
        <v>2718</v>
      </c>
      <c r="C7520" s="1138"/>
      <c r="D7520" s="1129"/>
      <c r="E7520" s="1129"/>
      <c r="F7520" s="1129"/>
      <c r="G7520" s="1129"/>
      <c r="H7520" s="1129" t="s">
        <v>2221</v>
      </c>
      <c r="I7520" s="1129"/>
      <c r="J7520" s="1127"/>
    </row>
    <row r="7521" spans="1:10" x14ac:dyDescent="0.2">
      <c r="A7521" s="997">
        <f t="shared" si="117"/>
        <v>7520</v>
      </c>
      <c r="B7521" s="1129" t="s">
        <v>2718</v>
      </c>
      <c r="C7521" s="1139"/>
      <c r="D7521" s="1129"/>
      <c r="E7521" s="1129"/>
      <c r="F7521" s="1129"/>
      <c r="G7521" s="1129"/>
      <c r="H7521" s="1129" t="str">
        <f>CONCATENATE("&lt;valeur&gt;",Cellule_2046_3,"&lt;/valeur&gt;")</f>
        <v>&lt;valeur&gt;&lt;/valeur&gt;</v>
      </c>
      <c r="I7521" s="1129"/>
      <c r="J7521" s="1127"/>
    </row>
    <row r="7522" spans="1:10" x14ac:dyDescent="0.2">
      <c r="A7522" s="997">
        <f t="shared" si="117"/>
        <v>7521</v>
      </c>
      <c r="B7522" s="1129" t="s">
        <v>2718</v>
      </c>
      <c r="C7522" s="1140"/>
      <c r="D7522" s="1129"/>
      <c r="E7522" s="1129"/>
      <c r="F7522" s="1129"/>
      <c r="G7522" s="1129"/>
      <c r="H7522" s="1129" t="s">
        <v>2736</v>
      </c>
      <c r="I7522" s="1129"/>
      <c r="J7522" s="1127"/>
    </row>
    <row r="7523" spans="1:10" x14ac:dyDescent="0.2">
      <c r="A7523" s="997">
        <f t="shared" si="117"/>
        <v>7522</v>
      </c>
      <c r="B7523" s="1129" t="s">
        <v>2718</v>
      </c>
      <c r="C7523" s="1139"/>
      <c r="D7523" s="1129"/>
      <c r="E7523" s="1129"/>
      <c r="F7523" s="1129"/>
      <c r="G7523" s="1129" t="s">
        <v>1109</v>
      </c>
      <c r="H7523" s="1129"/>
      <c r="I7523" s="1129"/>
      <c r="J7523" s="1127"/>
    </row>
    <row r="7524" spans="1:10" x14ac:dyDescent="0.2">
      <c r="A7524" s="997">
        <f t="shared" si="117"/>
        <v>7523</v>
      </c>
      <c r="B7524" s="1129" t="s">
        <v>2718</v>
      </c>
      <c r="C7524" s="1139"/>
      <c r="D7524" s="1129"/>
      <c r="E7524" s="1129"/>
      <c r="F7524" s="1129"/>
      <c r="G7524" s="1129" t="s">
        <v>1106</v>
      </c>
      <c r="H7524" s="1129"/>
      <c r="I7524" s="1129"/>
      <c r="J7524" s="1127"/>
    </row>
    <row r="7525" spans="1:10" x14ac:dyDescent="0.2">
      <c r="A7525" s="997">
        <f t="shared" si="117"/>
        <v>7524</v>
      </c>
      <c r="B7525" s="1129" t="s">
        <v>2718</v>
      </c>
      <c r="C7525" s="1139"/>
      <c r="D7525" s="1129"/>
      <c r="E7525" s="1129"/>
      <c r="F7525" s="1129"/>
      <c r="G7525" s="1129"/>
      <c r="H7525" s="1129" t="s">
        <v>2222</v>
      </c>
      <c r="I7525" s="1129"/>
      <c r="J7525" s="1127"/>
    </row>
    <row r="7526" spans="1:10" x14ac:dyDescent="0.2">
      <c r="A7526" s="997">
        <f t="shared" si="117"/>
        <v>7525</v>
      </c>
      <c r="B7526" s="1129" t="s">
        <v>2718</v>
      </c>
      <c r="C7526" s="1138"/>
      <c r="D7526" s="1129"/>
      <c r="E7526" s="1129"/>
      <c r="F7526" s="1129"/>
      <c r="G7526" s="1129"/>
      <c r="H7526" s="1129" t="str">
        <f>CONCATENATE("&lt;valeur&gt;",Cellule_2047_3,"&lt;/valeur&gt;")</f>
        <v>&lt;valeur&gt;&lt;/valeur&gt;</v>
      </c>
      <c r="I7526" s="1129"/>
      <c r="J7526" s="1127"/>
    </row>
    <row r="7527" spans="1:10" x14ac:dyDescent="0.2">
      <c r="A7527" s="997">
        <f t="shared" si="117"/>
        <v>7526</v>
      </c>
      <c r="B7527" s="1129" t="s">
        <v>2718</v>
      </c>
      <c r="C7527" s="1138"/>
      <c r="D7527" s="1129"/>
      <c r="E7527" s="1129"/>
      <c r="F7527" s="1129"/>
      <c r="G7527" s="1129"/>
      <c r="H7527" s="1129" t="s">
        <v>2736</v>
      </c>
      <c r="I7527" s="1129"/>
      <c r="J7527" s="1127"/>
    </row>
    <row r="7528" spans="1:10" x14ac:dyDescent="0.2">
      <c r="A7528" s="997">
        <f t="shared" si="117"/>
        <v>7527</v>
      </c>
      <c r="B7528" s="1129" t="s">
        <v>2718</v>
      </c>
      <c r="C7528" s="1139"/>
      <c r="D7528" s="1129"/>
      <c r="E7528" s="1129"/>
      <c r="F7528" s="1129"/>
      <c r="G7528" s="1129" t="s">
        <v>1109</v>
      </c>
      <c r="H7528" s="1129"/>
      <c r="I7528" s="1129"/>
      <c r="J7528" s="1127"/>
    </row>
    <row r="7529" spans="1:10" x14ac:dyDescent="0.2">
      <c r="A7529" s="997">
        <f t="shared" si="117"/>
        <v>7528</v>
      </c>
      <c r="B7529" s="1129" t="s">
        <v>2718</v>
      </c>
      <c r="C7529" s="1140"/>
      <c r="D7529" s="1129"/>
      <c r="E7529" s="1129"/>
      <c r="F7529" s="1129"/>
      <c r="G7529" s="1129" t="s">
        <v>1106</v>
      </c>
      <c r="H7529" s="1129"/>
      <c r="I7529" s="1129"/>
      <c r="J7529" s="1127"/>
    </row>
    <row r="7530" spans="1:10" x14ac:dyDescent="0.2">
      <c r="A7530" s="997">
        <f t="shared" si="117"/>
        <v>7529</v>
      </c>
      <c r="B7530" s="1129" t="s">
        <v>2718</v>
      </c>
      <c r="C7530" s="1139"/>
      <c r="D7530" s="1129"/>
      <c r="E7530" s="1129"/>
      <c r="F7530" s="1129"/>
      <c r="G7530" s="1129"/>
      <c r="H7530" s="1129" t="s">
        <v>2223</v>
      </c>
      <c r="I7530" s="1129"/>
      <c r="J7530" s="1127"/>
    </row>
    <row r="7531" spans="1:10" x14ac:dyDescent="0.2">
      <c r="A7531" s="997">
        <f t="shared" si="117"/>
        <v>7530</v>
      </c>
      <c r="B7531" s="1129" t="s">
        <v>2718</v>
      </c>
      <c r="C7531" s="1139"/>
      <c r="D7531" s="1129"/>
      <c r="E7531" s="1129"/>
      <c r="F7531" s="1129"/>
      <c r="G7531" s="1129"/>
      <c r="H7531" s="1129" t="str">
        <f>CONCATENATE("&lt;valeur&gt;",Cellule_2048_3,"&lt;/valeur&gt;")</f>
        <v>&lt;valeur&gt;&lt;/valeur&gt;</v>
      </c>
      <c r="I7531" s="1129"/>
      <c r="J7531" s="1127"/>
    </row>
    <row r="7532" spans="1:10" x14ac:dyDescent="0.2">
      <c r="A7532" s="997">
        <f t="shared" si="117"/>
        <v>7531</v>
      </c>
      <c r="B7532" s="1129" t="s">
        <v>2718</v>
      </c>
      <c r="C7532" s="1138"/>
      <c r="D7532" s="1129"/>
      <c r="E7532" s="1129"/>
      <c r="F7532" s="1129"/>
      <c r="G7532" s="1129"/>
      <c r="H7532" s="1129" t="s">
        <v>2736</v>
      </c>
      <c r="I7532" s="1129"/>
      <c r="J7532" s="1127"/>
    </row>
    <row r="7533" spans="1:10" x14ac:dyDescent="0.2">
      <c r="A7533" s="997">
        <f t="shared" si="117"/>
        <v>7532</v>
      </c>
      <c r="B7533" s="1129" t="s">
        <v>2718</v>
      </c>
      <c r="C7533" s="1138"/>
      <c r="D7533" s="1129"/>
      <c r="E7533" s="1129"/>
      <c r="F7533" s="1129"/>
      <c r="G7533" s="1129" t="s">
        <v>1109</v>
      </c>
      <c r="H7533" s="1129"/>
      <c r="I7533" s="1129"/>
      <c r="J7533" s="1127"/>
    </row>
    <row r="7534" spans="1:10" x14ac:dyDescent="0.2">
      <c r="A7534" s="997">
        <f t="shared" si="117"/>
        <v>7533</v>
      </c>
      <c r="B7534" s="1129" t="s">
        <v>2718</v>
      </c>
      <c r="C7534" s="1139"/>
      <c r="D7534" s="1129"/>
      <c r="E7534" s="1129"/>
      <c r="F7534" s="1129"/>
      <c r="G7534" s="1129" t="s">
        <v>1106</v>
      </c>
      <c r="H7534" s="1129"/>
      <c r="I7534" s="1129"/>
      <c r="J7534" s="1127"/>
    </row>
    <row r="7535" spans="1:10" x14ac:dyDescent="0.2">
      <c r="A7535" s="997">
        <f t="shared" si="117"/>
        <v>7534</v>
      </c>
      <c r="B7535" s="1129" t="s">
        <v>2718</v>
      </c>
      <c r="C7535" s="1140"/>
      <c r="D7535" s="1129"/>
      <c r="E7535" s="1129"/>
      <c r="F7535" s="1129"/>
      <c r="G7535" s="1129"/>
      <c r="H7535" s="1129" t="s">
        <v>2224</v>
      </c>
      <c r="I7535" s="1129"/>
      <c r="J7535" s="1127"/>
    </row>
    <row r="7536" spans="1:10" x14ac:dyDescent="0.2">
      <c r="A7536" s="997">
        <f t="shared" si="117"/>
        <v>7535</v>
      </c>
      <c r="B7536" s="1129" t="s">
        <v>2718</v>
      </c>
      <c r="C7536" s="1139"/>
      <c r="D7536" s="1129"/>
      <c r="E7536" s="1129"/>
      <c r="F7536" s="1129"/>
      <c r="G7536" s="1129"/>
      <c r="H7536" s="1129" t="str">
        <f>CONCATENATE("&lt;valeur&gt;",Cellule_2049_3,"&lt;/valeur&gt;")</f>
        <v>&lt;valeur&gt;&lt;/valeur&gt;</v>
      </c>
      <c r="I7536" s="1129"/>
      <c r="J7536" s="1127"/>
    </row>
    <row r="7537" spans="1:10" x14ac:dyDescent="0.2">
      <c r="A7537" s="997">
        <f t="shared" si="117"/>
        <v>7536</v>
      </c>
      <c r="B7537" s="1129" t="s">
        <v>2718</v>
      </c>
      <c r="C7537" s="1139"/>
      <c r="D7537" s="1129"/>
      <c r="E7537" s="1129"/>
      <c r="F7537" s="1129"/>
      <c r="G7537" s="1129"/>
      <c r="H7537" s="1129" t="s">
        <v>2736</v>
      </c>
      <c r="I7537" s="1129"/>
      <c r="J7537" s="1127"/>
    </row>
    <row r="7538" spans="1:10" x14ac:dyDescent="0.2">
      <c r="A7538" s="997">
        <f t="shared" si="117"/>
        <v>7537</v>
      </c>
      <c r="B7538" s="1129" t="s">
        <v>2718</v>
      </c>
      <c r="C7538" s="1138"/>
      <c r="D7538" s="1129"/>
      <c r="E7538" s="1129"/>
      <c r="F7538" s="1129"/>
      <c r="G7538" s="1129" t="s">
        <v>1109</v>
      </c>
      <c r="H7538" s="1129"/>
      <c r="I7538" s="1129"/>
      <c r="J7538" s="1127"/>
    </row>
    <row r="7539" spans="1:10" x14ac:dyDescent="0.2">
      <c r="A7539" s="997">
        <f t="shared" si="117"/>
        <v>7538</v>
      </c>
      <c r="B7539" s="1129" t="s">
        <v>2718</v>
      </c>
      <c r="C7539" s="1138"/>
      <c r="D7539" s="1129"/>
      <c r="E7539" s="1129"/>
      <c r="F7539" s="1129"/>
      <c r="G7539" s="1129" t="s">
        <v>1106</v>
      </c>
      <c r="H7539" s="1129"/>
      <c r="I7539" s="1129"/>
      <c r="J7539" s="1127"/>
    </row>
    <row r="7540" spans="1:10" x14ac:dyDescent="0.2">
      <c r="A7540" s="997">
        <f t="shared" si="117"/>
        <v>7539</v>
      </c>
      <c r="B7540" s="1129" t="s">
        <v>2718</v>
      </c>
      <c r="C7540" s="1139"/>
      <c r="D7540" s="1129"/>
      <c r="E7540" s="1129"/>
      <c r="F7540" s="1129"/>
      <c r="G7540" s="1129"/>
      <c r="H7540" s="1129" t="s">
        <v>2225</v>
      </c>
      <c r="I7540" s="1129"/>
      <c r="J7540" s="1127"/>
    </row>
    <row r="7541" spans="1:10" x14ac:dyDescent="0.2">
      <c r="A7541" s="997">
        <f t="shared" si="117"/>
        <v>7540</v>
      </c>
      <c r="B7541" s="1129" t="s">
        <v>2718</v>
      </c>
      <c r="C7541" s="1140"/>
      <c r="D7541" s="1129"/>
      <c r="E7541" s="1129"/>
      <c r="F7541" s="1129"/>
      <c r="G7541" s="1129"/>
      <c r="H7541" s="1129" t="str">
        <f>CONCATENATE("&lt;valeur&gt;",Cellule_2050_3,"&lt;/valeur&gt;")</f>
        <v>&lt;valeur&gt;&lt;/valeur&gt;</v>
      </c>
      <c r="I7541" s="1129"/>
      <c r="J7541" s="1127"/>
    </row>
    <row r="7542" spans="1:10" x14ac:dyDescent="0.2">
      <c r="A7542" s="997">
        <f t="shared" si="117"/>
        <v>7541</v>
      </c>
      <c r="B7542" s="1129" t="s">
        <v>2718</v>
      </c>
      <c r="C7542" s="1139"/>
      <c r="D7542" s="1129"/>
      <c r="E7542" s="1129"/>
      <c r="F7542" s="1129"/>
      <c r="G7542" s="1129"/>
      <c r="H7542" s="1129" t="s">
        <v>2736</v>
      </c>
      <c r="I7542" s="1129"/>
      <c r="J7542" s="1127"/>
    </row>
    <row r="7543" spans="1:10" x14ac:dyDescent="0.2">
      <c r="A7543" s="997">
        <f t="shared" si="117"/>
        <v>7542</v>
      </c>
      <c r="B7543" s="1129" t="s">
        <v>2718</v>
      </c>
      <c r="C7543" s="1139"/>
      <c r="D7543" s="1129"/>
      <c r="E7543" s="1129"/>
      <c r="F7543" s="1129"/>
      <c r="G7543" s="1129" t="s">
        <v>1109</v>
      </c>
      <c r="H7543" s="1129"/>
      <c r="I7543" s="1129"/>
      <c r="J7543" s="1127"/>
    </row>
    <row r="7544" spans="1:10" x14ac:dyDescent="0.2">
      <c r="A7544" s="997">
        <f t="shared" si="117"/>
        <v>7543</v>
      </c>
      <c r="B7544" s="1129" t="s">
        <v>2718</v>
      </c>
      <c r="C7544" s="1138"/>
      <c r="D7544" s="1129"/>
      <c r="E7544" s="1129"/>
      <c r="F7544" s="1129"/>
      <c r="G7544" s="1129" t="s">
        <v>1106</v>
      </c>
      <c r="H7544" s="1129"/>
      <c r="I7544" s="1129"/>
      <c r="J7544" s="1127"/>
    </row>
    <row r="7545" spans="1:10" x14ac:dyDescent="0.2">
      <c r="A7545" s="997">
        <f t="shared" si="117"/>
        <v>7544</v>
      </c>
      <c r="B7545" s="1129" t="s">
        <v>2718</v>
      </c>
      <c r="C7545" s="1138"/>
      <c r="D7545" s="1129"/>
      <c r="E7545" s="1129"/>
      <c r="F7545" s="1129"/>
      <c r="G7545" s="1129"/>
      <c r="H7545" s="1129" t="s">
        <v>2226</v>
      </c>
      <c r="I7545" s="1129"/>
      <c r="J7545" s="1127"/>
    </row>
    <row r="7546" spans="1:10" x14ac:dyDescent="0.2">
      <c r="A7546" s="997">
        <f t="shared" si="117"/>
        <v>7545</v>
      </c>
      <c r="B7546" s="1129" t="s">
        <v>2718</v>
      </c>
      <c r="C7546" s="1139"/>
      <c r="D7546" s="1129"/>
      <c r="E7546" s="1129"/>
      <c r="F7546" s="1129"/>
      <c r="G7546" s="1129"/>
      <c r="H7546" s="1129" t="str">
        <f>CONCATENATE("&lt;valeur&gt;",Cellule_2051_3,"&lt;/valeur&gt;")</f>
        <v>&lt;valeur&gt;&lt;/valeur&gt;</v>
      </c>
      <c r="I7546" s="1129"/>
      <c r="J7546" s="1127"/>
    </row>
    <row r="7547" spans="1:10" x14ac:dyDescent="0.2">
      <c r="A7547" s="997">
        <f t="shared" si="117"/>
        <v>7546</v>
      </c>
      <c r="B7547" s="1129" t="s">
        <v>2718</v>
      </c>
      <c r="C7547" s="1140"/>
      <c r="D7547" s="1129"/>
      <c r="E7547" s="1129"/>
      <c r="F7547" s="1129"/>
      <c r="G7547" s="1129"/>
      <c r="H7547" s="1129" t="s">
        <v>2736</v>
      </c>
      <c r="I7547" s="1129"/>
      <c r="J7547" s="1127"/>
    </row>
    <row r="7548" spans="1:10" x14ac:dyDescent="0.2">
      <c r="A7548" s="997">
        <f t="shared" si="117"/>
        <v>7547</v>
      </c>
      <c r="B7548" s="1129" t="s">
        <v>2718</v>
      </c>
      <c r="C7548" s="1139"/>
      <c r="D7548" s="1129"/>
      <c r="E7548" s="1129"/>
      <c r="F7548" s="1129"/>
      <c r="G7548" s="1129" t="s">
        <v>1109</v>
      </c>
      <c r="H7548" s="1129"/>
      <c r="I7548" s="1129"/>
      <c r="J7548" s="1127"/>
    </row>
    <row r="7549" spans="1:10" x14ac:dyDescent="0.2">
      <c r="A7549" s="997">
        <f t="shared" si="117"/>
        <v>7548</v>
      </c>
      <c r="B7549" s="1129" t="s">
        <v>2718</v>
      </c>
      <c r="C7549" s="1139"/>
      <c r="D7549" s="1129"/>
      <c r="E7549" s="1129"/>
      <c r="F7549" s="1129"/>
      <c r="G7549" s="1129" t="s">
        <v>1106</v>
      </c>
      <c r="H7549" s="1129"/>
      <c r="I7549" s="1129"/>
      <c r="J7549" s="1127"/>
    </row>
    <row r="7550" spans="1:10" x14ac:dyDescent="0.2">
      <c r="A7550" s="997">
        <f t="shared" si="117"/>
        <v>7549</v>
      </c>
      <c r="B7550" s="1129" t="s">
        <v>2718</v>
      </c>
      <c r="C7550" s="1138"/>
      <c r="D7550" s="1129"/>
      <c r="E7550" s="1129"/>
      <c r="F7550" s="1129"/>
      <c r="G7550" s="1129"/>
      <c r="H7550" s="1129" t="s">
        <v>2227</v>
      </c>
      <c r="I7550" s="1129"/>
      <c r="J7550" s="1127"/>
    </row>
    <row r="7551" spans="1:10" x14ac:dyDescent="0.2">
      <c r="A7551" s="997">
        <f t="shared" si="117"/>
        <v>7550</v>
      </c>
      <c r="B7551" s="1129" t="s">
        <v>2718</v>
      </c>
      <c r="C7551" s="1138"/>
      <c r="D7551" s="1129"/>
      <c r="E7551" s="1129"/>
      <c r="F7551" s="1129"/>
      <c r="G7551" s="1129"/>
      <c r="H7551" s="1129" t="str">
        <f>CONCATENATE("&lt;valeur&gt;",Cellule_2052_3,"&lt;/valeur&gt;")</f>
        <v>&lt;valeur&gt;&lt;/valeur&gt;</v>
      </c>
      <c r="I7551" s="1129"/>
      <c r="J7551" s="1127"/>
    </row>
    <row r="7552" spans="1:10" x14ac:dyDescent="0.2">
      <c r="A7552" s="997">
        <f t="shared" si="117"/>
        <v>7551</v>
      </c>
      <c r="B7552" s="1129" t="s">
        <v>2718</v>
      </c>
      <c r="C7552" s="1139"/>
      <c r="D7552" s="1129"/>
      <c r="E7552" s="1129"/>
      <c r="F7552" s="1129"/>
      <c r="G7552" s="1129"/>
      <c r="H7552" s="1129" t="s">
        <v>2736</v>
      </c>
      <c r="I7552" s="1129"/>
      <c r="J7552" s="1127"/>
    </row>
    <row r="7553" spans="1:10" x14ac:dyDescent="0.2">
      <c r="A7553" s="997">
        <f t="shared" si="117"/>
        <v>7552</v>
      </c>
      <c r="B7553" s="1129" t="s">
        <v>2718</v>
      </c>
      <c r="C7553" s="1140"/>
      <c r="D7553" s="1129"/>
      <c r="E7553" s="1129"/>
      <c r="F7553" s="1129"/>
      <c r="G7553" s="1129" t="s">
        <v>1109</v>
      </c>
      <c r="H7553" s="1129"/>
      <c r="I7553" s="1129"/>
      <c r="J7553" s="1127"/>
    </row>
    <row r="7554" spans="1:10" x14ac:dyDescent="0.2">
      <c r="A7554" s="997">
        <f t="shared" si="117"/>
        <v>7553</v>
      </c>
      <c r="B7554" s="1129" t="s">
        <v>2718</v>
      </c>
      <c r="C7554" s="1139"/>
      <c r="D7554" s="1129"/>
      <c r="E7554" s="1129"/>
      <c r="F7554" s="1129"/>
      <c r="G7554" s="1129" t="s">
        <v>1106</v>
      </c>
      <c r="H7554" s="1129"/>
      <c r="I7554" s="1129"/>
      <c r="J7554" s="1127"/>
    </row>
    <row r="7555" spans="1:10" x14ac:dyDescent="0.2">
      <c r="A7555" s="997">
        <f t="shared" si="117"/>
        <v>7554</v>
      </c>
      <c r="B7555" s="1129" t="s">
        <v>2718</v>
      </c>
      <c r="C7555" s="1139"/>
      <c r="D7555" s="1129"/>
      <c r="E7555" s="1129"/>
      <c r="F7555" s="1129"/>
      <c r="G7555" s="1129"/>
      <c r="H7555" s="1129" t="s">
        <v>2228</v>
      </c>
      <c r="I7555" s="1129"/>
      <c r="J7555" s="1127"/>
    </row>
    <row r="7556" spans="1:10" x14ac:dyDescent="0.2">
      <c r="A7556" s="997">
        <f t="shared" ref="A7556:A7619" si="118">+A7555+1</f>
        <v>7555</v>
      </c>
      <c r="B7556" s="1129" t="s">
        <v>2718</v>
      </c>
      <c r="C7556" s="1138"/>
      <c r="D7556" s="1129"/>
      <c r="E7556" s="1129"/>
      <c r="F7556" s="1129"/>
      <c r="G7556" s="1129"/>
      <c r="H7556" s="1129" t="str">
        <f>CONCATENATE("&lt;valeur&gt;",Cellule_2053_3,"&lt;/valeur&gt;")</f>
        <v>&lt;valeur&gt;&lt;/valeur&gt;</v>
      </c>
      <c r="I7556" s="1129"/>
      <c r="J7556" s="1127"/>
    </row>
    <row r="7557" spans="1:10" x14ac:dyDescent="0.2">
      <c r="A7557" s="997">
        <f t="shared" si="118"/>
        <v>7556</v>
      </c>
      <c r="B7557" s="1129" t="s">
        <v>2718</v>
      </c>
      <c r="C7557" s="1138"/>
      <c r="D7557" s="1129"/>
      <c r="E7557" s="1129"/>
      <c r="F7557" s="1129"/>
      <c r="G7557" s="1129"/>
      <c r="H7557" s="1129" t="s">
        <v>2736</v>
      </c>
      <c r="I7557" s="1129"/>
      <c r="J7557" s="1127"/>
    </row>
    <row r="7558" spans="1:10" x14ac:dyDescent="0.2">
      <c r="A7558" s="997">
        <f t="shared" si="118"/>
        <v>7557</v>
      </c>
      <c r="B7558" s="1130" t="s">
        <v>2718</v>
      </c>
      <c r="C7558" s="1144"/>
      <c r="D7558" s="1130"/>
      <c r="E7558" s="1130"/>
      <c r="F7558" s="1130"/>
      <c r="G7558" s="1130" t="s">
        <v>1109</v>
      </c>
      <c r="H7558" s="1130"/>
      <c r="I7558" s="1130"/>
      <c r="J7558" s="1142"/>
    </row>
    <row r="7559" spans="1:10" x14ac:dyDescent="0.2">
      <c r="A7559" s="997">
        <f t="shared" si="118"/>
        <v>7558</v>
      </c>
      <c r="B7559" s="1128" t="s">
        <v>2718</v>
      </c>
      <c r="C7559" s="1143"/>
      <c r="D7559" s="1128"/>
      <c r="E7559" s="1128"/>
      <c r="F7559" s="1128"/>
      <c r="G7559" s="1128" t="s">
        <v>1106</v>
      </c>
      <c r="H7559" s="1128"/>
      <c r="I7559" s="1128"/>
      <c r="J7559" s="1124"/>
    </row>
    <row r="7560" spans="1:10" x14ac:dyDescent="0.2">
      <c r="A7560" s="997">
        <f t="shared" si="118"/>
        <v>7559</v>
      </c>
      <c r="B7560" s="1129" t="s">
        <v>2718</v>
      </c>
      <c r="C7560" s="1139"/>
      <c r="D7560" s="1129"/>
      <c r="E7560" s="1129"/>
      <c r="F7560" s="1129"/>
      <c r="G7560" s="1129"/>
      <c r="H7560" s="1129" t="s">
        <v>2219</v>
      </c>
      <c r="I7560" s="1129"/>
      <c r="J7560" s="1127"/>
    </row>
    <row r="7561" spans="1:10" x14ac:dyDescent="0.2">
      <c r="A7561" s="997">
        <f t="shared" si="118"/>
        <v>7560</v>
      </c>
      <c r="B7561" s="1129" t="s">
        <v>2718</v>
      </c>
      <c r="C7561" s="1139"/>
      <c r="D7561" s="1129"/>
      <c r="E7561" s="1129"/>
      <c r="F7561" s="1129"/>
      <c r="G7561" s="1129"/>
      <c r="H7561" s="1129" t="str">
        <f>CONCATENATE("&lt;valeur&gt;",Cellule_2044_4,"&lt;/valeur&gt;")</f>
        <v>&lt;valeur&gt;&lt;/valeur&gt;</v>
      </c>
      <c r="I7561" s="1129"/>
      <c r="J7561" s="1127"/>
    </row>
    <row r="7562" spans="1:10" x14ac:dyDescent="0.2">
      <c r="A7562" s="997">
        <f t="shared" si="118"/>
        <v>7561</v>
      </c>
      <c r="B7562" s="1129" t="s">
        <v>2718</v>
      </c>
      <c r="C7562" s="1138"/>
      <c r="D7562" s="1129"/>
      <c r="E7562" s="1129"/>
      <c r="F7562" s="1129"/>
      <c r="G7562" s="1129"/>
      <c r="H7562" s="1129" t="s">
        <v>2737</v>
      </c>
      <c r="I7562" s="1129"/>
      <c r="J7562" s="1127"/>
    </row>
    <row r="7563" spans="1:10" x14ac:dyDescent="0.2">
      <c r="A7563" s="997">
        <f t="shared" si="118"/>
        <v>7562</v>
      </c>
      <c r="B7563" s="1129" t="s">
        <v>2718</v>
      </c>
      <c r="C7563" s="1138"/>
      <c r="D7563" s="1129"/>
      <c r="E7563" s="1129"/>
      <c r="F7563" s="1129"/>
      <c r="G7563" s="1129" t="s">
        <v>1109</v>
      </c>
      <c r="H7563" s="1129"/>
      <c r="I7563" s="1129"/>
      <c r="J7563" s="1127"/>
    </row>
    <row r="7564" spans="1:10" x14ac:dyDescent="0.2">
      <c r="A7564" s="997">
        <f t="shared" si="118"/>
        <v>7563</v>
      </c>
      <c r="B7564" s="1129" t="s">
        <v>2718</v>
      </c>
      <c r="C7564" s="1139"/>
      <c r="D7564" s="1129"/>
      <c r="E7564" s="1129"/>
      <c r="F7564" s="1129"/>
      <c r="G7564" s="1129" t="s">
        <v>1106</v>
      </c>
      <c r="H7564" s="1129"/>
      <c r="I7564" s="1129"/>
      <c r="J7564" s="1127"/>
    </row>
    <row r="7565" spans="1:10" x14ac:dyDescent="0.2">
      <c r="A7565" s="997">
        <f t="shared" si="118"/>
        <v>7564</v>
      </c>
      <c r="B7565" s="1129" t="s">
        <v>2718</v>
      </c>
      <c r="C7565" s="1140"/>
      <c r="D7565" s="1129"/>
      <c r="E7565" s="1129"/>
      <c r="F7565" s="1129"/>
      <c r="G7565" s="1129"/>
      <c r="H7565" s="1129" t="s">
        <v>2220</v>
      </c>
      <c r="I7565" s="1129"/>
      <c r="J7565" s="1127"/>
    </row>
    <row r="7566" spans="1:10" x14ac:dyDescent="0.2">
      <c r="A7566" s="997">
        <f t="shared" si="118"/>
        <v>7565</v>
      </c>
      <c r="B7566" s="1129" t="s">
        <v>2718</v>
      </c>
      <c r="C7566" s="1139"/>
      <c r="D7566" s="1129"/>
      <c r="E7566" s="1129"/>
      <c r="F7566" s="1129"/>
      <c r="G7566" s="1129"/>
      <c r="H7566" s="1129" t="str">
        <f>CONCATENATE("&lt;valeur&gt;",Cellule_2045_4,"&lt;/valeur&gt;")</f>
        <v>&lt;valeur&gt;&lt;/valeur&gt;</v>
      </c>
      <c r="I7566" s="1129"/>
      <c r="J7566" s="1127"/>
    </row>
    <row r="7567" spans="1:10" x14ac:dyDescent="0.2">
      <c r="A7567" s="997">
        <f t="shared" si="118"/>
        <v>7566</v>
      </c>
      <c r="B7567" s="1129" t="s">
        <v>2718</v>
      </c>
      <c r="C7567" s="1139"/>
      <c r="D7567" s="1129"/>
      <c r="E7567" s="1129"/>
      <c r="F7567" s="1129"/>
      <c r="G7567" s="1129"/>
      <c r="H7567" s="1129" t="s">
        <v>2737</v>
      </c>
      <c r="I7567" s="1129"/>
      <c r="J7567" s="1127"/>
    </row>
    <row r="7568" spans="1:10" x14ac:dyDescent="0.2">
      <c r="A7568" s="997">
        <f t="shared" si="118"/>
        <v>7567</v>
      </c>
      <c r="B7568" s="1129" t="s">
        <v>2718</v>
      </c>
      <c r="C7568" s="1139"/>
      <c r="D7568" s="1129"/>
      <c r="E7568" s="1129"/>
      <c r="F7568" s="1129"/>
      <c r="G7568" s="1129" t="s">
        <v>1109</v>
      </c>
      <c r="H7568" s="1129"/>
      <c r="I7568" s="1129"/>
      <c r="J7568" s="1127"/>
    </row>
    <row r="7569" spans="1:10" x14ac:dyDescent="0.2">
      <c r="A7569" s="997">
        <f t="shared" si="118"/>
        <v>7568</v>
      </c>
      <c r="B7569" s="1129" t="s">
        <v>2718</v>
      </c>
      <c r="C7569" s="1138"/>
      <c r="D7569" s="1129"/>
      <c r="E7569" s="1129"/>
      <c r="F7569" s="1129"/>
      <c r="G7569" s="1129" t="s">
        <v>1106</v>
      </c>
      <c r="H7569" s="1129"/>
      <c r="I7569" s="1129"/>
      <c r="J7569" s="1127"/>
    </row>
    <row r="7570" spans="1:10" x14ac:dyDescent="0.2">
      <c r="A7570" s="997">
        <f t="shared" si="118"/>
        <v>7569</v>
      </c>
      <c r="B7570" s="1129" t="s">
        <v>2718</v>
      </c>
      <c r="C7570" s="1138"/>
      <c r="D7570" s="1129"/>
      <c r="E7570" s="1129"/>
      <c r="F7570" s="1129"/>
      <c r="G7570" s="1129"/>
      <c r="H7570" s="1129" t="s">
        <v>2221</v>
      </c>
      <c r="I7570" s="1129"/>
      <c r="J7570" s="1127"/>
    </row>
    <row r="7571" spans="1:10" x14ac:dyDescent="0.2">
      <c r="A7571" s="997">
        <f t="shared" si="118"/>
        <v>7570</v>
      </c>
      <c r="B7571" s="1129" t="s">
        <v>2718</v>
      </c>
      <c r="C7571" s="1139"/>
      <c r="D7571" s="1129"/>
      <c r="E7571" s="1129"/>
      <c r="F7571" s="1129"/>
      <c r="G7571" s="1129"/>
      <c r="H7571" s="1129" t="str">
        <f>CONCATENATE("&lt;valeur&gt;",Cellule_2046_4,"&lt;/valeur&gt;")</f>
        <v>&lt;valeur&gt;&lt;/valeur&gt;</v>
      </c>
      <c r="I7571" s="1129"/>
      <c r="J7571" s="1127"/>
    </row>
    <row r="7572" spans="1:10" x14ac:dyDescent="0.2">
      <c r="A7572" s="997">
        <f t="shared" si="118"/>
        <v>7571</v>
      </c>
      <c r="B7572" s="1129" t="s">
        <v>2718</v>
      </c>
      <c r="C7572" s="1140"/>
      <c r="D7572" s="1129"/>
      <c r="E7572" s="1129"/>
      <c r="F7572" s="1129"/>
      <c r="G7572" s="1129"/>
      <c r="H7572" s="1129" t="s">
        <v>2737</v>
      </c>
      <c r="I7572" s="1129"/>
      <c r="J7572" s="1127"/>
    </row>
    <row r="7573" spans="1:10" x14ac:dyDescent="0.2">
      <c r="A7573" s="997">
        <f t="shared" si="118"/>
        <v>7572</v>
      </c>
      <c r="B7573" s="1129" t="s">
        <v>2718</v>
      </c>
      <c r="C7573" s="1139"/>
      <c r="D7573" s="1129"/>
      <c r="E7573" s="1129"/>
      <c r="F7573" s="1129"/>
      <c r="G7573" s="1129" t="s">
        <v>1109</v>
      </c>
      <c r="H7573" s="1129"/>
      <c r="I7573" s="1129"/>
      <c r="J7573" s="1127"/>
    </row>
    <row r="7574" spans="1:10" x14ac:dyDescent="0.2">
      <c r="A7574" s="997">
        <f t="shared" si="118"/>
        <v>7573</v>
      </c>
      <c r="B7574" s="1129" t="s">
        <v>2718</v>
      </c>
      <c r="C7574" s="1139"/>
      <c r="D7574" s="1129"/>
      <c r="E7574" s="1129"/>
      <c r="F7574" s="1129"/>
      <c r="G7574" s="1129" t="s">
        <v>1106</v>
      </c>
      <c r="H7574" s="1129"/>
      <c r="I7574" s="1129"/>
      <c r="J7574" s="1127"/>
    </row>
    <row r="7575" spans="1:10" x14ac:dyDescent="0.2">
      <c r="A7575" s="997">
        <f t="shared" si="118"/>
        <v>7574</v>
      </c>
      <c r="B7575" s="1129" t="s">
        <v>2718</v>
      </c>
      <c r="C7575" s="1139"/>
      <c r="D7575" s="1129"/>
      <c r="E7575" s="1129"/>
      <c r="F7575" s="1129"/>
      <c r="G7575" s="1129"/>
      <c r="H7575" s="1129" t="s">
        <v>2222</v>
      </c>
      <c r="I7575" s="1129"/>
      <c r="J7575" s="1127"/>
    </row>
    <row r="7576" spans="1:10" x14ac:dyDescent="0.2">
      <c r="A7576" s="997">
        <f t="shared" si="118"/>
        <v>7575</v>
      </c>
      <c r="B7576" s="1129" t="s">
        <v>2718</v>
      </c>
      <c r="C7576" s="1138"/>
      <c r="D7576" s="1129"/>
      <c r="E7576" s="1129"/>
      <c r="F7576" s="1129"/>
      <c r="G7576" s="1129"/>
      <c r="H7576" s="1129" t="str">
        <f>CONCATENATE("&lt;valeur&gt;",Cellule_2047_4,"&lt;/valeur&gt;")</f>
        <v>&lt;valeur&gt;&lt;/valeur&gt;</v>
      </c>
      <c r="I7576" s="1129"/>
      <c r="J7576" s="1127"/>
    </row>
    <row r="7577" spans="1:10" x14ac:dyDescent="0.2">
      <c r="A7577" s="997">
        <f t="shared" si="118"/>
        <v>7576</v>
      </c>
      <c r="B7577" s="1129" t="s">
        <v>2718</v>
      </c>
      <c r="C7577" s="1138"/>
      <c r="D7577" s="1129"/>
      <c r="E7577" s="1129"/>
      <c r="F7577" s="1129"/>
      <c r="G7577" s="1129"/>
      <c r="H7577" s="1129" t="s">
        <v>2737</v>
      </c>
      <c r="I7577" s="1129"/>
      <c r="J7577" s="1127"/>
    </row>
    <row r="7578" spans="1:10" x14ac:dyDescent="0.2">
      <c r="A7578" s="997">
        <f t="shared" si="118"/>
        <v>7577</v>
      </c>
      <c r="B7578" s="1129" t="s">
        <v>2718</v>
      </c>
      <c r="C7578" s="1139"/>
      <c r="D7578" s="1129"/>
      <c r="E7578" s="1129"/>
      <c r="F7578" s="1129"/>
      <c r="G7578" s="1129" t="s">
        <v>1109</v>
      </c>
      <c r="H7578" s="1129"/>
      <c r="I7578" s="1129"/>
      <c r="J7578" s="1127"/>
    </row>
    <row r="7579" spans="1:10" x14ac:dyDescent="0.2">
      <c r="A7579" s="997">
        <f t="shared" si="118"/>
        <v>7578</v>
      </c>
      <c r="B7579" s="1129" t="s">
        <v>2718</v>
      </c>
      <c r="C7579" s="1140"/>
      <c r="D7579" s="1129"/>
      <c r="E7579" s="1129"/>
      <c r="F7579" s="1129"/>
      <c r="G7579" s="1129" t="s">
        <v>1106</v>
      </c>
      <c r="H7579" s="1129"/>
      <c r="I7579" s="1129"/>
      <c r="J7579" s="1127"/>
    </row>
    <row r="7580" spans="1:10" x14ac:dyDescent="0.2">
      <c r="A7580" s="997">
        <f t="shared" si="118"/>
        <v>7579</v>
      </c>
      <c r="B7580" s="1129" t="s">
        <v>2718</v>
      </c>
      <c r="C7580" s="1139"/>
      <c r="D7580" s="1129"/>
      <c r="E7580" s="1129"/>
      <c r="F7580" s="1129"/>
      <c r="G7580" s="1129"/>
      <c r="H7580" s="1129" t="s">
        <v>2223</v>
      </c>
      <c r="I7580" s="1129"/>
      <c r="J7580" s="1127"/>
    </row>
    <row r="7581" spans="1:10" x14ac:dyDescent="0.2">
      <c r="A7581" s="997">
        <f t="shared" si="118"/>
        <v>7580</v>
      </c>
      <c r="B7581" s="1129" t="s">
        <v>2718</v>
      </c>
      <c r="C7581" s="1139"/>
      <c r="D7581" s="1129"/>
      <c r="E7581" s="1129"/>
      <c r="F7581" s="1129"/>
      <c r="G7581" s="1129"/>
      <c r="H7581" s="1129" t="str">
        <f>CONCATENATE("&lt;valeur&gt;",Cellule_2048_4,"&lt;/valeur&gt;")</f>
        <v>&lt;valeur&gt;&lt;/valeur&gt;</v>
      </c>
      <c r="I7581" s="1129"/>
      <c r="J7581" s="1127"/>
    </row>
    <row r="7582" spans="1:10" x14ac:dyDescent="0.2">
      <c r="A7582" s="997">
        <f t="shared" si="118"/>
        <v>7581</v>
      </c>
      <c r="B7582" s="1129" t="s">
        <v>2718</v>
      </c>
      <c r="C7582" s="1138"/>
      <c r="D7582" s="1129"/>
      <c r="E7582" s="1129"/>
      <c r="F7582" s="1129"/>
      <c r="G7582" s="1129"/>
      <c r="H7582" s="1129" t="s">
        <v>2737</v>
      </c>
      <c r="I7582" s="1129"/>
      <c r="J7582" s="1127"/>
    </row>
    <row r="7583" spans="1:10" x14ac:dyDescent="0.2">
      <c r="A7583" s="997">
        <f t="shared" si="118"/>
        <v>7582</v>
      </c>
      <c r="B7583" s="1129" t="s">
        <v>2718</v>
      </c>
      <c r="C7583" s="1138"/>
      <c r="D7583" s="1129"/>
      <c r="E7583" s="1129"/>
      <c r="F7583" s="1129"/>
      <c r="G7583" s="1129" t="s">
        <v>1109</v>
      </c>
      <c r="H7583" s="1129"/>
      <c r="I7583" s="1129"/>
      <c r="J7583" s="1127"/>
    </row>
    <row r="7584" spans="1:10" x14ac:dyDescent="0.2">
      <c r="A7584" s="997">
        <f t="shared" si="118"/>
        <v>7583</v>
      </c>
      <c r="B7584" s="1129" t="s">
        <v>2718</v>
      </c>
      <c r="C7584" s="1139"/>
      <c r="D7584" s="1129"/>
      <c r="E7584" s="1129"/>
      <c r="F7584" s="1129"/>
      <c r="G7584" s="1129" t="s">
        <v>1106</v>
      </c>
      <c r="H7584" s="1129"/>
      <c r="I7584" s="1129"/>
      <c r="J7584" s="1127"/>
    </row>
    <row r="7585" spans="1:10" x14ac:dyDescent="0.2">
      <c r="A7585" s="997">
        <f t="shared" si="118"/>
        <v>7584</v>
      </c>
      <c r="B7585" s="1129" t="s">
        <v>2718</v>
      </c>
      <c r="C7585" s="1140"/>
      <c r="D7585" s="1129"/>
      <c r="E7585" s="1129"/>
      <c r="F7585" s="1129"/>
      <c r="G7585" s="1129"/>
      <c r="H7585" s="1129" t="s">
        <v>2224</v>
      </c>
      <c r="I7585" s="1129"/>
      <c r="J7585" s="1127"/>
    </row>
    <row r="7586" spans="1:10" x14ac:dyDescent="0.2">
      <c r="A7586" s="997">
        <f t="shared" si="118"/>
        <v>7585</v>
      </c>
      <c r="B7586" s="1129" t="s">
        <v>2718</v>
      </c>
      <c r="C7586" s="1139"/>
      <c r="D7586" s="1129"/>
      <c r="E7586" s="1129"/>
      <c r="F7586" s="1129"/>
      <c r="G7586" s="1129"/>
      <c r="H7586" s="1129" t="str">
        <f>CONCATENATE("&lt;valeur&gt;",Cellule_2049_4,"&lt;/valeur&gt;")</f>
        <v>&lt;valeur&gt;&lt;/valeur&gt;</v>
      </c>
      <c r="I7586" s="1129"/>
      <c r="J7586" s="1127"/>
    </row>
    <row r="7587" spans="1:10" x14ac:dyDescent="0.2">
      <c r="A7587" s="997">
        <f t="shared" si="118"/>
        <v>7586</v>
      </c>
      <c r="B7587" s="1129" t="s">
        <v>2718</v>
      </c>
      <c r="C7587" s="1139"/>
      <c r="D7587" s="1129"/>
      <c r="E7587" s="1129"/>
      <c r="F7587" s="1129"/>
      <c r="G7587" s="1129"/>
      <c r="H7587" s="1129" t="s">
        <v>2737</v>
      </c>
      <c r="I7587" s="1129"/>
      <c r="J7587" s="1127"/>
    </row>
    <row r="7588" spans="1:10" x14ac:dyDescent="0.2">
      <c r="A7588" s="997">
        <f t="shared" si="118"/>
        <v>7587</v>
      </c>
      <c r="B7588" s="1129" t="s">
        <v>2718</v>
      </c>
      <c r="C7588" s="1138"/>
      <c r="D7588" s="1129"/>
      <c r="E7588" s="1129"/>
      <c r="F7588" s="1129"/>
      <c r="G7588" s="1129" t="s">
        <v>1109</v>
      </c>
      <c r="H7588" s="1129"/>
      <c r="I7588" s="1129"/>
      <c r="J7588" s="1127"/>
    </row>
    <row r="7589" spans="1:10" x14ac:dyDescent="0.2">
      <c r="A7589" s="997">
        <f t="shared" si="118"/>
        <v>7588</v>
      </c>
      <c r="B7589" s="1129" t="s">
        <v>2718</v>
      </c>
      <c r="C7589" s="1138"/>
      <c r="D7589" s="1129"/>
      <c r="E7589" s="1129"/>
      <c r="F7589" s="1129"/>
      <c r="G7589" s="1129" t="s">
        <v>1106</v>
      </c>
      <c r="H7589" s="1129"/>
      <c r="I7589" s="1129"/>
      <c r="J7589" s="1127"/>
    </row>
    <row r="7590" spans="1:10" x14ac:dyDescent="0.2">
      <c r="A7590" s="997">
        <f t="shared" si="118"/>
        <v>7589</v>
      </c>
      <c r="B7590" s="1129" t="s">
        <v>2718</v>
      </c>
      <c r="C7590" s="1139"/>
      <c r="D7590" s="1129"/>
      <c r="E7590" s="1129"/>
      <c r="F7590" s="1129"/>
      <c r="G7590" s="1129"/>
      <c r="H7590" s="1129" t="s">
        <v>2225</v>
      </c>
      <c r="I7590" s="1129"/>
      <c r="J7590" s="1127"/>
    </row>
    <row r="7591" spans="1:10" x14ac:dyDescent="0.2">
      <c r="A7591" s="997">
        <f t="shared" si="118"/>
        <v>7590</v>
      </c>
      <c r="B7591" s="1129" t="s">
        <v>2718</v>
      </c>
      <c r="C7591" s="1140"/>
      <c r="D7591" s="1129"/>
      <c r="E7591" s="1129"/>
      <c r="F7591" s="1129"/>
      <c r="G7591" s="1129"/>
      <c r="H7591" s="1129" t="str">
        <f>CONCATENATE("&lt;valeur&gt;",Cellule_2050_4,"&lt;/valeur&gt;")</f>
        <v>&lt;valeur&gt;&lt;/valeur&gt;</v>
      </c>
      <c r="I7591" s="1129"/>
      <c r="J7591" s="1127"/>
    </row>
    <row r="7592" spans="1:10" x14ac:dyDescent="0.2">
      <c r="A7592" s="997">
        <f t="shared" si="118"/>
        <v>7591</v>
      </c>
      <c r="B7592" s="1129" t="s">
        <v>2718</v>
      </c>
      <c r="C7592" s="1139"/>
      <c r="D7592" s="1129"/>
      <c r="E7592" s="1129"/>
      <c r="F7592" s="1129"/>
      <c r="G7592" s="1129"/>
      <c r="H7592" s="1129" t="s">
        <v>2737</v>
      </c>
      <c r="I7592" s="1129"/>
      <c r="J7592" s="1127"/>
    </row>
    <row r="7593" spans="1:10" x14ac:dyDescent="0.2">
      <c r="A7593" s="997">
        <f t="shared" si="118"/>
        <v>7592</v>
      </c>
      <c r="B7593" s="1129" t="s">
        <v>2718</v>
      </c>
      <c r="C7593" s="1139"/>
      <c r="D7593" s="1129"/>
      <c r="E7593" s="1129"/>
      <c r="F7593" s="1129"/>
      <c r="G7593" s="1129" t="s">
        <v>1109</v>
      </c>
      <c r="H7593" s="1129"/>
      <c r="I7593" s="1129"/>
      <c r="J7593" s="1127"/>
    </row>
    <row r="7594" spans="1:10" x14ac:dyDescent="0.2">
      <c r="A7594" s="997">
        <f t="shared" si="118"/>
        <v>7593</v>
      </c>
      <c r="B7594" s="1129" t="s">
        <v>2718</v>
      </c>
      <c r="C7594" s="1138"/>
      <c r="D7594" s="1129"/>
      <c r="E7594" s="1129"/>
      <c r="F7594" s="1129"/>
      <c r="G7594" s="1129" t="s">
        <v>1106</v>
      </c>
      <c r="H7594" s="1129"/>
      <c r="I7594" s="1129"/>
      <c r="J7594" s="1127"/>
    </row>
    <row r="7595" spans="1:10" x14ac:dyDescent="0.2">
      <c r="A7595" s="997">
        <f t="shared" si="118"/>
        <v>7594</v>
      </c>
      <c r="B7595" s="1129" t="s">
        <v>2718</v>
      </c>
      <c r="C7595" s="1138"/>
      <c r="D7595" s="1129"/>
      <c r="E7595" s="1129"/>
      <c r="F7595" s="1129"/>
      <c r="G7595" s="1129"/>
      <c r="H7595" s="1129" t="s">
        <v>2226</v>
      </c>
      <c r="I7595" s="1129"/>
      <c r="J7595" s="1127"/>
    </row>
    <row r="7596" spans="1:10" x14ac:dyDescent="0.2">
      <c r="A7596" s="997">
        <f t="shared" si="118"/>
        <v>7595</v>
      </c>
      <c r="B7596" s="1129" t="s">
        <v>2718</v>
      </c>
      <c r="C7596" s="1139"/>
      <c r="D7596" s="1129"/>
      <c r="E7596" s="1129"/>
      <c r="F7596" s="1129"/>
      <c r="G7596" s="1129"/>
      <c r="H7596" s="1129" t="str">
        <f>CONCATENATE("&lt;valeur&gt;",Cellule_2051_4,"&lt;/valeur&gt;")</f>
        <v>&lt;valeur&gt;&lt;/valeur&gt;</v>
      </c>
      <c r="I7596" s="1129"/>
      <c r="J7596" s="1127"/>
    </row>
    <row r="7597" spans="1:10" x14ac:dyDescent="0.2">
      <c r="A7597" s="997">
        <f t="shared" si="118"/>
        <v>7596</v>
      </c>
      <c r="B7597" s="1129" t="s">
        <v>2718</v>
      </c>
      <c r="C7597" s="1140"/>
      <c r="D7597" s="1129"/>
      <c r="E7597" s="1129"/>
      <c r="F7597" s="1129"/>
      <c r="G7597" s="1129"/>
      <c r="H7597" s="1129" t="s">
        <v>2737</v>
      </c>
      <c r="I7597" s="1129"/>
      <c r="J7597" s="1127"/>
    </row>
    <row r="7598" spans="1:10" x14ac:dyDescent="0.2">
      <c r="A7598" s="997">
        <f t="shared" si="118"/>
        <v>7597</v>
      </c>
      <c r="B7598" s="1129" t="s">
        <v>2718</v>
      </c>
      <c r="C7598" s="1139"/>
      <c r="D7598" s="1129"/>
      <c r="E7598" s="1129"/>
      <c r="F7598" s="1129"/>
      <c r="G7598" s="1129" t="s">
        <v>1109</v>
      </c>
      <c r="H7598" s="1129"/>
      <c r="I7598" s="1129"/>
      <c r="J7598" s="1127"/>
    </row>
    <row r="7599" spans="1:10" x14ac:dyDescent="0.2">
      <c r="A7599" s="997">
        <f t="shared" si="118"/>
        <v>7598</v>
      </c>
      <c r="B7599" s="1129" t="s">
        <v>2718</v>
      </c>
      <c r="C7599" s="1139"/>
      <c r="D7599" s="1129"/>
      <c r="E7599" s="1129"/>
      <c r="F7599" s="1129"/>
      <c r="G7599" s="1129" t="s">
        <v>1106</v>
      </c>
      <c r="H7599" s="1129"/>
      <c r="I7599" s="1129"/>
      <c r="J7599" s="1127"/>
    </row>
    <row r="7600" spans="1:10" x14ac:dyDescent="0.2">
      <c r="A7600" s="997">
        <f t="shared" si="118"/>
        <v>7599</v>
      </c>
      <c r="B7600" s="1129" t="s">
        <v>2718</v>
      </c>
      <c r="C7600" s="1138"/>
      <c r="D7600" s="1129"/>
      <c r="E7600" s="1129"/>
      <c r="F7600" s="1129"/>
      <c r="G7600" s="1129"/>
      <c r="H7600" s="1129" t="s">
        <v>2227</v>
      </c>
      <c r="I7600" s="1129"/>
      <c r="J7600" s="1127"/>
    </row>
    <row r="7601" spans="1:10" x14ac:dyDescent="0.2">
      <c r="A7601" s="997">
        <f t="shared" si="118"/>
        <v>7600</v>
      </c>
      <c r="B7601" s="1129" t="s">
        <v>2718</v>
      </c>
      <c r="C7601" s="1138"/>
      <c r="D7601" s="1129"/>
      <c r="E7601" s="1129"/>
      <c r="F7601" s="1129"/>
      <c r="G7601" s="1129"/>
      <c r="H7601" s="1129" t="str">
        <f>CONCATENATE("&lt;valeur&gt;",Cellule_2052_4,"&lt;/valeur&gt;")</f>
        <v>&lt;valeur&gt;&lt;/valeur&gt;</v>
      </c>
      <c r="I7601" s="1129"/>
      <c r="J7601" s="1127"/>
    </row>
    <row r="7602" spans="1:10" x14ac:dyDescent="0.2">
      <c r="A7602" s="997">
        <f t="shared" si="118"/>
        <v>7601</v>
      </c>
      <c r="B7602" s="1129" t="s">
        <v>2718</v>
      </c>
      <c r="C7602" s="1139"/>
      <c r="D7602" s="1129"/>
      <c r="E7602" s="1129"/>
      <c r="F7602" s="1129"/>
      <c r="G7602" s="1129"/>
      <c r="H7602" s="1129" t="s">
        <v>2737</v>
      </c>
      <c r="I7602" s="1129"/>
      <c r="J7602" s="1127"/>
    </row>
    <row r="7603" spans="1:10" x14ac:dyDescent="0.2">
      <c r="A7603" s="997">
        <f t="shared" si="118"/>
        <v>7602</v>
      </c>
      <c r="B7603" s="1129" t="s">
        <v>2718</v>
      </c>
      <c r="C7603" s="1140"/>
      <c r="D7603" s="1129"/>
      <c r="E7603" s="1129"/>
      <c r="F7603" s="1129"/>
      <c r="G7603" s="1129" t="s">
        <v>1109</v>
      </c>
      <c r="H7603" s="1129"/>
      <c r="I7603" s="1129"/>
      <c r="J7603" s="1127"/>
    </row>
    <row r="7604" spans="1:10" x14ac:dyDescent="0.2">
      <c r="A7604" s="997">
        <f t="shared" si="118"/>
        <v>7603</v>
      </c>
      <c r="B7604" s="1129" t="s">
        <v>2718</v>
      </c>
      <c r="C7604" s="1139"/>
      <c r="D7604" s="1129"/>
      <c r="E7604" s="1129"/>
      <c r="F7604" s="1129"/>
      <c r="G7604" s="1129" t="s">
        <v>1106</v>
      </c>
      <c r="H7604" s="1129"/>
      <c r="I7604" s="1129"/>
      <c r="J7604" s="1127"/>
    </row>
    <row r="7605" spans="1:10" x14ac:dyDescent="0.2">
      <c r="A7605" s="997">
        <f t="shared" si="118"/>
        <v>7604</v>
      </c>
      <c r="B7605" s="1129" t="s">
        <v>2718</v>
      </c>
      <c r="C7605" s="1139"/>
      <c r="D7605" s="1129"/>
      <c r="E7605" s="1129"/>
      <c r="F7605" s="1129"/>
      <c r="G7605" s="1129"/>
      <c r="H7605" s="1129" t="s">
        <v>2228</v>
      </c>
      <c r="I7605" s="1129"/>
      <c r="J7605" s="1127"/>
    </row>
    <row r="7606" spans="1:10" x14ac:dyDescent="0.2">
      <c r="A7606" s="997">
        <f t="shared" si="118"/>
        <v>7605</v>
      </c>
      <c r="B7606" s="1129" t="s">
        <v>2718</v>
      </c>
      <c r="C7606" s="1138"/>
      <c r="D7606" s="1129"/>
      <c r="E7606" s="1129"/>
      <c r="F7606" s="1129"/>
      <c r="G7606" s="1129"/>
      <c r="H7606" s="1129" t="str">
        <f>CONCATENATE("&lt;valeur&gt;",Cellule_2053_4,"&lt;/valeur&gt;")</f>
        <v>&lt;valeur&gt;&lt;/valeur&gt;</v>
      </c>
      <c r="I7606" s="1129"/>
      <c r="J7606" s="1127"/>
    </row>
    <row r="7607" spans="1:10" x14ac:dyDescent="0.2">
      <c r="A7607" s="997">
        <f t="shared" si="118"/>
        <v>7606</v>
      </c>
      <c r="B7607" s="1129" t="s">
        <v>2718</v>
      </c>
      <c r="C7607" s="1138"/>
      <c r="D7607" s="1129"/>
      <c r="E7607" s="1129"/>
      <c r="F7607" s="1129"/>
      <c r="G7607" s="1129"/>
      <c r="H7607" s="1129" t="s">
        <v>2737</v>
      </c>
      <c r="I7607" s="1129"/>
      <c r="J7607" s="1127"/>
    </row>
    <row r="7608" spans="1:10" x14ac:dyDescent="0.2">
      <c r="A7608" s="997">
        <f t="shared" si="118"/>
        <v>7607</v>
      </c>
      <c r="B7608" s="1130" t="s">
        <v>2718</v>
      </c>
      <c r="C7608" s="1144"/>
      <c r="D7608" s="1130"/>
      <c r="E7608" s="1130"/>
      <c r="F7608" s="1130"/>
      <c r="G7608" s="1130" t="s">
        <v>1109</v>
      </c>
      <c r="H7608" s="1130"/>
      <c r="I7608" s="1130"/>
      <c r="J7608" s="1142"/>
    </row>
    <row r="7609" spans="1:10" x14ac:dyDescent="0.2">
      <c r="A7609" s="997">
        <f t="shared" si="118"/>
        <v>7608</v>
      </c>
      <c r="B7609" s="983" t="s">
        <v>2718</v>
      </c>
      <c r="C7609" s="1001"/>
      <c r="G7609" s="983" t="s">
        <v>1106</v>
      </c>
    </row>
    <row r="7610" spans="1:10" x14ac:dyDescent="0.2">
      <c r="A7610" s="997">
        <f t="shared" si="118"/>
        <v>7609</v>
      </c>
      <c r="B7610" s="983" t="s">
        <v>2718</v>
      </c>
      <c r="C7610" s="1000"/>
      <c r="H7610" s="983" t="s">
        <v>1107</v>
      </c>
    </row>
    <row r="7611" spans="1:10" x14ac:dyDescent="0.2">
      <c r="A7611" s="997">
        <f t="shared" si="118"/>
        <v>7610</v>
      </c>
      <c r="B7611" s="983" t="s">
        <v>2718</v>
      </c>
      <c r="C7611" s="1000"/>
      <c r="I7611" s="983" t="s">
        <v>2229</v>
      </c>
    </row>
    <row r="7612" spans="1:10" x14ac:dyDescent="0.2">
      <c r="A7612" s="997">
        <f t="shared" si="118"/>
        <v>7611</v>
      </c>
      <c r="B7612" s="983" t="s">
        <v>2718</v>
      </c>
      <c r="C7612" s="999"/>
      <c r="H7612" s="983" t="s">
        <v>1108</v>
      </c>
    </row>
    <row r="7613" spans="1:10" x14ac:dyDescent="0.2">
      <c r="A7613" s="997">
        <f t="shared" si="118"/>
        <v>7612</v>
      </c>
      <c r="B7613" s="983" t="s">
        <v>2718</v>
      </c>
      <c r="C7613" s="999"/>
      <c r="H7613" s="983" t="str">
        <f>CONCATENATE("&lt;valeur&gt;",Cellule_2056,"&lt;/valeur&gt;")</f>
        <v>&lt;valeur&gt;&lt;/valeur&gt;</v>
      </c>
    </row>
    <row r="7614" spans="1:10" x14ac:dyDescent="0.2">
      <c r="A7614" s="997">
        <f t="shared" si="118"/>
        <v>7613</v>
      </c>
      <c r="B7614" s="983" t="s">
        <v>2718</v>
      </c>
      <c r="C7614" s="1000"/>
      <c r="G7614" s="983" t="s">
        <v>1109</v>
      </c>
    </row>
    <row r="7615" spans="1:10" x14ac:dyDescent="0.2">
      <c r="A7615" s="997">
        <f t="shared" si="118"/>
        <v>7614</v>
      </c>
      <c r="B7615" s="983" t="s">
        <v>2718</v>
      </c>
      <c r="C7615" s="1001"/>
      <c r="G7615" s="983" t="s">
        <v>1106</v>
      </c>
    </row>
    <row r="7616" spans="1:10" x14ac:dyDescent="0.2">
      <c r="A7616" s="997">
        <f t="shared" si="118"/>
        <v>7615</v>
      </c>
      <c r="B7616" s="983" t="s">
        <v>2718</v>
      </c>
      <c r="C7616" s="1000"/>
      <c r="H7616" s="983" t="s">
        <v>1107</v>
      </c>
    </row>
    <row r="7617" spans="1:9" x14ac:dyDescent="0.2">
      <c r="A7617" s="997">
        <f t="shared" si="118"/>
        <v>7616</v>
      </c>
      <c r="B7617" s="983" t="s">
        <v>2718</v>
      </c>
      <c r="C7617" s="1000"/>
      <c r="I7617" s="983" t="s">
        <v>2230</v>
      </c>
    </row>
    <row r="7618" spans="1:9" x14ac:dyDescent="0.2">
      <c r="A7618" s="997">
        <f t="shared" si="118"/>
        <v>7617</v>
      </c>
      <c r="B7618" s="983" t="s">
        <v>2718</v>
      </c>
      <c r="C7618" s="999"/>
      <c r="H7618" s="983" t="s">
        <v>1108</v>
      </c>
    </row>
    <row r="7619" spans="1:9" x14ac:dyDescent="0.2">
      <c r="A7619" s="997">
        <f t="shared" si="118"/>
        <v>7618</v>
      </c>
      <c r="B7619" s="983" t="s">
        <v>2718</v>
      </c>
      <c r="C7619" s="998"/>
      <c r="H7619" s="983" t="str">
        <f>CONCATENATE("&lt;valeur&gt;",Cellule_2057,"&lt;/valeur&gt;")</f>
        <v>&lt;valeur&gt;&lt;/valeur&gt;</v>
      </c>
    </row>
    <row r="7620" spans="1:9" x14ac:dyDescent="0.2">
      <c r="A7620" s="997">
        <f t="shared" ref="A7620:A7683" si="119">+A7619+1</f>
        <v>7619</v>
      </c>
      <c r="B7620" s="983" t="s">
        <v>2718</v>
      </c>
      <c r="C7620" s="998"/>
      <c r="G7620" s="983" t="s">
        <v>1109</v>
      </c>
    </row>
    <row r="7621" spans="1:9" x14ac:dyDescent="0.2">
      <c r="A7621" s="997">
        <f t="shared" si="119"/>
        <v>7620</v>
      </c>
      <c r="B7621" s="983" t="s">
        <v>2718</v>
      </c>
      <c r="C7621" s="999"/>
      <c r="G7621" s="983" t="s">
        <v>1106</v>
      </c>
    </row>
    <row r="7622" spans="1:9" x14ac:dyDescent="0.2">
      <c r="A7622" s="997">
        <f t="shared" si="119"/>
        <v>7621</v>
      </c>
      <c r="B7622" s="983" t="s">
        <v>2718</v>
      </c>
      <c r="C7622" s="1000"/>
      <c r="H7622" s="983" t="s">
        <v>1107</v>
      </c>
    </row>
    <row r="7623" spans="1:9" x14ac:dyDescent="0.2">
      <c r="A7623" s="997">
        <f t="shared" si="119"/>
        <v>7622</v>
      </c>
      <c r="B7623" s="983" t="s">
        <v>2718</v>
      </c>
      <c r="C7623" s="1001"/>
      <c r="I7623" s="983" t="s">
        <v>2231</v>
      </c>
    </row>
    <row r="7624" spans="1:9" x14ac:dyDescent="0.2">
      <c r="A7624" s="997">
        <f t="shared" si="119"/>
        <v>7623</v>
      </c>
      <c r="B7624" s="983" t="s">
        <v>2718</v>
      </c>
      <c r="C7624" s="1000"/>
      <c r="H7624" s="983" t="s">
        <v>1108</v>
      </c>
    </row>
    <row r="7625" spans="1:9" x14ac:dyDescent="0.2">
      <c r="A7625" s="997">
        <f t="shared" si="119"/>
        <v>7624</v>
      </c>
      <c r="B7625" s="983" t="s">
        <v>2718</v>
      </c>
      <c r="C7625" s="1000"/>
      <c r="H7625" s="983" t="str">
        <f>CONCATENATE("&lt;valeur&gt;",Cellule_2058,"&lt;/valeur&gt;")</f>
        <v>&lt;valeur&gt;0&lt;/valeur&gt;</v>
      </c>
    </row>
    <row r="7626" spans="1:9" x14ac:dyDescent="0.2">
      <c r="A7626" s="997">
        <f t="shared" si="119"/>
        <v>7625</v>
      </c>
      <c r="B7626" s="983" t="s">
        <v>2718</v>
      </c>
      <c r="C7626" s="999"/>
      <c r="G7626" s="983" t="s">
        <v>1109</v>
      </c>
    </row>
    <row r="7627" spans="1:9" x14ac:dyDescent="0.2">
      <c r="A7627" s="997">
        <f t="shared" si="119"/>
        <v>7626</v>
      </c>
      <c r="B7627" s="983" t="s">
        <v>2718</v>
      </c>
      <c r="C7627" s="998"/>
      <c r="G7627" s="983" t="s">
        <v>1106</v>
      </c>
    </row>
    <row r="7628" spans="1:9" x14ac:dyDescent="0.2">
      <c r="A7628" s="997">
        <f t="shared" si="119"/>
        <v>7627</v>
      </c>
      <c r="B7628" s="983" t="s">
        <v>2718</v>
      </c>
      <c r="C7628" s="995"/>
      <c r="H7628" s="983" t="s">
        <v>1107</v>
      </c>
    </row>
    <row r="7629" spans="1:9" x14ac:dyDescent="0.2">
      <c r="A7629" s="997">
        <f t="shared" si="119"/>
        <v>7628</v>
      </c>
      <c r="B7629" s="983" t="s">
        <v>2718</v>
      </c>
      <c r="C7629" s="995"/>
      <c r="I7629" s="983" t="s">
        <v>2232</v>
      </c>
    </row>
    <row r="7630" spans="1:9" x14ac:dyDescent="0.2">
      <c r="A7630" s="997">
        <f t="shared" si="119"/>
        <v>7629</v>
      </c>
      <c r="B7630" s="983" t="s">
        <v>2718</v>
      </c>
      <c r="C7630" s="998"/>
      <c r="H7630" s="983" t="s">
        <v>1108</v>
      </c>
    </row>
    <row r="7631" spans="1:9" x14ac:dyDescent="0.2">
      <c r="A7631" s="997">
        <f t="shared" si="119"/>
        <v>7630</v>
      </c>
      <c r="B7631" s="983" t="s">
        <v>2718</v>
      </c>
      <c r="C7631" s="999"/>
      <c r="H7631" s="983" t="str">
        <f>CONCATENATE("&lt;valeur&gt;",Cellule_2059,"&lt;/valeur&gt;")</f>
        <v>&lt;valeur&gt;0&lt;/valeur&gt;</v>
      </c>
    </row>
    <row r="7632" spans="1:9" x14ac:dyDescent="0.2">
      <c r="A7632" s="997">
        <f t="shared" si="119"/>
        <v>7631</v>
      </c>
      <c r="B7632" s="983" t="s">
        <v>2718</v>
      </c>
      <c r="C7632" s="998"/>
      <c r="G7632" s="983" t="s">
        <v>1109</v>
      </c>
    </row>
    <row r="7633" spans="1:9" x14ac:dyDescent="0.2">
      <c r="A7633" s="997">
        <f t="shared" si="119"/>
        <v>7632</v>
      </c>
      <c r="B7633" s="983" t="s">
        <v>2718</v>
      </c>
      <c r="C7633" s="998"/>
      <c r="G7633" s="983" t="s">
        <v>1106</v>
      </c>
    </row>
    <row r="7634" spans="1:9" x14ac:dyDescent="0.2">
      <c r="A7634" s="997">
        <f t="shared" si="119"/>
        <v>7633</v>
      </c>
      <c r="B7634" s="983" t="s">
        <v>2718</v>
      </c>
      <c r="C7634" s="999"/>
      <c r="H7634" s="983" t="s">
        <v>1107</v>
      </c>
    </row>
    <row r="7635" spans="1:9" x14ac:dyDescent="0.2">
      <c r="A7635" s="997">
        <f t="shared" si="119"/>
        <v>7634</v>
      </c>
      <c r="B7635" s="983" t="s">
        <v>2718</v>
      </c>
      <c r="C7635" s="1000"/>
      <c r="I7635" s="983" t="s">
        <v>2233</v>
      </c>
    </row>
    <row r="7636" spans="1:9" x14ac:dyDescent="0.2">
      <c r="A7636" s="997">
        <f t="shared" si="119"/>
        <v>7635</v>
      </c>
      <c r="B7636" s="983" t="s">
        <v>2718</v>
      </c>
      <c r="C7636" s="1001"/>
      <c r="H7636" s="983" t="s">
        <v>1108</v>
      </c>
    </row>
    <row r="7637" spans="1:9" x14ac:dyDescent="0.2">
      <c r="A7637" s="997">
        <f t="shared" si="119"/>
        <v>7636</v>
      </c>
      <c r="B7637" s="983" t="s">
        <v>2718</v>
      </c>
      <c r="C7637" s="1000"/>
      <c r="H7637" s="983" t="str">
        <f>CONCATENATE("&lt;valeur&gt;",Cellule_2060,"&lt;/valeur&gt;")</f>
        <v>&lt;valeur&gt;&lt;/valeur&gt;</v>
      </c>
    </row>
    <row r="7638" spans="1:9" x14ac:dyDescent="0.2">
      <c r="A7638" s="997">
        <f t="shared" si="119"/>
        <v>7637</v>
      </c>
      <c r="B7638" s="983" t="s">
        <v>2718</v>
      </c>
      <c r="C7638" s="1000"/>
      <c r="G7638" s="983" t="s">
        <v>1109</v>
      </c>
    </row>
    <row r="7639" spans="1:9" x14ac:dyDescent="0.2">
      <c r="A7639" s="997">
        <f t="shared" si="119"/>
        <v>7638</v>
      </c>
      <c r="B7639" s="983" t="s">
        <v>2718</v>
      </c>
      <c r="C7639" s="1000"/>
      <c r="G7639" s="983" t="s">
        <v>1106</v>
      </c>
    </row>
    <row r="7640" spans="1:9" x14ac:dyDescent="0.2">
      <c r="A7640" s="997">
        <f t="shared" si="119"/>
        <v>7639</v>
      </c>
      <c r="B7640" s="983" t="s">
        <v>2718</v>
      </c>
      <c r="C7640" s="999"/>
      <c r="H7640" s="983" t="s">
        <v>1107</v>
      </c>
    </row>
    <row r="7641" spans="1:9" x14ac:dyDescent="0.2">
      <c r="A7641" s="997">
        <f t="shared" si="119"/>
        <v>7640</v>
      </c>
      <c r="B7641" s="983" t="s">
        <v>2718</v>
      </c>
      <c r="C7641" s="999"/>
      <c r="I7641" s="983" t="s">
        <v>2234</v>
      </c>
    </row>
    <row r="7642" spans="1:9" x14ac:dyDescent="0.2">
      <c r="A7642" s="997">
        <f t="shared" si="119"/>
        <v>7641</v>
      </c>
      <c r="B7642" s="983" t="s">
        <v>2718</v>
      </c>
      <c r="C7642" s="1000"/>
      <c r="H7642" s="983" t="s">
        <v>1108</v>
      </c>
    </row>
    <row r="7643" spans="1:9" x14ac:dyDescent="0.2">
      <c r="A7643" s="997">
        <f t="shared" si="119"/>
        <v>7642</v>
      </c>
      <c r="B7643" s="983" t="s">
        <v>2718</v>
      </c>
      <c r="C7643" s="1001"/>
      <c r="H7643" s="983" t="str">
        <f>CONCATENATE("&lt;valeur&gt;",Cellule_2061,"&lt;/valeur&gt;")</f>
        <v>&lt;valeur&gt;&lt;/valeur&gt;</v>
      </c>
    </row>
    <row r="7644" spans="1:9" x14ac:dyDescent="0.2">
      <c r="A7644" s="997">
        <f t="shared" si="119"/>
        <v>7643</v>
      </c>
      <c r="B7644" s="983" t="s">
        <v>2718</v>
      </c>
      <c r="C7644" s="1000"/>
      <c r="G7644" s="983" t="s">
        <v>1109</v>
      </c>
    </row>
    <row r="7645" spans="1:9" x14ac:dyDescent="0.2">
      <c r="A7645" s="997">
        <f t="shared" si="119"/>
        <v>7644</v>
      </c>
      <c r="B7645" s="983" t="s">
        <v>2718</v>
      </c>
      <c r="C7645" s="1000"/>
      <c r="G7645" s="983" t="s">
        <v>1106</v>
      </c>
    </row>
    <row r="7646" spans="1:9" x14ac:dyDescent="0.2">
      <c r="A7646" s="997">
        <f t="shared" si="119"/>
        <v>7645</v>
      </c>
      <c r="B7646" s="983" t="s">
        <v>2718</v>
      </c>
      <c r="C7646" s="1000"/>
      <c r="H7646" s="983" t="s">
        <v>1107</v>
      </c>
    </row>
    <row r="7647" spans="1:9" x14ac:dyDescent="0.2">
      <c r="A7647" s="997">
        <f t="shared" si="119"/>
        <v>7646</v>
      </c>
      <c r="B7647" s="983" t="s">
        <v>2718</v>
      </c>
      <c r="C7647" s="999"/>
      <c r="I7647" s="983" t="s">
        <v>2235</v>
      </c>
    </row>
    <row r="7648" spans="1:9" x14ac:dyDescent="0.2">
      <c r="A7648" s="997">
        <f t="shared" si="119"/>
        <v>7647</v>
      </c>
      <c r="B7648" s="983" t="s">
        <v>2718</v>
      </c>
      <c r="C7648" s="999"/>
      <c r="H7648" s="983" t="s">
        <v>1108</v>
      </c>
    </row>
    <row r="7649" spans="1:9" x14ac:dyDescent="0.2">
      <c r="A7649" s="997">
        <f t="shared" si="119"/>
        <v>7648</v>
      </c>
      <c r="B7649" s="983" t="s">
        <v>2718</v>
      </c>
      <c r="C7649" s="1000"/>
      <c r="H7649" s="983" t="str">
        <f>CONCATENATE("&lt;valeur&gt;",Cellule_2062,"&lt;/valeur&gt;")</f>
        <v>&lt;valeur&gt;&lt;/valeur&gt;</v>
      </c>
    </row>
    <row r="7650" spans="1:9" x14ac:dyDescent="0.2">
      <c r="A7650" s="997">
        <f t="shared" si="119"/>
        <v>7649</v>
      </c>
      <c r="B7650" s="983" t="s">
        <v>2718</v>
      </c>
      <c r="C7650" s="1001"/>
      <c r="G7650" s="983" t="s">
        <v>1109</v>
      </c>
    </row>
    <row r="7651" spans="1:9" x14ac:dyDescent="0.2">
      <c r="A7651" s="997">
        <f t="shared" si="119"/>
        <v>7650</v>
      </c>
      <c r="B7651" s="983" t="s">
        <v>2718</v>
      </c>
      <c r="C7651" s="1000"/>
      <c r="G7651" s="983" t="s">
        <v>1106</v>
      </c>
    </row>
    <row r="7652" spans="1:9" x14ac:dyDescent="0.2">
      <c r="A7652" s="997">
        <f t="shared" si="119"/>
        <v>7651</v>
      </c>
      <c r="B7652" s="983" t="s">
        <v>2718</v>
      </c>
      <c r="C7652" s="1000"/>
      <c r="H7652" s="983" t="s">
        <v>1107</v>
      </c>
    </row>
    <row r="7653" spans="1:9" x14ac:dyDescent="0.2">
      <c r="A7653" s="997">
        <f t="shared" si="119"/>
        <v>7652</v>
      </c>
      <c r="B7653" s="983" t="s">
        <v>2718</v>
      </c>
      <c r="C7653" s="1000"/>
      <c r="I7653" s="983" t="s">
        <v>2236</v>
      </c>
    </row>
    <row r="7654" spans="1:9" x14ac:dyDescent="0.2">
      <c r="A7654" s="997">
        <f t="shared" si="119"/>
        <v>7653</v>
      </c>
      <c r="B7654" s="983" t="s">
        <v>2718</v>
      </c>
      <c r="C7654" s="999"/>
      <c r="H7654" s="983" t="s">
        <v>1108</v>
      </c>
    </row>
    <row r="7655" spans="1:9" x14ac:dyDescent="0.2">
      <c r="A7655" s="997">
        <f t="shared" si="119"/>
        <v>7654</v>
      </c>
      <c r="B7655" s="983" t="s">
        <v>2718</v>
      </c>
      <c r="C7655" s="999"/>
      <c r="H7655" s="983" t="str">
        <f>CONCATENATE("&lt;valeur&gt;",Cellule_2063,"&lt;/valeur&gt;")</f>
        <v>&lt;valeur&gt;0&lt;/valeur&gt;</v>
      </c>
    </row>
    <row r="7656" spans="1:9" x14ac:dyDescent="0.2">
      <c r="A7656" s="997">
        <f t="shared" si="119"/>
        <v>7655</v>
      </c>
      <c r="B7656" s="983" t="s">
        <v>2718</v>
      </c>
      <c r="C7656" s="1000"/>
      <c r="G7656" s="983" t="s">
        <v>1109</v>
      </c>
    </row>
    <row r="7657" spans="1:9" x14ac:dyDescent="0.2">
      <c r="A7657" s="997">
        <f t="shared" si="119"/>
        <v>7656</v>
      </c>
      <c r="B7657" s="983" t="s">
        <v>2718</v>
      </c>
      <c r="C7657" s="1001"/>
      <c r="F7657" s="983" t="s">
        <v>1110</v>
      </c>
    </row>
    <row r="7658" spans="1:9" x14ac:dyDescent="0.2">
      <c r="A7658" s="997">
        <f t="shared" si="119"/>
        <v>7657</v>
      </c>
      <c r="B7658" s="983" t="s">
        <v>2718</v>
      </c>
      <c r="C7658" s="1000"/>
      <c r="F7658" s="983" t="s">
        <v>1111</v>
      </c>
    </row>
    <row r="7659" spans="1:9" x14ac:dyDescent="0.2">
      <c r="A7659" s="997">
        <f t="shared" si="119"/>
        <v>7658</v>
      </c>
      <c r="B7659" s="983" t="s">
        <v>2718</v>
      </c>
      <c r="C7659" s="1000"/>
      <c r="F7659" s="983" t="s">
        <v>1112</v>
      </c>
    </row>
    <row r="7660" spans="1:9" x14ac:dyDescent="0.2">
      <c r="A7660" s="997">
        <f t="shared" si="119"/>
        <v>7659</v>
      </c>
      <c r="B7660" s="983" t="s">
        <v>2718</v>
      </c>
      <c r="C7660" s="999"/>
      <c r="E7660" s="983" t="s">
        <v>1113</v>
      </c>
    </row>
    <row r="7661" spans="1:9" x14ac:dyDescent="0.2">
      <c r="A7661" s="997">
        <f t="shared" si="119"/>
        <v>7660</v>
      </c>
      <c r="B7661" s="983" t="s">
        <v>2719</v>
      </c>
      <c r="C7661" s="999"/>
      <c r="E7661" s="983" t="s">
        <v>1104</v>
      </c>
    </row>
    <row r="7662" spans="1:9" x14ac:dyDescent="0.2">
      <c r="A7662" s="997">
        <f t="shared" si="119"/>
        <v>7661</v>
      </c>
      <c r="B7662" s="983" t="s">
        <v>2719</v>
      </c>
      <c r="C7662" s="1000"/>
      <c r="F7662" s="983" t="s">
        <v>2237</v>
      </c>
    </row>
    <row r="7663" spans="1:9" x14ac:dyDescent="0.2">
      <c r="A7663" s="997">
        <f t="shared" si="119"/>
        <v>7662</v>
      </c>
      <c r="B7663" s="983" t="s">
        <v>2719</v>
      </c>
      <c r="C7663" s="1001"/>
      <c r="F7663" s="983" t="s">
        <v>1105</v>
      </c>
    </row>
    <row r="7664" spans="1:9" x14ac:dyDescent="0.2">
      <c r="A7664" s="997">
        <f t="shared" si="119"/>
        <v>7663</v>
      </c>
      <c r="B7664" s="983" t="s">
        <v>2719</v>
      </c>
      <c r="C7664" s="1000"/>
      <c r="G7664" s="983" t="s">
        <v>1106</v>
      </c>
    </row>
    <row r="7665" spans="1:9" x14ac:dyDescent="0.2">
      <c r="A7665" s="997">
        <f t="shared" si="119"/>
        <v>7664</v>
      </c>
      <c r="B7665" s="983" t="s">
        <v>2719</v>
      </c>
      <c r="C7665" s="1000"/>
      <c r="H7665" s="983" t="s">
        <v>1107</v>
      </c>
    </row>
    <row r="7666" spans="1:9" x14ac:dyDescent="0.2">
      <c r="A7666" s="997">
        <f t="shared" si="119"/>
        <v>7665</v>
      </c>
      <c r="B7666" s="983" t="s">
        <v>2719</v>
      </c>
      <c r="C7666" s="1000"/>
      <c r="I7666" s="983" t="s">
        <v>2238</v>
      </c>
    </row>
    <row r="7667" spans="1:9" x14ac:dyDescent="0.2">
      <c r="A7667" s="997">
        <f t="shared" si="119"/>
        <v>7666</v>
      </c>
      <c r="B7667" s="983" t="s">
        <v>2719</v>
      </c>
      <c r="C7667" s="999"/>
      <c r="H7667" s="983" t="s">
        <v>1108</v>
      </c>
    </row>
    <row r="7668" spans="1:9" x14ac:dyDescent="0.2">
      <c r="A7668" s="997">
        <f t="shared" si="119"/>
        <v>7667</v>
      </c>
      <c r="B7668" s="983" t="s">
        <v>2719</v>
      </c>
      <c r="C7668" s="999"/>
      <c r="H7668" s="983" t="str">
        <f>CONCATENATE("&lt;valeur&gt;",Cellule_2065,"&lt;/valeur&gt;")</f>
        <v>&lt;valeur&gt;0&lt;/valeur&gt;</v>
      </c>
    </row>
    <row r="7669" spans="1:9" x14ac:dyDescent="0.2">
      <c r="A7669" s="997">
        <f t="shared" si="119"/>
        <v>7668</v>
      </c>
      <c r="B7669" s="983" t="s">
        <v>2719</v>
      </c>
      <c r="C7669" s="1000"/>
      <c r="G7669" s="983" t="s">
        <v>1109</v>
      </c>
    </row>
    <row r="7670" spans="1:9" x14ac:dyDescent="0.2">
      <c r="A7670" s="997">
        <f t="shared" si="119"/>
        <v>7669</v>
      </c>
      <c r="B7670" s="983" t="s">
        <v>2719</v>
      </c>
      <c r="C7670" s="1001"/>
      <c r="G7670" s="983" t="s">
        <v>1106</v>
      </c>
    </row>
    <row r="7671" spans="1:9" x14ac:dyDescent="0.2">
      <c r="A7671" s="997">
        <f t="shared" si="119"/>
        <v>7670</v>
      </c>
      <c r="B7671" s="983" t="s">
        <v>2719</v>
      </c>
      <c r="C7671" s="1000"/>
      <c r="H7671" s="983" t="s">
        <v>1107</v>
      </c>
    </row>
    <row r="7672" spans="1:9" x14ac:dyDescent="0.2">
      <c r="A7672" s="997">
        <f t="shared" si="119"/>
        <v>7671</v>
      </c>
      <c r="B7672" s="983" t="s">
        <v>2719</v>
      </c>
      <c r="C7672" s="1000"/>
      <c r="I7672" s="983" t="s">
        <v>2239</v>
      </c>
    </row>
    <row r="7673" spans="1:9" x14ac:dyDescent="0.2">
      <c r="A7673" s="997">
        <f t="shared" si="119"/>
        <v>7672</v>
      </c>
      <c r="B7673" s="983" t="s">
        <v>2719</v>
      </c>
      <c r="C7673" s="1000"/>
      <c r="H7673" s="983" t="s">
        <v>1108</v>
      </c>
    </row>
    <row r="7674" spans="1:9" x14ac:dyDescent="0.2">
      <c r="A7674" s="997">
        <f t="shared" si="119"/>
        <v>7673</v>
      </c>
      <c r="B7674" s="983" t="s">
        <v>2719</v>
      </c>
      <c r="C7674" s="999"/>
      <c r="H7674" s="983" t="str">
        <f>CONCATENATE("&lt;valeur&gt;",Cellule_2070,"&lt;/valeur&gt;")</f>
        <v>&lt;valeur&gt;0&lt;/valeur&gt;</v>
      </c>
    </row>
    <row r="7675" spans="1:9" x14ac:dyDescent="0.2">
      <c r="A7675" s="997">
        <f t="shared" si="119"/>
        <v>7674</v>
      </c>
      <c r="B7675" s="983" t="s">
        <v>2719</v>
      </c>
      <c r="C7675" s="999"/>
      <c r="G7675" s="983" t="s">
        <v>1109</v>
      </c>
    </row>
    <row r="7676" spans="1:9" x14ac:dyDescent="0.2">
      <c r="A7676" s="997">
        <f t="shared" si="119"/>
        <v>7675</v>
      </c>
      <c r="B7676" s="983" t="s">
        <v>2719</v>
      </c>
      <c r="C7676" s="1000"/>
      <c r="G7676" s="983" t="s">
        <v>1106</v>
      </c>
    </row>
    <row r="7677" spans="1:9" x14ac:dyDescent="0.2">
      <c r="A7677" s="997">
        <f t="shared" si="119"/>
        <v>7676</v>
      </c>
      <c r="B7677" s="983" t="s">
        <v>2719</v>
      </c>
      <c r="C7677" s="1001"/>
      <c r="H7677" s="983" t="s">
        <v>1107</v>
      </c>
    </row>
    <row r="7678" spans="1:9" x14ac:dyDescent="0.2">
      <c r="A7678" s="997">
        <f t="shared" si="119"/>
        <v>7677</v>
      </c>
      <c r="B7678" s="983" t="s">
        <v>2719</v>
      </c>
      <c r="C7678" s="1000"/>
      <c r="I7678" s="983" t="s">
        <v>2240</v>
      </c>
    </row>
    <row r="7679" spans="1:9" x14ac:dyDescent="0.2">
      <c r="A7679" s="997">
        <f t="shared" si="119"/>
        <v>7678</v>
      </c>
      <c r="B7679" s="983" t="s">
        <v>2719</v>
      </c>
      <c r="C7679" s="1062"/>
      <c r="H7679" s="983" t="s">
        <v>1108</v>
      </c>
    </row>
    <row r="7680" spans="1:9" x14ac:dyDescent="0.2">
      <c r="A7680" s="997">
        <f t="shared" si="119"/>
        <v>7679</v>
      </c>
      <c r="B7680" s="983" t="s">
        <v>2719</v>
      </c>
      <c r="C7680" s="1000"/>
      <c r="H7680" s="983" t="str">
        <f>CONCATENATE("&lt;valeur&gt;",Cellule_2075,"&lt;/valeur&gt;")</f>
        <v>&lt;valeur&gt;0&lt;/valeur&gt;</v>
      </c>
    </row>
    <row r="7681" spans="1:9" x14ac:dyDescent="0.2">
      <c r="A7681" s="997">
        <f t="shared" si="119"/>
        <v>7680</v>
      </c>
      <c r="B7681" s="983" t="s">
        <v>2719</v>
      </c>
      <c r="C7681" s="999"/>
      <c r="G7681" s="983" t="s">
        <v>1109</v>
      </c>
    </row>
    <row r="7682" spans="1:9" x14ac:dyDescent="0.2">
      <c r="A7682" s="997">
        <f t="shared" si="119"/>
        <v>7681</v>
      </c>
      <c r="B7682" s="983" t="s">
        <v>2719</v>
      </c>
      <c r="C7682" s="999"/>
      <c r="G7682" s="983" t="s">
        <v>1106</v>
      </c>
    </row>
    <row r="7683" spans="1:9" x14ac:dyDescent="0.2">
      <c r="A7683" s="997">
        <f t="shared" si="119"/>
        <v>7682</v>
      </c>
      <c r="B7683" s="983" t="s">
        <v>2719</v>
      </c>
      <c r="C7683" s="1000"/>
      <c r="H7683" s="983" t="s">
        <v>1107</v>
      </c>
    </row>
    <row r="7684" spans="1:9" x14ac:dyDescent="0.2">
      <c r="A7684" s="997">
        <f t="shared" ref="A7684:A7747" si="120">+A7683+1</f>
        <v>7683</v>
      </c>
      <c r="B7684" s="983" t="s">
        <v>2719</v>
      </c>
      <c r="C7684" s="1001"/>
      <c r="I7684" s="983" t="s">
        <v>2241</v>
      </c>
    </row>
    <row r="7685" spans="1:9" x14ac:dyDescent="0.2">
      <c r="A7685" s="997">
        <f t="shared" si="120"/>
        <v>7684</v>
      </c>
      <c r="B7685" s="983" t="s">
        <v>2719</v>
      </c>
      <c r="C7685" s="1000"/>
      <c r="H7685" s="983" t="s">
        <v>1108</v>
      </c>
    </row>
    <row r="7686" spans="1:9" x14ac:dyDescent="0.2">
      <c r="A7686" s="997">
        <f t="shared" si="120"/>
        <v>7685</v>
      </c>
      <c r="B7686" s="983" t="s">
        <v>2719</v>
      </c>
      <c r="C7686" s="1000"/>
      <c r="H7686" s="983" t="str">
        <f>CONCATENATE("&lt;valeur&gt;",Cellule_2080,"&lt;/valeur&gt;")</f>
        <v>&lt;valeur&gt;0&lt;/valeur&gt;</v>
      </c>
    </row>
    <row r="7687" spans="1:9" x14ac:dyDescent="0.2">
      <c r="A7687" s="997">
        <f t="shared" si="120"/>
        <v>7686</v>
      </c>
      <c r="B7687" s="983" t="s">
        <v>2719</v>
      </c>
      <c r="C7687" s="1000"/>
      <c r="G7687" s="983" t="s">
        <v>1109</v>
      </c>
    </row>
    <row r="7688" spans="1:9" x14ac:dyDescent="0.2">
      <c r="A7688" s="997">
        <f t="shared" si="120"/>
        <v>7687</v>
      </c>
      <c r="B7688" s="983" t="s">
        <v>2719</v>
      </c>
      <c r="C7688" s="999"/>
      <c r="G7688" s="983" t="s">
        <v>1106</v>
      </c>
    </row>
    <row r="7689" spans="1:9" x14ac:dyDescent="0.2">
      <c r="A7689" s="997">
        <f t="shared" si="120"/>
        <v>7688</v>
      </c>
      <c r="B7689" s="983" t="s">
        <v>2719</v>
      </c>
      <c r="C7689" s="999"/>
      <c r="H7689" s="983" t="s">
        <v>1107</v>
      </c>
    </row>
    <row r="7690" spans="1:9" x14ac:dyDescent="0.2">
      <c r="A7690" s="997">
        <f t="shared" si="120"/>
        <v>7689</v>
      </c>
      <c r="B7690" s="983" t="s">
        <v>2719</v>
      </c>
      <c r="C7690" s="1000"/>
      <c r="I7690" s="983" t="s">
        <v>2242</v>
      </c>
    </row>
    <row r="7691" spans="1:9" x14ac:dyDescent="0.2">
      <c r="A7691" s="997">
        <f t="shared" si="120"/>
        <v>7690</v>
      </c>
      <c r="B7691" s="983" t="s">
        <v>2719</v>
      </c>
      <c r="C7691" s="1001"/>
      <c r="H7691" s="983" t="s">
        <v>1108</v>
      </c>
    </row>
    <row r="7692" spans="1:9" x14ac:dyDescent="0.2">
      <c r="A7692" s="997">
        <f t="shared" si="120"/>
        <v>7691</v>
      </c>
      <c r="B7692" s="983" t="s">
        <v>2719</v>
      </c>
      <c r="C7692" s="1000"/>
      <c r="H7692" s="983" t="str">
        <f>CONCATENATE("&lt;valeur&gt;",Cellule_2085,"&lt;/valeur&gt;")</f>
        <v>&lt;valeur&gt;0&lt;/valeur&gt;</v>
      </c>
    </row>
    <row r="7693" spans="1:9" x14ac:dyDescent="0.2">
      <c r="A7693" s="997">
        <f t="shared" si="120"/>
        <v>7692</v>
      </c>
      <c r="B7693" s="983" t="s">
        <v>2719</v>
      </c>
      <c r="C7693" s="1000"/>
      <c r="G7693" s="983" t="s">
        <v>1109</v>
      </c>
    </row>
    <row r="7694" spans="1:9" x14ac:dyDescent="0.2">
      <c r="A7694" s="997">
        <f t="shared" si="120"/>
        <v>7693</v>
      </c>
      <c r="B7694" s="983" t="s">
        <v>2719</v>
      </c>
      <c r="C7694" s="1000"/>
      <c r="G7694" s="983" t="s">
        <v>1106</v>
      </c>
    </row>
    <row r="7695" spans="1:9" x14ac:dyDescent="0.2">
      <c r="A7695" s="997">
        <f t="shared" si="120"/>
        <v>7694</v>
      </c>
      <c r="B7695" s="983" t="s">
        <v>2719</v>
      </c>
      <c r="C7695" s="999"/>
      <c r="H7695" s="983" t="s">
        <v>1107</v>
      </c>
    </row>
    <row r="7696" spans="1:9" x14ac:dyDescent="0.2">
      <c r="A7696" s="997">
        <f t="shared" si="120"/>
        <v>7695</v>
      </c>
      <c r="B7696" s="983" t="s">
        <v>2719</v>
      </c>
      <c r="C7696" s="999"/>
      <c r="I7696" s="983" t="s">
        <v>2243</v>
      </c>
    </row>
    <row r="7697" spans="1:9" x14ac:dyDescent="0.2">
      <c r="A7697" s="997">
        <f t="shared" si="120"/>
        <v>7696</v>
      </c>
      <c r="B7697" s="983" t="s">
        <v>2719</v>
      </c>
      <c r="C7697" s="1000"/>
      <c r="H7697" s="983" t="s">
        <v>1108</v>
      </c>
    </row>
    <row r="7698" spans="1:9" x14ac:dyDescent="0.2">
      <c r="A7698" s="997">
        <f t="shared" si="120"/>
        <v>7697</v>
      </c>
      <c r="B7698" s="983" t="s">
        <v>2719</v>
      </c>
      <c r="C7698" s="1001"/>
      <c r="H7698" s="983" t="str">
        <f>CONCATENATE("&lt;valeur&gt;",Cellule_2066,"&lt;/valeur&gt;")</f>
        <v>&lt;valeur&gt;76333,33&lt;/valeur&gt;</v>
      </c>
    </row>
    <row r="7699" spans="1:9" x14ac:dyDescent="0.2">
      <c r="A7699" s="997">
        <f t="shared" si="120"/>
        <v>7698</v>
      </c>
      <c r="B7699" s="983" t="s">
        <v>2719</v>
      </c>
      <c r="C7699" s="1000"/>
      <c r="G7699" s="983" t="s">
        <v>1109</v>
      </c>
    </row>
    <row r="7700" spans="1:9" x14ac:dyDescent="0.2">
      <c r="A7700" s="997">
        <f t="shared" si="120"/>
        <v>7699</v>
      </c>
      <c r="B7700" s="983" t="s">
        <v>2719</v>
      </c>
      <c r="C7700" s="1000"/>
      <c r="G7700" s="983" t="s">
        <v>1106</v>
      </c>
    </row>
    <row r="7701" spans="1:9" x14ac:dyDescent="0.2">
      <c r="A7701" s="997">
        <f t="shared" si="120"/>
        <v>7700</v>
      </c>
      <c r="B7701" s="983" t="s">
        <v>2719</v>
      </c>
      <c r="C7701" s="1000"/>
      <c r="H7701" s="983" t="s">
        <v>1107</v>
      </c>
    </row>
    <row r="7702" spans="1:9" x14ac:dyDescent="0.2">
      <c r="A7702" s="997">
        <f t="shared" si="120"/>
        <v>7701</v>
      </c>
      <c r="B7702" s="983" t="s">
        <v>2719</v>
      </c>
      <c r="C7702" s="999"/>
      <c r="I7702" s="983" t="s">
        <v>2244</v>
      </c>
    </row>
    <row r="7703" spans="1:9" x14ac:dyDescent="0.2">
      <c r="A7703" s="997">
        <f t="shared" si="120"/>
        <v>7702</v>
      </c>
      <c r="B7703" s="983" t="s">
        <v>2719</v>
      </c>
      <c r="C7703" s="999"/>
      <c r="H7703" s="983" t="s">
        <v>1108</v>
      </c>
    </row>
    <row r="7704" spans="1:9" x14ac:dyDescent="0.2">
      <c r="A7704" s="997">
        <f t="shared" si="120"/>
        <v>7703</v>
      </c>
      <c r="B7704" s="983" t="s">
        <v>2719</v>
      </c>
      <c r="C7704" s="1000"/>
      <c r="H7704" s="983" t="str">
        <f>CONCATENATE("&lt;valeur&gt;",Cellule_2071,"&lt;/valeur&gt;")</f>
        <v>&lt;valeur&gt;46860,01&lt;/valeur&gt;</v>
      </c>
    </row>
    <row r="7705" spans="1:9" x14ac:dyDescent="0.2">
      <c r="A7705" s="997">
        <f t="shared" si="120"/>
        <v>7704</v>
      </c>
      <c r="B7705" s="983" t="s">
        <v>2719</v>
      </c>
      <c r="C7705" s="1001"/>
      <c r="G7705" s="983" t="s">
        <v>1109</v>
      </c>
    </row>
    <row r="7706" spans="1:9" x14ac:dyDescent="0.2">
      <c r="A7706" s="997">
        <f t="shared" si="120"/>
        <v>7705</v>
      </c>
      <c r="B7706" s="983" t="s">
        <v>2719</v>
      </c>
      <c r="C7706" s="1000"/>
      <c r="G7706" s="983" t="s">
        <v>1106</v>
      </c>
    </row>
    <row r="7707" spans="1:9" x14ac:dyDescent="0.2">
      <c r="A7707" s="997">
        <f t="shared" si="120"/>
        <v>7706</v>
      </c>
      <c r="B7707" s="983" t="s">
        <v>2719</v>
      </c>
      <c r="C7707" s="1000"/>
      <c r="H7707" s="983" t="s">
        <v>1107</v>
      </c>
    </row>
    <row r="7708" spans="1:9" x14ac:dyDescent="0.2">
      <c r="A7708" s="997">
        <f t="shared" si="120"/>
        <v>7707</v>
      </c>
      <c r="B7708" s="983" t="s">
        <v>2719</v>
      </c>
      <c r="C7708" s="999"/>
      <c r="I7708" s="983" t="s">
        <v>2245</v>
      </c>
    </row>
    <row r="7709" spans="1:9" x14ac:dyDescent="0.2">
      <c r="A7709" s="997">
        <f t="shared" si="120"/>
        <v>7708</v>
      </c>
      <c r="B7709" s="983" t="s">
        <v>2719</v>
      </c>
      <c r="C7709" s="999"/>
      <c r="H7709" s="983" t="s">
        <v>1108</v>
      </c>
    </row>
    <row r="7710" spans="1:9" x14ac:dyDescent="0.2">
      <c r="A7710" s="997">
        <f t="shared" si="120"/>
        <v>7709</v>
      </c>
      <c r="B7710" s="983" t="s">
        <v>2719</v>
      </c>
      <c r="C7710" s="1000"/>
      <c r="H7710" s="983" t="str">
        <f>CONCATENATE("&lt;valeur&gt;",Cellule_2076,"&lt;/valeur&gt;")</f>
        <v>&lt;valeur&gt;42169,66&lt;/valeur&gt;</v>
      </c>
    </row>
    <row r="7711" spans="1:9" x14ac:dyDescent="0.2">
      <c r="A7711" s="997">
        <f t="shared" si="120"/>
        <v>7710</v>
      </c>
      <c r="B7711" s="983" t="s">
        <v>2719</v>
      </c>
      <c r="C7711" s="1001"/>
      <c r="G7711" s="983" t="s">
        <v>1109</v>
      </c>
    </row>
    <row r="7712" spans="1:9" x14ac:dyDescent="0.2">
      <c r="A7712" s="997">
        <f t="shared" si="120"/>
        <v>7711</v>
      </c>
      <c r="B7712" s="983" t="s">
        <v>2719</v>
      </c>
      <c r="C7712" s="1000"/>
      <c r="G7712" s="983" t="s">
        <v>1106</v>
      </c>
    </row>
    <row r="7713" spans="1:9" x14ac:dyDescent="0.2">
      <c r="A7713" s="997">
        <f t="shared" si="120"/>
        <v>7712</v>
      </c>
      <c r="B7713" s="983" t="s">
        <v>2719</v>
      </c>
      <c r="C7713" s="1000"/>
      <c r="H7713" s="983" t="s">
        <v>1107</v>
      </c>
    </row>
    <row r="7714" spans="1:9" x14ac:dyDescent="0.2">
      <c r="A7714" s="997">
        <f t="shared" si="120"/>
        <v>7713</v>
      </c>
      <c r="B7714" s="983" t="s">
        <v>2719</v>
      </c>
      <c r="C7714" s="999"/>
      <c r="I7714" s="983" t="s">
        <v>2246</v>
      </c>
    </row>
    <row r="7715" spans="1:9" x14ac:dyDescent="0.2">
      <c r="A7715" s="997">
        <f t="shared" si="120"/>
        <v>7714</v>
      </c>
      <c r="B7715" s="983" t="s">
        <v>2719</v>
      </c>
      <c r="C7715" s="999"/>
      <c r="H7715" s="983" t="s">
        <v>1108</v>
      </c>
    </row>
    <row r="7716" spans="1:9" x14ac:dyDescent="0.2">
      <c r="A7716" s="997">
        <f t="shared" si="120"/>
        <v>7715</v>
      </c>
      <c r="B7716" s="983" t="s">
        <v>2719</v>
      </c>
      <c r="C7716" s="1000"/>
      <c r="H7716" s="983" t="str">
        <f>CONCATENATE("&lt;valeur&gt;",Cellule_2081,"&lt;/valeur&gt;")</f>
        <v>&lt;valeur&gt;4690,35&lt;/valeur&gt;</v>
      </c>
    </row>
    <row r="7717" spans="1:9" x14ac:dyDescent="0.2">
      <c r="A7717" s="997">
        <f t="shared" si="120"/>
        <v>7716</v>
      </c>
      <c r="B7717" s="983" t="s">
        <v>2719</v>
      </c>
      <c r="C7717" s="1001"/>
      <c r="G7717" s="983" t="s">
        <v>1109</v>
      </c>
    </row>
    <row r="7718" spans="1:9" x14ac:dyDescent="0.2">
      <c r="A7718" s="997">
        <f t="shared" si="120"/>
        <v>7717</v>
      </c>
      <c r="B7718" s="983" t="s">
        <v>2719</v>
      </c>
      <c r="C7718" s="1000"/>
      <c r="G7718" s="983" t="s">
        <v>1106</v>
      </c>
    </row>
    <row r="7719" spans="1:9" x14ac:dyDescent="0.2">
      <c r="A7719" s="997">
        <f t="shared" si="120"/>
        <v>7718</v>
      </c>
      <c r="B7719" s="983" t="s">
        <v>2719</v>
      </c>
      <c r="C7719" s="1000"/>
      <c r="H7719" s="983" t="s">
        <v>1107</v>
      </c>
    </row>
    <row r="7720" spans="1:9" x14ac:dyDescent="0.2">
      <c r="A7720" s="997">
        <f t="shared" si="120"/>
        <v>7719</v>
      </c>
      <c r="B7720" s="983" t="s">
        <v>2719</v>
      </c>
      <c r="C7720" s="999"/>
      <c r="I7720" s="983" t="s">
        <v>2247</v>
      </c>
    </row>
    <row r="7721" spans="1:9" x14ac:dyDescent="0.2">
      <c r="A7721" s="997">
        <f t="shared" si="120"/>
        <v>7720</v>
      </c>
      <c r="B7721" s="983" t="s">
        <v>2719</v>
      </c>
      <c r="C7721" s="999"/>
      <c r="H7721" s="983" t="s">
        <v>1108</v>
      </c>
    </row>
    <row r="7722" spans="1:9" x14ac:dyDescent="0.2">
      <c r="A7722" s="997">
        <f t="shared" si="120"/>
        <v>7721</v>
      </c>
      <c r="B7722" s="983" t="s">
        <v>2719</v>
      </c>
      <c r="C7722" s="1000"/>
      <c r="H7722" s="983" t="str">
        <f>CONCATENATE("&lt;valeur&gt;",Cellule_2086,"&lt;/valeur&gt;")</f>
        <v>&lt;valeur&gt;29473,32&lt;/valeur&gt;</v>
      </c>
    </row>
    <row r="7723" spans="1:9" x14ac:dyDescent="0.2">
      <c r="A7723" s="997">
        <f t="shared" si="120"/>
        <v>7722</v>
      </c>
      <c r="B7723" s="983" t="s">
        <v>2719</v>
      </c>
      <c r="C7723" s="1001"/>
      <c r="G7723" s="983" t="s">
        <v>1109</v>
      </c>
    </row>
    <row r="7724" spans="1:9" x14ac:dyDescent="0.2">
      <c r="A7724" s="997">
        <f t="shared" si="120"/>
        <v>7723</v>
      </c>
      <c r="B7724" s="983" t="s">
        <v>2719</v>
      </c>
      <c r="C7724" s="1000"/>
      <c r="G7724" s="983" t="s">
        <v>1106</v>
      </c>
    </row>
    <row r="7725" spans="1:9" x14ac:dyDescent="0.2">
      <c r="A7725" s="997">
        <f t="shared" si="120"/>
        <v>7724</v>
      </c>
      <c r="B7725" s="983" t="s">
        <v>2719</v>
      </c>
      <c r="C7725" s="1000"/>
      <c r="H7725" s="983" t="s">
        <v>1107</v>
      </c>
    </row>
    <row r="7726" spans="1:9" x14ac:dyDescent="0.2">
      <c r="A7726" s="997">
        <f t="shared" si="120"/>
        <v>7725</v>
      </c>
      <c r="B7726" s="983" t="s">
        <v>2719</v>
      </c>
      <c r="C7726" s="999"/>
      <c r="I7726" s="983" t="s">
        <v>2248</v>
      </c>
    </row>
    <row r="7727" spans="1:9" x14ac:dyDescent="0.2">
      <c r="A7727" s="997">
        <f t="shared" si="120"/>
        <v>7726</v>
      </c>
      <c r="B7727" s="983" t="s">
        <v>2719</v>
      </c>
      <c r="C7727" s="999"/>
      <c r="H7727" s="983" t="s">
        <v>1108</v>
      </c>
    </row>
    <row r="7728" spans="1:9" x14ac:dyDescent="0.2">
      <c r="A7728" s="997">
        <f t="shared" si="120"/>
        <v>7727</v>
      </c>
      <c r="B7728" s="983" t="s">
        <v>2719</v>
      </c>
      <c r="C7728" s="1000"/>
      <c r="H7728" s="983" t="str">
        <f>CONCATENATE("&lt;valeur&gt;",Cellule_2067,"&lt;/valeur&gt;")</f>
        <v>&lt;valeur&gt;28334&lt;/valeur&gt;</v>
      </c>
    </row>
    <row r="7729" spans="1:9" x14ac:dyDescent="0.2">
      <c r="A7729" s="997">
        <f t="shared" si="120"/>
        <v>7728</v>
      </c>
      <c r="B7729" s="983" t="s">
        <v>2719</v>
      </c>
      <c r="C7729" s="1001"/>
      <c r="G7729" s="983" t="s">
        <v>1109</v>
      </c>
    </row>
    <row r="7730" spans="1:9" x14ac:dyDescent="0.2">
      <c r="A7730" s="997">
        <f t="shared" si="120"/>
        <v>7729</v>
      </c>
      <c r="B7730" s="983" t="s">
        <v>2719</v>
      </c>
      <c r="C7730" s="1000"/>
      <c r="G7730" s="983" t="s">
        <v>1106</v>
      </c>
    </row>
    <row r="7731" spans="1:9" x14ac:dyDescent="0.2">
      <c r="A7731" s="997">
        <f t="shared" si="120"/>
        <v>7730</v>
      </c>
      <c r="B7731" s="983" t="s">
        <v>2719</v>
      </c>
      <c r="C7731" s="1062"/>
      <c r="H7731" s="983" t="s">
        <v>1107</v>
      </c>
    </row>
    <row r="7732" spans="1:9" x14ac:dyDescent="0.2">
      <c r="A7732" s="997">
        <f t="shared" si="120"/>
        <v>7731</v>
      </c>
      <c r="B7732" s="983" t="s">
        <v>2719</v>
      </c>
      <c r="C7732" s="999"/>
      <c r="I7732" s="983" t="s">
        <v>2249</v>
      </c>
    </row>
    <row r="7733" spans="1:9" x14ac:dyDescent="0.2">
      <c r="A7733" s="997">
        <f t="shared" si="120"/>
        <v>7732</v>
      </c>
      <c r="B7733" s="983" t="s">
        <v>2719</v>
      </c>
      <c r="C7733" s="999"/>
      <c r="H7733" s="983" t="s">
        <v>1108</v>
      </c>
    </row>
    <row r="7734" spans="1:9" x14ac:dyDescent="0.2">
      <c r="A7734" s="997">
        <f t="shared" si="120"/>
        <v>7733</v>
      </c>
      <c r="B7734" s="983" t="s">
        <v>2719</v>
      </c>
      <c r="C7734" s="1000"/>
      <c r="H7734" s="983" t="str">
        <f>CONCATENATE("&lt;valeur&gt;",Cellule_2072,"&lt;/valeur&gt;")</f>
        <v>&lt;valeur&gt;26059,29&lt;/valeur&gt;</v>
      </c>
    </row>
    <row r="7735" spans="1:9" x14ac:dyDescent="0.2">
      <c r="A7735" s="997">
        <f t="shared" si="120"/>
        <v>7734</v>
      </c>
      <c r="B7735" s="983" t="s">
        <v>2719</v>
      </c>
      <c r="C7735" s="1001"/>
      <c r="G7735" s="983" t="s">
        <v>1109</v>
      </c>
    </row>
    <row r="7736" spans="1:9" x14ac:dyDescent="0.2">
      <c r="A7736" s="997">
        <f t="shared" si="120"/>
        <v>7735</v>
      </c>
      <c r="B7736" s="983" t="s">
        <v>2719</v>
      </c>
      <c r="C7736" s="1000"/>
      <c r="G7736" s="983" t="s">
        <v>1106</v>
      </c>
    </row>
    <row r="7737" spans="1:9" x14ac:dyDescent="0.2">
      <c r="A7737" s="997">
        <f t="shared" si="120"/>
        <v>7736</v>
      </c>
      <c r="B7737" s="983" t="s">
        <v>2719</v>
      </c>
      <c r="C7737" s="1000"/>
      <c r="H7737" s="983" t="s">
        <v>1107</v>
      </c>
    </row>
    <row r="7738" spans="1:9" x14ac:dyDescent="0.2">
      <c r="A7738" s="997">
        <f t="shared" si="120"/>
        <v>7737</v>
      </c>
      <c r="B7738" s="983" t="s">
        <v>2719</v>
      </c>
      <c r="C7738" s="999"/>
      <c r="I7738" s="983" t="s">
        <v>2250</v>
      </c>
    </row>
    <row r="7739" spans="1:9" x14ac:dyDescent="0.2">
      <c r="A7739" s="997">
        <f t="shared" si="120"/>
        <v>7738</v>
      </c>
      <c r="B7739" s="983" t="s">
        <v>2719</v>
      </c>
      <c r="C7739" s="999"/>
      <c r="H7739" s="983" t="s">
        <v>1108</v>
      </c>
    </row>
    <row r="7740" spans="1:9" x14ac:dyDescent="0.2">
      <c r="A7740" s="997">
        <f t="shared" si="120"/>
        <v>7739</v>
      </c>
      <c r="B7740" s="983" t="s">
        <v>2719</v>
      </c>
      <c r="C7740" s="1000"/>
      <c r="H7740" s="983" t="str">
        <f>CONCATENATE("&lt;valeur&gt;",Cellule_2077,"&lt;/valeur&gt;")</f>
        <v>&lt;valeur&gt;22567,97&lt;/valeur&gt;</v>
      </c>
    </row>
    <row r="7741" spans="1:9" x14ac:dyDescent="0.2">
      <c r="A7741" s="997">
        <f t="shared" si="120"/>
        <v>7740</v>
      </c>
      <c r="B7741" s="983" t="s">
        <v>2719</v>
      </c>
      <c r="C7741" s="1001"/>
      <c r="G7741" s="983" t="s">
        <v>1109</v>
      </c>
    </row>
    <row r="7742" spans="1:9" x14ac:dyDescent="0.2">
      <c r="A7742" s="997">
        <f t="shared" si="120"/>
        <v>7741</v>
      </c>
      <c r="B7742" s="983" t="s">
        <v>2719</v>
      </c>
      <c r="C7742" s="1000"/>
      <c r="G7742" s="983" t="s">
        <v>1106</v>
      </c>
    </row>
    <row r="7743" spans="1:9" x14ac:dyDescent="0.2">
      <c r="A7743" s="997">
        <f t="shared" si="120"/>
        <v>7742</v>
      </c>
      <c r="B7743" s="983" t="s">
        <v>2719</v>
      </c>
      <c r="C7743" s="1000"/>
      <c r="H7743" s="983" t="s">
        <v>1107</v>
      </c>
    </row>
    <row r="7744" spans="1:9" x14ac:dyDescent="0.2">
      <c r="A7744" s="997">
        <f t="shared" si="120"/>
        <v>7743</v>
      </c>
      <c r="B7744" s="983" t="s">
        <v>2719</v>
      </c>
      <c r="C7744" s="999"/>
      <c r="I7744" s="983" t="s">
        <v>2251</v>
      </c>
    </row>
    <row r="7745" spans="1:9" x14ac:dyDescent="0.2">
      <c r="A7745" s="997">
        <f t="shared" si="120"/>
        <v>7744</v>
      </c>
      <c r="B7745" s="983" t="s">
        <v>2719</v>
      </c>
      <c r="C7745" s="999"/>
      <c r="H7745" s="983" t="s">
        <v>1108</v>
      </c>
    </row>
    <row r="7746" spans="1:9" x14ac:dyDescent="0.2">
      <c r="A7746" s="997">
        <f t="shared" si="120"/>
        <v>7745</v>
      </c>
      <c r="B7746" s="983" t="s">
        <v>2719</v>
      </c>
      <c r="C7746" s="1000"/>
      <c r="H7746" s="983" t="str">
        <f>CONCATENATE("&lt;valeur&gt;",Cellule_2082,"&lt;/valeur&gt;")</f>
        <v>&lt;valeur&gt;3491,32&lt;/valeur&gt;</v>
      </c>
    </row>
    <row r="7747" spans="1:9" x14ac:dyDescent="0.2">
      <c r="A7747" s="997">
        <f t="shared" si="120"/>
        <v>7746</v>
      </c>
      <c r="B7747" s="983" t="s">
        <v>2719</v>
      </c>
      <c r="C7747" s="1001"/>
      <c r="G7747" s="983" t="s">
        <v>1109</v>
      </c>
    </row>
    <row r="7748" spans="1:9" x14ac:dyDescent="0.2">
      <c r="A7748" s="997">
        <f t="shared" ref="A7748:A7811" si="121">+A7747+1</f>
        <v>7747</v>
      </c>
      <c r="B7748" s="983" t="s">
        <v>2719</v>
      </c>
      <c r="C7748" s="1000"/>
      <c r="G7748" s="983" t="s">
        <v>1106</v>
      </c>
    </row>
    <row r="7749" spans="1:9" x14ac:dyDescent="0.2">
      <c r="A7749" s="997">
        <f t="shared" si="121"/>
        <v>7748</v>
      </c>
      <c r="B7749" s="983" t="s">
        <v>2719</v>
      </c>
      <c r="C7749" s="1000"/>
      <c r="H7749" s="983" t="s">
        <v>1107</v>
      </c>
    </row>
    <row r="7750" spans="1:9" x14ac:dyDescent="0.2">
      <c r="A7750" s="997">
        <f t="shared" si="121"/>
        <v>7749</v>
      </c>
      <c r="B7750" s="983" t="s">
        <v>2719</v>
      </c>
      <c r="C7750" s="999"/>
      <c r="I7750" s="983" t="s">
        <v>2252</v>
      </c>
    </row>
    <row r="7751" spans="1:9" x14ac:dyDescent="0.2">
      <c r="A7751" s="997">
        <f t="shared" si="121"/>
        <v>7750</v>
      </c>
      <c r="B7751" s="983" t="s">
        <v>2719</v>
      </c>
      <c r="C7751" s="998"/>
      <c r="H7751" s="983" t="s">
        <v>1108</v>
      </c>
    </row>
    <row r="7752" spans="1:9" x14ac:dyDescent="0.2">
      <c r="A7752" s="997">
        <f t="shared" si="121"/>
        <v>7751</v>
      </c>
      <c r="B7752" s="983" t="s">
        <v>2719</v>
      </c>
      <c r="C7752" s="998"/>
      <c r="H7752" s="983" t="str">
        <f>CONCATENATE("&lt;valeur&gt;",Cellule_2087,"&lt;/valeur&gt;")</f>
        <v>&lt;valeur&gt;2274,71&lt;/valeur&gt;</v>
      </c>
    </row>
    <row r="7753" spans="1:9" x14ac:dyDescent="0.2">
      <c r="A7753" s="997">
        <f t="shared" si="121"/>
        <v>7752</v>
      </c>
      <c r="B7753" s="983" t="s">
        <v>2719</v>
      </c>
      <c r="C7753" s="995"/>
      <c r="G7753" s="983" t="s">
        <v>1109</v>
      </c>
    </row>
    <row r="7754" spans="1:9" x14ac:dyDescent="0.2">
      <c r="A7754" s="997">
        <f t="shared" si="121"/>
        <v>7753</v>
      </c>
      <c r="B7754" s="983" t="s">
        <v>2719</v>
      </c>
      <c r="C7754" s="995"/>
      <c r="G7754" s="983" t="s">
        <v>1106</v>
      </c>
    </row>
    <row r="7755" spans="1:9" x14ac:dyDescent="0.2">
      <c r="A7755" s="997">
        <f t="shared" si="121"/>
        <v>7754</v>
      </c>
      <c r="B7755" s="983" t="s">
        <v>2719</v>
      </c>
      <c r="C7755" s="998"/>
      <c r="H7755" s="983" t="s">
        <v>1107</v>
      </c>
    </row>
    <row r="7756" spans="1:9" x14ac:dyDescent="0.2">
      <c r="A7756" s="997">
        <f t="shared" si="121"/>
        <v>7755</v>
      </c>
      <c r="B7756" s="983" t="s">
        <v>2719</v>
      </c>
      <c r="C7756" s="999"/>
      <c r="I7756" s="983" t="s">
        <v>2253</v>
      </c>
    </row>
    <row r="7757" spans="1:9" x14ac:dyDescent="0.2">
      <c r="A7757" s="997">
        <f t="shared" si="121"/>
        <v>7756</v>
      </c>
      <c r="B7757" s="983" t="s">
        <v>2719</v>
      </c>
      <c r="C7757" s="998"/>
      <c r="H7757" s="983" t="s">
        <v>1108</v>
      </c>
    </row>
    <row r="7758" spans="1:9" x14ac:dyDescent="0.2">
      <c r="A7758" s="997">
        <f t="shared" si="121"/>
        <v>7757</v>
      </c>
      <c r="B7758" s="983" t="s">
        <v>2719</v>
      </c>
      <c r="C7758" s="998"/>
      <c r="H7758" s="983" t="str">
        <f>CONCATENATE("&lt;valeur&gt;",Cellule_2068,"&lt;/valeur&gt;")</f>
        <v>&lt;valeur&gt;47999,33&lt;/valeur&gt;</v>
      </c>
    </row>
    <row r="7759" spans="1:9" x14ac:dyDescent="0.2">
      <c r="A7759" s="997">
        <f t="shared" si="121"/>
        <v>7758</v>
      </c>
      <c r="B7759" s="983" t="s">
        <v>2719</v>
      </c>
      <c r="C7759" s="999"/>
      <c r="G7759" s="983" t="s">
        <v>1109</v>
      </c>
    </row>
    <row r="7760" spans="1:9" x14ac:dyDescent="0.2">
      <c r="A7760" s="997">
        <f t="shared" si="121"/>
        <v>7759</v>
      </c>
      <c r="B7760" s="983" t="s">
        <v>2719</v>
      </c>
      <c r="C7760" s="1000"/>
      <c r="G7760" s="983" t="s">
        <v>1106</v>
      </c>
    </row>
    <row r="7761" spans="1:9" x14ac:dyDescent="0.2">
      <c r="A7761" s="997">
        <f t="shared" si="121"/>
        <v>7760</v>
      </c>
      <c r="B7761" s="983" t="s">
        <v>2719</v>
      </c>
      <c r="C7761" s="1001"/>
      <c r="H7761" s="983" t="s">
        <v>1107</v>
      </c>
    </row>
    <row r="7762" spans="1:9" x14ac:dyDescent="0.2">
      <c r="A7762" s="997">
        <f t="shared" si="121"/>
        <v>7761</v>
      </c>
      <c r="B7762" s="983" t="s">
        <v>2719</v>
      </c>
      <c r="C7762" s="1000"/>
      <c r="I7762" s="983" t="s">
        <v>2254</v>
      </c>
    </row>
    <row r="7763" spans="1:9" x14ac:dyDescent="0.2">
      <c r="A7763" s="997">
        <f t="shared" si="121"/>
        <v>7762</v>
      </c>
      <c r="B7763" s="983" t="s">
        <v>2719</v>
      </c>
      <c r="C7763" s="1000"/>
      <c r="H7763" s="983" t="s">
        <v>1108</v>
      </c>
    </row>
    <row r="7764" spans="1:9" x14ac:dyDescent="0.2">
      <c r="A7764" s="997">
        <f t="shared" si="121"/>
        <v>7763</v>
      </c>
      <c r="B7764" s="983" t="s">
        <v>2719</v>
      </c>
      <c r="C7764" s="999"/>
      <c r="H7764" s="983" t="str">
        <f>CONCATENATE("&lt;valeur&gt;",Cellule_2073,"&lt;/valeur&gt;")</f>
        <v>&lt;valeur&gt;20800,72&lt;/valeur&gt;</v>
      </c>
    </row>
    <row r="7765" spans="1:9" x14ac:dyDescent="0.2">
      <c r="A7765" s="997">
        <f t="shared" si="121"/>
        <v>7764</v>
      </c>
      <c r="B7765" s="983" t="s">
        <v>2719</v>
      </c>
      <c r="C7765" s="999"/>
      <c r="G7765" s="983" t="s">
        <v>1109</v>
      </c>
    </row>
    <row r="7766" spans="1:9" x14ac:dyDescent="0.2">
      <c r="A7766" s="997">
        <f t="shared" si="121"/>
        <v>7765</v>
      </c>
      <c r="B7766" s="983" t="s">
        <v>2719</v>
      </c>
      <c r="C7766" s="1000"/>
      <c r="G7766" s="983" t="s">
        <v>1106</v>
      </c>
    </row>
    <row r="7767" spans="1:9" x14ac:dyDescent="0.2">
      <c r="A7767" s="997">
        <f t="shared" si="121"/>
        <v>7766</v>
      </c>
      <c r="B7767" s="983" t="s">
        <v>2719</v>
      </c>
      <c r="C7767" s="1001"/>
      <c r="H7767" s="983" t="s">
        <v>1107</v>
      </c>
    </row>
    <row r="7768" spans="1:9" x14ac:dyDescent="0.2">
      <c r="A7768" s="997">
        <f t="shared" si="121"/>
        <v>7767</v>
      </c>
      <c r="B7768" s="983" t="s">
        <v>2719</v>
      </c>
      <c r="C7768" s="1000"/>
      <c r="I7768" s="983" t="s">
        <v>2255</v>
      </c>
    </row>
    <row r="7769" spans="1:9" x14ac:dyDescent="0.2">
      <c r="A7769" s="997">
        <f t="shared" si="121"/>
        <v>7768</v>
      </c>
      <c r="B7769" s="983" t="s">
        <v>2719</v>
      </c>
      <c r="C7769" s="1000"/>
      <c r="H7769" s="983" t="s">
        <v>1108</v>
      </c>
    </row>
    <row r="7770" spans="1:9" x14ac:dyDescent="0.2">
      <c r="A7770" s="997">
        <f t="shared" si="121"/>
        <v>7769</v>
      </c>
      <c r="B7770" s="983" t="s">
        <v>2719</v>
      </c>
      <c r="C7770" s="999"/>
      <c r="H7770" s="983" t="str">
        <f>CONCATENATE("&lt;valeur&gt;",Cellule_2078,"&lt;/valeur&gt;")</f>
        <v>&lt;valeur&gt;19601,69&lt;/valeur&gt;</v>
      </c>
    </row>
    <row r="7771" spans="1:9" x14ac:dyDescent="0.2">
      <c r="A7771" s="997">
        <f t="shared" si="121"/>
        <v>7770</v>
      </c>
      <c r="B7771" s="983" t="s">
        <v>2719</v>
      </c>
      <c r="C7771" s="999"/>
      <c r="G7771" s="983" t="s">
        <v>1109</v>
      </c>
    </row>
    <row r="7772" spans="1:9" x14ac:dyDescent="0.2">
      <c r="A7772" s="997">
        <f t="shared" si="121"/>
        <v>7771</v>
      </c>
      <c r="B7772" s="983" t="s">
        <v>2719</v>
      </c>
      <c r="C7772" s="1000"/>
      <c r="G7772" s="983" t="s">
        <v>1106</v>
      </c>
    </row>
    <row r="7773" spans="1:9" x14ac:dyDescent="0.2">
      <c r="A7773" s="997">
        <f t="shared" si="121"/>
        <v>7772</v>
      </c>
      <c r="B7773" s="983" t="s">
        <v>2719</v>
      </c>
      <c r="C7773" s="1001"/>
      <c r="H7773" s="983" t="s">
        <v>1107</v>
      </c>
    </row>
    <row r="7774" spans="1:9" x14ac:dyDescent="0.2">
      <c r="A7774" s="997">
        <f t="shared" si="121"/>
        <v>7773</v>
      </c>
      <c r="B7774" s="983" t="s">
        <v>2719</v>
      </c>
      <c r="C7774" s="1000"/>
      <c r="I7774" s="983" t="s">
        <v>2256</v>
      </c>
    </row>
    <row r="7775" spans="1:9" x14ac:dyDescent="0.2">
      <c r="A7775" s="997">
        <f t="shared" si="121"/>
        <v>7774</v>
      </c>
      <c r="B7775" s="983" t="s">
        <v>2719</v>
      </c>
      <c r="C7775" s="1000"/>
      <c r="H7775" s="983" t="s">
        <v>1108</v>
      </c>
    </row>
    <row r="7776" spans="1:9" x14ac:dyDescent="0.2">
      <c r="A7776" s="997">
        <f t="shared" si="121"/>
        <v>7775</v>
      </c>
      <c r="B7776" s="983" t="s">
        <v>2719</v>
      </c>
      <c r="C7776" s="999"/>
      <c r="H7776" s="983" t="str">
        <f>CONCATENATE("&lt;valeur&gt;",Cellule_2083,"&lt;/valeur&gt;")</f>
        <v>&lt;valeur&gt;1199,03&lt;/valeur&gt;</v>
      </c>
    </row>
    <row r="7777" spans="1:9" x14ac:dyDescent="0.2">
      <c r="A7777" s="997">
        <f t="shared" si="121"/>
        <v>7776</v>
      </c>
      <c r="B7777" s="983" t="s">
        <v>2719</v>
      </c>
      <c r="C7777" s="999"/>
      <c r="G7777" s="983" t="s">
        <v>1109</v>
      </c>
    </row>
    <row r="7778" spans="1:9" x14ac:dyDescent="0.2">
      <c r="A7778" s="997">
        <f t="shared" si="121"/>
        <v>7777</v>
      </c>
      <c r="B7778" s="983" t="s">
        <v>2719</v>
      </c>
      <c r="C7778" s="1000"/>
      <c r="G7778" s="983" t="s">
        <v>1106</v>
      </c>
    </row>
    <row r="7779" spans="1:9" x14ac:dyDescent="0.2">
      <c r="A7779" s="997">
        <f t="shared" si="121"/>
        <v>7778</v>
      </c>
      <c r="B7779" s="983" t="s">
        <v>2719</v>
      </c>
      <c r="C7779" s="1001"/>
      <c r="H7779" s="983" t="s">
        <v>1107</v>
      </c>
    </row>
    <row r="7780" spans="1:9" x14ac:dyDescent="0.2">
      <c r="A7780" s="997">
        <f t="shared" si="121"/>
        <v>7779</v>
      </c>
      <c r="B7780" s="983" t="s">
        <v>2719</v>
      </c>
      <c r="C7780" s="1000"/>
      <c r="I7780" s="983" t="s">
        <v>2257</v>
      </c>
    </row>
    <row r="7781" spans="1:9" x14ac:dyDescent="0.2">
      <c r="A7781" s="997">
        <f t="shared" si="121"/>
        <v>7780</v>
      </c>
      <c r="B7781" s="983" t="s">
        <v>2719</v>
      </c>
      <c r="C7781" s="1000"/>
      <c r="H7781" s="983" t="s">
        <v>1108</v>
      </c>
    </row>
    <row r="7782" spans="1:9" x14ac:dyDescent="0.2">
      <c r="A7782" s="997">
        <f t="shared" si="121"/>
        <v>7781</v>
      </c>
      <c r="B7782" s="983" t="s">
        <v>2719</v>
      </c>
      <c r="C7782" s="999"/>
      <c r="H7782" s="983" t="str">
        <f>CONCATENATE("&lt;valeur&gt;",Cellule_2088,"&lt;/valeur&gt;")</f>
        <v>&lt;valeur&gt;27198,61&lt;/valeur&gt;</v>
      </c>
    </row>
    <row r="7783" spans="1:9" x14ac:dyDescent="0.2">
      <c r="A7783" s="997">
        <f t="shared" si="121"/>
        <v>7782</v>
      </c>
      <c r="B7783" s="983" t="s">
        <v>2719</v>
      </c>
      <c r="C7783" s="999"/>
      <c r="G7783" s="983" t="s">
        <v>1109</v>
      </c>
    </row>
    <row r="7784" spans="1:9" x14ac:dyDescent="0.2">
      <c r="A7784" s="997">
        <f t="shared" si="121"/>
        <v>7783</v>
      </c>
      <c r="B7784" s="983" t="s">
        <v>2719</v>
      </c>
      <c r="C7784" s="1000"/>
      <c r="F7784" s="983" t="s">
        <v>1110</v>
      </c>
    </row>
    <row r="7785" spans="1:9" x14ac:dyDescent="0.2">
      <c r="A7785" s="997">
        <f t="shared" si="121"/>
        <v>7784</v>
      </c>
      <c r="B7785" s="983" t="s">
        <v>2719</v>
      </c>
      <c r="C7785" s="1000"/>
      <c r="F7785" s="983" t="s">
        <v>1111</v>
      </c>
    </row>
    <row r="7786" spans="1:9" x14ac:dyDescent="0.2">
      <c r="A7786" s="997">
        <f t="shared" si="121"/>
        <v>7785</v>
      </c>
      <c r="B7786" s="983" t="s">
        <v>2719</v>
      </c>
      <c r="C7786" s="1000"/>
      <c r="F7786" s="983" t="s">
        <v>1112</v>
      </c>
    </row>
    <row r="7787" spans="1:9" x14ac:dyDescent="0.2">
      <c r="A7787" s="997">
        <f t="shared" si="121"/>
        <v>7786</v>
      </c>
      <c r="B7787" s="983" t="s">
        <v>2719</v>
      </c>
      <c r="C7787" s="999"/>
      <c r="E7787" s="983" t="s">
        <v>1113</v>
      </c>
    </row>
    <row r="7788" spans="1:9" x14ac:dyDescent="0.2">
      <c r="A7788" s="997">
        <f t="shared" si="121"/>
        <v>7787</v>
      </c>
      <c r="B7788" s="983" t="s">
        <v>2784</v>
      </c>
      <c r="C7788" s="1001"/>
      <c r="E7788" s="983" t="s">
        <v>1104</v>
      </c>
    </row>
    <row r="7789" spans="1:9" x14ac:dyDescent="0.2">
      <c r="A7789" s="997">
        <f t="shared" si="121"/>
        <v>7788</v>
      </c>
      <c r="B7789" s="983" t="s">
        <v>2784</v>
      </c>
      <c r="C7789" s="1000"/>
      <c r="F7789" s="983" t="s">
        <v>2785</v>
      </c>
    </row>
    <row r="7790" spans="1:9" x14ac:dyDescent="0.2">
      <c r="A7790" s="997">
        <f t="shared" si="121"/>
        <v>7789</v>
      </c>
      <c r="B7790" s="983" t="s">
        <v>2784</v>
      </c>
      <c r="C7790" s="1000"/>
      <c r="F7790" s="983" t="s">
        <v>1105</v>
      </c>
    </row>
    <row r="7791" spans="1:9" x14ac:dyDescent="0.2">
      <c r="A7791" s="997">
        <f t="shared" si="121"/>
        <v>7790</v>
      </c>
      <c r="B7791" s="1128" t="s">
        <v>2784</v>
      </c>
      <c r="C7791" s="1137"/>
      <c r="D7791" s="1128"/>
      <c r="E7791" s="1128"/>
      <c r="F7791" s="1128"/>
      <c r="G7791" s="1128" t="s">
        <v>1106</v>
      </c>
      <c r="H7791" s="1128"/>
      <c r="I7791" s="1124"/>
    </row>
    <row r="7792" spans="1:9" x14ac:dyDescent="0.2">
      <c r="A7792" s="997">
        <f t="shared" si="121"/>
        <v>7791</v>
      </c>
      <c r="B7792" s="1129" t="s">
        <v>2784</v>
      </c>
      <c r="C7792" s="1138"/>
      <c r="D7792" s="1129"/>
      <c r="E7792" s="1129"/>
      <c r="F7792" s="1129"/>
      <c r="G7792" s="1129"/>
      <c r="H7792" s="1129" t="s">
        <v>2786</v>
      </c>
      <c r="I7792" s="1127"/>
    </row>
    <row r="7793" spans="1:9" x14ac:dyDescent="0.2">
      <c r="A7793" s="997">
        <f t="shared" si="121"/>
        <v>7792</v>
      </c>
      <c r="B7793" s="1129" t="s">
        <v>2784</v>
      </c>
      <c r="C7793" s="1139"/>
      <c r="D7793" s="1129"/>
      <c r="E7793" s="1129"/>
      <c r="F7793" s="1129"/>
      <c r="G7793" s="1129"/>
      <c r="H7793" s="1129" t="str">
        <f>CONCATENATE("&lt;valeur&gt;",Cellule_2094_1,"&lt;/valeur&gt;")</f>
        <v>&lt;valeur&gt;&lt;/valeur&gt;</v>
      </c>
      <c r="I7793" s="1127"/>
    </row>
    <row r="7794" spans="1:9" x14ac:dyDescent="0.2">
      <c r="A7794" s="997">
        <f t="shared" si="121"/>
        <v>7793</v>
      </c>
      <c r="B7794" s="1129" t="s">
        <v>2784</v>
      </c>
      <c r="C7794" s="1140"/>
      <c r="D7794" s="1129"/>
      <c r="E7794" s="1129"/>
      <c r="F7794" s="1129"/>
      <c r="G7794" s="1129"/>
      <c r="H7794" s="1129" t="s">
        <v>1348</v>
      </c>
      <c r="I7794" s="1127"/>
    </row>
    <row r="7795" spans="1:9" x14ac:dyDescent="0.2">
      <c r="A7795" s="997">
        <f t="shared" si="121"/>
        <v>7794</v>
      </c>
      <c r="B7795" s="1129" t="s">
        <v>2784</v>
      </c>
      <c r="C7795" s="1139"/>
      <c r="D7795" s="1129"/>
      <c r="E7795" s="1129"/>
      <c r="F7795" s="1129"/>
      <c r="G7795" s="1129" t="s">
        <v>1109</v>
      </c>
      <c r="H7795" s="1129"/>
      <c r="I7795" s="1127"/>
    </row>
    <row r="7796" spans="1:9" x14ac:dyDescent="0.2">
      <c r="A7796" s="997">
        <f t="shared" si="121"/>
        <v>7795</v>
      </c>
      <c r="B7796" s="1129" t="s">
        <v>2784</v>
      </c>
      <c r="C7796" s="1139"/>
      <c r="D7796" s="1129"/>
      <c r="E7796" s="1129"/>
      <c r="F7796" s="1129"/>
      <c r="G7796" s="1129" t="s">
        <v>1106</v>
      </c>
      <c r="H7796" s="1129"/>
      <c r="I7796" s="1127"/>
    </row>
    <row r="7797" spans="1:9" x14ac:dyDescent="0.2">
      <c r="A7797" s="997">
        <f t="shared" si="121"/>
        <v>7796</v>
      </c>
      <c r="B7797" s="1129" t="s">
        <v>2784</v>
      </c>
      <c r="C7797" s="1138"/>
      <c r="D7797" s="1129"/>
      <c r="E7797" s="1129"/>
      <c r="F7797" s="1129"/>
      <c r="G7797" s="1129"/>
      <c r="H7797" s="1129" t="s">
        <v>2787</v>
      </c>
      <c r="I7797" s="1127"/>
    </row>
    <row r="7798" spans="1:9" x14ac:dyDescent="0.2">
      <c r="A7798" s="997">
        <f t="shared" si="121"/>
        <v>7797</v>
      </c>
      <c r="B7798" s="1129" t="s">
        <v>2784</v>
      </c>
      <c r="C7798" s="1138"/>
      <c r="D7798" s="1129"/>
      <c r="E7798" s="1129"/>
      <c r="F7798" s="1129"/>
      <c r="G7798" s="1129"/>
      <c r="H7798" s="1129" t="str">
        <f>CONCATENATE("&lt;valeur&gt;",Cellule_13536_1,"&lt;/valeur&gt;")</f>
        <v>&lt;valeur&gt;&lt;/valeur&gt;</v>
      </c>
      <c r="I7798" s="1127"/>
    </row>
    <row r="7799" spans="1:9" x14ac:dyDescent="0.2">
      <c r="A7799" s="997">
        <f t="shared" si="121"/>
        <v>7798</v>
      </c>
      <c r="B7799" s="1129" t="s">
        <v>2784</v>
      </c>
      <c r="C7799" s="1139"/>
      <c r="D7799" s="1129"/>
      <c r="E7799" s="1129"/>
      <c r="F7799" s="1129"/>
      <c r="G7799" s="1129"/>
      <c r="H7799" s="1129" t="s">
        <v>1348</v>
      </c>
      <c r="I7799" s="1127"/>
    </row>
    <row r="7800" spans="1:9" x14ac:dyDescent="0.2">
      <c r="A7800" s="997">
        <f t="shared" si="121"/>
        <v>7799</v>
      </c>
      <c r="B7800" s="1129" t="s">
        <v>2784</v>
      </c>
      <c r="C7800" s="1140"/>
      <c r="D7800" s="1129"/>
      <c r="E7800" s="1129"/>
      <c r="F7800" s="1129"/>
      <c r="G7800" s="1129" t="s">
        <v>1109</v>
      </c>
      <c r="H7800" s="1129"/>
      <c r="I7800" s="1127"/>
    </row>
    <row r="7801" spans="1:9" x14ac:dyDescent="0.2">
      <c r="A7801" s="997">
        <f t="shared" si="121"/>
        <v>7800</v>
      </c>
      <c r="B7801" s="1129" t="s">
        <v>2784</v>
      </c>
      <c r="C7801" s="1139"/>
      <c r="D7801" s="1129"/>
      <c r="E7801" s="1129"/>
      <c r="F7801" s="1129"/>
      <c r="G7801" s="1129" t="s">
        <v>1106</v>
      </c>
      <c r="H7801" s="1129"/>
      <c r="I7801" s="1127"/>
    </row>
    <row r="7802" spans="1:9" x14ac:dyDescent="0.2">
      <c r="A7802" s="997">
        <f t="shared" si="121"/>
        <v>7801</v>
      </c>
      <c r="B7802" s="1129" t="s">
        <v>2784</v>
      </c>
      <c r="C7802" s="1139"/>
      <c r="D7802" s="1129"/>
      <c r="E7802" s="1129"/>
      <c r="F7802" s="1129"/>
      <c r="G7802" s="1129"/>
      <c r="H7802" s="1129" t="s">
        <v>2788</v>
      </c>
      <c r="I7802" s="1127"/>
    </row>
    <row r="7803" spans="1:9" x14ac:dyDescent="0.2">
      <c r="A7803" s="997">
        <f t="shared" si="121"/>
        <v>7802</v>
      </c>
      <c r="B7803" s="1129" t="s">
        <v>2784</v>
      </c>
      <c r="C7803" s="1138"/>
      <c r="D7803" s="1129"/>
      <c r="E7803" s="1129"/>
      <c r="F7803" s="1129"/>
      <c r="G7803" s="1129"/>
      <c r="H7803" s="1129" t="str">
        <f>CONCATENATE("&lt;valeur&gt;",Cellule_13537_1,"&lt;/valeur&gt;")</f>
        <v>&lt;valeur&gt;&lt;/valeur&gt;</v>
      </c>
      <c r="I7803" s="1127"/>
    </row>
    <row r="7804" spans="1:9" x14ac:dyDescent="0.2">
      <c r="A7804" s="997">
        <f t="shared" si="121"/>
        <v>7803</v>
      </c>
      <c r="B7804" s="1129" t="s">
        <v>2784</v>
      </c>
      <c r="C7804" s="1138"/>
      <c r="D7804" s="1129"/>
      <c r="E7804" s="1129"/>
      <c r="F7804" s="1129"/>
      <c r="G7804" s="1129"/>
      <c r="H7804" s="1129" t="s">
        <v>1348</v>
      </c>
      <c r="I7804" s="1127"/>
    </row>
    <row r="7805" spans="1:9" x14ac:dyDescent="0.2">
      <c r="A7805" s="997">
        <f t="shared" si="121"/>
        <v>7804</v>
      </c>
      <c r="B7805" s="1129" t="s">
        <v>2784</v>
      </c>
      <c r="C7805" s="1139"/>
      <c r="D7805" s="1129"/>
      <c r="E7805" s="1129"/>
      <c r="F7805" s="1129"/>
      <c r="G7805" s="1129" t="s">
        <v>1109</v>
      </c>
      <c r="H7805" s="1129"/>
      <c r="I7805" s="1127"/>
    </row>
    <row r="7806" spans="1:9" x14ac:dyDescent="0.2">
      <c r="A7806" s="997">
        <f t="shared" si="121"/>
        <v>7805</v>
      </c>
      <c r="B7806" s="1129" t="s">
        <v>2784</v>
      </c>
      <c r="C7806" s="1140"/>
      <c r="D7806" s="1129"/>
      <c r="E7806" s="1129"/>
      <c r="F7806" s="1129"/>
      <c r="G7806" s="1129" t="s">
        <v>1106</v>
      </c>
      <c r="H7806" s="1129"/>
      <c r="I7806" s="1127"/>
    </row>
    <row r="7807" spans="1:9" x14ac:dyDescent="0.2">
      <c r="A7807" s="997">
        <f t="shared" si="121"/>
        <v>7806</v>
      </c>
      <c r="B7807" s="1129" t="s">
        <v>2784</v>
      </c>
      <c r="C7807" s="1139"/>
      <c r="D7807" s="1129"/>
      <c r="E7807" s="1129"/>
      <c r="F7807" s="1129"/>
      <c r="G7807" s="1129"/>
      <c r="H7807" s="1129" t="s">
        <v>2789</v>
      </c>
      <c r="I7807" s="1127"/>
    </row>
    <row r="7808" spans="1:9" x14ac:dyDescent="0.2">
      <c r="A7808" s="997">
        <f t="shared" si="121"/>
        <v>7807</v>
      </c>
      <c r="B7808" s="1129" t="s">
        <v>2784</v>
      </c>
      <c r="C7808" s="1139"/>
      <c r="D7808" s="1129"/>
      <c r="E7808" s="1129"/>
      <c r="F7808" s="1129"/>
      <c r="G7808" s="1129"/>
      <c r="H7808" s="1129" t="str">
        <f>CONCATENATE("&lt;valeur&gt;",Cellule_2095_1,"&lt;/valeur&gt;")</f>
        <v>&lt;valeur&gt;&lt;/valeur&gt;</v>
      </c>
      <c r="I7808" s="1127"/>
    </row>
    <row r="7809" spans="1:9" x14ac:dyDescent="0.2">
      <c r="A7809" s="997">
        <f t="shared" si="121"/>
        <v>7808</v>
      </c>
      <c r="B7809" s="1129" t="s">
        <v>2784</v>
      </c>
      <c r="C7809" s="1138"/>
      <c r="D7809" s="1129"/>
      <c r="E7809" s="1129"/>
      <c r="F7809" s="1129"/>
      <c r="G7809" s="1129"/>
      <c r="H7809" s="1129" t="s">
        <v>1348</v>
      </c>
      <c r="I7809" s="1127"/>
    </row>
    <row r="7810" spans="1:9" x14ac:dyDescent="0.2">
      <c r="A7810" s="997">
        <f t="shared" si="121"/>
        <v>7809</v>
      </c>
      <c r="B7810" s="1129" t="s">
        <v>2784</v>
      </c>
      <c r="C7810" s="1138"/>
      <c r="D7810" s="1129"/>
      <c r="E7810" s="1129"/>
      <c r="F7810" s="1129"/>
      <c r="G7810" s="1145" t="s">
        <v>1109</v>
      </c>
      <c r="H7810" s="1129"/>
      <c r="I7810" s="1127"/>
    </row>
    <row r="7811" spans="1:9" x14ac:dyDescent="0.2">
      <c r="A7811" s="997">
        <f t="shared" si="121"/>
        <v>7810</v>
      </c>
      <c r="B7811" s="1129" t="s">
        <v>2784</v>
      </c>
      <c r="C7811" s="1139"/>
      <c r="D7811" s="1129"/>
      <c r="E7811" s="1129"/>
      <c r="F7811" s="1129"/>
      <c r="G7811" s="1129" t="s">
        <v>1106</v>
      </c>
      <c r="H7811" s="1129"/>
      <c r="I7811" s="1127"/>
    </row>
    <row r="7812" spans="1:9" x14ac:dyDescent="0.2">
      <c r="A7812" s="997">
        <f t="shared" ref="A7812:A7875" si="122">+A7811+1</f>
        <v>7811</v>
      </c>
      <c r="B7812" s="1129" t="s">
        <v>2784</v>
      </c>
      <c r="C7812" s="1140"/>
      <c r="D7812" s="1129"/>
      <c r="E7812" s="1129"/>
      <c r="F7812" s="1129"/>
      <c r="G7812" s="1129"/>
      <c r="H7812" s="1129" t="s">
        <v>2790</v>
      </c>
      <c r="I7812" s="1127"/>
    </row>
    <row r="7813" spans="1:9" x14ac:dyDescent="0.2">
      <c r="A7813" s="997">
        <f t="shared" si="122"/>
        <v>7812</v>
      </c>
      <c r="B7813" s="1129" t="s">
        <v>2784</v>
      </c>
      <c r="C7813" s="1139"/>
      <c r="D7813" s="1129"/>
      <c r="E7813" s="1129"/>
      <c r="F7813" s="1129"/>
      <c r="G7813" s="1129"/>
      <c r="H7813" s="1129" t="str">
        <f>CONCATENATE("&lt;valeur&gt;",Cellule_2096_1,"&lt;/valeur&gt;")</f>
        <v>&lt;valeur&gt;&lt;/valeur&gt;</v>
      </c>
      <c r="I7813" s="1127"/>
    </row>
    <row r="7814" spans="1:9" x14ac:dyDescent="0.2">
      <c r="A7814" s="997">
        <f t="shared" si="122"/>
        <v>7813</v>
      </c>
      <c r="B7814" s="1129" t="s">
        <v>2784</v>
      </c>
      <c r="C7814" s="1139"/>
      <c r="D7814" s="1129"/>
      <c r="E7814" s="1129"/>
      <c r="F7814" s="1129"/>
      <c r="G7814" s="1129"/>
      <c r="H7814" s="1129" t="s">
        <v>1348</v>
      </c>
      <c r="I7814" s="1127"/>
    </row>
    <row r="7815" spans="1:9" x14ac:dyDescent="0.2">
      <c r="A7815" s="997">
        <f t="shared" si="122"/>
        <v>7814</v>
      </c>
      <c r="B7815" s="1129" t="s">
        <v>2784</v>
      </c>
      <c r="C7815" s="1138"/>
      <c r="D7815" s="1129"/>
      <c r="E7815" s="1129"/>
      <c r="F7815" s="1129"/>
      <c r="G7815" s="1129" t="s">
        <v>1109</v>
      </c>
      <c r="H7815" s="1129"/>
      <c r="I7815" s="1127"/>
    </row>
    <row r="7816" spans="1:9" x14ac:dyDescent="0.2">
      <c r="A7816" s="997">
        <f t="shared" si="122"/>
        <v>7815</v>
      </c>
      <c r="B7816" s="1129" t="s">
        <v>2784</v>
      </c>
      <c r="C7816" s="1138"/>
      <c r="D7816" s="1129"/>
      <c r="E7816" s="1129"/>
      <c r="F7816" s="1129"/>
      <c r="G7816" s="1129" t="s">
        <v>1106</v>
      </c>
      <c r="H7816" s="1129"/>
      <c r="I7816" s="1127"/>
    </row>
    <row r="7817" spans="1:9" x14ac:dyDescent="0.2">
      <c r="A7817" s="997">
        <f t="shared" si="122"/>
        <v>7816</v>
      </c>
      <c r="B7817" s="1129" t="s">
        <v>2784</v>
      </c>
      <c r="C7817" s="1139"/>
      <c r="D7817" s="1129"/>
      <c r="E7817" s="1129"/>
      <c r="F7817" s="1129"/>
      <c r="G7817" s="1129"/>
      <c r="H7817" s="1129" t="s">
        <v>2791</v>
      </c>
      <c r="I7817" s="1127"/>
    </row>
    <row r="7818" spans="1:9" x14ac:dyDescent="0.2">
      <c r="A7818" s="997">
        <f t="shared" si="122"/>
        <v>7817</v>
      </c>
      <c r="B7818" s="1129" t="s">
        <v>2784</v>
      </c>
      <c r="C7818" s="1140"/>
      <c r="D7818" s="1129"/>
      <c r="E7818" s="1129"/>
      <c r="F7818" s="1129"/>
      <c r="G7818" s="1129"/>
      <c r="H7818" s="1129" t="str">
        <f>CONCATENATE("&lt;valeur&gt;",Cellule_2097_1,"&lt;/valeur&gt;")</f>
        <v>&lt;valeur&gt;&lt;/valeur&gt;</v>
      </c>
      <c r="I7818" s="1127"/>
    </row>
    <row r="7819" spans="1:9" x14ac:dyDescent="0.2">
      <c r="A7819" s="997">
        <f t="shared" si="122"/>
        <v>7818</v>
      </c>
      <c r="B7819" s="1129" t="s">
        <v>2784</v>
      </c>
      <c r="C7819" s="1139"/>
      <c r="D7819" s="1129"/>
      <c r="E7819" s="1129"/>
      <c r="F7819" s="1129"/>
      <c r="G7819" s="1129"/>
      <c r="H7819" s="1129" t="s">
        <v>1348</v>
      </c>
      <c r="I7819" s="1127"/>
    </row>
    <row r="7820" spans="1:9" x14ac:dyDescent="0.2">
      <c r="A7820" s="997">
        <f t="shared" si="122"/>
        <v>7819</v>
      </c>
      <c r="B7820" s="1129" t="s">
        <v>2784</v>
      </c>
      <c r="C7820" s="1139"/>
      <c r="D7820" s="1129"/>
      <c r="E7820" s="1129"/>
      <c r="F7820" s="1129"/>
      <c r="G7820" s="1129" t="s">
        <v>1109</v>
      </c>
      <c r="H7820" s="1129"/>
      <c r="I7820" s="1127"/>
    </row>
    <row r="7821" spans="1:9" x14ac:dyDescent="0.2">
      <c r="A7821" s="997">
        <f t="shared" si="122"/>
        <v>7820</v>
      </c>
      <c r="B7821" s="1129" t="s">
        <v>2784</v>
      </c>
      <c r="C7821" s="1138"/>
      <c r="D7821" s="1129"/>
      <c r="E7821" s="1129"/>
      <c r="F7821" s="1129"/>
      <c r="G7821" s="1129" t="s">
        <v>1106</v>
      </c>
      <c r="H7821" s="1129"/>
      <c r="I7821" s="1127"/>
    </row>
    <row r="7822" spans="1:9" x14ac:dyDescent="0.2">
      <c r="A7822" s="997">
        <f t="shared" si="122"/>
        <v>7821</v>
      </c>
      <c r="B7822" s="1129" t="s">
        <v>2784</v>
      </c>
      <c r="C7822" s="1138"/>
      <c r="D7822" s="1129"/>
      <c r="E7822" s="1129"/>
      <c r="F7822" s="1129"/>
      <c r="G7822" s="1129"/>
      <c r="H7822" s="1129" t="s">
        <v>2792</v>
      </c>
      <c r="I7822" s="1127"/>
    </row>
    <row r="7823" spans="1:9" x14ac:dyDescent="0.2">
      <c r="A7823" s="997">
        <f t="shared" si="122"/>
        <v>7822</v>
      </c>
      <c r="B7823" s="1129" t="s">
        <v>2784</v>
      </c>
      <c r="C7823" s="1139"/>
      <c r="D7823" s="1129"/>
      <c r="E7823" s="1129"/>
      <c r="F7823" s="1129"/>
      <c r="G7823" s="1129"/>
      <c r="H7823" s="1129" t="str">
        <f>CONCATENATE("&lt;valeur&gt;",Cellule_2098_1,"&lt;/valeur&gt;")</f>
        <v>&lt;valeur&gt;&lt;/valeur&gt;</v>
      </c>
      <c r="I7823" s="1127"/>
    </row>
    <row r="7824" spans="1:9" x14ac:dyDescent="0.2">
      <c r="A7824" s="997">
        <f t="shared" si="122"/>
        <v>7823</v>
      </c>
      <c r="B7824" s="1129" t="s">
        <v>2784</v>
      </c>
      <c r="C7824" s="1140"/>
      <c r="D7824" s="1129"/>
      <c r="E7824" s="1129"/>
      <c r="F7824" s="1129"/>
      <c r="G7824" s="1129"/>
      <c r="H7824" s="1129" t="s">
        <v>1348</v>
      </c>
      <c r="I7824" s="1127"/>
    </row>
    <row r="7825" spans="1:9" x14ac:dyDescent="0.2">
      <c r="A7825" s="997">
        <f t="shared" si="122"/>
        <v>7824</v>
      </c>
      <c r="B7825" s="1129" t="s">
        <v>2784</v>
      </c>
      <c r="C7825" s="1139"/>
      <c r="D7825" s="1129"/>
      <c r="E7825" s="1129"/>
      <c r="F7825" s="1129"/>
      <c r="G7825" s="1129" t="s">
        <v>1109</v>
      </c>
      <c r="H7825" s="1129"/>
      <c r="I7825" s="1127"/>
    </row>
    <row r="7826" spans="1:9" x14ac:dyDescent="0.2">
      <c r="A7826" s="997">
        <f t="shared" si="122"/>
        <v>7825</v>
      </c>
      <c r="B7826" s="1129" t="s">
        <v>2784</v>
      </c>
      <c r="C7826" s="1139"/>
      <c r="D7826" s="1129"/>
      <c r="E7826" s="1129"/>
      <c r="F7826" s="1129"/>
      <c r="G7826" s="1129" t="s">
        <v>1106</v>
      </c>
      <c r="H7826" s="1129"/>
      <c r="I7826" s="1127"/>
    </row>
    <row r="7827" spans="1:9" x14ac:dyDescent="0.2">
      <c r="A7827" s="997">
        <f t="shared" si="122"/>
        <v>7826</v>
      </c>
      <c r="B7827" s="1129" t="s">
        <v>2784</v>
      </c>
      <c r="C7827" s="1138"/>
      <c r="D7827" s="1129"/>
      <c r="E7827" s="1129"/>
      <c r="F7827" s="1129"/>
      <c r="G7827" s="1129"/>
      <c r="H7827" s="1129" t="s">
        <v>2793</v>
      </c>
      <c r="I7827" s="1127"/>
    </row>
    <row r="7828" spans="1:9" x14ac:dyDescent="0.2">
      <c r="A7828" s="997">
        <f t="shared" si="122"/>
        <v>7827</v>
      </c>
      <c r="B7828" s="1129" t="s">
        <v>2784</v>
      </c>
      <c r="C7828" s="1138"/>
      <c r="D7828" s="1129"/>
      <c r="E7828" s="1129"/>
      <c r="F7828" s="1129"/>
      <c r="G7828" s="1129"/>
      <c r="H7828" s="1129" t="str">
        <f>CONCATENATE("&lt;valeur&gt;",Cellule_2099_1,"&lt;/valeur&gt;")</f>
        <v>&lt;valeur&gt;&lt;/valeur&gt;</v>
      </c>
      <c r="I7828" s="1127"/>
    </row>
    <row r="7829" spans="1:9" x14ac:dyDescent="0.2">
      <c r="A7829" s="997">
        <f t="shared" si="122"/>
        <v>7828</v>
      </c>
      <c r="B7829" s="1129" t="s">
        <v>2784</v>
      </c>
      <c r="C7829" s="1139"/>
      <c r="D7829" s="1129"/>
      <c r="E7829" s="1129"/>
      <c r="F7829" s="1129"/>
      <c r="G7829" s="1129"/>
      <c r="H7829" s="1129" t="s">
        <v>1348</v>
      </c>
      <c r="I7829" s="1127"/>
    </row>
    <row r="7830" spans="1:9" x14ac:dyDescent="0.2">
      <c r="A7830" s="997">
        <f t="shared" si="122"/>
        <v>7829</v>
      </c>
      <c r="B7830" s="1129" t="s">
        <v>2784</v>
      </c>
      <c r="C7830" s="1140"/>
      <c r="D7830" s="1129"/>
      <c r="E7830" s="1129"/>
      <c r="F7830" s="1129"/>
      <c r="G7830" s="1129" t="s">
        <v>1109</v>
      </c>
      <c r="H7830" s="1129"/>
      <c r="I7830" s="1127"/>
    </row>
    <row r="7831" spans="1:9" x14ac:dyDescent="0.2">
      <c r="A7831" s="997">
        <f t="shared" si="122"/>
        <v>7830</v>
      </c>
      <c r="B7831" s="1129" t="s">
        <v>2784</v>
      </c>
      <c r="C7831" s="1139"/>
      <c r="D7831" s="1129"/>
      <c r="E7831" s="1129"/>
      <c r="F7831" s="1129"/>
      <c r="G7831" s="1129" t="s">
        <v>1106</v>
      </c>
      <c r="H7831" s="1129"/>
      <c r="I7831" s="1127"/>
    </row>
    <row r="7832" spans="1:9" x14ac:dyDescent="0.2">
      <c r="A7832" s="997">
        <f t="shared" si="122"/>
        <v>7831</v>
      </c>
      <c r="B7832" s="1129" t="s">
        <v>2784</v>
      </c>
      <c r="C7832" s="1138"/>
      <c r="D7832" s="1129"/>
      <c r="E7832" s="1129"/>
      <c r="F7832" s="1129"/>
      <c r="G7832" s="1129"/>
      <c r="H7832" s="1129" t="s">
        <v>2794</v>
      </c>
      <c r="I7832" s="1127"/>
    </row>
    <row r="7833" spans="1:9" x14ac:dyDescent="0.2">
      <c r="A7833" s="997">
        <f t="shared" si="122"/>
        <v>7832</v>
      </c>
      <c r="B7833" s="1129" t="s">
        <v>2784</v>
      </c>
      <c r="C7833" s="1138"/>
      <c r="D7833" s="1129"/>
      <c r="E7833" s="1129"/>
      <c r="F7833" s="1129"/>
      <c r="G7833" s="1129"/>
      <c r="H7833" s="1129" t="str">
        <f>CONCATENATE("&lt;valeur&gt;",Cellule_2100_1,"&lt;/valeur&gt;")</f>
        <v>&lt;valeur&gt;&lt;/valeur&gt;</v>
      </c>
      <c r="I7833" s="1127"/>
    </row>
    <row r="7834" spans="1:9" x14ac:dyDescent="0.2">
      <c r="A7834" s="997">
        <f t="shared" si="122"/>
        <v>7833</v>
      </c>
      <c r="B7834" s="1129" t="s">
        <v>2784</v>
      </c>
      <c r="C7834" s="1139"/>
      <c r="D7834" s="1129"/>
      <c r="E7834" s="1129"/>
      <c r="F7834" s="1129"/>
      <c r="G7834" s="1129"/>
      <c r="H7834" s="1129" t="s">
        <v>1348</v>
      </c>
      <c r="I7834" s="1127"/>
    </row>
    <row r="7835" spans="1:9" x14ac:dyDescent="0.2">
      <c r="A7835" s="997">
        <f t="shared" si="122"/>
        <v>7834</v>
      </c>
      <c r="B7835" s="1129" t="s">
        <v>2784</v>
      </c>
      <c r="C7835" s="1140"/>
      <c r="D7835" s="1129"/>
      <c r="E7835" s="1129"/>
      <c r="F7835" s="1129"/>
      <c r="G7835" s="1129" t="s">
        <v>1109</v>
      </c>
      <c r="H7835" s="1129"/>
      <c r="I7835" s="1127"/>
    </row>
    <row r="7836" spans="1:9" x14ac:dyDescent="0.2">
      <c r="A7836" s="997">
        <f t="shared" si="122"/>
        <v>7835</v>
      </c>
      <c r="B7836" s="1129" t="s">
        <v>2784</v>
      </c>
      <c r="C7836" s="1139"/>
      <c r="D7836" s="1129"/>
      <c r="E7836" s="1129"/>
      <c r="F7836" s="1129"/>
      <c r="G7836" s="1129" t="s">
        <v>1106</v>
      </c>
      <c r="H7836" s="1129"/>
      <c r="I7836" s="1127"/>
    </row>
    <row r="7837" spans="1:9" x14ac:dyDescent="0.2">
      <c r="A7837" s="997">
        <f t="shared" si="122"/>
        <v>7836</v>
      </c>
      <c r="B7837" s="1129" t="s">
        <v>2784</v>
      </c>
      <c r="C7837" s="1138"/>
      <c r="D7837" s="1129"/>
      <c r="E7837" s="1129"/>
      <c r="F7837" s="1129"/>
      <c r="G7837" s="1129"/>
      <c r="H7837" s="1129" t="s">
        <v>2795</v>
      </c>
      <c r="I7837" s="1127"/>
    </row>
    <row r="7838" spans="1:9" x14ac:dyDescent="0.2">
      <c r="A7838" s="997">
        <f t="shared" si="122"/>
        <v>7837</v>
      </c>
      <c r="B7838" s="1129" t="s">
        <v>2784</v>
      </c>
      <c r="C7838" s="1138"/>
      <c r="D7838" s="1129"/>
      <c r="E7838" s="1129"/>
      <c r="F7838" s="1129"/>
      <c r="G7838" s="1129"/>
      <c r="H7838" s="1129" t="str">
        <f>CONCATENATE("&lt;valeur&gt;",Cellule_2101_1,"&lt;/valeur&gt;")</f>
        <v>&lt;valeur&gt;&lt;/valeur&gt;</v>
      </c>
      <c r="I7838" s="1127"/>
    </row>
    <row r="7839" spans="1:9" x14ac:dyDescent="0.2">
      <c r="A7839" s="997">
        <f t="shared" si="122"/>
        <v>7838</v>
      </c>
      <c r="B7839" s="1129" t="s">
        <v>2784</v>
      </c>
      <c r="C7839" s="1139"/>
      <c r="D7839" s="1129"/>
      <c r="E7839" s="1129"/>
      <c r="F7839" s="1129"/>
      <c r="G7839" s="1129"/>
      <c r="H7839" s="1129" t="s">
        <v>1348</v>
      </c>
      <c r="I7839" s="1127"/>
    </row>
    <row r="7840" spans="1:9" x14ac:dyDescent="0.2">
      <c r="A7840" s="997">
        <f t="shared" si="122"/>
        <v>7839</v>
      </c>
      <c r="B7840" s="1130" t="s">
        <v>2784</v>
      </c>
      <c r="C7840" s="1141"/>
      <c r="D7840" s="1130"/>
      <c r="E7840" s="1130"/>
      <c r="F7840" s="1130"/>
      <c r="G7840" s="1130" t="s">
        <v>1109</v>
      </c>
      <c r="H7840" s="1130"/>
      <c r="I7840" s="1142"/>
    </row>
    <row r="7841" spans="1:9" x14ac:dyDescent="0.2">
      <c r="A7841" s="997">
        <f t="shared" si="122"/>
        <v>7840</v>
      </c>
      <c r="B7841" s="1128" t="s">
        <v>2784</v>
      </c>
      <c r="C7841" s="1137"/>
      <c r="D7841" s="1128"/>
      <c r="E7841" s="1128"/>
      <c r="F7841" s="1128"/>
      <c r="G7841" s="1128" t="s">
        <v>1106</v>
      </c>
      <c r="H7841" s="1128"/>
      <c r="I7841" s="1124"/>
    </row>
    <row r="7842" spans="1:9" x14ac:dyDescent="0.2">
      <c r="A7842" s="997">
        <f t="shared" si="122"/>
        <v>7841</v>
      </c>
      <c r="B7842" s="1129" t="s">
        <v>2784</v>
      </c>
      <c r="C7842" s="1138"/>
      <c r="D7842" s="1129"/>
      <c r="E7842" s="1129"/>
      <c r="F7842" s="1129"/>
      <c r="G7842" s="1129"/>
      <c r="H7842" s="1129" t="s">
        <v>2786</v>
      </c>
      <c r="I7842" s="1127"/>
    </row>
    <row r="7843" spans="1:9" x14ac:dyDescent="0.2">
      <c r="A7843" s="997">
        <f t="shared" si="122"/>
        <v>7842</v>
      </c>
      <c r="B7843" s="1129" t="s">
        <v>2784</v>
      </c>
      <c r="C7843" s="1139"/>
      <c r="D7843" s="1129"/>
      <c r="E7843" s="1129"/>
      <c r="F7843" s="1129"/>
      <c r="G7843" s="1129"/>
      <c r="H7843" s="1129" t="str">
        <f>CONCATENATE("&lt;valeur&gt;",Cellule_2094_2,"&lt;/valeur&gt;")</f>
        <v>&lt;valeur&gt;&lt;/valeur&gt;</v>
      </c>
      <c r="I7843" s="1127"/>
    </row>
    <row r="7844" spans="1:9" x14ac:dyDescent="0.2">
      <c r="A7844" s="997">
        <f t="shared" si="122"/>
        <v>7843</v>
      </c>
      <c r="B7844" s="1129" t="s">
        <v>2784</v>
      </c>
      <c r="C7844" s="1140"/>
      <c r="D7844" s="1129"/>
      <c r="E7844" s="1129"/>
      <c r="F7844" s="1129"/>
      <c r="G7844" s="1129"/>
      <c r="H7844" s="1129" t="s">
        <v>2735</v>
      </c>
      <c r="I7844" s="1127"/>
    </row>
    <row r="7845" spans="1:9" x14ac:dyDescent="0.2">
      <c r="A7845" s="997">
        <f t="shared" si="122"/>
        <v>7844</v>
      </c>
      <c r="B7845" s="1129" t="s">
        <v>2784</v>
      </c>
      <c r="C7845" s="1139"/>
      <c r="D7845" s="1129"/>
      <c r="E7845" s="1129"/>
      <c r="F7845" s="1129"/>
      <c r="G7845" s="1129" t="s">
        <v>1109</v>
      </c>
      <c r="H7845" s="1129"/>
      <c r="I7845" s="1127"/>
    </row>
    <row r="7846" spans="1:9" x14ac:dyDescent="0.2">
      <c r="A7846" s="997">
        <f t="shared" si="122"/>
        <v>7845</v>
      </c>
      <c r="B7846" s="1129" t="s">
        <v>2784</v>
      </c>
      <c r="C7846" s="1139"/>
      <c r="D7846" s="1129"/>
      <c r="E7846" s="1129"/>
      <c r="F7846" s="1129"/>
      <c r="G7846" s="1129" t="s">
        <v>1106</v>
      </c>
      <c r="H7846" s="1129"/>
      <c r="I7846" s="1127"/>
    </row>
    <row r="7847" spans="1:9" x14ac:dyDescent="0.2">
      <c r="A7847" s="997">
        <f t="shared" si="122"/>
        <v>7846</v>
      </c>
      <c r="B7847" s="1129" t="s">
        <v>2784</v>
      </c>
      <c r="C7847" s="1138"/>
      <c r="D7847" s="1129"/>
      <c r="E7847" s="1129"/>
      <c r="F7847" s="1129"/>
      <c r="G7847" s="1129"/>
      <c r="H7847" s="1129" t="s">
        <v>2787</v>
      </c>
      <c r="I7847" s="1127"/>
    </row>
    <row r="7848" spans="1:9" x14ac:dyDescent="0.2">
      <c r="A7848" s="997">
        <f t="shared" si="122"/>
        <v>7847</v>
      </c>
      <c r="B7848" s="1129" t="s">
        <v>2784</v>
      </c>
      <c r="C7848" s="1138"/>
      <c r="D7848" s="1129"/>
      <c r="E7848" s="1129"/>
      <c r="F7848" s="1129"/>
      <c r="G7848" s="1129"/>
      <c r="H7848" s="1129" t="str">
        <f>CONCATENATE("&lt;valeur&gt;",Cellule_13536_2,"&lt;/valeur&gt;")</f>
        <v>&lt;valeur&gt;&lt;/valeur&gt;</v>
      </c>
      <c r="I7848" s="1127"/>
    </row>
    <row r="7849" spans="1:9" x14ac:dyDescent="0.2">
      <c r="A7849" s="997">
        <f t="shared" si="122"/>
        <v>7848</v>
      </c>
      <c r="B7849" s="1129" t="s">
        <v>2784</v>
      </c>
      <c r="C7849" s="1139"/>
      <c r="D7849" s="1129"/>
      <c r="E7849" s="1129"/>
      <c r="F7849" s="1129"/>
      <c r="G7849" s="1129"/>
      <c r="H7849" s="1129" t="s">
        <v>2735</v>
      </c>
      <c r="I7849" s="1127"/>
    </row>
    <row r="7850" spans="1:9" x14ac:dyDescent="0.2">
      <c r="A7850" s="997">
        <f t="shared" si="122"/>
        <v>7849</v>
      </c>
      <c r="B7850" s="1129" t="s">
        <v>2784</v>
      </c>
      <c r="C7850" s="1140"/>
      <c r="D7850" s="1129"/>
      <c r="E7850" s="1129"/>
      <c r="F7850" s="1129"/>
      <c r="G7850" s="1129" t="s">
        <v>1109</v>
      </c>
      <c r="H7850" s="1129"/>
      <c r="I7850" s="1127"/>
    </row>
    <row r="7851" spans="1:9" x14ac:dyDescent="0.2">
      <c r="A7851" s="997">
        <f t="shared" si="122"/>
        <v>7850</v>
      </c>
      <c r="B7851" s="1129" t="s">
        <v>2784</v>
      </c>
      <c r="C7851" s="1139"/>
      <c r="D7851" s="1129"/>
      <c r="E7851" s="1129"/>
      <c r="F7851" s="1129"/>
      <c r="G7851" s="1129" t="s">
        <v>1106</v>
      </c>
      <c r="H7851" s="1129"/>
      <c r="I7851" s="1127"/>
    </row>
    <row r="7852" spans="1:9" x14ac:dyDescent="0.2">
      <c r="A7852" s="997">
        <f t="shared" si="122"/>
        <v>7851</v>
      </c>
      <c r="B7852" s="1129" t="s">
        <v>2784</v>
      </c>
      <c r="C7852" s="1139"/>
      <c r="D7852" s="1129"/>
      <c r="E7852" s="1129"/>
      <c r="F7852" s="1129"/>
      <c r="G7852" s="1129"/>
      <c r="H7852" s="1129" t="s">
        <v>2788</v>
      </c>
      <c r="I7852" s="1127"/>
    </row>
    <row r="7853" spans="1:9" x14ac:dyDescent="0.2">
      <c r="A7853" s="997">
        <f t="shared" si="122"/>
        <v>7852</v>
      </c>
      <c r="B7853" s="1129" t="s">
        <v>2784</v>
      </c>
      <c r="C7853" s="1138"/>
      <c r="D7853" s="1129"/>
      <c r="E7853" s="1129"/>
      <c r="F7853" s="1129"/>
      <c r="G7853" s="1129"/>
      <c r="H7853" s="1129" t="str">
        <f>CONCATENATE("&lt;valeur&gt;",Cellule_13537_2,"&lt;/valeur&gt;")</f>
        <v>&lt;valeur&gt;&lt;/valeur&gt;</v>
      </c>
      <c r="I7853" s="1127"/>
    </row>
    <row r="7854" spans="1:9" x14ac:dyDescent="0.2">
      <c r="A7854" s="997">
        <f t="shared" si="122"/>
        <v>7853</v>
      </c>
      <c r="B7854" s="1129" t="s">
        <v>2784</v>
      </c>
      <c r="C7854" s="1138"/>
      <c r="D7854" s="1129"/>
      <c r="E7854" s="1129"/>
      <c r="F7854" s="1129"/>
      <c r="G7854" s="1129"/>
      <c r="H7854" s="1129" t="s">
        <v>2735</v>
      </c>
      <c r="I7854" s="1127"/>
    </row>
    <row r="7855" spans="1:9" x14ac:dyDescent="0.2">
      <c r="A7855" s="997">
        <f t="shared" si="122"/>
        <v>7854</v>
      </c>
      <c r="B7855" s="1129" t="s">
        <v>2784</v>
      </c>
      <c r="C7855" s="1139"/>
      <c r="D7855" s="1129"/>
      <c r="E7855" s="1129"/>
      <c r="F7855" s="1129"/>
      <c r="G7855" s="1129" t="s">
        <v>1109</v>
      </c>
      <c r="H7855" s="1129"/>
      <c r="I7855" s="1127"/>
    </row>
    <row r="7856" spans="1:9" x14ac:dyDescent="0.2">
      <c r="A7856" s="997">
        <f t="shared" si="122"/>
        <v>7855</v>
      </c>
      <c r="B7856" s="1129" t="s">
        <v>2784</v>
      </c>
      <c r="C7856" s="1140"/>
      <c r="D7856" s="1129"/>
      <c r="E7856" s="1129"/>
      <c r="F7856" s="1129"/>
      <c r="G7856" s="1129" t="s">
        <v>1106</v>
      </c>
      <c r="H7856" s="1129"/>
      <c r="I7856" s="1127"/>
    </row>
    <row r="7857" spans="1:9" x14ac:dyDescent="0.2">
      <c r="A7857" s="997">
        <f t="shared" si="122"/>
        <v>7856</v>
      </c>
      <c r="B7857" s="1129" t="s">
        <v>2784</v>
      </c>
      <c r="C7857" s="1139"/>
      <c r="D7857" s="1129"/>
      <c r="E7857" s="1129"/>
      <c r="F7857" s="1129"/>
      <c r="G7857" s="1129"/>
      <c r="H7857" s="1129" t="s">
        <v>2789</v>
      </c>
      <c r="I7857" s="1127"/>
    </row>
    <row r="7858" spans="1:9" x14ac:dyDescent="0.2">
      <c r="A7858" s="997">
        <f t="shared" si="122"/>
        <v>7857</v>
      </c>
      <c r="B7858" s="1129" t="s">
        <v>2784</v>
      </c>
      <c r="C7858" s="1139"/>
      <c r="D7858" s="1129"/>
      <c r="E7858" s="1129"/>
      <c r="F7858" s="1129"/>
      <c r="G7858" s="1129"/>
      <c r="H7858" s="1129" t="str">
        <f>CONCATENATE("&lt;valeur&gt;",Cellule_2095_2,"&lt;/valeur&gt;")</f>
        <v>&lt;valeur&gt;&lt;/valeur&gt;</v>
      </c>
      <c r="I7858" s="1127"/>
    </row>
    <row r="7859" spans="1:9" x14ac:dyDescent="0.2">
      <c r="A7859" s="997">
        <f t="shared" si="122"/>
        <v>7858</v>
      </c>
      <c r="B7859" s="1129" t="s">
        <v>2784</v>
      </c>
      <c r="C7859" s="1138"/>
      <c r="D7859" s="1129"/>
      <c r="E7859" s="1129"/>
      <c r="F7859" s="1129"/>
      <c r="G7859" s="1129"/>
      <c r="H7859" s="1129" t="s">
        <v>2735</v>
      </c>
      <c r="I7859" s="1127"/>
    </row>
    <row r="7860" spans="1:9" x14ac:dyDescent="0.2">
      <c r="A7860" s="997">
        <f t="shared" si="122"/>
        <v>7859</v>
      </c>
      <c r="B7860" s="1129" t="s">
        <v>2784</v>
      </c>
      <c r="C7860" s="1138"/>
      <c r="D7860" s="1129"/>
      <c r="E7860" s="1129"/>
      <c r="F7860" s="1129"/>
      <c r="G7860" s="1129" t="s">
        <v>1109</v>
      </c>
      <c r="H7860" s="1129"/>
      <c r="I7860" s="1127"/>
    </row>
    <row r="7861" spans="1:9" x14ac:dyDescent="0.2">
      <c r="A7861" s="997">
        <f t="shared" si="122"/>
        <v>7860</v>
      </c>
      <c r="B7861" s="1129" t="s">
        <v>2784</v>
      </c>
      <c r="C7861" s="1139"/>
      <c r="D7861" s="1129"/>
      <c r="E7861" s="1129"/>
      <c r="F7861" s="1129"/>
      <c r="G7861" s="1129" t="s">
        <v>1106</v>
      </c>
      <c r="H7861" s="1129"/>
      <c r="I7861" s="1127"/>
    </row>
    <row r="7862" spans="1:9" x14ac:dyDescent="0.2">
      <c r="A7862" s="997">
        <f t="shared" si="122"/>
        <v>7861</v>
      </c>
      <c r="B7862" s="1129" t="s">
        <v>2784</v>
      </c>
      <c r="C7862" s="1140"/>
      <c r="D7862" s="1129"/>
      <c r="E7862" s="1129"/>
      <c r="F7862" s="1129"/>
      <c r="G7862" s="1129"/>
      <c r="H7862" s="1129" t="s">
        <v>2790</v>
      </c>
      <c r="I7862" s="1127"/>
    </row>
    <row r="7863" spans="1:9" x14ac:dyDescent="0.2">
      <c r="A7863" s="997">
        <f t="shared" si="122"/>
        <v>7862</v>
      </c>
      <c r="B7863" s="1129" t="s">
        <v>2784</v>
      </c>
      <c r="C7863" s="1139"/>
      <c r="D7863" s="1129"/>
      <c r="E7863" s="1129"/>
      <c r="F7863" s="1129"/>
      <c r="G7863" s="1129"/>
      <c r="H7863" s="1129" t="str">
        <f>CONCATENATE("&lt;valeur&gt;",Cellule_2096_2,"&lt;/valeur&gt;")</f>
        <v>&lt;valeur&gt;&lt;/valeur&gt;</v>
      </c>
      <c r="I7863" s="1127"/>
    </row>
    <row r="7864" spans="1:9" x14ac:dyDescent="0.2">
      <c r="A7864" s="997">
        <f t="shared" si="122"/>
        <v>7863</v>
      </c>
      <c r="B7864" s="1129" t="s">
        <v>2784</v>
      </c>
      <c r="C7864" s="1139"/>
      <c r="D7864" s="1129"/>
      <c r="E7864" s="1129"/>
      <c r="F7864" s="1129"/>
      <c r="G7864" s="1129"/>
      <c r="H7864" s="1129" t="s">
        <v>2735</v>
      </c>
      <c r="I7864" s="1127"/>
    </row>
    <row r="7865" spans="1:9" x14ac:dyDescent="0.2">
      <c r="A7865" s="997">
        <f t="shared" si="122"/>
        <v>7864</v>
      </c>
      <c r="B7865" s="1129" t="s">
        <v>2784</v>
      </c>
      <c r="C7865" s="1138"/>
      <c r="D7865" s="1129"/>
      <c r="E7865" s="1129"/>
      <c r="F7865" s="1129"/>
      <c r="G7865" s="1129" t="s">
        <v>1109</v>
      </c>
      <c r="H7865" s="1129"/>
      <c r="I7865" s="1127"/>
    </row>
    <row r="7866" spans="1:9" x14ac:dyDescent="0.2">
      <c r="A7866" s="997">
        <f t="shared" si="122"/>
        <v>7865</v>
      </c>
      <c r="B7866" s="1129" t="s">
        <v>2784</v>
      </c>
      <c r="C7866" s="1138"/>
      <c r="D7866" s="1129"/>
      <c r="E7866" s="1129"/>
      <c r="F7866" s="1129"/>
      <c r="G7866" s="1129" t="s">
        <v>1106</v>
      </c>
      <c r="H7866" s="1129"/>
      <c r="I7866" s="1127"/>
    </row>
    <row r="7867" spans="1:9" x14ac:dyDescent="0.2">
      <c r="A7867" s="997">
        <f t="shared" si="122"/>
        <v>7866</v>
      </c>
      <c r="B7867" s="1129" t="s">
        <v>2784</v>
      </c>
      <c r="C7867" s="1139"/>
      <c r="D7867" s="1129"/>
      <c r="E7867" s="1129"/>
      <c r="F7867" s="1129"/>
      <c r="G7867" s="1129"/>
      <c r="H7867" s="1129" t="s">
        <v>2791</v>
      </c>
      <c r="I7867" s="1127"/>
    </row>
    <row r="7868" spans="1:9" x14ac:dyDescent="0.2">
      <c r="A7868" s="997">
        <f t="shared" si="122"/>
        <v>7867</v>
      </c>
      <c r="B7868" s="1129" t="s">
        <v>2784</v>
      </c>
      <c r="C7868" s="1140"/>
      <c r="D7868" s="1129"/>
      <c r="E7868" s="1129"/>
      <c r="F7868" s="1129"/>
      <c r="G7868" s="1129"/>
      <c r="H7868" s="1129" t="str">
        <f>CONCATENATE("&lt;valeur&gt;",Cellule_2097_2,"&lt;/valeur&gt;")</f>
        <v>&lt;valeur&gt;&lt;/valeur&gt;</v>
      </c>
      <c r="I7868" s="1127"/>
    </row>
    <row r="7869" spans="1:9" x14ac:dyDescent="0.2">
      <c r="A7869" s="997">
        <f t="shared" si="122"/>
        <v>7868</v>
      </c>
      <c r="B7869" s="1129" t="s">
        <v>2784</v>
      </c>
      <c r="C7869" s="1139"/>
      <c r="D7869" s="1129"/>
      <c r="E7869" s="1129"/>
      <c r="F7869" s="1129"/>
      <c r="G7869" s="1129"/>
      <c r="H7869" s="1129" t="s">
        <v>2735</v>
      </c>
      <c r="I7869" s="1127"/>
    </row>
    <row r="7870" spans="1:9" x14ac:dyDescent="0.2">
      <c r="A7870" s="997">
        <f t="shared" si="122"/>
        <v>7869</v>
      </c>
      <c r="B7870" s="1129" t="s">
        <v>2784</v>
      </c>
      <c r="C7870" s="1139"/>
      <c r="D7870" s="1129"/>
      <c r="E7870" s="1129"/>
      <c r="F7870" s="1129"/>
      <c r="G7870" s="1129" t="s">
        <v>1109</v>
      </c>
      <c r="H7870" s="1129"/>
      <c r="I7870" s="1127"/>
    </row>
    <row r="7871" spans="1:9" x14ac:dyDescent="0.2">
      <c r="A7871" s="997">
        <f t="shared" si="122"/>
        <v>7870</v>
      </c>
      <c r="B7871" s="1129" t="s">
        <v>2784</v>
      </c>
      <c r="C7871" s="1138"/>
      <c r="D7871" s="1129"/>
      <c r="E7871" s="1129"/>
      <c r="F7871" s="1129"/>
      <c r="G7871" s="1129" t="s">
        <v>1106</v>
      </c>
      <c r="H7871" s="1129"/>
      <c r="I7871" s="1127"/>
    </row>
    <row r="7872" spans="1:9" x14ac:dyDescent="0.2">
      <c r="A7872" s="997">
        <f t="shared" si="122"/>
        <v>7871</v>
      </c>
      <c r="B7872" s="1129" t="s">
        <v>2784</v>
      </c>
      <c r="C7872" s="1138"/>
      <c r="D7872" s="1129"/>
      <c r="E7872" s="1129"/>
      <c r="F7872" s="1129"/>
      <c r="G7872" s="1129"/>
      <c r="H7872" s="1129" t="s">
        <v>2792</v>
      </c>
      <c r="I7872" s="1127"/>
    </row>
    <row r="7873" spans="1:9" x14ac:dyDescent="0.2">
      <c r="A7873" s="997">
        <f t="shared" si="122"/>
        <v>7872</v>
      </c>
      <c r="B7873" s="1129" t="s">
        <v>2784</v>
      </c>
      <c r="C7873" s="1139"/>
      <c r="D7873" s="1129"/>
      <c r="E7873" s="1129"/>
      <c r="F7873" s="1129"/>
      <c r="G7873" s="1129"/>
      <c r="H7873" s="1129" t="str">
        <f>CONCATENATE("&lt;valeur&gt;",Cellule_2098_2,"&lt;/valeur&gt;")</f>
        <v>&lt;valeur&gt;&lt;/valeur&gt;</v>
      </c>
      <c r="I7873" s="1127"/>
    </row>
    <row r="7874" spans="1:9" x14ac:dyDescent="0.2">
      <c r="A7874" s="997">
        <f t="shared" si="122"/>
        <v>7873</v>
      </c>
      <c r="B7874" s="1129" t="s">
        <v>2784</v>
      </c>
      <c r="C7874" s="1140"/>
      <c r="D7874" s="1129"/>
      <c r="E7874" s="1129"/>
      <c r="F7874" s="1129"/>
      <c r="G7874" s="1129"/>
      <c r="H7874" s="1129" t="s">
        <v>2735</v>
      </c>
      <c r="I7874" s="1127"/>
    </row>
    <row r="7875" spans="1:9" x14ac:dyDescent="0.2">
      <c r="A7875" s="997">
        <f t="shared" si="122"/>
        <v>7874</v>
      </c>
      <c r="B7875" s="1129" t="s">
        <v>2784</v>
      </c>
      <c r="C7875" s="1139"/>
      <c r="D7875" s="1129"/>
      <c r="E7875" s="1129"/>
      <c r="F7875" s="1129"/>
      <c r="G7875" s="1129" t="s">
        <v>1109</v>
      </c>
      <c r="H7875" s="1129"/>
      <c r="I7875" s="1127"/>
    </row>
    <row r="7876" spans="1:9" x14ac:dyDescent="0.2">
      <c r="A7876" s="997">
        <f t="shared" ref="A7876:A7939" si="123">+A7875+1</f>
        <v>7875</v>
      </c>
      <c r="B7876" s="1129" t="s">
        <v>2784</v>
      </c>
      <c r="C7876" s="1139"/>
      <c r="D7876" s="1129"/>
      <c r="E7876" s="1129"/>
      <c r="F7876" s="1129"/>
      <c r="G7876" s="1129" t="s">
        <v>1106</v>
      </c>
      <c r="H7876" s="1129"/>
      <c r="I7876" s="1127"/>
    </row>
    <row r="7877" spans="1:9" x14ac:dyDescent="0.2">
      <c r="A7877" s="997">
        <f t="shared" si="123"/>
        <v>7876</v>
      </c>
      <c r="B7877" s="1129" t="s">
        <v>2784</v>
      </c>
      <c r="C7877" s="1138"/>
      <c r="D7877" s="1129"/>
      <c r="E7877" s="1129"/>
      <c r="F7877" s="1129"/>
      <c r="G7877" s="1129"/>
      <c r="H7877" s="1129" t="s">
        <v>2793</v>
      </c>
      <c r="I7877" s="1127"/>
    </row>
    <row r="7878" spans="1:9" x14ac:dyDescent="0.2">
      <c r="A7878" s="997">
        <f t="shared" si="123"/>
        <v>7877</v>
      </c>
      <c r="B7878" s="1129" t="s">
        <v>2784</v>
      </c>
      <c r="C7878" s="1138"/>
      <c r="D7878" s="1129"/>
      <c r="E7878" s="1129"/>
      <c r="F7878" s="1129"/>
      <c r="G7878" s="1129"/>
      <c r="H7878" s="1129" t="str">
        <f>CONCATENATE("&lt;valeur&gt;",Cellule_2099_2,"&lt;/valeur&gt;")</f>
        <v>&lt;valeur&gt;0&lt;/valeur&gt;</v>
      </c>
      <c r="I7878" s="1127"/>
    </row>
    <row r="7879" spans="1:9" x14ac:dyDescent="0.2">
      <c r="A7879" s="997">
        <f t="shared" si="123"/>
        <v>7878</v>
      </c>
      <c r="B7879" s="1129" t="s">
        <v>2784</v>
      </c>
      <c r="C7879" s="1139"/>
      <c r="D7879" s="1129"/>
      <c r="E7879" s="1129"/>
      <c r="F7879" s="1129"/>
      <c r="G7879" s="1129"/>
      <c r="H7879" s="1129" t="s">
        <v>2735</v>
      </c>
      <c r="I7879" s="1127"/>
    </row>
    <row r="7880" spans="1:9" x14ac:dyDescent="0.2">
      <c r="A7880" s="997">
        <f t="shared" si="123"/>
        <v>7879</v>
      </c>
      <c r="B7880" s="1129" t="s">
        <v>2784</v>
      </c>
      <c r="C7880" s="1140"/>
      <c r="D7880" s="1129"/>
      <c r="E7880" s="1129"/>
      <c r="F7880" s="1129"/>
      <c r="G7880" s="1129" t="s">
        <v>1109</v>
      </c>
      <c r="H7880" s="1129"/>
      <c r="I7880" s="1127"/>
    </row>
    <row r="7881" spans="1:9" x14ac:dyDescent="0.2">
      <c r="A7881" s="997">
        <f t="shared" si="123"/>
        <v>7880</v>
      </c>
      <c r="B7881" s="1129" t="s">
        <v>2784</v>
      </c>
      <c r="C7881" s="1139"/>
      <c r="D7881" s="1129"/>
      <c r="E7881" s="1129"/>
      <c r="F7881" s="1129"/>
      <c r="G7881" s="1129" t="s">
        <v>1106</v>
      </c>
      <c r="H7881" s="1129"/>
      <c r="I7881" s="1127"/>
    </row>
    <row r="7882" spans="1:9" x14ac:dyDescent="0.2">
      <c r="A7882" s="997">
        <f t="shared" si="123"/>
        <v>7881</v>
      </c>
      <c r="B7882" s="1129" t="s">
        <v>2784</v>
      </c>
      <c r="C7882" s="1138"/>
      <c r="D7882" s="1129"/>
      <c r="E7882" s="1129"/>
      <c r="F7882" s="1129"/>
      <c r="G7882" s="1129"/>
      <c r="H7882" s="1129" t="s">
        <v>2794</v>
      </c>
      <c r="I7882" s="1127"/>
    </row>
    <row r="7883" spans="1:9" x14ac:dyDescent="0.2">
      <c r="A7883" s="997">
        <f t="shared" si="123"/>
        <v>7882</v>
      </c>
      <c r="B7883" s="1129" t="s">
        <v>2784</v>
      </c>
      <c r="C7883" s="1138"/>
      <c r="D7883" s="1129"/>
      <c r="E7883" s="1129"/>
      <c r="F7883" s="1129"/>
      <c r="G7883" s="1129"/>
      <c r="H7883" s="1129" t="str">
        <f>CONCATENATE("&lt;valeur&gt;",Cellule_2100_2,"&lt;/valeur&gt;")</f>
        <v>&lt;valeur&gt;0&lt;/valeur&gt;</v>
      </c>
      <c r="I7883" s="1127"/>
    </row>
    <row r="7884" spans="1:9" x14ac:dyDescent="0.2">
      <c r="A7884" s="997">
        <f t="shared" si="123"/>
        <v>7883</v>
      </c>
      <c r="B7884" s="1129" t="s">
        <v>2784</v>
      </c>
      <c r="C7884" s="1139"/>
      <c r="D7884" s="1129"/>
      <c r="E7884" s="1129"/>
      <c r="F7884" s="1129"/>
      <c r="G7884" s="1129"/>
      <c r="H7884" s="1129" t="s">
        <v>2735</v>
      </c>
      <c r="I7884" s="1127"/>
    </row>
    <row r="7885" spans="1:9" x14ac:dyDescent="0.2">
      <c r="A7885" s="997">
        <f t="shared" si="123"/>
        <v>7884</v>
      </c>
      <c r="B7885" s="1129" t="s">
        <v>2784</v>
      </c>
      <c r="C7885" s="1140"/>
      <c r="D7885" s="1129"/>
      <c r="E7885" s="1129"/>
      <c r="F7885" s="1129"/>
      <c r="G7885" s="1129" t="s">
        <v>1109</v>
      </c>
      <c r="H7885" s="1129"/>
      <c r="I7885" s="1127"/>
    </row>
    <row r="7886" spans="1:9" x14ac:dyDescent="0.2">
      <c r="A7886" s="997">
        <f t="shared" si="123"/>
        <v>7885</v>
      </c>
      <c r="B7886" s="1129" t="s">
        <v>2784</v>
      </c>
      <c r="C7886" s="1139"/>
      <c r="D7886" s="1129"/>
      <c r="E7886" s="1129"/>
      <c r="F7886" s="1129"/>
      <c r="G7886" s="1129" t="s">
        <v>1106</v>
      </c>
      <c r="H7886" s="1129"/>
      <c r="I7886" s="1127"/>
    </row>
    <row r="7887" spans="1:9" x14ac:dyDescent="0.2">
      <c r="A7887" s="997">
        <f t="shared" si="123"/>
        <v>7886</v>
      </c>
      <c r="B7887" s="1129" t="s">
        <v>2784</v>
      </c>
      <c r="C7887" s="1138"/>
      <c r="D7887" s="1129"/>
      <c r="E7887" s="1129"/>
      <c r="F7887" s="1129"/>
      <c r="G7887" s="1129"/>
      <c r="H7887" s="1129" t="s">
        <v>2795</v>
      </c>
      <c r="I7887" s="1127"/>
    </row>
    <row r="7888" spans="1:9" x14ac:dyDescent="0.2">
      <c r="A7888" s="997">
        <f t="shared" si="123"/>
        <v>7887</v>
      </c>
      <c r="B7888" s="1129" t="s">
        <v>2784</v>
      </c>
      <c r="C7888" s="1138"/>
      <c r="D7888" s="1129"/>
      <c r="E7888" s="1129"/>
      <c r="F7888" s="1129"/>
      <c r="G7888" s="1129"/>
      <c r="H7888" s="1129" t="str">
        <f>CONCATENATE("&lt;valeur&gt;",Cellule_2101_2,"&lt;/valeur&gt;")</f>
        <v>&lt;valeur&gt;0&lt;/valeur&gt;</v>
      </c>
      <c r="I7888" s="1127"/>
    </row>
    <row r="7889" spans="1:9" x14ac:dyDescent="0.2">
      <c r="A7889" s="997">
        <f t="shared" si="123"/>
        <v>7888</v>
      </c>
      <c r="B7889" s="1129" t="s">
        <v>2784</v>
      </c>
      <c r="C7889" s="1139"/>
      <c r="D7889" s="1129"/>
      <c r="E7889" s="1129"/>
      <c r="F7889" s="1129"/>
      <c r="G7889" s="1129"/>
      <c r="H7889" s="1129" t="s">
        <v>2735</v>
      </c>
      <c r="I7889" s="1127"/>
    </row>
    <row r="7890" spans="1:9" x14ac:dyDescent="0.2">
      <c r="A7890" s="997">
        <f t="shared" si="123"/>
        <v>7889</v>
      </c>
      <c r="B7890" s="1130" t="s">
        <v>2784</v>
      </c>
      <c r="C7890" s="1141"/>
      <c r="D7890" s="1130"/>
      <c r="E7890" s="1130"/>
      <c r="F7890" s="1130"/>
      <c r="G7890" s="1130" t="s">
        <v>1109</v>
      </c>
      <c r="H7890" s="1130"/>
      <c r="I7890" s="1142"/>
    </row>
    <row r="7891" spans="1:9" x14ac:dyDescent="0.2">
      <c r="A7891" s="997">
        <f t="shared" si="123"/>
        <v>7890</v>
      </c>
      <c r="B7891" s="1128" t="s">
        <v>2784</v>
      </c>
      <c r="C7891" s="1137"/>
      <c r="D7891" s="1128"/>
      <c r="E7891" s="1128"/>
      <c r="F7891" s="1128"/>
      <c r="G7891" s="1128" t="s">
        <v>1106</v>
      </c>
      <c r="H7891" s="1128"/>
      <c r="I7891" s="1124"/>
    </row>
    <row r="7892" spans="1:9" x14ac:dyDescent="0.2">
      <c r="A7892" s="997">
        <f t="shared" si="123"/>
        <v>7891</v>
      </c>
      <c r="B7892" s="1129" t="s">
        <v>2784</v>
      </c>
      <c r="C7892" s="1138"/>
      <c r="D7892" s="1129"/>
      <c r="E7892" s="1129"/>
      <c r="F7892" s="1129"/>
      <c r="G7892" s="1129"/>
      <c r="H7892" s="1129" t="s">
        <v>2786</v>
      </c>
      <c r="I7892" s="1127"/>
    </row>
    <row r="7893" spans="1:9" x14ac:dyDescent="0.2">
      <c r="A7893" s="997">
        <f t="shared" si="123"/>
        <v>7892</v>
      </c>
      <c r="B7893" s="1129" t="s">
        <v>2784</v>
      </c>
      <c r="C7893" s="1139"/>
      <c r="D7893" s="1129"/>
      <c r="E7893" s="1129"/>
      <c r="F7893" s="1129"/>
      <c r="G7893" s="1129"/>
      <c r="H7893" s="1129" t="str">
        <f>CONCATENATE("&lt;valeur&gt;",Cellule_2094_3,"&lt;/valeur&gt;")</f>
        <v>&lt;valeur&gt;&lt;/valeur&gt;</v>
      </c>
      <c r="I7893" s="1127"/>
    </row>
    <row r="7894" spans="1:9" x14ac:dyDescent="0.2">
      <c r="A7894" s="997">
        <f t="shared" si="123"/>
        <v>7893</v>
      </c>
      <c r="B7894" s="1129" t="s">
        <v>2784</v>
      </c>
      <c r="C7894" s="1140"/>
      <c r="D7894" s="1129"/>
      <c r="E7894" s="1129"/>
      <c r="F7894" s="1129"/>
      <c r="G7894" s="1129"/>
      <c r="H7894" s="1129" t="s">
        <v>2736</v>
      </c>
      <c r="I7894" s="1127"/>
    </row>
    <row r="7895" spans="1:9" x14ac:dyDescent="0.2">
      <c r="A7895" s="997">
        <f t="shared" si="123"/>
        <v>7894</v>
      </c>
      <c r="B7895" s="1129" t="s">
        <v>2784</v>
      </c>
      <c r="C7895" s="1139"/>
      <c r="D7895" s="1129"/>
      <c r="E7895" s="1129"/>
      <c r="F7895" s="1129"/>
      <c r="G7895" s="1129" t="s">
        <v>1109</v>
      </c>
      <c r="H7895" s="1129"/>
      <c r="I7895" s="1127"/>
    </row>
    <row r="7896" spans="1:9" x14ac:dyDescent="0.2">
      <c r="A7896" s="997">
        <f t="shared" si="123"/>
        <v>7895</v>
      </c>
      <c r="B7896" s="1129" t="s">
        <v>2784</v>
      </c>
      <c r="C7896" s="1139"/>
      <c r="D7896" s="1129"/>
      <c r="E7896" s="1129"/>
      <c r="F7896" s="1129"/>
      <c r="G7896" s="1129" t="s">
        <v>1106</v>
      </c>
      <c r="H7896" s="1129"/>
      <c r="I7896" s="1127"/>
    </row>
    <row r="7897" spans="1:9" x14ac:dyDescent="0.2">
      <c r="A7897" s="997">
        <f t="shared" si="123"/>
        <v>7896</v>
      </c>
      <c r="B7897" s="1129" t="s">
        <v>2784</v>
      </c>
      <c r="C7897" s="1138"/>
      <c r="D7897" s="1129"/>
      <c r="E7897" s="1129"/>
      <c r="F7897" s="1129"/>
      <c r="G7897" s="1129"/>
      <c r="H7897" s="1129" t="s">
        <v>2787</v>
      </c>
      <c r="I7897" s="1127"/>
    </row>
    <row r="7898" spans="1:9" x14ac:dyDescent="0.2">
      <c r="A7898" s="997">
        <f t="shared" si="123"/>
        <v>7897</v>
      </c>
      <c r="B7898" s="1129" t="s">
        <v>2784</v>
      </c>
      <c r="C7898" s="1138"/>
      <c r="D7898" s="1129"/>
      <c r="E7898" s="1129"/>
      <c r="F7898" s="1129"/>
      <c r="G7898" s="1129"/>
      <c r="H7898" s="1129" t="str">
        <f>CONCATENATE("&lt;valeur&gt;",Cellule_13536_3,"&lt;/valeur&gt;")</f>
        <v>&lt;valeur&gt;&lt;/valeur&gt;</v>
      </c>
      <c r="I7898" s="1127"/>
    </row>
    <row r="7899" spans="1:9" x14ac:dyDescent="0.2">
      <c r="A7899" s="997">
        <f t="shared" si="123"/>
        <v>7898</v>
      </c>
      <c r="B7899" s="1129" t="s">
        <v>2784</v>
      </c>
      <c r="C7899" s="1139"/>
      <c r="D7899" s="1129"/>
      <c r="E7899" s="1129"/>
      <c r="F7899" s="1129"/>
      <c r="G7899" s="1129"/>
      <c r="H7899" s="1129" t="s">
        <v>2736</v>
      </c>
      <c r="I7899" s="1127"/>
    </row>
    <row r="7900" spans="1:9" x14ac:dyDescent="0.2">
      <c r="A7900" s="997">
        <f t="shared" si="123"/>
        <v>7899</v>
      </c>
      <c r="B7900" s="1129" t="s">
        <v>2784</v>
      </c>
      <c r="C7900" s="1140"/>
      <c r="D7900" s="1129"/>
      <c r="E7900" s="1129"/>
      <c r="F7900" s="1129"/>
      <c r="G7900" s="1129" t="s">
        <v>1109</v>
      </c>
      <c r="H7900" s="1129"/>
      <c r="I7900" s="1127"/>
    </row>
    <row r="7901" spans="1:9" x14ac:dyDescent="0.2">
      <c r="A7901" s="997">
        <f t="shared" si="123"/>
        <v>7900</v>
      </c>
      <c r="B7901" s="1129" t="s">
        <v>2784</v>
      </c>
      <c r="C7901" s="1139"/>
      <c r="D7901" s="1129"/>
      <c r="E7901" s="1129"/>
      <c r="F7901" s="1129"/>
      <c r="G7901" s="1129" t="s">
        <v>1106</v>
      </c>
      <c r="H7901" s="1129"/>
      <c r="I7901" s="1127"/>
    </row>
    <row r="7902" spans="1:9" x14ac:dyDescent="0.2">
      <c r="A7902" s="997">
        <f t="shared" si="123"/>
        <v>7901</v>
      </c>
      <c r="B7902" s="1129" t="s">
        <v>2784</v>
      </c>
      <c r="C7902" s="1139"/>
      <c r="D7902" s="1129"/>
      <c r="E7902" s="1129"/>
      <c r="F7902" s="1129"/>
      <c r="G7902" s="1129"/>
      <c r="H7902" s="1129" t="s">
        <v>2788</v>
      </c>
      <c r="I7902" s="1127"/>
    </row>
    <row r="7903" spans="1:9" x14ac:dyDescent="0.2">
      <c r="A7903" s="997">
        <f t="shared" si="123"/>
        <v>7902</v>
      </c>
      <c r="B7903" s="1129" t="s">
        <v>2784</v>
      </c>
      <c r="C7903" s="1138"/>
      <c r="D7903" s="1129"/>
      <c r="E7903" s="1129"/>
      <c r="F7903" s="1129"/>
      <c r="G7903" s="1129"/>
      <c r="H7903" s="1129" t="str">
        <f>CONCATENATE("&lt;valeur&gt;",Cellule_13537_3,"&lt;/valeur&gt;")</f>
        <v>&lt;valeur&gt;&lt;/valeur&gt;</v>
      </c>
      <c r="I7903" s="1127"/>
    </row>
    <row r="7904" spans="1:9" x14ac:dyDescent="0.2">
      <c r="A7904" s="997">
        <f t="shared" si="123"/>
        <v>7903</v>
      </c>
      <c r="B7904" s="1129" t="s">
        <v>2784</v>
      </c>
      <c r="C7904" s="1138"/>
      <c r="D7904" s="1129"/>
      <c r="E7904" s="1129"/>
      <c r="F7904" s="1129"/>
      <c r="G7904" s="1129"/>
      <c r="H7904" s="1129" t="s">
        <v>2736</v>
      </c>
      <c r="I7904" s="1127"/>
    </row>
    <row r="7905" spans="1:9" x14ac:dyDescent="0.2">
      <c r="A7905" s="997">
        <f t="shared" si="123"/>
        <v>7904</v>
      </c>
      <c r="B7905" s="1129" t="s">
        <v>2784</v>
      </c>
      <c r="C7905" s="1139"/>
      <c r="D7905" s="1129"/>
      <c r="E7905" s="1129"/>
      <c r="F7905" s="1129"/>
      <c r="G7905" s="1129" t="s">
        <v>1109</v>
      </c>
      <c r="H7905" s="1129"/>
      <c r="I7905" s="1127"/>
    </row>
    <row r="7906" spans="1:9" x14ac:dyDescent="0.2">
      <c r="A7906" s="997">
        <f t="shared" si="123"/>
        <v>7905</v>
      </c>
      <c r="B7906" s="1129" t="s">
        <v>2784</v>
      </c>
      <c r="C7906" s="1140"/>
      <c r="D7906" s="1129"/>
      <c r="E7906" s="1129"/>
      <c r="F7906" s="1129"/>
      <c r="G7906" s="1129" t="s">
        <v>1106</v>
      </c>
      <c r="H7906" s="1129"/>
      <c r="I7906" s="1127"/>
    </row>
    <row r="7907" spans="1:9" x14ac:dyDescent="0.2">
      <c r="A7907" s="997">
        <f t="shared" si="123"/>
        <v>7906</v>
      </c>
      <c r="B7907" s="1129" t="s">
        <v>2784</v>
      </c>
      <c r="C7907" s="1139"/>
      <c r="D7907" s="1129"/>
      <c r="E7907" s="1129"/>
      <c r="F7907" s="1129"/>
      <c r="G7907" s="1129"/>
      <c r="H7907" s="1129" t="s">
        <v>2789</v>
      </c>
      <c r="I7907" s="1127"/>
    </row>
    <row r="7908" spans="1:9" x14ac:dyDescent="0.2">
      <c r="A7908" s="997">
        <f t="shared" si="123"/>
        <v>7907</v>
      </c>
      <c r="B7908" s="1129" t="s">
        <v>2784</v>
      </c>
      <c r="C7908" s="1139"/>
      <c r="D7908" s="1129"/>
      <c r="E7908" s="1129"/>
      <c r="F7908" s="1129"/>
      <c r="G7908" s="1129"/>
      <c r="H7908" s="1129" t="str">
        <f>CONCATENATE("&lt;valeur&gt;",Cellule_2095_3,"&lt;/valeur&gt;")</f>
        <v>&lt;valeur&gt;&lt;/valeur&gt;</v>
      </c>
      <c r="I7908" s="1127"/>
    </row>
    <row r="7909" spans="1:9" x14ac:dyDescent="0.2">
      <c r="A7909" s="997">
        <f t="shared" si="123"/>
        <v>7908</v>
      </c>
      <c r="B7909" s="1129" t="s">
        <v>2784</v>
      </c>
      <c r="C7909" s="1138"/>
      <c r="D7909" s="1129"/>
      <c r="E7909" s="1129"/>
      <c r="F7909" s="1129"/>
      <c r="G7909" s="1129"/>
      <c r="H7909" s="1129" t="s">
        <v>2736</v>
      </c>
      <c r="I7909" s="1127"/>
    </row>
    <row r="7910" spans="1:9" x14ac:dyDescent="0.2">
      <c r="A7910" s="997">
        <f t="shared" si="123"/>
        <v>7909</v>
      </c>
      <c r="B7910" s="1129" t="s">
        <v>2784</v>
      </c>
      <c r="C7910" s="1138"/>
      <c r="D7910" s="1129"/>
      <c r="E7910" s="1129"/>
      <c r="F7910" s="1129"/>
      <c r="G7910" s="1129" t="s">
        <v>1109</v>
      </c>
      <c r="H7910" s="1129"/>
      <c r="I7910" s="1127"/>
    </row>
    <row r="7911" spans="1:9" x14ac:dyDescent="0.2">
      <c r="A7911" s="997">
        <f t="shared" si="123"/>
        <v>7910</v>
      </c>
      <c r="B7911" s="1129" t="s">
        <v>2784</v>
      </c>
      <c r="C7911" s="1139"/>
      <c r="D7911" s="1129"/>
      <c r="E7911" s="1129"/>
      <c r="F7911" s="1129"/>
      <c r="G7911" s="1129" t="s">
        <v>1106</v>
      </c>
      <c r="H7911" s="1129"/>
      <c r="I7911" s="1127"/>
    </row>
    <row r="7912" spans="1:9" x14ac:dyDescent="0.2">
      <c r="A7912" s="997">
        <f t="shared" si="123"/>
        <v>7911</v>
      </c>
      <c r="B7912" s="1129" t="s">
        <v>2784</v>
      </c>
      <c r="C7912" s="1140"/>
      <c r="D7912" s="1129"/>
      <c r="E7912" s="1129"/>
      <c r="F7912" s="1129"/>
      <c r="G7912" s="1129"/>
      <c r="H7912" s="1129" t="s">
        <v>2790</v>
      </c>
      <c r="I7912" s="1127"/>
    </row>
    <row r="7913" spans="1:9" x14ac:dyDescent="0.2">
      <c r="A7913" s="997">
        <f t="shared" si="123"/>
        <v>7912</v>
      </c>
      <c r="B7913" s="1129" t="s">
        <v>2784</v>
      </c>
      <c r="C7913" s="1139"/>
      <c r="D7913" s="1129"/>
      <c r="E7913" s="1129"/>
      <c r="F7913" s="1129"/>
      <c r="G7913" s="1129"/>
      <c r="H7913" s="1129" t="str">
        <f>CONCATENATE("&lt;valeur&gt;",Cellule_2096_3,"&lt;/valeur&gt;")</f>
        <v>&lt;valeur&gt;&lt;/valeur&gt;</v>
      </c>
      <c r="I7913" s="1127"/>
    </row>
    <row r="7914" spans="1:9" x14ac:dyDescent="0.2">
      <c r="A7914" s="997">
        <f t="shared" si="123"/>
        <v>7913</v>
      </c>
      <c r="B7914" s="1129" t="s">
        <v>2784</v>
      </c>
      <c r="C7914" s="1139"/>
      <c r="D7914" s="1129"/>
      <c r="E7914" s="1129"/>
      <c r="F7914" s="1129"/>
      <c r="G7914" s="1129"/>
      <c r="H7914" s="1129" t="s">
        <v>2736</v>
      </c>
      <c r="I7914" s="1127"/>
    </row>
    <row r="7915" spans="1:9" x14ac:dyDescent="0.2">
      <c r="A7915" s="997">
        <f t="shared" si="123"/>
        <v>7914</v>
      </c>
      <c r="B7915" s="1129" t="s">
        <v>2784</v>
      </c>
      <c r="C7915" s="1138"/>
      <c r="D7915" s="1129"/>
      <c r="E7915" s="1129"/>
      <c r="F7915" s="1129"/>
      <c r="G7915" s="1129" t="s">
        <v>1109</v>
      </c>
      <c r="H7915" s="1129"/>
      <c r="I7915" s="1127"/>
    </row>
    <row r="7916" spans="1:9" x14ac:dyDescent="0.2">
      <c r="A7916" s="997">
        <f t="shared" si="123"/>
        <v>7915</v>
      </c>
      <c r="B7916" s="1129" t="s">
        <v>2784</v>
      </c>
      <c r="C7916" s="1138"/>
      <c r="D7916" s="1129"/>
      <c r="E7916" s="1129"/>
      <c r="F7916" s="1129"/>
      <c r="G7916" s="1129" t="s">
        <v>1106</v>
      </c>
      <c r="H7916" s="1129"/>
      <c r="I7916" s="1127"/>
    </row>
    <row r="7917" spans="1:9" x14ac:dyDescent="0.2">
      <c r="A7917" s="997">
        <f t="shared" si="123"/>
        <v>7916</v>
      </c>
      <c r="B7917" s="1129" t="s">
        <v>2784</v>
      </c>
      <c r="C7917" s="1139"/>
      <c r="D7917" s="1129"/>
      <c r="E7917" s="1129"/>
      <c r="F7917" s="1129"/>
      <c r="G7917" s="1129"/>
      <c r="H7917" s="1129" t="s">
        <v>2791</v>
      </c>
      <c r="I7917" s="1127"/>
    </row>
    <row r="7918" spans="1:9" x14ac:dyDescent="0.2">
      <c r="A7918" s="997">
        <f t="shared" si="123"/>
        <v>7917</v>
      </c>
      <c r="B7918" s="1129" t="s">
        <v>2784</v>
      </c>
      <c r="C7918" s="1140"/>
      <c r="D7918" s="1129"/>
      <c r="E7918" s="1129"/>
      <c r="F7918" s="1129"/>
      <c r="G7918" s="1129"/>
      <c r="H7918" s="1129" t="str">
        <f>CONCATENATE("&lt;valeur&gt;",Cellule_2097_3,"&lt;/valeur&gt;")</f>
        <v>&lt;valeur&gt;&lt;/valeur&gt;</v>
      </c>
      <c r="I7918" s="1127"/>
    </row>
    <row r="7919" spans="1:9" x14ac:dyDescent="0.2">
      <c r="A7919" s="997">
        <f t="shared" si="123"/>
        <v>7918</v>
      </c>
      <c r="B7919" s="1129" t="s">
        <v>2784</v>
      </c>
      <c r="C7919" s="1139"/>
      <c r="D7919" s="1129"/>
      <c r="E7919" s="1129"/>
      <c r="F7919" s="1129"/>
      <c r="G7919" s="1129"/>
      <c r="H7919" s="1129" t="s">
        <v>2736</v>
      </c>
      <c r="I7919" s="1127"/>
    </row>
    <row r="7920" spans="1:9" x14ac:dyDescent="0.2">
      <c r="A7920" s="997">
        <f t="shared" si="123"/>
        <v>7919</v>
      </c>
      <c r="B7920" s="1129" t="s">
        <v>2784</v>
      </c>
      <c r="C7920" s="1139"/>
      <c r="D7920" s="1129"/>
      <c r="E7920" s="1129"/>
      <c r="F7920" s="1129"/>
      <c r="G7920" s="1129" t="s">
        <v>1109</v>
      </c>
      <c r="H7920" s="1129"/>
      <c r="I7920" s="1127"/>
    </row>
    <row r="7921" spans="1:9" x14ac:dyDescent="0.2">
      <c r="A7921" s="997">
        <f t="shared" si="123"/>
        <v>7920</v>
      </c>
      <c r="B7921" s="1129" t="s">
        <v>2784</v>
      </c>
      <c r="C7921" s="1138"/>
      <c r="D7921" s="1129"/>
      <c r="E7921" s="1129"/>
      <c r="F7921" s="1129"/>
      <c r="G7921" s="1129" t="s">
        <v>1106</v>
      </c>
      <c r="H7921" s="1129"/>
      <c r="I7921" s="1127"/>
    </row>
    <row r="7922" spans="1:9" x14ac:dyDescent="0.2">
      <c r="A7922" s="997">
        <f t="shared" si="123"/>
        <v>7921</v>
      </c>
      <c r="B7922" s="1129" t="s">
        <v>2784</v>
      </c>
      <c r="C7922" s="1138"/>
      <c r="D7922" s="1129"/>
      <c r="E7922" s="1129"/>
      <c r="F7922" s="1129"/>
      <c r="G7922" s="1129"/>
      <c r="H7922" s="1129" t="s">
        <v>2792</v>
      </c>
      <c r="I7922" s="1127"/>
    </row>
    <row r="7923" spans="1:9" x14ac:dyDescent="0.2">
      <c r="A7923" s="997">
        <f t="shared" si="123"/>
        <v>7922</v>
      </c>
      <c r="B7923" s="1129" t="s">
        <v>2784</v>
      </c>
      <c r="C7923" s="1139"/>
      <c r="D7923" s="1129"/>
      <c r="E7923" s="1129"/>
      <c r="F7923" s="1129"/>
      <c r="G7923" s="1129"/>
      <c r="H7923" s="1129" t="str">
        <f>CONCATENATE("&lt;valeur&gt;",Cellule_2098_3,"&lt;/valeur&gt;")</f>
        <v>&lt;valeur&gt;&lt;/valeur&gt;</v>
      </c>
      <c r="I7923" s="1127"/>
    </row>
    <row r="7924" spans="1:9" x14ac:dyDescent="0.2">
      <c r="A7924" s="997">
        <f t="shared" si="123"/>
        <v>7923</v>
      </c>
      <c r="B7924" s="1129" t="s">
        <v>2784</v>
      </c>
      <c r="C7924" s="1140"/>
      <c r="D7924" s="1129"/>
      <c r="E7924" s="1129"/>
      <c r="F7924" s="1129"/>
      <c r="G7924" s="1129"/>
      <c r="H7924" s="1129" t="s">
        <v>2736</v>
      </c>
      <c r="I7924" s="1127"/>
    </row>
    <row r="7925" spans="1:9" x14ac:dyDescent="0.2">
      <c r="A7925" s="997">
        <f t="shared" si="123"/>
        <v>7924</v>
      </c>
      <c r="B7925" s="1129" t="s">
        <v>2784</v>
      </c>
      <c r="C7925" s="1139"/>
      <c r="D7925" s="1129"/>
      <c r="E7925" s="1129"/>
      <c r="F7925" s="1129"/>
      <c r="G7925" s="1129" t="s">
        <v>1109</v>
      </c>
      <c r="H7925" s="1129"/>
      <c r="I7925" s="1127"/>
    </row>
    <row r="7926" spans="1:9" x14ac:dyDescent="0.2">
      <c r="A7926" s="997">
        <f t="shared" si="123"/>
        <v>7925</v>
      </c>
      <c r="B7926" s="1129" t="s">
        <v>2784</v>
      </c>
      <c r="C7926" s="1139"/>
      <c r="D7926" s="1129"/>
      <c r="E7926" s="1129"/>
      <c r="F7926" s="1129"/>
      <c r="G7926" s="1129" t="s">
        <v>1106</v>
      </c>
      <c r="H7926" s="1129"/>
      <c r="I7926" s="1127"/>
    </row>
    <row r="7927" spans="1:9" x14ac:dyDescent="0.2">
      <c r="A7927" s="997">
        <f t="shared" si="123"/>
        <v>7926</v>
      </c>
      <c r="B7927" s="1129" t="s">
        <v>2784</v>
      </c>
      <c r="C7927" s="1138"/>
      <c r="D7927" s="1129"/>
      <c r="E7927" s="1129"/>
      <c r="F7927" s="1129"/>
      <c r="G7927" s="1129"/>
      <c r="H7927" s="1129" t="s">
        <v>2793</v>
      </c>
      <c r="I7927" s="1127"/>
    </row>
    <row r="7928" spans="1:9" x14ac:dyDescent="0.2">
      <c r="A7928" s="997">
        <f t="shared" si="123"/>
        <v>7927</v>
      </c>
      <c r="B7928" s="1129" t="s">
        <v>2784</v>
      </c>
      <c r="C7928" s="1138"/>
      <c r="D7928" s="1129"/>
      <c r="E7928" s="1129"/>
      <c r="F7928" s="1129"/>
      <c r="G7928" s="1129"/>
      <c r="H7928" s="1129" t="str">
        <f>CONCATENATE("&lt;valeur&gt;",Cellule_2099_3,"&lt;/valeur&gt;")</f>
        <v>&lt;valeur&gt;0&lt;/valeur&gt;</v>
      </c>
      <c r="I7928" s="1127"/>
    </row>
    <row r="7929" spans="1:9" x14ac:dyDescent="0.2">
      <c r="A7929" s="997">
        <f t="shared" si="123"/>
        <v>7928</v>
      </c>
      <c r="B7929" s="1129" t="s">
        <v>2784</v>
      </c>
      <c r="C7929" s="1139"/>
      <c r="D7929" s="1129"/>
      <c r="E7929" s="1129"/>
      <c r="F7929" s="1129"/>
      <c r="G7929" s="1129"/>
      <c r="H7929" s="1129" t="s">
        <v>2736</v>
      </c>
      <c r="I7929" s="1127"/>
    </row>
    <row r="7930" spans="1:9" x14ac:dyDescent="0.2">
      <c r="A7930" s="997">
        <f t="shared" si="123"/>
        <v>7929</v>
      </c>
      <c r="B7930" s="1129" t="s">
        <v>2784</v>
      </c>
      <c r="C7930" s="1140"/>
      <c r="D7930" s="1129"/>
      <c r="E7930" s="1129"/>
      <c r="F7930" s="1129"/>
      <c r="G7930" s="1129" t="s">
        <v>1109</v>
      </c>
      <c r="H7930" s="1129"/>
      <c r="I7930" s="1127"/>
    </row>
    <row r="7931" spans="1:9" x14ac:dyDescent="0.2">
      <c r="A7931" s="997">
        <f t="shared" si="123"/>
        <v>7930</v>
      </c>
      <c r="B7931" s="1129" t="s">
        <v>2784</v>
      </c>
      <c r="C7931" s="1139"/>
      <c r="D7931" s="1129"/>
      <c r="E7931" s="1129"/>
      <c r="F7931" s="1129"/>
      <c r="G7931" s="1129" t="s">
        <v>1106</v>
      </c>
      <c r="H7931" s="1129"/>
      <c r="I7931" s="1127"/>
    </row>
    <row r="7932" spans="1:9" x14ac:dyDescent="0.2">
      <c r="A7932" s="997">
        <f t="shared" si="123"/>
        <v>7931</v>
      </c>
      <c r="B7932" s="1129" t="s">
        <v>2784</v>
      </c>
      <c r="C7932" s="1138"/>
      <c r="D7932" s="1129"/>
      <c r="E7932" s="1129"/>
      <c r="F7932" s="1129"/>
      <c r="G7932" s="1129"/>
      <c r="H7932" s="1129" t="s">
        <v>2794</v>
      </c>
      <c r="I7932" s="1127"/>
    </row>
    <row r="7933" spans="1:9" x14ac:dyDescent="0.2">
      <c r="A7933" s="997">
        <f t="shared" si="123"/>
        <v>7932</v>
      </c>
      <c r="B7933" s="1129" t="s">
        <v>2784</v>
      </c>
      <c r="C7933" s="1138"/>
      <c r="D7933" s="1129"/>
      <c r="E7933" s="1129"/>
      <c r="F7933" s="1129"/>
      <c r="G7933" s="1129"/>
      <c r="H7933" s="1129" t="str">
        <f>CONCATENATE("&lt;valeur&gt;",Cellule_2100_3,"&lt;/valeur&gt;")</f>
        <v>&lt;valeur&gt;0&lt;/valeur&gt;</v>
      </c>
      <c r="I7933" s="1127"/>
    </row>
    <row r="7934" spans="1:9" x14ac:dyDescent="0.2">
      <c r="A7934" s="997">
        <f t="shared" si="123"/>
        <v>7933</v>
      </c>
      <c r="B7934" s="1129" t="s">
        <v>2784</v>
      </c>
      <c r="C7934" s="1139"/>
      <c r="D7934" s="1129"/>
      <c r="E7934" s="1129"/>
      <c r="F7934" s="1129"/>
      <c r="G7934" s="1129"/>
      <c r="H7934" s="1129" t="s">
        <v>2736</v>
      </c>
      <c r="I7934" s="1127"/>
    </row>
    <row r="7935" spans="1:9" x14ac:dyDescent="0.2">
      <c r="A7935" s="997">
        <f t="shared" si="123"/>
        <v>7934</v>
      </c>
      <c r="B7935" s="1129" t="s">
        <v>2784</v>
      </c>
      <c r="C7935" s="1140"/>
      <c r="D7935" s="1129"/>
      <c r="E7935" s="1129"/>
      <c r="F7935" s="1129"/>
      <c r="G7935" s="1129" t="s">
        <v>1109</v>
      </c>
      <c r="H7935" s="1129"/>
      <c r="I7935" s="1127"/>
    </row>
    <row r="7936" spans="1:9" x14ac:dyDescent="0.2">
      <c r="A7936" s="997">
        <f t="shared" si="123"/>
        <v>7935</v>
      </c>
      <c r="B7936" s="1129" t="s">
        <v>2784</v>
      </c>
      <c r="C7936" s="1139"/>
      <c r="D7936" s="1129"/>
      <c r="E7936" s="1129"/>
      <c r="F7936" s="1129"/>
      <c r="G7936" s="1129" t="s">
        <v>1106</v>
      </c>
      <c r="H7936" s="1129"/>
      <c r="I7936" s="1127"/>
    </row>
    <row r="7937" spans="1:9" x14ac:dyDescent="0.2">
      <c r="A7937" s="997">
        <f t="shared" si="123"/>
        <v>7936</v>
      </c>
      <c r="B7937" s="1129" t="s">
        <v>2784</v>
      </c>
      <c r="C7937" s="1138"/>
      <c r="D7937" s="1129"/>
      <c r="E7937" s="1129"/>
      <c r="F7937" s="1129"/>
      <c r="G7937" s="1129"/>
      <c r="H7937" s="1129" t="s">
        <v>2795</v>
      </c>
      <c r="I7937" s="1127"/>
    </row>
    <row r="7938" spans="1:9" x14ac:dyDescent="0.2">
      <c r="A7938" s="997">
        <f t="shared" si="123"/>
        <v>7937</v>
      </c>
      <c r="B7938" s="1129" t="s">
        <v>2784</v>
      </c>
      <c r="C7938" s="1138"/>
      <c r="D7938" s="1129"/>
      <c r="E7938" s="1129"/>
      <c r="F7938" s="1129"/>
      <c r="G7938" s="1129"/>
      <c r="H7938" s="1129" t="str">
        <f>CONCATENATE("&lt;valeur&gt;",Cellule_2101_3,"&lt;/valeur&gt;")</f>
        <v>&lt;valeur&gt;0&lt;/valeur&gt;</v>
      </c>
      <c r="I7938" s="1127"/>
    </row>
    <row r="7939" spans="1:9" x14ac:dyDescent="0.2">
      <c r="A7939" s="997">
        <f t="shared" si="123"/>
        <v>7938</v>
      </c>
      <c r="B7939" s="1129" t="s">
        <v>2784</v>
      </c>
      <c r="C7939" s="1139"/>
      <c r="D7939" s="1129"/>
      <c r="E7939" s="1129"/>
      <c r="F7939" s="1129"/>
      <c r="G7939" s="1129"/>
      <c r="H7939" s="1129" t="s">
        <v>2736</v>
      </c>
      <c r="I7939" s="1127"/>
    </row>
    <row r="7940" spans="1:9" x14ac:dyDescent="0.2">
      <c r="A7940" s="997">
        <f t="shared" ref="A7940:A8003" si="124">+A7939+1</f>
        <v>7939</v>
      </c>
      <c r="B7940" s="1130" t="s">
        <v>2784</v>
      </c>
      <c r="C7940" s="1141"/>
      <c r="D7940" s="1130"/>
      <c r="E7940" s="1130"/>
      <c r="F7940" s="1130"/>
      <c r="G7940" s="1130" t="s">
        <v>1109</v>
      </c>
      <c r="H7940" s="1130"/>
      <c r="I7940" s="1142"/>
    </row>
    <row r="7941" spans="1:9" x14ac:dyDescent="0.2">
      <c r="A7941" s="997">
        <f t="shared" si="124"/>
        <v>7940</v>
      </c>
      <c r="B7941" s="1128" t="s">
        <v>2784</v>
      </c>
      <c r="C7941" s="1137"/>
      <c r="D7941" s="1128"/>
      <c r="E7941" s="1128"/>
      <c r="F7941" s="1128"/>
      <c r="G7941" s="1128" t="s">
        <v>1106</v>
      </c>
      <c r="H7941" s="1128"/>
      <c r="I7941" s="1124"/>
    </row>
    <row r="7942" spans="1:9" x14ac:dyDescent="0.2">
      <c r="A7942" s="997">
        <f t="shared" si="124"/>
        <v>7941</v>
      </c>
      <c r="B7942" s="1129" t="s">
        <v>2784</v>
      </c>
      <c r="C7942" s="1138"/>
      <c r="D7942" s="1129"/>
      <c r="E7942" s="1129"/>
      <c r="F7942" s="1129"/>
      <c r="G7942" s="1129"/>
      <c r="H7942" s="1129" t="s">
        <v>2786</v>
      </c>
      <c r="I7942" s="1127"/>
    </row>
    <row r="7943" spans="1:9" x14ac:dyDescent="0.2">
      <c r="A7943" s="997">
        <f t="shared" si="124"/>
        <v>7942</v>
      </c>
      <c r="B7943" s="1129" t="s">
        <v>2784</v>
      </c>
      <c r="C7943" s="1139"/>
      <c r="D7943" s="1129"/>
      <c r="E7943" s="1129"/>
      <c r="F7943" s="1129"/>
      <c r="G7943" s="1129"/>
      <c r="H7943" s="1129" t="str">
        <f>CONCATENATE("&lt;valeur&gt;",Cellule_2094_4,"&lt;/valeur&gt;")</f>
        <v>&lt;valeur&gt;&lt;/valeur&gt;</v>
      </c>
      <c r="I7943" s="1127"/>
    </row>
    <row r="7944" spans="1:9" x14ac:dyDescent="0.2">
      <c r="A7944" s="997">
        <f t="shared" si="124"/>
        <v>7943</v>
      </c>
      <c r="B7944" s="1129" t="s">
        <v>2784</v>
      </c>
      <c r="C7944" s="1140"/>
      <c r="D7944" s="1129"/>
      <c r="E7944" s="1129"/>
      <c r="F7944" s="1129"/>
      <c r="G7944" s="1129"/>
      <c r="H7944" s="1129" t="s">
        <v>2737</v>
      </c>
      <c r="I7944" s="1127"/>
    </row>
    <row r="7945" spans="1:9" x14ac:dyDescent="0.2">
      <c r="A7945" s="997">
        <f t="shared" si="124"/>
        <v>7944</v>
      </c>
      <c r="B7945" s="1129" t="s">
        <v>2784</v>
      </c>
      <c r="C7945" s="1139"/>
      <c r="D7945" s="1129"/>
      <c r="E7945" s="1129"/>
      <c r="F7945" s="1129"/>
      <c r="G7945" s="1129" t="s">
        <v>1109</v>
      </c>
      <c r="H7945" s="1129"/>
      <c r="I7945" s="1127"/>
    </row>
    <row r="7946" spans="1:9" x14ac:dyDescent="0.2">
      <c r="A7946" s="997">
        <f t="shared" si="124"/>
        <v>7945</v>
      </c>
      <c r="B7946" s="1129" t="s">
        <v>2784</v>
      </c>
      <c r="C7946" s="1139"/>
      <c r="D7946" s="1129"/>
      <c r="E7946" s="1129"/>
      <c r="F7946" s="1129"/>
      <c r="G7946" s="1129" t="s">
        <v>1106</v>
      </c>
      <c r="H7946" s="1129"/>
      <c r="I7946" s="1127"/>
    </row>
    <row r="7947" spans="1:9" x14ac:dyDescent="0.2">
      <c r="A7947" s="997">
        <f t="shared" si="124"/>
        <v>7946</v>
      </c>
      <c r="B7947" s="1129" t="s">
        <v>2784</v>
      </c>
      <c r="C7947" s="1138"/>
      <c r="D7947" s="1129"/>
      <c r="E7947" s="1129"/>
      <c r="F7947" s="1129"/>
      <c r="G7947" s="1129"/>
      <c r="H7947" s="1129" t="s">
        <v>2787</v>
      </c>
      <c r="I7947" s="1127"/>
    </row>
    <row r="7948" spans="1:9" x14ac:dyDescent="0.2">
      <c r="A7948" s="997">
        <f t="shared" si="124"/>
        <v>7947</v>
      </c>
      <c r="B7948" s="1129" t="s">
        <v>2784</v>
      </c>
      <c r="C7948" s="1138"/>
      <c r="D7948" s="1129"/>
      <c r="E7948" s="1129"/>
      <c r="F7948" s="1129"/>
      <c r="G7948" s="1129"/>
      <c r="H7948" s="1129" t="str">
        <f>CONCATENATE("&lt;valeur&gt;",Cellule_13536_4,"&lt;/valeur&gt;")</f>
        <v>&lt;valeur&gt;&lt;/valeur&gt;</v>
      </c>
      <c r="I7948" s="1127"/>
    </row>
    <row r="7949" spans="1:9" x14ac:dyDescent="0.2">
      <c r="A7949" s="997">
        <f t="shared" si="124"/>
        <v>7948</v>
      </c>
      <c r="B7949" s="1129" t="s">
        <v>2784</v>
      </c>
      <c r="C7949" s="1139"/>
      <c r="D7949" s="1129"/>
      <c r="E7949" s="1129"/>
      <c r="F7949" s="1129"/>
      <c r="G7949" s="1129"/>
      <c r="H7949" s="1129" t="s">
        <v>2737</v>
      </c>
      <c r="I7949" s="1127"/>
    </row>
    <row r="7950" spans="1:9" x14ac:dyDescent="0.2">
      <c r="A7950" s="997">
        <f t="shared" si="124"/>
        <v>7949</v>
      </c>
      <c r="B7950" s="1129" t="s">
        <v>2784</v>
      </c>
      <c r="C7950" s="1140"/>
      <c r="D7950" s="1129"/>
      <c r="E7950" s="1129"/>
      <c r="F7950" s="1129"/>
      <c r="G7950" s="1129" t="s">
        <v>1109</v>
      </c>
      <c r="H7950" s="1129"/>
      <c r="I7950" s="1127"/>
    </row>
    <row r="7951" spans="1:9" x14ac:dyDescent="0.2">
      <c r="A7951" s="997">
        <f t="shared" si="124"/>
        <v>7950</v>
      </c>
      <c r="B7951" s="1129" t="s">
        <v>2784</v>
      </c>
      <c r="C7951" s="1139"/>
      <c r="D7951" s="1129"/>
      <c r="E7951" s="1129"/>
      <c r="F7951" s="1129"/>
      <c r="G7951" s="1129" t="s">
        <v>1106</v>
      </c>
      <c r="H7951" s="1129"/>
      <c r="I7951" s="1127"/>
    </row>
    <row r="7952" spans="1:9" x14ac:dyDescent="0.2">
      <c r="A7952" s="997">
        <f t="shared" si="124"/>
        <v>7951</v>
      </c>
      <c r="B7952" s="1129" t="s">
        <v>2784</v>
      </c>
      <c r="C7952" s="1139"/>
      <c r="D7952" s="1129"/>
      <c r="E7952" s="1129"/>
      <c r="F7952" s="1129"/>
      <c r="G7952" s="1129"/>
      <c r="H7952" s="1129" t="s">
        <v>2788</v>
      </c>
      <c r="I7952" s="1127"/>
    </row>
    <row r="7953" spans="1:9" x14ac:dyDescent="0.2">
      <c r="A7953" s="997">
        <f t="shared" si="124"/>
        <v>7952</v>
      </c>
      <c r="B7953" s="1129" t="s">
        <v>2784</v>
      </c>
      <c r="C7953" s="1138"/>
      <c r="D7953" s="1129"/>
      <c r="E7953" s="1129"/>
      <c r="F7953" s="1129"/>
      <c r="G7953" s="1129"/>
      <c r="H7953" s="1129" t="str">
        <f>CONCATENATE("&lt;valeur&gt;",Cellule_13537_4,"&lt;/valeur&gt;")</f>
        <v>&lt;valeur&gt;&lt;/valeur&gt;</v>
      </c>
      <c r="I7953" s="1127"/>
    </row>
    <row r="7954" spans="1:9" x14ac:dyDescent="0.2">
      <c r="A7954" s="997">
        <f t="shared" si="124"/>
        <v>7953</v>
      </c>
      <c r="B7954" s="1129" t="s">
        <v>2784</v>
      </c>
      <c r="C7954" s="1138"/>
      <c r="D7954" s="1129"/>
      <c r="E7954" s="1129"/>
      <c r="F7954" s="1129"/>
      <c r="G7954" s="1129"/>
      <c r="H7954" s="1129" t="s">
        <v>2737</v>
      </c>
      <c r="I7954" s="1127"/>
    </row>
    <row r="7955" spans="1:9" x14ac:dyDescent="0.2">
      <c r="A7955" s="997">
        <f t="shared" si="124"/>
        <v>7954</v>
      </c>
      <c r="B7955" s="1129" t="s">
        <v>2784</v>
      </c>
      <c r="C7955" s="1139"/>
      <c r="D7955" s="1129"/>
      <c r="E7955" s="1129"/>
      <c r="F7955" s="1129"/>
      <c r="G7955" s="1129" t="s">
        <v>1109</v>
      </c>
      <c r="H7955" s="1129"/>
      <c r="I7955" s="1127"/>
    </row>
    <row r="7956" spans="1:9" x14ac:dyDescent="0.2">
      <c r="A7956" s="997">
        <f t="shared" si="124"/>
        <v>7955</v>
      </c>
      <c r="B7956" s="1129" t="s">
        <v>2784</v>
      </c>
      <c r="C7956" s="1140"/>
      <c r="D7956" s="1129"/>
      <c r="E7956" s="1129"/>
      <c r="F7956" s="1129"/>
      <c r="G7956" s="1129" t="s">
        <v>1106</v>
      </c>
      <c r="H7956" s="1129"/>
      <c r="I7956" s="1127"/>
    </row>
    <row r="7957" spans="1:9" x14ac:dyDescent="0.2">
      <c r="A7957" s="997">
        <f t="shared" si="124"/>
        <v>7956</v>
      </c>
      <c r="B7957" s="1129" t="s">
        <v>2784</v>
      </c>
      <c r="C7957" s="1139"/>
      <c r="D7957" s="1129"/>
      <c r="E7957" s="1129"/>
      <c r="F7957" s="1129"/>
      <c r="G7957" s="1129"/>
      <c r="H7957" s="1129" t="s">
        <v>2789</v>
      </c>
      <c r="I7957" s="1127"/>
    </row>
    <row r="7958" spans="1:9" x14ac:dyDescent="0.2">
      <c r="A7958" s="997">
        <f t="shared" si="124"/>
        <v>7957</v>
      </c>
      <c r="B7958" s="1129" t="s">
        <v>2784</v>
      </c>
      <c r="C7958" s="1139"/>
      <c r="D7958" s="1129"/>
      <c r="E7958" s="1129"/>
      <c r="F7958" s="1129"/>
      <c r="G7958" s="1129"/>
      <c r="H7958" s="1129" t="str">
        <f>CONCATENATE("&lt;valeur&gt;",Cellule_2095_4,"&lt;/valeur&gt;")</f>
        <v>&lt;valeur&gt;&lt;/valeur&gt;</v>
      </c>
      <c r="I7958" s="1127"/>
    </row>
    <row r="7959" spans="1:9" x14ac:dyDescent="0.2">
      <c r="A7959" s="997">
        <f t="shared" si="124"/>
        <v>7958</v>
      </c>
      <c r="B7959" s="1129" t="s">
        <v>2784</v>
      </c>
      <c r="C7959" s="1138"/>
      <c r="D7959" s="1129"/>
      <c r="E7959" s="1129"/>
      <c r="F7959" s="1129"/>
      <c r="G7959" s="1129"/>
      <c r="H7959" s="1129" t="s">
        <v>2737</v>
      </c>
      <c r="I7959" s="1127"/>
    </row>
    <row r="7960" spans="1:9" x14ac:dyDescent="0.2">
      <c r="A7960" s="997">
        <f t="shared" si="124"/>
        <v>7959</v>
      </c>
      <c r="B7960" s="1129" t="s">
        <v>2784</v>
      </c>
      <c r="C7960" s="1138"/>
      <c r="D7960" s="1129"/>
      <c r="E7960" s="1129"/>
      <c r="F7960" s="1129"/>
      <c r="G7960" s="1129" t="s">
        <v>1109</v>
      </c>
      <c r="H7960" s="1129"/>
      <c r="I7960" s="1127"/>
    </row>
    <row r="7961" spans="1:9" x14ac:dyDescent="0.2">
      <c r="A7961" s="997">
        <f t="shared" si="124"/>
        <v>7960</v>
      </c>
      <c r="B7961" s="1129" t="s">
        <v>2784</v>
      </c>
      <c r="C7961" s="1139"/>
      <c r="D7961" s="1129"/>
      <c r="E7961" s="1129"/>
      <c r="F7961" s="1129"/>
      <c r="G7961" s="1129" t="s">
        <v>1106</v>
      </c>
      <c r="H7961" s="1129"/>
      <c r="I7961" s="1127"/>
    </row>
    <row r="7962" spans="1:9" x14ac:dyDescent="0.2">
      <c r="A7962" s="997">
        <f t="shared" si="124"/>
        <v>7961</v>
      </c>
      <c r="B7962" s="1129" t="s">
        <v>2784</v>
      </c>
      <c r="C7962" s="1140"/>
      <c r="D7962" s="1129"/>
      <c r="E7962" s="1129"/>
      <c r="F7962" s="1129"/>
      <c r="G7962" s="1129"/>
      <c r="H7962" s="1129" t="s">
        <v>2790</v>
      </c>
      <c r="I7962" s="1127"/>
    </row>
    <row r="7963" spans="1:9" x14ac:dyDescent="0.2">
      <c r="A7963" s="997">
        <f t="shared" si="124"/>
        <v>7962</v>
      </c>
      <c r="B7963" s="1129" t="s">
        <v>2784</v>
      </c>
      <c r="C7963" s="1139"/>
      <c r="D7963" s="1129"/>
      <c r="E7963" s="1129"/>
      <c r="F7963" s="1129"/>
      <c r="G7963" s="1129"/>
      <c r="H7963" s="1129" t="str">
        <f>CONCATENATE("&lt;valeur&gt;",Cellule_2096_4,"&lt;/valeur&gt;")</f>
        <v>&lt;valeur&gt;&lt;/valeur&gt;</v>
      </c>
      <c r="I7963" s="1127"/>
    </row>
    <row r="7964" spans="1:9" x14ac:dyDescent="0.2">
      <c r="A7964" s="997">
        <f t="shared" si="124"/>
        <v>7963</v>
      </c>
      <c r="B7964" s="1129" t="s">
        <v>2784</v>
      </c>
      <c r="C7964" s="1139"/>
      <c r="D7964" s="1129"/>
      <c r="E7964" s="1129"/>
      <c r="F7964" s="1129"/>
      <c r="G7964" s="1129"/>
      <c r="H7964" s="1129" t="s">
        <v>2737</v>
      </c>
      <c r="I7964" s="1127"/>
    </row>
    <row r="7965" spans="1:9" x14ac:dyDescent="0.2">
      <c r="A7965" s="997">
        <f t="shared" si="124"/>
        <v>7964</v>
      </c>
      <c r="B7965" s="1129" t="s">
        <v>2784</v>
      </c>
      <c r="C7965" s="1138"/>
      <c r="D7965" s="1129"/>
      <c r="E7965" s="1129"/>
      <c r="F7965" s="1129"/>
      <c r="G7965" s="1129" t="s">
        <v>1109</v>
      </c>
      <c r="H7965" s="1129"/>
      <c r="I7965" s="1127"/>
    </row>
    <row r="7966" spans="1:9" x14ac:dyDescent="0.2">
      <c r="A7966" s="997">
        <f t="shared" si="124"/>
        <v>7965</v>
      </c>
      <c r="B7966" s="1129" t="s">
        <v>2784</v>
      </c>
      <c r="C7966" s="1138"/>
      <c r="D7966" s="1129"/>
      <c r="E7966" s="1129"/>
      <c r="F7966" s="1129"/>
      <c r="G7966" s="1129" t="s">
        <v>1106</v>
      </c>
      <c r="H7966" s="1129"/>
      <c r="I7966" s="1127"/>
    </row>
    <row r="7967" spans="1:9" x14ac:dyDescent="0.2">
      <c r="A7967" s="997">
        <f t="shared" si="124"/>
        <v>7966</v>
      </c>
      <c r="B7967" s="1129" t="s">
        <v>2784</v>
      </c>
      <c r="C7967" s="1139"/>
      <c r="D7967" s="1129"/>
      <c r="E7967" s="1129"/>
      <c r="F7967" s="1129"/>
      <c r="G7967" s="1129"/>
      <c r="H7967" s="1129" t="s">
        <v>2791</v>
      </c>
      <c r="I7967" s="1127"/>
    </row>
    <row r="7968" spans="1:9" x14ac:dyDescent="0.2">
      <c r="A7968" s="997">
        <f t="shared" si="124"/>
        <v>7967</v>
      </c>
      <c r="B7968" s="1129" t="s">
        <v>2784</v>
      </c>
      <c r="C7968" s="1140"/>
      <c r="D7968" s="1129"/>
      <c r="E7968" s="1129"/>
      <c r="F7968" s="1129"/>
      <c r="G7968" s="1129"/>
      <c r="H7968" s="1129" t="str">
        <f>CONCATENATE("&lt;valeur&gt;",Cellule_2097_4,"&lt;/valeur&gt;")</f>
        <v>&lt;valeur&gt;&lt;/valeur&gt;</v>
      </c>
      <c r="I7968" s="1127"/>
    </row>
    <row r="7969" spans="1:9" x14ac:dyDescent="0.2">
      <c r="A7969" s="997">
        <f t="shared" si="124"/>
        <v>7968</v>
      </c>
      <c r="B7969" s="1129" t="s">
        <v>2784</v>
      </c>
      <c r="C7969" s="1139"/>
      <c r="D7969" s="1129"/>
      <c r="E7969" s="1129"/>
      <c r="F7969" s="1129"/>
      <c r="G7969" s="1129"/>
      <c r="H7969" s="1129" t="s">
        <v>2737</v>
      </c>
      <c r="I7969" s="1127"/>
    </row>
    <row r="7970" spans="1:9" x14ac:dyDescent="0.2">
      <c r="A7970" s="997">
        <f t="shared" si="124"/>
        <v>7969</v>
      </c>
      <c r="B7970" s="1129" t="s">
        <v>2784</v>
      </c>
      <c r="C7970" s="1139"/>
      <c r="D7970" s="1129"/>
      <c r="E7970" s="1129"/>
      <c r="F7970" s="1129"/>
      <c r="G7970" s="1129" t="s">
        <v>1109</v>
      </c>
      <c r="H7970" s="1129"/>
      <c r="I7970" s="1127"/>
    </row>
    <row r="7971" spans="1:9" x14ac:dyDescent="0.2">
      <c r="A7971" s="997">
        <f t="shared" si="124"/>
        <v>7970</v>
      </c>
      <c r="B7971" s="1129" t="s">
        <v>2784</v>
      </c>
      <c r="C7971" s="1138"/>
      <c r="D7971" s="1129"/>
      <c r="E7971" s="1129"/>
      <c r="F7971" s="1129"/>
      <c r="G7971" s="1129" t="s">
        <v>1106</v>
      </c>
      <c r="H7971" s="1129"/>
      <c r="I7971" s="1127"/>
    </row>
    <row r="7972" spans="1:9" x14ac:dyDescent="0.2">
      <c r="A7972" s="997">
        <f t="shared" si="124"/>
        <v>7971</v>
      </c>
      <c r="B7972" s="1129" t="s">
        <v>2784</v>
      </c>
      <c r="C7972" s="1138"/>
      <c r="D7972" s="1129"/>
      <c r="E7972" s="1129"/>
      <c r="F7972" s="1129"/>
      <c r="G7972" s="1129"/>
      <c r="H7972" s="1129" t="s">
        <v>2792</v>
      </c>
      <c r="I7972" s="1127"/>
    </row>
    <row r="7973" spans="1:9" x14ac:dyDescent="0.2">
      <c r="A7973" s="997">
        <f t="shared" si="124"/>
        <v>7972</v>
      </c>
      <c r="B7973" s="1129" t="s">
        <v>2784</v>
      </c>
      <c r="C7973" s="1139"/>
      <c r="D7973" s="1129"/>
      <c r="E7973" s="1129"/>
      <c r="F7973" s="1129"/>
      <c r="G7973" s="1129"/>
      <c r="H7973" s="1129" t="str">
        <f>CONCATENATE("&lt;valeur&gt;",Cellule_2098_4,"&lt;/valeur&gt;")</f>
        <v>&lt;valeur&gt;&lt;/valeur&gt;</v>
      </c>
      <c r="I7973" s="1127"/>
    </row>
    <row r="7974" spans="1:9" x14ac:dyDescent="0.2">
      <c r="A7974" s="997">
        <f t="shared" si="124"/>
        <v>7973</v>
      </c>
      <c r="B7974" s="1129" t="s">
        <v>2784</v>
      </c>
      <c r="C7974" s="1140"/>
      <c r="D7974" s="1129"/>
      <c r="E7974" s="1129"/>
      <c r="F7974" s="1129"/>
      <c r="G7974" s="1129"/>
      <c r="H7974" s="1129" t="s">
        <v>2737</v>
      </c>
      <c r="I7974" s="1127"/>
    </row>
    <row r="7975" spans="1:9" x14ac:dyDescent="0.2">
      <c r="A7975" s="997">
        <f t="shared" si="124"/>
        <v>7974</v>
      </c>
      <c r="B7975" s="1129" t="s">
        <v>2784</v>
      </c>
      <c r="C7975" s="1139"/>
      <c r="D7975" s="1129"/>
      <c r="E7975" s="1129"/>
      <c r="F7975" s="1129"/>
      <c r="G7975" s="1129" t="s">
        <v>1109</v>
      </c>
      <c r="H7975" s="1129"/>
      <c r="I7975" s="1127"/>
    </row>
    <row r="7976" spans="1:9" x14ac:dyDescent="0.2">
      <c r="A7976" s="997">
        <f t="shared" si="124"/>
        <v>7975</v>
      </c>
      <c r="B7976" s="1129" t="s">
        <v>2784</v>
      </c>
      <c r="C7976" s="1139"/>
      <c r="D7976" s="1129"/>
      <c r="E7976" s="1129"/>
      <c r="F7976" s="1129"/>
      <c r="G7976" s="1129" t="s">
        <v>1106</v>
      </c>
      <c r="H7976" s="1129"/>
      <c r="I7976" s="1127"/>
    </row>
    <row r="7977" spans="1:9" x14ac:dyDescent="0.2">
      <c r="A7977" s="997">
        <f t="shared" si="124"/>
        <v>7976</v>
      </c>
      <c r="B7977" s="1129" t="s">
        <v>2784</v>
      </c>
      <c r="C7977" s="1138"/>
      <c r="D7977" s="1129"/>
      <c r="E7977" s="1129"/>
      <c r="F7977" s="1129"/>
      <c r="G7977" s="1129"/>
      <c r="H7977" s="1129" t="s">
        <v>2793</v>
      </c>
      <c r="I7977" s="1127"/>
    </row>
    <row r="7978" spans="1:9" x14ac:dyDescent="0.2">
      <c r="A7978" s="997">
        <f t="shared" si="124"/>
        <v>7977</v>
      </c>
      <c r="B7978" s="1129" t="s">
        <v>2784</v>
      </c>
      <c r="C7978" s="1138"/>
      <c r="D7978" s="1129"/>
      <c r="E7978" s="1129"/>
      <c r="F7978" s="1129"/>
      <c r="G7978" s="1129"/>
      <c r="H7978" s="1129" t="str">
        <f>CONCATENATE("&lt;valeur&gt;",Cellule_2099_4,"&lt;/valeur&gt;")</f>
        <v>&lt;valeur&gt;0&lt;/valeur&gt;</v>
      </c>
      <c r="I7978" s="1127"/>
    </row>
    <row r="7979" spans="1:9" x14ac:dyDescent="0.2">
      <c r="A7979" s="997">
        <f t="shared" si="124"/>
        <v>7978</v>
      </c>
      <c r="B7979" s="1129" t="s">
        <v>2784</v>
      </c>
      <c r="C7979" s="1139"/>
      <c r="D7979" s="1129"/>
      <c r="E7979" s="1129"/>
      <c r="F7979" s="1129"/>
      <c r="G7979" s="1129"/>
      <c r="H7979" s="1129" t="s">
        <v>2737</v>
      </c>
      <c r="I7979" s="1127"/>
    </row>
    <row r="7980" spans="1:9" x14ac:dyDescent="0.2">
      <c r="A7980" s="997">
        <f t="shared" si="124"/>
        <v>7979</v>
      </c>
      <c r="B7980" s="1129" t="s">
        <v>2784</v>
      </c>
      <c r="C7980" s="1140"/>
      <c r="D7980" s="1129"/>
      <c r="E7980" s="1129"/>
      <c r="F7980" s="1129"/>
      <c r="G7980" s="1129" t="s">
        <v>1109</v>
      </c>
      <c r="H7980" s="1129"/>
      <c r="I7980" s="1127"/>
    </row>
    <row r="7981" spans="1:9" x14ac:dyDescent="0.2">
      <c r="A7981" s="997">
        <f t="shared" si="124"/>
        <v>7980</v>
      </c>
      <c r="B7981" s="1129" t="s">
        <v>2784</v>
      </c>
      <c r="C7981" s="1139"/>
      <c r="D7981" s="1129"/>
      <c r="E7981" s="1129"/>
      <c r="F7981" s="1129"/>
      <c r="G7981" s="1129" t="s">
        <v>1106</v>
      </c>
      <c r="H7981" s="1129"/>
      <c r="I7981" s="1127"/>
    </row>
    <row r="7982" spans="1:9" x14ac:dyDescent="0.2">
      <c r="A7982" s="997">
        <f t="shared" si="124"/>
        <v>7981</v>
      </c>
      <c r="B7982" s="1129" t="s">
        <v>2784</v>
      </c>
      <c r="C7982" s="1138"/>
      <c r="D7982" s="1129"/>
      <c r="E7982" s="1129"/>
      <c r="F7982" s="1129"/>
      <c r="G7982" s="1129"/>
      <c r="H7982" s="1129" t="s">
        <v>2794</v>
      </c>
      <c r="I7982" s="1127"/>
    </row>
    <row r="7983" spans="1:9" x14ac:dyDescent="0.2">
      <c r="A7983" s="997">
        <f t="shared" si="124"/>
        <v>7982</v>
      </c>
      <c r="B7983" s="1129" t="s">
        <v>2784</v>
      </c>
      <c r="C7983" s="1138"/>
      <c r="D7983" s="1129"/>
      <c r="E7983" s="1129"/>
      <c r="F7983" s="1129"/>
      <c r="G7983" s="1129"/>
      <c r="H7983" s="1129" t="str">
        <f>CONCATENATE("&lt;valeur&gt;",Cellule_2100_4,"&lt;/valeur&gt;")</f>
        <v>&lt;valeur&gt;0&lt;/valeur&gt;</v>
      </c>
      <c r="I7983" s="1127"/>
    </row>
    <row r="7984" spans="1:9" x14ac:dyDescent="0.2">
      <c r="A7984" s="997">
        <f t="shared" si="124"/>
        <v>7983</v>
      </c>
      <c r="B7984" s="1129" t="s">
        <v>2784</v>
      </c>
      <c r="C7984" s="1139"/>
      <c r="D7984" s="1129"/>
      <c r="E7984" s="1129"/>
      <c r="F7984" s="1129"/>
      <c r="G7984" s="1129"/>
      <c r="H7984" s="1129" t="s">
        <v>2737</v>
      </c>
      <c r="I7984" s="1127"/>
    </row>
    <row r="7985" spans="1:9" x14ac:dyDescent="0.2">
      <c r="A7985" s="997">
        <f t="shared" si="124"/>
        <v>7984</v>
      </c>
      <c r="B7985" s="1129" t="s">
        <v>2784</v>
      </c>
      <c r="C7985" s="1140"/>
      <c r="D7985" s="1129"/>
      <c r="E7985" s="1129"/>
      <c r="F7985" s="1129"/>
      <c r="G7985" s="1129" t="s">
        <v>1109</v>
      </c>
      <c r="H7985" s="1129"/>
      <c r="I7985" s="1127"/>
    </row>
    <row r="7986" spans="1:9" x14ac:dyDescent="0.2">
      <c r="A7986" s="997">
        <f t="shared" si="124"/>
        <v>7985</v>
      </c>
      <c r="B7986" s="1129" t="s">
        <v>2784</v>
      </c>
      <c r="C7986" s="1139"/>
      <c r="D7986" s="1129"/>
      <c r="E7986" s="1129"/>
      <c r="F7986" s="1129"/>
      <c r="G7986" s="1129" t="s">
        <v>1106</v>
      </c>
      <c r="H7986" s="1129"/>
      <c r="I7986" s="1127"/>
    </row>
    <row r="7987" spans="1:9" x14ac:dyDescent="0.2">
      <c r="A7987" s="997">
        <f t="shared" si="124"/>
        <v>7986</v>
      </c>
      <c r="B7987" s="1129" t="s">
        <v>2784</v>
      </c>
      <c r="C7987" s="1138"/>
      <c r="D7987" s="1129"/>
      <c r="E7987" s="1129"/>
      <c r="F7987" s="1129"/>
      <c r="G7987" s="1129"/>
      <c r="H7987" s="1129" t="s">
        <v>2795</v>
      </c>
      <c r="I7987" s="1127"/>
    </row>
    <row r="7988" spans="1:9" x14ac:dyDescent="0.2">
      <c r="A7988" s="997">
        <f t="shared" si="124"/>
        <v>7987</v>
      </c>
      <c r="B7988" s="1129" t="s">
        <v>2784</v>
      </c>
      <c r="C7988" s="1138"/>
      <c r="D7988" s="1129"/>
      <c r="E7988" s="1129"/>
      <c r="F7988" s="1129"/>
      <c r="G7988" s="1129"/>
      <c r="H7988" s="1129" t="str">
        <f>CONCATENATE("&lt;valeur&gt;",Cellule_2101_4,"&lt;/valeur&gt;")</f>
        <v>&lt;valeur&gt;0&lt;/valeur&gt;</v>
      </c>
      <c r="I7988" s="1127"/>
    </row>
    <row r="7989" spans="1:9" x14ac:dyDescent="0.2">
      <c r="A7989" s="997">
        <f t="shared" si="124"/>
        <v>7988</v>
      </c>
      <c r="B7989" s="1129" t="s">
        <v>2784</v>
      </c>
      <c r="C7989" s="1139"/>
      <c r="D7989" s="1129"/>
      <c r="E7989" s="1129"/>
      <c r="F7989" s="1129"/>
      <c r="G7989" s="1129"/>
      <c r="H7989" s="1129" t="s">
        <v>2737</v>
      </c>
      <c r="I7989" s="1127"/>
    </row>
    <row r="7990" spans="1:9" x14ac:dyDescent="0.2">
      <c r="A7990" s="997">
        <f t="shared" si="124"/>
        <v>7989</v>
      </c>
      <c r="B7990" s="1130" t="s">
        <v>2784</v>
      </c>
      <c r="C7990" s="1141"/>
      <c r="D7990" s="1130"/>
      <c r="E7990" s="1130"/>
      <c r="F7990" s="1130"/>
      <c r="G7990" s="1130" t="s">
        <v>1109</v>
      </c>
      <c r="H7990" s="1130"/>
      <c r="I7990" s="1142"/>
    </row>
    <row r="7991" spans="1:9" x14ac:dyDescent="0.2">
      <c r="A7991" s="997">
        <f t="shared" si="124"/>
        <v>7990</v>
      </c>
      <c r="B7991" s="1128" t="s">
        <v>2784</v>
      </c>
      <c r="C7991" s="1137"/>
      <c r="D7991" s="1128"/>
      <c r="E7991" s="1128"/>
      <c r="F7991" s="1128"/>
      <c r="G7991" s="1128" t="s">
        <v>1106</v>
      </c>
      <c r="H7991" s="1128"/>
      <c r="I7991" s="1124"/>
    </row>
    <row r="7992" spans="1:9" x14ac:dyDescent="0.2">
      <c r="A7992" s="997">
        <f t="shared" si="124"/>
        <v>7991</v>
      </c>
      <c r="B7992" s="1129" t="s">
        <v>2784</v>
      </c>
      <c r="C7992" s="1138"/>
      <c r="D7992" s="1129"/>
      <c r="E7992" s="1129"/>
      <c r="F7992" s="1129"/>
      <c r="G7992" s="1129"/>
      <c r="H7992" s="1129" t="s">
        <v>2786</v>
      </c>
      <c r="I7992" s="1127"/>
    </row>
    <row r="7993" spans="1:9" x14ac:dyDescent="0.2">
      <c r="A7993" s="997">
        <f t="shared" si="124"/>
        <v>7992</v>
      </c>
      <c r="B7993" s="1129" t="s">
        <v>2784</v>
      </c>
      <c r="C7993" s="1139"/>
      <c r="D7993" s="1129"/>
      <c r="E7993" s="1129"/>
      <c r="F7993" s="1129"/>
      <c r="G7993" s="1129"/>
      <c r="H7993" s="1129" t="str">
        <f>CONCATENATE("&lt;valeur&gt;",Cellule_2094_5,"&lt;/valeur&gt;")</f>
        <v>&lt;valeur&gt;&lt;/valeur&gt;</v>
      </c>
      <c r="I7993" s="1127"/>
    </row>
    <row r="7994" spans="1:9" x14ac:dyDescent="0.2">
      <c r="A7994" s="997">
        <f t="shared" si="124"/>
        <v>7993</v>
      </c>
      <c r="B7994" s="1129" t="s">
        <v>2784</v>
      </c>
      <c r="C7994" s="1140"/>
      <c r="D7994" s="1129"/>
      <c r="E7994" s="1129"/>
      <c r="F7994" s="1129"/>
      <c r="G7994" s="1129"/>
      <c r="H7994" s="1129" t="s">
        <v>2738</v>
      </c>
      <c r="I7994" s="1127"/>
    </row>
    <row r="7995" spans="1:9" x14ac:dyDescent="0.2">
      <c r="A7995" s="997">
        <f t="shared" si="124"/>
        <v>7994</v>
      </c>
      <c r="B7995" s="1129" t="s">
        <v>2784</v>
      </c>
      <c r="C7995" s="1139"/>
      <c r="D7995" s="1129"/>
      <c r="E7995" s="1129"/>
      <c r="F7995" s="1129"/>
      <c r="G7995" s="1129" t="s">
        <v>1109</v>
      </c>
      <c r="H7995" s="1129"/>
      <c r="I7995" s="1127"/>
    </row>
    <row r="7996" spans="1:9" x14ac:dyDescent="0.2">
      <c r="A7996" s="997">
        <f t="shared" si="124"/>
        <v>7995</v>
      </c>
      <c r="B7996" s="1129" t="s">
        <v>2784</v>
      </c>
      <c r="C7996" s="1139"/>
      <c r="D7996" s="1129"/>
      <c r="E7996" s="1129"/>
      <c r="F7996" s="1129"/>
      <c r="G7996" s="1129" t="s">
        <v>1106</v>
      </c>
      <c r="H7996" s="1129"/>
      <c r="I7996" s="1127"/>
    </row>
    <row r="7997" spans="1:9" x14ac:dyDescent="0.2">
      <c r="A7997" s="997">
        <f t="shared" si="124"/>
        <v>7996</v>
      </c>
      <c r="B7997" s="1129" t="s">
        <v>2784</v>
      </c>
      <c r="C7997" s="1138"/>
      <c r="D7997" s="1129"/>
      <c r="E7997" s="1129"/>
      <c r="F7997" s="1129"/>
      <c r="G7997" s="1129"/>
      <c r="H7997" s="1129" t="s">
        <v>2787</v>
      </c>
      <c r="I7997" s="1127"/>
    </row>
    <row r="7998" spans="1:9" x14ac:dyDescent="0.2">
      <c r="A7998" s="997">
        <f t="shared" si="124"/>
        <v>7997</v>
      </c>
      <c r="B7998" s="1129" t="s">
        <v>2784</v>
      </c>
      <c r="C7998" s="1138"/>
      <c r="D7998" s="1129"/>
      <c r="E7998" s="1129"/>
      <c r="F7998" s="1129"/>
      <c r="G7998" s="1129"/>
      <c r="H7998" s="1129" t="str">
        <f>CONCATENATE("&lt;valeur&gt;",Cellule_13536_5,"&lt;/valeur&gt;")</f>
        <v>&lt;valeur&gt;&lt;/valeur&gt;</v>
      </c>
      <c r="I7998" s="1127"/>
    </row>
    <row r="7999" spans="1:9" x14ac:dyDescent="0.2">
      <c r="A7999" s="997">
        <f t="shared" si="124"/>
        <v>7998</v>
      </c>
      <c r="B7999" s="1129" t="s">
        <v>2784</v>
      </c>
      <c r="C7999" s="1139"/>
      <c r="D7999" s="1129"/>
      <c r="E7999" s="1129"/>
      <c r="F7999" s="1129"/>
      <c r="G7999" s="1129"/>
      <c r="H7999" s="1129" t="s">
        <v>2738</v>
      </c>
      <c r="I7999" s="1127"/>
    </row>
    <row r="8000" spans="1:9" x14ac:dyDescent="0.2">
      <c r="A8000" s="997">
        <f t="shared" si="124"/>
        <v>7999</v>
      </c>
      <c r="B8000" s="1129" t="s">
        <v>2784</v>
      </c>
      <c r="C8000" s="1140"/>
      <c r="D8000" s="1129"/>
      <c r="E8000" s="1129"/>
      <c r="F8000" s="1129"/>
      <c r="G8000" s="1129" t="s">
        <v>1109</v>
      </c>
      <c r="H8000" s="1129"/>
      <c r="I8000" s="1127"/>
    </row>
    <row r="8001" spans="1:9" x14ac:dyDescent="0.2">
      <c r="A8001" s="997">
        <f t="shared" si="124"/>
        <v>8000</v>
      </c>
      <c r="B8001" s="1129" t="s">
        <v>2784</v>
      </c>
      <c r="C8001" s="1139"/>
      <c r="D8001" s="1129"/>
      <c r="E8001" s="1129"/>
      <c r="F8001" s="1129"/>
      <c r="G8001" s="1129" t="s">
        <v>1106</v>
      </c>
      <c r="H8001" s="1129"/>
      <c r="I8001" s="1127"/>
    </row>
    <row r="8002" spans="1:9" x14ac:dyDescent="0.2">
      <c r="A8002" s="997">
        <f t="shared" si="124"/>
        <v>8001</v>
      </c>
      <c r="B8002" s="1129" t="s">
        <v>2784</v>
      </c>
      <c r="C8002" s="1139"/>
      <c r="D8002" s="1129"/>
      <c r="E8002" s="1129"/>
      <c r="F8002" s="1129"/>
      <c r="G8002" s="1129"/>
      <c r="H8002" s="1129" t="s">
        <v>2788</v>
      </c>
      <c r="I8002" s="1127"/>
    </row>
    <row r="8003" spans="1:9" x14ac:dyDescent="0.2">
      <c r="A8003" s="997">
        <f t="shared" si="124"/>
        <v>8002</v>
      </c>
      <c r="B8003" s="1129" t="s">
        <v>2784</v>
      </c>
      <c r="C8003" s="1138"/>
      <c r="D8003" s="1129"/>
      <c r="E8003" s="1129"/>
      <c r="F8003" s="1129"/>
      <c r="G8003" s="1129"/>
      <c r="H8003" s="1129" t="str">
        <f>CONCATENATE("&lt;valeur&gt;",Cellule_13537_5,"&lt;/valeur&gt;")</f>
        <v>&lt;valeur&gt;&lt;/valeur&gt;</v>
      </c>
      <c r="I8003" s="1127"/>
    </row>
    <row r="8004" spans="1:9" x14ac:dyDescent="0.2">
      <c r="A8004" s="997">
        <f t="shared" ref="A8004:A8067" si="125">+A8003+1</f>
        <v>8003</v>
      </c>
      <c r="B8004" s="1129" t="s">
        <v>2784</v>
      </c>
      <c r="C8004" s="1138"/>
      <c r="D8004" s="1129"/>
      <c r="E8004" s="1129"/>
      <c r="F8004" s="1129"/>
      <c r="G8004" s="1129"/>
      <c r="H8004" s="1129" t="s">
        <v>2738</v>
      </c>
      <c r="I8004" s="1127"/>
    </row>
    <row r="8005" spans="1:9" x14ac:dyDescent="0.2">
      <c r="A8005" s="997">
        <f t="shared" si="125"/>
        <v>8004</v>
      </c>
      <c r="B8005" s="1129" t="s">
        <v>2784</v>
      </c>
      <c r="C8005" s="1139"/>
      <c r="D8005" s="1129"/>
      <c r="E8005" s="1129"/>
      <c r="F8005" s="1129"/>
      <c r="G8005" s="1129" t="s">
        <v>1109</v>
      </c>
      <c r="H8005" s="1129"/>
      <c r="I8005" s="1127"/>
    </row>
    <row r="8006" spans="1:9" x14ac:dyDescent="0.2">
      <c r="A8006" s="997">
        <f t="shared" si="125"/>
        <v>8005</v>
      </c>
      <c r="B8006" s="1129" t="s">
        <v>2784</v>
      </c>
      <c r="C8006" s="1140"/>
      <c r="D8006" s="1129"/>
      <c r="E8006" s="1129"/>
      <c r="F8006" s="1129"/>
      <c r="G8006" s="1129" t="s">
        <v>1106</v>
      </c>
      <c r="H8006" s="1129"/>
      <c r="I8006" s="1127"/>
    </row>
    <row r="8007" spans="1:9" x14ac:dyDescent="0.2">
      <c r="A8007" s="997">
        <f t="shared" si="125"/>
        <v>8006</v>
      </c>
      <c r="B8007" s="1129" t="s">
        <v>2784</v>
      </c>
      <c r="C8007" s="1139"/>
      <c r="D8007" s="1129"/>
      <c r="E8007" s="1129"/>
      <c r="F8007" s="1129"/>
      <c r="G8007" s="1129"/>
      <c r="H8007" s="1129" t="s">
        <v>2789</v>
      </c>
      <c r="I8007" s="1127"/>
    </row>
    <row r="8008" spans="1:9" x14ac:dyDescent="0.2">
      <c r="A8008" s="997">
        <f t="shared" si="125"/>
        <v>8007</v>
      </c>
      <c r="B8008" s="1129" t="s">
        <v>2784</v>
      </c>
      <c r="C8008" s="1139"/>
      <c r="D8008" s="1129"/>
      <c r="E8008" s="1129"/>
      <c r="F8008" s="1129"/>
      <c r="G8008" s="1129"/>
      <c r="H8008" s="1129" t="str">
        <f>CONCATENATE("&lt;valeur&gt;",Cellule_2095_5,"&lt;/valeur&gt;")</f>
        <v>&lt;valeur&gt;&lt;/valeur&gt;</v>
      </c>
      <c r="I8008" s="1127"/>
    </row>
    <row r="8009" spans="1:9" x14ac:dyDescent="0.2">
      <c r="A8009" s="997">
        <f t="shared" si="125"/>
        <v>8008</v>
      </c>
      <c r="B8009" s="1129" t="s">
        <v>2784</v>
      </c>
      <c r="C8009" s="1138"/>
      <c r="D8009" s="1129"/>
      <c r="E8009" s="1129"/>
      <c r="F8009" s="1129"/>
      <c r="G8009" s="1129"/>
      <c r="H8009" s="1129" t="s">
        <v>2738</v>
      </c>
      <c r="I8009" s="1127"/>
    </row>
    <row r="8010" spans="1:9" x14ac:dyDescent="0.2">
      <c r="A8010" s="997">
        <f t="shared" si="125"/>
        <v>8009</v>
      </c>
      <c r="B8010" s="1129" t="s">
        <v>2784</v>
      </c>
      <c r="C8010" s="1138"/>
      <c r="D8010" s="1129"/>
      <c r="E8010" s="1129"/>
      <c r="F8010" s="1129"/>
      <c r="G8010" s="1129" t="s">
        <v>1109</v>
      </c>
      <c r="H8010" s="1129"/>
      <c r="I8010" s="1127"/>
    </row>
    <row r="8011" spans="1:9" x14ac:dyDescent="0.2">
      <c r="A8011" s="997">
        <f t="shared" si="125"/>
        <v>8010</v>
      </c>
      <c r="B8011" s="1129" t="s">
        <v>2784</v>
      </c>
      <c r="C8011" s="1139"/>
      <c r="D8011" s="1129"/>
      <c r="E8011" s="1129"/>
      <c r="F8011" s="1129"/>
      <c r="G8011" s="1129" t="s">
        <v>1106</v>
      </c>
      <c r="H8011" s="1129"/>
      <c r="I8011" s="1127"/>
    </row>
    <row r="8012" spans="1:9" x14ac:dyDescent="0.2">
      <c r="A8012" s="997">
        <f t="shared" si="125"/>
        <v>8011</v>
      </c>
      <c r="B8012" s="1129" t="s">
        <v>2784</v>
      </c>
      <c r="C8012" s="1140"/>
      <c r="D8012" s="1129"/>
      <c r="E8012" s="1129"/>
      <c r="F8012" s="1129"/>
      <c r="G8012" s="1129"/>
      <c r="H8012" s="1129" t="s">
        <v>2790</v>
      </c>
      <c r="I8012" s="1127"/>
    </row>
    <row r="8013" spans="1:9" x14ac:dyDescent="0.2">
      <c r="A8013" s="997">
        <f t="shared" si="125"/>
        <v>8012</v>
      </c>
      <c r="B8013" s="1129" t="s">
        <v>2784</v>
      </c>
      <c r="C8013" s="1139"/>
      <c r="D8013" s="1129"/>
      <c r="E8013" s="1129"/>
      <c r="F8013" s="1129"/>
      <c r="G8013" s="1129"/>
      <c r="H8013" s="1129" t="str">
        <f>CONCATENATE("&lt;valeur&gt;",Cellule_2096_5,"&lt;/valeur&gt;")</f>
        <v>&lt;valeur&gt;&lt;/valeur&gt;</v>
      </c>
      <c r="I8013" s="1127"/>
    </row>
    <row r="8014" spans="1:9" x14ac:dyDescent="0.2">
      <c r="A8014" s="997">
        <f t="shared" si="125"/>
        <v>8013</v>
      </c>
      <c r="B8014" s="1129" t="s">
        <v>2784</v>
      </c>
      <c r="C8014" s="1139"/>
      <c r="D8014" s="1129"/>
      <c r="E8014" s="1129"/>
      <c r="F8014" s="1129"/>
      <c r="G8014" s="1129"/>
      <c r="H8014" s="1129" t="s">
        <v>2738</v>
      </c>
      <c r="I8014" s="1127"/>
    </row>
    <row r="8015" spans="1:9" x14ac:dyDescent="0.2">
      <c r="A8015" s="997">
        <f t="shared" si="125"/>
        <v>8014</v>
      </c>
      <c r="B8015" s="1129" t="s">
        <v>2784</v>
      </c>
      <c r="C8015" s="1138"/>
      <c r="D8015" s="1129"/>
      <c r="E8015" s="1129"/>
      <c r="F8015" s="1129"/>
      <c r="G8015" s="1129" t="s">
        <v>1109</v>
      </c>
      <c r="H8015" s="1129"/>
      <c r="I8015" s="1127"/>
    </row>
    <row r="8016" spans="1:9" x14ac:dyDescent="0.2">
      <c r="A8016" s="997">
        <f t="shared" si="125"/>
        <v>8015</v>
      </c>
      <c r="B8016" s="1129" t="s">
        <v>2784</v>
      </c>
      <c r="C8016" s="1138"/>
      <c r="D8016" s="1129"/>
      <c r="E8016" s="1129"/>
      <c r="F8016" s="1129"/>
      <c r="G8016" s="1129" t="s">
        <v>1106</v>
      </c>
      <c r="H8016" s="1129"/>
      <c r="I8016" s="1127"/>
    </row>
    <row r="8017" spans="1:9" x14ac:dyDescent="0.2">
      <c r="A8017" s="997">
        <f t="shared" si="125"/>
        <v>8016</v>
      </c>
      <c r="B8017" s="1129" t="s">
        <v>2784</v>
      </c>
      <c r="C8017" s="1139"/>
      <c r="D8017" s="1129"/>
      <c r="E8017" s="1129"/>
      <c r="F8017" s="1129"/>
      <c r="G8017" s="1129"/>
      <c r="H8017" s="1129" t="s">
        <v>2791</v>
      </c>
      <c r="I8017" s="1127"/>
    </row>
    <row r="8018" spans="1:9" x14ac:dyDescent="0.2">
      <c r="A8018" s="997">
        <f t="shared" si="125"/>
        <v>8017</v>
      </c>
      <c r="B8018" s="1129" t="s">
        <v>2784</v>
      </c>
      <c r="C8018" s="1140"/>
      <c r="D8018" s="1129"/>
      <c r="E8018" s="1129"/>
      <c r="F8018" s="1129"/>
      <c r="G8018" s="1129"/>
      <c r="H8018" s="1129" t="str">
        <f>CONCATENATE("&lt;valeur&gt;",Cellule_2097_5,"&lt;/valeur&gt;")</f>
        <v>&lt;valeur&gt;&lt;/valeur&gt;</v>
      </c>
      <c r="I8018" s="1127"/>
    </row>
    <row r="8019" spans="1:9" x14ac:dyDescent="0.2">
      <c r="A8019" s="997">
        <f t="shared" si="125"/>
        <v>8018</v>
      </c>
      <c r="B8019" s="1129" t="s">
        <v>2784</v>
      </c>
      <c r="C8019" s="1139"/>
      <c r="D8019" s="1129"/>
      <c r="E8019" s="1129"/>
      <c r="F8019" s="1129"/>
      <c r="G8019" s="1129"/>
      <c r="H8019" s="1129" t="s">
        <v>2738</v>
      </c>
      <c r="I8019" s="1127"/>
    </row>
    <row r="8020" spans="1:9" x14ac:dyDescent="0.2">
      <c r="A8020" s="997">
        <f t="shared" si="125"/>
        <v>8019</v>
      </c>
      <c r="B8020" s="1129" t="s">
        <v>2784</v>
      </c>
      <c r="C8020" s="1139"/>
      <c r="D8020" s="1129"/>
      <c r="E8020" s="1129"/>
      <c r="F8020" s="1129"/>
      <c r="G8020" s="1129" t="s">
        <v>1109</v>
      </c>
      <c r="H8020" s="1129"/>
      <c r="I8020" s="1127"/>
    </row>
    <row r="8021" spans="1:9" x14ac:dyDescent="0.2">
      <c r="A8021" s="997">
        <f t="shared" si="125"/>
        <v>8020</v>
      </c>
      <c r="B8021" s="1129" t="s">
        <v>2784</v>
      </c>
      <c r="C8021" s="1138"/>
      <c r="D8021" s="1129"/>
      <c r="E8021" s="1129"/>
      <c r="F8021" s="1129"/>
      <c r="G8021" s="1129" t="s">
        <v>1106</v>
      </c>
      <c r="H8021" s="1129"/>
      <c r="I8021" s="1127"/>
    </row>
    <row r="8022" spans="1:9" x14ac:dyDescent="0.2">
      <c r="A8022" s="997">
        <f t="shared" si="125"/>
        <v>8021</v>
      </c>
      <c r="B8022" s="1129" t="s">
        <v>2784</v>
      </c>
      <c r="C8022" s="1138"/>
      <c r="D8022" s="1129"/>
      <c r="E8022" s="1129"/>
      <c r="F8022" s="1129"/>
      <c r="G8022" s="1129"/>
      <c r="H8022" s="1129" t="s">
        <v>2792</v>
      </c>
      <c r="I8022" s="1127"/>
    </row>
    <row r="8023" spans="1:9" x14ac:dyDescent="0.2">
      <c r="A8023" s="997">
        <f t="shared" si="125"/>
        <v>8022</v>
      </c>
      <c r="B8023" s="1129" t="s">
        <v>2784</v>
      </c>
      <c r="C8023" s="1139"/>
      <c r="D8023" s="1129"/>
      <c r="E8023" s="1129"/>
      <c r="F8023" s="1129"/>
      <c r="G8023" s="1129"/>
      <c r="H8023" s="1129" t="str">
        <f>CONCATENATE("&lt;valeur&gt;",Cellule_2098_5,"&lt;/valeur&gt;")</f>
        <v>&lt;valeur&gt;&lt;/valeur&gt;</v>
      </c>
      <c r="I8023" s="1127"/>
    </row>
    <row r="8024" spans="1:9" x14ac:dyDescent="0.2">
      <c r="A8024" s="997">
        <f t="shared" si="125"/>
        <v>8023</v>
      </c>
      <c r="B8024" s="1129" t="s">
        <v>2784</v>
      </c>
      <c r="C8024" s="1140"/>
      <c r="D8024" s="1129"/>
      <c r="E8024" s="1129"/>
      <c r="F8024" s="1129"/>
      <c r="G8024" s="1129"/>
      <c r="H8024" s="1129" t="s">
        <v>2738</v>
      </c>
      <c r="I8024" s="1127"/>
    </row>
    <row r="8025" spans="1:9" x14ac:dyDescent="0.2">
      <c r="A8025" s="997">
        <f t="shared" si="125"/>
        <v>8024</v>
      </c>
      <c r="B8025" s="1129" t="s">
        <v>2784</v>
      </c>
      <c r="C8025" s="1139"/>
      <c r="D8025" s="1129"/>
      <c r="E8025" s="1129"/>
      <c r="F8025" s="1129"/>
      <c r="G8025" s="1129" t="s">
        <v>1109</v>
      </c>
      <c r="H8025" s="1129"/>
      <c r="I8025" s="1127"/>
    </row>
    <row r="8026" spans="1:9" x14ac:dyDescent="0.2">
      <c r="A8026" s="997">
        <f t="shared" si="125"/>
        <v>8025</v>
      </c>
      <c r="B8026" s="1129" t="s">
        <v>2784</v>
      </c>
      <c r="C8026" s="1139"/>
      <c r="D8026" s="1129"/>
      <c r="E8026" s="1129"/>
      <c r="F8026" s="1129"/>
      <c r="G8026" s="1129" t="s">
        <v>1106</v>
      </c>
      <c r="H8026" s="1129"/>
      <c r="I8026" s="1127"/>
    </row>
    <row r="8027" spans="1:9" x14ac:dyDescent="0.2">
      <c r="A8027" s="997">
        <f t="shared" si="125"/>
        <v>8026</v>
      </c>
      <c r="B8027" s="1129" t="s">
        <v>2784</v>
      </c>
      <c r="C8027" s="1138"/>
      <c r="D8027" s="1129"/>
      <c r="E8027" s="1129"/>
      <c r="F8027" s="1129"/>
      <c r="G8027" s="1129"/>
      <c r="H8027" s="1129" t="s">
        <v>2793</v>
      </c>
      <c r="I8027" s="1127"/>
    </row>
    <row r="8028" spans="1:9" x14ac:dyDescent="0.2">
      <c r="A8028" s="997">
        <f t="shared" si="125"/>
        <v>8027</v>
      </c>
      <c r="B8028" s="1129" t="s">
        <v>2784</v>
      </c>
      <c r="C8028" s="1138"/>
      <c r="D8028" s="1129"/>
      <c r="E8028" s="1129"/>
      <c r="F8028" s="1129"/>
      <c r="G8028" s="1129"/>
      <c r="H8028" s="1129" t="str">
        <f>CONCATENATE("&lt;valeur&gt;",Cellule_2099_5,"&lt;/valeur&gt;")</f>
        <v>&lt;valeur&gt;0&lt;/valeur&gt;</v>
      </c>
      <c r="I8028" s="1127"/>
    </row>
    <row r="8029" spans="1:9" x14ac:dyDescent="0.2">
      <c r="A8029" s="997">
        <f t="shared" si="125"/>
        <v>8028</v>
      </c>
      <c r="B8029" s="1129" t="s">
        <v>2784</v>
      </c>
      <c r="C8029" s="1139"/>
      <c r="D8029" s="1129"/>
      <c r="E8029" s="1129"/>
      <c r="F8029" s="1129"/>
      <c r="G8029" s="1129"/>
      <c r="H8029" s="1129" t="s">
        <v>2738</v>
      </c>
      <c r="I8029" s="1127"/>
    </row>
    <row r="8030" spans="1:9" x14ac:dyDescent="0.2">
      <c r="A8030" s="997">
        <f t="shared" si="125"/>
        <v>8029</v>
      </c>
      <c r="B8030" s="1129" t="s">
        <v>2784</v>
      </c>
      <c r="C8030" s="1140"/>
      <c r="D8030" s="1129"/>
      <c r="E8030" s="1129"/>
      <c r="F8030" s="1129"/>
      <c r="G8030" s="1129" t="s">
        <v>1109</v>
      </c>
      <c r="H8030" s="1129"/>
      <c r="I8030" s="1127"/>
    </row>
    <row r="8031" spans="1:9" x14ac:dyDescent="0.2">
      <c r="A8031" s="997">
        <f t="shared" si="125"/>
        <v>8030</v>
      </c>
      <c r="B8031" s="1129" t="s">
        <v>2784</v>
      </c>
      <c r="C8031" s="1139"/>
      <c r="D8031" s="1129"/>
      <c r="E8031" s="1129"/>
      <c r="F8031" s="1129"/>
      <c r="G8031" s="1129" t="s">
        <v>1106</v>
      </c>
      <c r="H8031" s="1129"/>
      <c r="I8031" s="1127"/>
    </row>
    <row r="8032" spans="1:9" x14ac:dyDescent="0.2">
      <c r="A8032" s="997">
        <f t="shared" si="125"/>
        <v>8031</v>
      </c>
      <c r="B8032" s="1129" t="s">
        <v>2784</v>
      </c>
      <c r="C8032" s="1138"/>
      <c r="D8032" s="1129"/>
      <c r="E8032" s="1129"/>
      <c r="F8032" s="1129"/>
      <c r="G8032" s="1129"/>
      <c r="H8032" s="1129" t="s">
        <v>2794</v>
      </c>
      <c r="I8032" s="1127"/>
    </row>
    <row r="8033" spans="1:9" x14ac:dyDescent="0.2">
      <c r="A8033" s="997">
        <f t="shared" si="125"/>
        <v>8032</v>
      </c>
      <c r="B8033" s="1129" t="s">
        <v>2784</v>
      </c>
      <c r="C8033" s="1138"/>
      <c r="D8033" s="1129"/>
      <c r="E8033" s="1129"/>
      <c r="F8033" s="1129"/>
      <c r="G8033" s="1129"/>
      <c r="H8033" s="1129" t="str">
        <f>CONCATENATE("&lt;valeur&gt;",Cellule_2100_5,"&lt;/valeur&gt;")</f>
        <v>&lt;valeur&gt;0&lt;/valeur&gt;</v>
      </c>
      <c r="I8033" s="1127"/>
    </row>
    <row r="8034" spans="1:9" x14ac:dyDescent="0.2">
      <c r="A8034" s="997">
        <f t="shared" si="125"/>
        <v>8033</v>
      </c>
      <c r="B8034" s="1129" t="s">
        <v>2784</v>
      </c>
      <c r="C8034" s="1139"/>
      <c r="D8034" s="1129"/>
      <c r="E8034" s="1129"/>
      <c r="F8034" s="1129"/>
      <c r="G8034" s="1129"/>
      <c r="H8034" s="1129" t="s">
        <v>2738</v>
      </c>
      <c r="I8034" s="1127"/>
    </row>
    <row r="8035" spans="1:9" x14ac:dyDescent="0.2">
      <c r="A8035" s="997">
        <f t="shared" si="125"/>
        <v>8034</v>
      </c>
      <c r="B8035" s="1129" t="s">
        <v>2784</v>
      </c>
      <c r="C8035" s="1140"/>
      <c r="D8035" s="1129"/>
      <c r="E8035" s="1129"/>
      <c r="F8035" s="1129"/>
      <c r="G8035" s="1129" t="s">
        <v>1109</v>
      </c>
      <c r="H8035" s="1129"/>
      <c r="I8035" s="1127"/>
    </row>
    <row r="8036" spans="1:9" x14ac:dyDescent="0.2">
      <c r="A8036" s="997">
        <f t="shared" si="125"/>
        <v>8035</v>
      </c>
      <c r="B8036" s="1129" t="s">
        <v>2784</v>
      </c>
      <c r="C8036" s="1139"/>
      <c r="D8036" s="1129"/>
      <c r="E8036" s="1129"/>
      <c r="F8036" s="1129"/>
      <c r="G8036" s="1129" t="s">
        <v>1106</v>
      </c>
      <c r="H8036" s="1129"/>
      <c r="I8036" s="1127"/>
    </row>
    <row r="8037" spans="1:9" x14ac:dyDescent="0.2">
      <c r="A8037" s="997">
        <f t="shared" si="125"/>
        <v>8036</v>
      </c>
      <c r="B8037" s="1129" t="s">
        <v>2784</v>
      </c>
      <c r="C8037" s="1138"/>
      <c r="D8037" s="1129"/>
      <c r="E8037" s="1129"/>
      <c r="F8037" s="1129"/>
      <c r="G8037" s="1129"/>
      <c r="H8037" s="1129" t="s">
        <v>2795</v>
      </c>
      <c r="I8037" s="1127"/>
    </row>
    <row r="8038" spans="1:9" x14ac:dyDescent="0.2">
      <c r="A8038" s="997">
        <f t="shared" si="125"/>
        <v>8037</v>
      </c>
      <c r="B8038" s="1129" t="s">
        <v>2784</v>
      </c>
      <c r="C8038" s="1138"/>
      <c r="D8038" s="1129"/>
      <c r="E8038" s="1129"/>
      <c r="F8038" s="1129"/>
      <c r="G8038" s="1129"/>
      <c r="H8038" s="1129" t="str">
        <f>CONCATENATE("&lt;valeur&gt;",Cellule_2101_5,"&lt;/valeur&gt;")</f>
        <v>&lt;valeur&gt;0&lt;/valeur&gt;</v>
      </c>
      <c r="I8038" s="1127"/>
    </row>
    <row r="8039" spans="1:9" x14ac:dyDescent="0.2">
      <c r="A8039" s="997">
        <f t="shared" si="125"/>
        <v>8038</v>
      </c>
      <c r="B8039" s="1129" t="s">
        <v>2784</v>
      </c>
      <c r="C8039" s="1139"/>
      <c r="D8039" s="1129"/>
      <c r="E8039" s="1129"/>
      <c r="F8039" s="1129"/>
      <c r="G8039" s="1129"/>
      <c r="H8039" s="1129" t="s">
        <v>2738</v>
      </c>
      <c r="I8039" s="1127"/>
    </row>
    <row r="8040" spans="1:9" x14ac:dyDescent="0.2">
      <c r="A8040" s="997">
        <f t="shared" si="125"/>
        <v>8039</v>
      </c>
      <c r="B8040" s="1130" t="s">
        <v>2784</v>
      </c>
      <c r="C8040" s="1141"/>
      <c r="D8040" s="1130"/>
      <c r="E8040" s="1130"/>
      <c r="F8040" s="1130"/>
      <c r="G8040" s="1130" t="s">
        <v>1109</v>
      </c>
      <c r="H8040" s="1130"/>
      <c r="I8040" s="1142"/>
    </row>
    <row r="8041" spans="1:9" x14ac:dyDescent="0.2">
      <c r="A8041" s="997">
        <f t="shared" si="125"/>
        <v>8040</v>
      </c>
      <c r="B8041" s="1128" t="s">
        <v>2784</v>
      </c>
      <c r="C8041" s="1137"/>
      <c r="D8041" s="1128"/>
      <c r="E8041" s="1128"/>
      <c r="F8041" s="1128"/>
      <c r="G8041" s="1128" t="s">
        <v>1106</v>
      </c>
      <c r="H8041" s="1128"/>
      <c r="I8041" s="1124"/>
    </row>
    <row r="8042" spans="1:9" x14ac:dyDescent="0.2">
      <c r="A8042" s="997">
        <f t="shared" si="125"/>
        <v>8041</v>
      </c>
      <c r="B8042" s="1129" t="s">
        <v>2784</v>
      </c>
      <c r="C8042" s="1138"/>
      <c r="D8042" s="1129"/>
      <c r="E8042" s="1129"/>
      <c r="F8042" s="1129"/>
      <c r="G8042" s="1129"/>
      <c r="H8042" s="1129" t="s">
        <v>2786</v>
      </c>
      <c r="I8042" s="1127"/>
    </row>
    <row r="8043" spans="1:9" x14ac:dyDescent="0.2">
      <c r="A8043" s="997">
        <f t="shared" si="125"/>
        <v>8042</v>
      </c>
      <c r="B8043" s="1129" t="s">
        <v>2784</v>
      </c>
      <c r="C8043" s="1139"/>
      <c r="D8043" s="1129"/>
      <c r="E8043" s="1129"/>
      <c r="F8043" s="1129"/>
      <c r="G8043" s="1129"/>
      <c r="H8043" s="1129" t="str">
        <f>CONCATENATE("&lt;valeur&gt;",Cellule_2094_6,"&lt;/valeur&gt;")</f>
        <v>&lt;valeur&gt;&lt;/valeur&gt;</v>
      </c>
      <c r="I8043" s="1127"/>
    </row>
    <row r="8044" spans="1:9" x14ac:dyDescent="0.2">
      <c r="A8044" s="997">
        <f t="shared" si="125"/>
        <v>8043</v>
      </c>
      <c r="B8044" s="1129" t="s">
        <v>2784</v>
      </c>
      <c r="C8044" s="1140"/>
      <c r="D8044" s="1129"/>
      <c r="E8044" s="1129"/>
      <c r="F8044" s="1129"/>
      <c r="G8044" s="1129"/>
      <c r="H8044" s="1129" t="s">
        <v>2739</v>
      </c>
      <c r="I8044" s="1127"/>
    </row>
    <row r="8045" spans="1:9" x14ac:dyDescent="0.2">
      <c r="A8045" s="997">
        <f t="shared" si="125"/>
        <v>8044</v>
      </c>
      <c r="B8045" s="1129" t="s">
        <v>2784</v>
      </c>
      <c r="C8045" s="1139"/>
      <c r="D8045" s="1129"/>
      <c r="E8045" s="1129"/>
      <c r="F8045" s="1129"/>
      <c r="G8045" s="1129" t="s">
        <v>1109</v>
      </c>
      <c r="H8045" s="1129"/>
      <c r="I8045" s="1127"/>
    </row>
    <row r="8046" spans="1:9" x14ac:dyDescent="0.2">
      <c r="A8046" s="997">
        <f t="shared" si="125"/>
        <v>8045</v>
      </c>
      <c r="B8046" s="1129" t="s">
        <v>2784</v>
      </c>
      <c r="C8046" s="1139"/>
      <c r="D8046" s="1129"/>
      <c r="E8046" s="1129"/>
      <c r="F8046" s="1129"/>
      <c r="G8046" s="1129" t="s">
        <v>1106</v>
      </c>
      <c r="H8046" s="1129"/>
      <c r="I8046" s="1127"/>
    </row>
    <row r="8047" spans="1:9" x14ac:dyDescent="0.2">
      <c r="A8047" s="997">
        <f t="shared" si="125"/>
        <v>8046</v>
      </c>
      <c r="B8047" s="1129" t="s">
        <v>2784</v>
      </c>
      <c r="C8047" s="1138"/>
      <c r="D8047" s="1129"/>
      <c r="E8047" s="1129"/>
      <c r="F8047" s="1129"/>
      <c r="G8047" s="1129"/>
      <c r="H8047" s="1129" t="s">
        <v>2787</v>
      </c>
      <c r="I8047" s="1127"/>
    </row>
    <row r="8048" spans="1:9" x14ac:dyDescent="0.2">
      <c r="A8048" s="997">
        <f t="shared" si="125"/>
        <v>8047</v>
      </c>
      <c r="B8048" s="1129" t="s">
        <v>2784</v>
      </c>
      <c r="C8048" s="1138"/>
      <c r="D8048" s="1129"/>
      <c r="E8048" s="1129"/>
      <c r="F8048" s="1129"/>
      <c r="G8048" s="1129"/>
      <c r="H8048" s="1129" t="str">
        <f>CONCATENATE("&lt;valeur&gt;",Cellule_13536_6,"&lt;/valeur&gt;")</f>
        <v>&lt;valeur&gt;&lt;/valeur&gt;</v>
      </c>
      <c r="I8048" s="1127"/>
    </row>
    <row r="8049" spans="1:9" x14ac:dyDescent="0.2">
      <c r="A8049" s="997">
        <f t="shared" si="125"/>
        <v>8048</v>
      </c>
      <c r="B8049" s="1129" t="s">
        <v>2784</v>
      </c>
      <c r="C8049" s="1139"/>
      <c r="D8049" s="1129"/>
      <c r="E8049" s="1129"/>
      <c r="F8049" s="1129"/>
      <c r="G8049" s="1129"/>
      <c r="H8049" s="1129" t="s">
        <v>2739</v>
      </c>
      <c r="I8049" s="1127"/>
    </row>
    <row r="8050" spans="1:9" x14ac:dyDescent="0.2">
      <c r="A8050" s="997">
        <f t="shared" si="125"/>
        <v>8049</v>
      </c>
      <c r="B8050" s="1129" t="s">
        <v>2784</v>
      </c>
      <c r="C8050" s="1140"/>
      <c r="D8050" s="1129"/>
      <c r="E8050" s="1129"/>
      <c r="F8050" s="1129"/>
      <c r="G8050" s="1129" t="s">
        <v>1109</v>
      </c>
      <c r="H8050" s="1129"/>
      <c r="I8050" s="1127"/>
    </row>
    <row r="8051" spans="1:9" x14ac:dyDescent="0.2">
      <c r="A8051" s="997">
        <f t="shared" si="125"/>
        <v>8050</v>
      </c>
      <c r="B8051" s="1129" t="s">
        <v>2784</v>
      </c>
      <c r="C8051" s="1139"/>
      <c r="D8051" s="1129"/>
      <c r="E8051" s="1129"/>
      <c r="F8051" s="1129"/>
      <c r="G8051" s="1129" t="s">
        <v>1106</v>
      </c>
      <c r="H8051" s="1129"/>
      <c r="I8051" s="1127"/>
    </row>
    <row r="8052" spans="1:9" x14ac:dyDescent="0.2">
      <c r="A8052" s="997">
        <f t="shared" si="125"/>
        <v>8051</v>
      </c>
      <c r="B8052" s="1129" t="s">
        <v>2784</v>
      </c>
      <c r="C8052" s="1139"/>
      <c r="D8052" s="1129"/>
      <c r="E8052" s="1129"/>
      <c r="F8052" s="1129"/>
      <c r="G8052" s="1129"/>
      <c r="H8052" s="1129" t="s">
        <v>2788</v>
      </c>
      <c r="I8052" s="1127"/>
    </row>
    <row r="8053" spans="1:9" x14ac:dyDescent="0.2">
      <c r="A8053" s="997">
        <f t="shared" si="125"/>
        <v>8052</v>
      </c>
      <c r="B8053" s="1129" t="s">
        <v>2784</v>
      </c>
      <c r="C8053" s="1138"/>
      <c r="D8053" s="1129"/>
      <c r="E8053" s="1129"/>
      <c r="F8053" s="1129"/>
      <c r="G8053" s="1129"/>
      <c r="H8053" s="1129" t="str">
        <f>CONCATENATE("&lt;valeur&gt;",Cellule_13537_6,"&lt;/valeur&gt;")</f>
        <v>&lt;valeur&gt;&lt;/valeur&gt;</v>
      </c>
      <c r="I8053" s="1127"/>
    </row>
    <row r="8054" spans="1:9" x14ac:dyDescent="0.2">
      <c r="A8054" s="997">
        <f t="shared" si="125"/>
        <v>8053</v>
      </c>
      <c r="B8054" s="1129" t="s">
        <v>2784</v>
      </c>
      <c r="C8054" s="1138"/>
      <c r="D8054" s="1129"/>
      <c r="E8054" s="1129"/>
      <c r="F8054" s="1129"/>
      <c r="G8054" s="1129"/>
      <c r="H8054" s="1129" t="s">
        <v>2739</v>
      </c>
      <c r="I8054" s="1127"/>
    </row>
    <row r="8055" spans="1:9" x14ac:dyDescent="0.2">
      <c r="A8055" s="997">
        <f t="shared" si="125"/>
        <v>8054</v>
      </c>
      <c r="B8055" s="1129" t="s">
        <v>2784</v>
      </c>
      <c r="C8055" s="1139"/>
      <c r="D8055" s="1129"/>
      <c r="E8055" s="1129"/>
      <c r="F8055" s="1129"/>
      <c r="G8055" s="1129" t="s">
        <v>1109</v>
      </c>
      <c r="H8055" s="1129"/>
      <c r="I8055" s="1127"/>
    </row>
    <row r="8056" spans="1:9" x14ac:dyDescent="0.2">
      <c r="A8056" s="997">
        <f t="shared" si="125"/>
        <v>8055</v>
      </c>
      <c r="B8056" s="1129" t="s">
        <v>2784</v>
      </c>
      <c r="C8056" s="1140"/>
      <c r="D8056" s="1129"/>
      <c r="E8056" s="1129"/>
      <c r="F8056" s="1129"/>
      <c r="G8056" s="1129" t="s">
        <v>1106</v>
      </c>
      <c r="H8056" s="1129"/>
      <c r="I8056" s="1127"/>
    </row>
    <row r="8057" spans="1:9" x14ac:dyDescent="0.2">
      <c r="A8057" s="997">
        <f t="shared" si="125"/>
        <v>8056</v>
      </c>
      <c r="B8057" s="1129" t="s">
        <v>2784</v>
      </c>
      <c r="C8057" s="1139"/>
      <c r="D8057" s="1129"/>
      <c r="E8057" s="1129"/>
      <c r="F8057" s="1129"/>
      <c r="G8057" s="1129"/>
      <c r="H8057" s="1129" t="s">
        <v>2789</v>
      </c>
      <c r="I8057" s="1127"/>
    </row>
    <row r="8058" spans="1:9" x14ac:dyDescent="0.2">
      <c r="A8058" s="997">
        <f t="shared" si="125"/>
        <v>8057</v>
      </c>
      <c r="B8058" s="1129" t="s">
        <v>2784</v>
      </c>
      <c r="C8058" s="1139"/>
      <c r="D8058" s="1129"/>
      <c r="E8058" s="1129"/>
      <c r="F8058" s="1129"/>
      <c r="G8058" s="1129"/>
      <c r="H8058" s="1129" t="str">
        <f>CONCATENATE("&lt;valeur&gt;",Cellule_2095_6,"&lt;/valeur&gt;")</f>
        <v>&lt;valeur&gt;&lt;/valeur&gt;</v>
      </c>
      <c r="I8058" s="1127"/>
    </row>
    <row r="8059" spans="1:9" x14ac:dyDescent="0.2">
      <c r="A8059" s="997">
        <f t="shared" si="125"/>
        <v>8058</v>
      </c>
      <c r="B8059" s="1129" t="s">
        <v>2784</v>
      </c>
      <c r="C8059" s="1138"/>
      <c r="D8059" s="1129"/>
      <c r="E8059" s="1129"/>
      <c r="F8059" s="1129"/>
      <c r="G8059" s="1129"/>
      <c r="H8059" s="1129" t="s">
        <v>2739</v>
      </c>
      <c r="I8059" s="1127"/>
    </row>
    <row r="8060" spans="1:9" x14ac:dyDescent="0.2">
      <c r="A8060" s="997">
        <f t="shared" si="125"/>
        <v>8059</v>
      </c>
      <c r="B8060" s="1129" t="s">
        <v>2784</v>
      </c>
      <c r="C8060" s="1138"/>
      <c r="D8060" s="1129"/>
      <c r="E8060" s="1129"/>
      <c r="F8060" s="1129"/>
      <c r="G8060" s="1129" t="s">
        <v>1109</v>
      </c>
      <c r="H8060" s="1129"/>
      <c r="I8060" s="1127"/>
    </row>
    <row r="8061" spans="1:9" x14ac:dyDescent="0.2">
      <c r="A8061" s="997">
        <f t="shared" si="125"/>
        <v>8060</v>
      </c>
      <c r="B8061" s="1129" t="s">
        <v>2784</v>
      </c>
      <c r="C8061" s="1139"/>
      <c r="D8061" s="1129"/>
      <c r="E8061" s="1129"/>
      <c r="F8061" s="1129"/>
      <c r="G8061" s="1129" t="s">
        <v>1106</v>
      </c>
      <c r="H8061" s="1129"/>
      <c r="I8061" s="1127"/>
    </row>
    <row r="8062" spans="1:9" x14ac:dyDescent="0.2">
      <c r="A8062" s="997">
        <f t="shared" si="125"/>
        <v>8061</v>
      </c>
      <c r="B8062" s="1129" t="s">
        <v>2784</v>
      </c>
      <c r="C8062" s="1140"/>
      <c r="D8062" s="1129"/>
      <c r="E8062" s="1129"/>
      <c r="F8062" s="1129"/>
      <c r="G8062" s="1129"/>
      <c r="H8062" s="1129" t="s">
        <v>2790</v>
      </c>
      <c r="I8062" s="1127"/>
    </row>
    <row r="8063" spans="1:9" x14ac:dyDescent="0.2">
      <c r="A8063" s="997">
        <f t="shared" si="125"/>
        <v>8062</v>
      </c>
      <c r="B8063" s="1129" t="s">
        <v>2784</v>
      </c>
      <c r="C8063" s="1139"/>
      <c r="D8063" s="1129"/>
      <c r="E8063" s="1129"/>
      <c r="F8063" s="1129"/>
      <c r="G8063" s="1129"/>
      <c r="H8063" s="1129" t="str">
        <f>CONCATENATE("&lt;valeur&gt;",Cellule_2096_6,"&lt;/valeur&gt;")</f>
        <v>&lt;valeur&gt;&lt;/valeur&gt;</v>
      </c>
      <c r="I8063" s="1127"/>
    </row>
    <row r="8064" spans="1:9" x14ac:dyDescent="0.2">
      <c r="A8064" s="997">
        <f t="shared" si="125"/>
        <v>8063</v>
      </c>
      <c r="B8064" s="1129" t="s">
        <v>2784</v>
      </c>
      <c r="C8064" s="1139"/>
      <c r="D8064" s="1129"/>
      <c r="E8064" s="1129"/>
      <c r="F8064" s="1129"/>
      <c r="G8064" s="1129"/>
      <c r="H8064" s="1129" t="s">
        <v>2739</v>
      </c>
      <c r="I8064" s="1127"/>
    </row>
    <row r="8065" spans="1:9" x14ac:dyDescent="0.2">
      <c r="A8065" s="997">
        <f t="shared" si="125"/>
        <v>8064</v>
      </c>
      <c r="B8065" s="1129" t="s">
        <v>2784</v>
      </c>
      <c r="C8065" s="1138"/>
      <c r="D8065" s="1129"/>
      <c r="E8065" s="1129"/>
      <c r="F8065" s="1129"/>
      <c r="G8065" s="1129" t="s">
        <v>1109</v>
      </c>
      <c r="H8065" s="1129"/>
      <c r="I8065" s="1127"/>
    </row>
    <row r="8066" spans="1:9" x14ac:dyDescent="0.2">
      <c r="A8066" s="997">
        <f t="shared" si="125"/>
        <v>8065</v>
      </c>
      <c r="B8066" s="1129" t="s">
        <v>2784</v>
      </c>
      <c r="C8066" s="1138"/>
      <c r="D8066" s="1129"/>
      <c r="E8066" s="1129"/>
      <c r="F8066" s="1129"/>
      <c r="G8066" s="1129" t="s">
        <v>1106</v>
      </c>
      <c r="H8066" s="1129"/>
      <c r="I8066" s="1127"/>
    </row>
    <row r="8067" spans="1:9" x14ac:dyDescent="0.2">
      <c r="A8067" s="997">
        <f t="shared" si="125"/>
        <v>8066</v>
      </c>
      <c r="B8067" s="1129" t="s">
        <v>2784</v>
      </c>
      <c r="C8067" s="1139"/>
      <c r="D8067" s="1129"/>
      <c r="E8067" s="1129"/>
      <c r="F8067" s="1129"/>
      <c r="G8067" s="1129"/>
      <c r="H8067" s="1129" t="s">
        <v>2791</v>
      </c>
      <c r="I8067" s="1127"/>
    </row>
    <row r="8068" spans="1:9" x14ac:dyDescent="0.2">
      <c r="A8068" s="997">
        <f t="shared" ref="A8068:A8131" si="126">+A8067+1</f>
        <v>8067</v>
      </c>
      <c r="B8068" s="1129" t="s">
        <v>2784</v>
      </c>
      <c r="C8068" s="1140"/>
      <c r="D8068" s="1129"/>
      <c r="E8068" s="1129"/>
      <c r="F8068" s="1129"/>
      <c r="G8068" s="1129"/>
      <c r="H8068" s="1129" t="str">
        <f>CONCATENATE("&lt;valeur&gt;",Cellule_2097_6,"&lt;/valeur&gt;")</f>
        <v>&lt;valeur&gt;&lt;/valeur&gt;</v>
      </c>
      <c r="I8068" s="1127"/>
    </row>
    <row r="8069" spans="1:9" x14ac:dyDescent="0.2">
      <c r="A8069" s="997">
        <f t="shared" si="126"/>
        <v>8068</v>
      </c>
      <c r="B8069" s="1129" t="s">
        <v>2784</v>
      </c>
      <c r="C8069" s="1139"/>
      <c r="D8069" s="1129"/>
      <c r="E8069" s="1129"/>
      <c r="F8069" s="1129"/>
      <c r="G8069" s="1129"/>
      <c r="H8069" s="1129" t="s">
        <v>2739</v>
      </c>
      <c r="I8069" s="1127"/>
    </row>
    <row r="8070" spans="1:9" x14ac:dyDescent="0.2">
      <c r="A8070" s="997">
        <f t="shared" si="126"/>
        <v>8069</v>
      </c>
      <c r="B8070" s="1129" t="s">
        <v>2784</v>
      </c>
      <c r="C8070" s="1139"/>
      <c r="D8070" s="1129"/>
      <c r="E8070" s="1129"/>
      <c r="F8070" s="1129"/>
      <c r="G8070" s="1129" t="s">
        <v>1109</v>
      </c>
      <c r="H8070" s="1129"/>
      <c r="I8070" s="1127"/>
    </row>
    <row r="8071" spans="1:9" x14ac:dyDescent="0.2">
      <c r="A8071" s="997">
        <f t="shared" si="126"/>
        <v>8070</v>
      </c>
      <c r="B8071" s="1129" t="s">
        <v>2784</v>
      </c>
      <c r="C8071" s="1138"/>
      <c r="D8071" s="1129"/>
      <c r="E8071" s="1129"/>
      <c r="F8071" s="1129"/>
      <c r="G8071" s="1129" t="s">
        <v>1106</v>
      </c>
      <c r="H8071" s="1129"/>
      <c r="I8071" s="1127"/>
    </row>
    <row r="8072" spans="1:9" x14ac:dyDescent="0.2">
      <c r="A8072" s="997">
        <f t="shared" si="126"/>
        <v>8071</v>
      </c>
      <c r="B8072" s="1129" t="s">
        <v>2784</v>
      </c>
      <c r="C8072" s="1138"/>
      <c r="D8072" s="1129"/>
      <c r="E8072" s="1129"/>
      <c r="F8072" s="1129"/>
      <c r="G8072" s="1129"/>
      <c r="H8072" s="1129" t="s">
        <v>2792</v>
      </c>
      <c r="I8072" s="1127"/>
    </row>
    <row r="8073" spans="1:9" x14ac:dyDescent="0.2">
      <c r="A8073" s="997">
        <f t="shared" si="126"/>
        <v>8072</v>
      </c>
      <c r="B8073" s="1129" t="s">
        <v>2784</v>
      </c>
      <c r="C8073" s="1139"/>
      <c r="D8073" s="1129"/>
      <c r="E8073" s="1129"/>
      <c r="F8073" s="1129"/>
      <c r="G8073" s="1129"/>
      <c r="H8073" s="1129" t="str">
        <f>CONCATENATE("&lt;valeur&gt;",Cellule_2098_6,"&lt;/valeur&gt;")</f>
        <v>&lt;valeur&gt;&lt;/valeur&gt;</v>
      </c>
      <c r="I8073" s="1127"/>
    </row>
    <row r="8074" spans="1:9" x14ac:dyDescent="0.2">
      <c r="A8074" s="997">
        <f t="shared" si="126"/>
        <v>8073</v>
      </c>
      <c r="B8074" s="1129" t="s">
        <v>2784</v>
      </c>
      <c r="C8074" s="1140"/>
      <c r="D8074" s="1129"/>
      <c r="E8074" s="1129"/>
      <c r="F8074" s="1129"/>
      <c r="G8074" s="1129"/>
      <c r="H8074" s="1129" t="s">
        <v>2739</v>
      </c>
      <c r="I8074" s="1127"/>
    </row>
    <row r="8075" spans="1:9" x14ac:dyDescent="0.2">
      <c r="A8075" s="997">
        <f t="shared" si="126"/>
        <v>8074</v>
      </c>
      <c r="B8075" s="1129" t="s">
        <v>2784</v>
      </c>
      <c r="C8075" s="1139"/>
      <c r="D8075" s="1129"/>
      <c r="E8075" s="1129"/>
      <c r="F8075" s="1129"/>
      <c r="G8075" s="1129" t="s">
        <v>1109</v>
      </c>
      <c r="H8075" s="1129"/>
      <c r="I8075" s="1127"/>
    </row>
    <row r="8076" spans="1:9" x14ac:dyDescent="0.2">
      <c r="A8076" s="997">
        <f t="shared" si="126"/>
        <v>8075</v>
      </c>
      <c r="B8076" s="1129" t="s">
        <v>2784</v>
      </c>
      <c r="C8076" s="1139"/>
      <c r="D8076" s="1129"/>
      <c r="E8076" s="1129"/>
      <c r="F8076" s="1129"/>
      <c r="G8076" s="1129" t="s">
        <v>1106</v>
      </c>
      <c r="H8076" s="1129"/>
      <c r="I8076" s="1127"/>
    </row>
    <row r="8077" spans="1:9" x14ac:dyDescent="0.2">
      <c r="A8077" s="997">
        <f t="shared" si="126"/>
        <v>8076</v>
      </c>
      <c r="B8077" s="1129" t="s">
        <v>2784</v>
      </c>
      <c r="C8077" s="1138"/>
      <c r="D8077" s="1129"/>
      <c r="E8077" s="1129"/>
      <c r="F8077" s="1129"/>
      <c r="G8077" s="1129"/>
      <c r="H8077" s="1129" t="s">
        <v>2793</v>
      </c>
      <c r="I8077" s="1127"/>
    </row>
    <row r="8078" spans="1:9" x14ac:dyDescent="0.2">
      <c r="A8078" s="997">
        <f t="shared" si="126"/>
        <v>8077</v>
      </c>
      <c r="B8078" s="1129" t="s">
        <v>2784</v>
      </c>
      <c r="C8078" s="1138"/>
      <c r="D8078" s="1129"/>
      <c r="E8078" s="1129"/>
      <c r="F8078" s="1129"/>
      <c r="G8078" s="1129"/>
      <c r="H8078" s="1129" t="str">
        <f>CONCATENATE("&lt;valeur&gt;",Cellule_2099_6,"&lt;/valeur&gt;")</f>
        <v>&lt;valeur&gt;0&lt;/valeur&gt;</v>
      </c>
      <c r="I8078" s="1127"/>
    </row>
    <row r="8079" spans="1:9" x14ac:dyDescent="0.2">
      <c r="A8079" s="997">
        <f t="shared" si="126"/>
        <v>8078</v>
      </c>
      <c r="B8079" s="1129" t="s">
        <v>2784</v>
      </c>
      <c r="C8079" s="1139"/>
      <c r="D8079" s="1129"/>
      <c r="E8079" s="1129"/>
      <c r="F8079" s="1129"/>
      <c r="G8079" s="1129"/>
      <c r="H8079" s="1129" t="s">
        <v>2739</v>
      </c>
      <c r="I8079" s="1127"/>
    </row>
    <row r="8080" spans="1:9" x14ac:dyDescent="0.2">
      <c r="A8080" s="997">
        <f t="shared" si="126"/>
        <v>8079</v>
      </c>
      <c r="B8080" s="1129" t="s">
        <v>2784</v>
      </c>
      <c r="C8080" s="1140"/>
      <c r="D8080" s="1129"/>
      <c r="E8080" s="1129"/>
      <c r="F8080" s="1129"/>
      <c r="G8080" s="1129" t="s">
        <v>1109</v>
      </c>
      <c r="H8080" s="1129"/>
      <c r="I8080" s="1127"/>
    </row>
    <row r="8081" spans="1:9" x14ac:dyDescent="0.2">
      <c r="A8081" s="997">
        <f t="shared" si="126"/>
        <v>8080</v>
      </c>
      <c r="B8081" s="1129" t="s">
        <v>2784</v>
      </c>
      <c r="C8081" s="1139"/>
      <c r="D8081" s="1129"/>
      <c r="E8081" s="1129"/>
      <c r="F8081" s="1129"/>
      <c r="G8081" s="1129" t="s">
        <v>1106</v>
      </c>
      <c r="H8081" s="1129"/>
      <c r="I8081" s="1127"/>
    </row>
    <row r="8082" spans="1:9" x14ac:dyDescent="0.2">
      <c r="A8082" s="997">
        <f t="shared" si="126"/>
        <v>8081</v>
      </c>
      <c r="B8082" s="1129" t="s">
        <v>2784</v>
      </c>
      <c r="C8082" s="1138"/>
      <c r="D8082" s="1129"/>
      <c r="E8082" s="1129"/>
      <c r="F8082" s="1129"/>
      <c r="G8082" s="1129"/>
      <c r="H8082" s="1129" t="s">
        <v>2794</v>
      </c>
      <c r="I8082" s="1127"/>
    </row>
    <row r="8083" spans="1:9" x14ac:dyDescent="0.2">
      <c r="A8083" s="997">
        <f t="shared" si="126"/>
        <v>8082</v>
      </c>
      <c r="B8083" s="1129" t="s">
        <v>2784</v>
      </c>
      <c r="C8083" s="1138"/>
      <c r="D8083" s="1129"/>
      <c r="E8083" s="1129"/>
      <c r="F8083" s="1129"/>
      <c r="G8083" s="1129"/>
      <c r="H8083" s="1129" t="str">
        <f>CONCATENATE("&lt;valeur&gt;",Cellule_2100_6,"&lt;/valeur&gt;")</f>
        <v>&lt;valeur&gt;0&lt;/valeur&gt;</v>
      </c>
      <c r="I8083" s="1127"/>
    </row>
    <row r="8084" spans="1:9" x14ac:dyDescent="0.2">
      <c r="A8084" s="997">
        <f t="shared" si="126"/>
        <v>8083</v>
      </c>
      <c r="B8084" s="1129" t="s">
        <v>2784</v>
      </c>
      <c r="C8084" s="1139"/>
      <c r="D8084" s="1129"/>
      <c r="E8084" s="1129"/>
      <c r="F8084" s="1129"/>
      <c r="G8084" s="1129"/>
      <c r="H8084" s="1129" t="s">
        <v>2739</v>
      </c>
      <c r="I8084" s="1127"/>
    </row>
    <row r="8085" spans="1:9" x14ac:dyDescent="0.2">
      <c r="A8085" s="997">
        <f t="shared" si="126"/>
        <v>8084</v>
      </c>
      <c r="B8085" s="1129" t="s">
        <v>2784</v>
      </c>
      <c r="C8085" s="1140"/>
      <c r="D8085" s="1129"/>
      <c r="E8085" s="1129"/>
      <c r="F8085" s="1129"/>
      <c r="G8085" s="1129" t="s">
        <v>1109</v>
      </c>
      <c r="H8085" s="1129"/>
      <c r="I8085" s="1127"/>
    </row>
    <row r="8086" spans="1:9" x14ac:dyDescent="0.2">
      <c r="A8086" s="997">
        <f t="shared" si="126"/>
        <v>8085</v>
      </c>
      <c r="B8086" s="1129" t="s">
        <v>2784</v>
      </c>
      <c r="C8086" s="1139"/>
      <c r="D8086" s="1129"/>
      <c r="E8086" s="1129"/>
      <c r="F8086" s="1129"/>
      <c r="G8086" s="1129" t="s">
        <v>1106</v>
      </c>
      <c r="H8086" s="1129"/>
      <c r="I8086" s="1127"/>
    </row>
    <row r="8087" spans="1:9" x14ac:dyDescent="0.2">
      <c r="A8087" s="997">
        <f t="shared" si="126"/>
        <v>8086</v>
      </c>
      <c r="B8087" s="1129" t="s">
        <v>2784</v>
      </c>
      <c r="C8087" s="1138"/>
      <c r="D8087" s="1129"/>
      <c r="E8087" s="1129"/>
      <c r="F8087" s="1129"/>
      <c r="G8087" s="1129"/>
      <c r="H8087" s="1129" t="s">
        <v>2795</v>
      </c>
      <c r="I8087" s="1127"/>
    </row>
    <row r="8088" spans="1:9" x14ac:dyDescent="0.2">
      <c r="A8088" s="997">
        <f t="shared" si="126"/>
        <v>8087</v>
      </c>
      <c r="B8088" s="1129" t="s">
        <v>2784</v>
      </c>
      <c r="C8088" s="1138"/>
      <c r="D8088" s="1129"/>
      <c r="E8088" s="1129"/>
      <c r="F8088" s="1129"/>
      <c r="G8088" s="1129"/>
      <c r="H8088" s="1129" t="str">
        <f>CONCATENATE("&lt;valeur&gt;",Cellule_2101_6,"&lt;/valeur&gt;")</f>
        <v>&lt;valeur&gt;0&lt;/valeur&gt;</v>
      </c>
      <c r="I8088" s="1127"/>
    </row>
    <row r="8089" spans="1:9" x14ac:dyDescent="0.2">
      <c r="A8089" s="997">
        <f t="shared" si="126"/>
        <v>8088</v>
      </c>
      <c r="B8089" s="1129" t="s">
        <v>2784</v>
      </c>
      <c r="C8089" s="1139"/>
      <c r="D8089" s="1129"/>
      <c r="E8089" s="1129"/>
      <c r="F8089" s="1129"/>
      <c r="G8089" s="1129"/>
      <c r="H8089" s="1129" t="s">
        <v>2739</v>
      </c>
      <c r="I8089" s="1127"/>
    </row>
    <row r="8090" spans="1:9" x14ac:dyDescent="0.2">
      <c r="A8090" s="997">
        <f t="shared" si="126"/>
        <v>8089</v>
      </c>
      <c r="B8090" s="1130" t="s">
        <v>2784</v>
      </c>
      <c r="C8090" s="1141"/>
      <c r="D8090" s="1130"/>
      <c r="E8090" s="1130"/>
      <c r="F8090" s="1130"/>
      <c r="G8090" s="1130" t="s">
        <v>1109</v>
      </c>
      <c r="H8090" s="1130"/>
      <c r="I8090" s="1142"/>
    </row>
    <row r="8091" spans="1:9" x14ac:dyDescent="0.2">
      <c r="A8091" s="997">
        <f t="shared" si="126"/>
        <v>8090</v>
      </c>
      <c r="B8091" s="983" t="s">
        <v>2784</v>
      </c>
      <c r="C8091" s="1000"/>
      <c r="F8091" s="983" t="s">
        <v>1110</v>
      </c>
    </row>
    <row r="8092" spans="1:9" x14ac:dyDescent="0.2">
      <c r="A8092" s="997">
        <f t="shared" si="126"/>
        <v>8091</v>
      </c>
      <c r="B8092" s="983" t="s">
        <v>2784</v>
      </c>
      <c r="C8092" s="1000"/>
      <c r="F8092" s="983" t="s">
        <v>1111</v>
      </c>
    </row>
    <row r="8093" spans="1:9" x14ac:dyDescent="0.2">
      <c r="A8093" s="997">
        <f t="shared" si="126"/>
        <v>8092</v>
      </c>
      <c r="B8093" s="983" t="s">
        <v>2784</v>
      </c>
      <c r="C8093" s="999"/>
      <c r="G8093" s="983" t="s">
        <v>1114</v>
      </c>
    </row>
    <row r="8094" spans="1:9" x14ac:dyDescent="0.2">
      <c r="A8094" s="997">
        <f t="shared" si="126"/>
        <v>8093</v>
      </c>
      <c r="B8094" s="983" t="s">
        <v>2784</v>
      </c>
      <c r="C8094" s="999"/>
      <c r="H8094" s="983" t="s">
        <v>1115</v>
      </c>
    </row>
    <row r="8095" spans="1:9" x14ac:dyDescent="0.2">
      <c r="A8095" s="997">
        <f t="shared" si="126"/>
        <v>8094</v>
      </c>
      <c r="B8095" s="983" t="s">
        <v>2784</v>
      </c>
      <c r="C8095" s="1000"/>
      <c r="I8095" s="983" t="s">
        <v>2796</v>
      </c>
    </row>
    <row r="8096" spans="1:9" x14ac:dyDescent="0.2">
      <c r="A8096" s="997">
        <f t="shared" si="126"/>
        <v>8095</v>
      </c>
      <c r="B8096" s="983" t="s">
        <v>2784</v>
      </c>
      <c r="C8096" s="1001"/>
      <c r="H8096" s="983" t="s">
        <v>1116</v>
      </c>
    </row>
    <row r="8097" spans="1:9" x14ac:dyDescent="0.2">
      <c r="A8097" s="997">
        <f t="shared" si="126"/>
        <v>8096</v>
      </c>
      <c r="B8097" s="983" t="s">
        <v>2784</v>
      </c>
      <c r="C8097" s="1000"/>
      <c r="H8097" s="983" t="str">
        <f>CONCATENATE("&lt;valeur&gt;",Cellule_18,"&lt;/valeur&gt;")</f>
        <v>&lt;valeur&gt;500000&lt;/valeur&gt;</v>
      </c>
    </row>
    <row r="8098" spans="1:9" x14ac:dyDescent="0.2">
      <c r="A8098" s="997">
        <f t="shared" si="126"/>
        <v>8097</v>
      </c>
      <c r="B8098" s="983" t="s">
        <v>2784</v>
      </c>
      <c r="C8098" s="1000"/>
      <c r="G8098" s="983" t="s">
        <v>1117</v>
      </c>
    </row>
    <row r="8099" spans="1:9" x14ac:dyDescent="0.2">
      <c r="A8099" s="997">
        <f t="shared" si="126"/>
        <v>8098</v>
      </c>
      <c r="B8099" s="983" t="s">
        <v>2784</v>
      </c>
      <c r="C8099" s="1000"/>
      <c r="F8099" s="983" t="s">
        <v>1112</v>
      </c>
    </row>
    <row r="8100" spans="1:9" x14ac:dyDescent="0.2">
      <c r="A8100" s="997">
        <f t="shared" si="126"/>
        <v>8099</v>
      </c>
      <c r="B8100" s="983" t="s">
        <v>2784</v>
      </c>
      <c r="C8100" s="999"/>
      <c r="E8100" s="983" t="s">
        <v>1113</v>
      </c>
    </row>
    <row r="8101" spans="1:9" x14ac:dyDescent="0.2">
      <c r="A8101" s="997">
        <f t="shared" si="126"/>
        <v>8100</v>
      </c>
      <c r="B8101" s="983" t="s">
        <v>2720</v>
      </c>
      <c r="C8101" s="999"/>
      <c r="E8101" s="983" t="s">
        <v>1104</v>
      </c>
    </row>
    <row r="8102" spans="1:9" x14ac:dyDescent="0.2">
      <c r="A8102" s="997">
        <f t="shared" si="126"/>
        <v>8101</v>
      </c>
      <c r="B8102" s="983" t="s">
        <v>2720</v>
      </c>
      <c r="C8102" s="1000"/>
      <c r="F8102" s="983" t="s">
        <v>2258</v>
      </c>
    </row>
    <row r="8103" spans="1:9" x14ac:dyDescent="0.2">
      <c r="A8103" s="997">
        <f t="shared" si="126"/>
        <v>8102</v>
      </c>
      <c r="B8103" s="983" t="s">
        <v>2720</v>
      </c>
      <c r="C8103" s="1001"/>
      <c r="F8103" s="983" t="s">
        <v>1105</v>
      </c>
    </row>
    <row r="8104" spans="1:9" x14ac:dyDescent="0.2">
      <c r="A8104" s="997">
        <f t="shared" si="126"/>
        <v>8103</v>
      </c>
      <c r="B8104" s="983" t="s">
        <v>2720</v>
      </c>
      <c r="C8104" s="1000"/>
      <c r="G8104" s="983" t="s">
        <v>1106</v>
      </c>
    </row>
    <row r="8105" spans="1:9" x14ac:dyDescent="0.2">
      <c r="A8105" s="997">
        <f t="shared" si="126"/>
        <v>8104</v>
      </c>
      <c r="B8105" s="983" t="s">
        <v>2720</v>
      </c>
      <c r="C8105" s="1000"/>
      <c r="H8105" s="983" t="s">
        <v>1107</v>
      </c>
    </row>
    <row r="8106" spans="1:9" x14ac:dyDescent="0.2">
      <c r="A8106" s="997">
        <f t="shared" si="126"/>
        <v>8105</v>
      </c>
      <c r="B8106" s="983" t="s">
        <v>2720</v>
      </c>
      <c r="C8106" s="999"/>
      <c r="I8106" s="983" t="s">
        <v>2259</v>
      </c>
    </row>
    <row r="8107" spans="1:9" x14ac:dyDescent="0.2">
      <c r="A8107" s="997">
        <f t="shared" si="126"/>
        <v>8106</v>
      </c>
      <c r="B8107" s="983" t="s">
        <v>2720</v>
      </c>
      <c r="C8107" s="999"/>
      <c r="H8107" s="983" t="s">
        <v>1108</v>
      </c>
    </row>
    <row r="8108" spans="1:9" x14ac:dyDescent="0.2">
      <c r="A8108" s="997">
        <f t="shared" si="126"/>
        <v>8107</v>
      </c>
      <c r="B8108" s="983" t="s">
        <v>2720</v>
      </c>
      <c r="C8108" s="1000"/>
      <c r="H8108" s="983" t="str">
        <f>CONCATENATE("&lt;valeur&gt;",Cellule_471,"&lt;/valeur&gt;")</f>
        <v>&lt;valeur&gt;&lt;/valeur&gt;</v>
      </c>
    </row>
    <row r="8109" spans="1:9" x14ac:dyDescent="0.2">
      <c r="A8109" s="997">
        <f t="shared" si="126"/>
        <v>8108</v>
      </c>
      <c r="B8109" s="983" t="s">
        <v>2720</v>
      </c>
      <c r="C8109" s="1001"/>
      <c r="G8109" s="983" t="s">
        <v>1109</v>
      </c>
    </row>
    <row r="8110" spans="1:9" x14ac:dyDescent="0.2">
      <c r="A8110" s="997">
        <f t="shared" si="126"/>
        <v>8109</v>
      </c>
      <c r="B8110" s="983" t="s">
        <v>2720</v>
      </c>
      <c r="C8110" s="1000"/>
      <c r="G8110" s="983" t="s">
        <v>1106</v>
      </c>
    </row>
    <row r="8111" spans="1:9" x14ac:dyDescent="0.2">
      <c r="A8111" s="997">
        <f t="shared" si="126"/>
        <v>8110</v>
      </c>
      <c r="B8111" s="983" t="s">
        <v>2720</v>
      </c>
      <c r="C8111" s="1000"/>
      <c r="H8111" s="983" t="s">
        <v>1107</v>
      </c>
    </row>
    <row r="8112" spans="1:9" x14ac:dyDescent="0.2">
      <c r="A8112" s="997">
        <f t="shared" si="126"/>
        <v>8111</v>
      </c>
      <c r="B8112" s="983" t="s">
        <v>2720</v>
      </c>
      <c r="C8112" s="999"/>
      <c r="I8112" s="983" t="s">
        <v>2260</v>
      </c>
    </row>
    <row r="8113" spans="1:9" x14ac:dyDescent="0.2">
      <c r="A8113" s="997">
        <f t="shared" si="126"/>
        <v>8112</v>
      </c>
      <c r="B8113" s="983" t="s">
        <v>2720</v>
      </c>
      <c r="C8113" s="999"/>
      <c r="H8113" s="983" t="s">
        <v>1108</v>
      </c>
    </row>
    <row r="8114" spans="1:9" x14ac:dyDescent="0.2">
      <c r="A8114" s="997">
        <f t="shared" si="126"/>
        <v>8113</v>
      </c>
      <c r="B8114" s="983" t="s">
        <v>2720</v>
      </c>
      <c r="C8114" s="1000"/>
      <c r="H8114" s="983" t="str">
        <f>CONCATENATE("&lt;valeur&gt;",Cellule_473,"&lt;/valeur&gt;")</f>
        <v>&lt;valeur&gt;&lt;/valeur&gt;</v>
      </c>
    </row>
    <row r="8115" spans="1:9" x14ac:dyDescent="0.2">
      <c r="A8115" s="997">
        <f t="shared" si="126"/>
        <v>8114</v>
      </c>
      <c r="B8115" s="983" t="s">
        <v>2720</v>
      </c>
      <c r="C8115" s="1001"/>
      <c r="G8115" s="983" t="s">
        <v>1109</v>
      </c>
    </row>
    <row r="8116" spans="1:9" x14ac:dyDescent="0.2">
      <c r="A8116" s="997">
        <f t="shared" si="126"/>
        <v>8115</v>
      </c>
      <c r="B8116" s="983" t="s">
        <v>2720</v>
      </c>
      <c r="C8116" s="1000"/>
      <c r="G8116" s="983" t="s">
        <v>1106</v>
      </c>
    </row>
    <row r="8117" spans="1:9" x14ac:dyDescent="0.2">
      <c r="A8117" s="997">
        <f t="shared" si="126"/>
        <v>8116</v>
      </c>
      <c r="B8117" s="983" t="s">
        <v>2720</v>
      </c>
      <c r="C8117" s="1000"/>
      <c r="H8117" s="983" t="s">
        <v>1107</v>
      </c>
    </row>
    <row r="8118" spans="1:9" x14ac:dyDescent="0.2">
      <c r="A8118" s="997">
        <f t="shared" si="126"/>
        <v>8117</v>
      </c>
      <c r="B8118" s="983" t="s">
        <v>2720</v>
      </c>
      <c r="C8118" s="999"/>
      <c r="I8118" s="983" t="s">
        <v>2261</v>
      </c>
    </row>
    <row r="8119" spans="1:9" x14ac:dyDescent="0.2">
      <c r="A8119" s="997">
        <f t="shared" si="126"/>
        <v>8118</v>
      </c>
      <c r="B8119" s="983" t="s">
        <v>2720</v>
      </c>
      <c r="C8119" s="999"/>
      <c r="H8119" s="983" t="s">
        <v>1108</v>
      </c>
    </row>
    <row r="8120" spans="1:9" x14ac:dyDescent="0.2">
      <c r="A8120" s="997">
        <f t="shared" si="126"/>
        <v>8119</v>
      </c>
      <c r="B8120" s="983" t="s">
        <v>2720</v>
      </c>
      <c r="C8120" s="1000"/>
      <c r="H8120" s="983" t="str">
        <f>CONCATENATE("&lt;valeur&gt;",Cellule_475,"&lt;/valeur&gt;")</f>
        <v>&lt;valeur&gt;&lt;/valeur&gt;</v>
      </c>
    </row>
    <row r="8121" spans="1:9" x14ac:dyDescent="0.2">
      <c r="A8121" s="997">
        <f t="shared" si="126"/>
        <v>8120</v>
      </c>
      <c r="B8121" s="983" t="s">
        <v>2720</v>
      </c>
      <c r="C8121" s="1001"/>
      <c r="G8121" s="983" t="s">
        <v>1109</v>
      </c>
    </row>
    <row r="8122" spans="1:9" x14ac:dyDescent="0.2">
      <c r="A8122" s="997">
        <f t="shared" si="126"/>
        <v>8121</v>
      </c>
      <c r="B8122" s="983" t="s">
        <v>2720</v>
      </c>
      <c r="C8122" s="1000"/>
      <c r="G8122" s="983" t="s">
        <v>1106</v>
      </c>
    </row>
    <row r="8123" spans="1:9" x14ac:dyDescent="0.2">
      <c r="A8123" s="997">
        <f t="shared" si="126"/>
        <v>8122</v>
      </c>
      <c r="B8123" s="983" t="s">
        <v>2720</v>
      </c>
      <c r="C8123" s="1000"/>
      <c r="H8123" s="983" t="s">
        <v>1107</v>
      </c>
    </row>
    <row r="8124" spans="1:9" x14ac:dyDescent="0.2">
      <c r="A8124" s="997">
        <f t="shared" si="126"/>
        <v>8123</v>
      </c>
      <c r="B8124" s="983" t="s">
        <v>2720</v>
      </c>
      <c r="C8124" s="999"/>
      <c r="I8124" s="983" t="s">
        <v>2262</v>
      </c>
    </row>
    <row r="8125" spans="1:9" x14ac:dyDescent="0.2">
      <c r="A8125" s="997">
        <f t="shared" si="126"/>
        <v>8124</v>
      </c>
      <c r="B8125" s="983" t="s">
        <v>2720</v>
      </c>
      <c r="C8125" s="999"/>
      <c r="H8125" s="983" t="s">
        <v>1108</v>
      </c>
    </row>
    <row r="8126" spans="1:9" x14ac:dyDescent="0.2">
      <c r="A8126" s="997">
        <f t="shared" si="126"/>
        <v>8125</v>
      </c>
      <c r="B8126" s="983" t="s">
        <v>2720</v>
      </c>
      <c r="C8126" s="1000"/>
      <c r="H8126" s="983" t="str">
        <f>CONCATENATE("&lt;valeur&gt;",Cellule_477,"&lt;/valeur&gt;")</f>
        <v>&lt;valeur&gt;&lt;/valeur&gt;</v>
      </c>
    </row>
    <row r="8127" spans="1:9" x14ac:dyDescent="0.2">
      <c r="A8127" s="997">
        <f t="shared" si="126"/>
        <v>8126</v>
      </c>
      <c r="B8127" s="983" t="s">
        <v>2720</v>
      </c>
      <c r="C8127" s="1001"/>
      <c r="G8127" s="983" t="s">
        <v>1109</v>
      </c>
    </row>
    <row r="8128" spans="1:9" x14ac:dyDescent="0.2">
      <c r="A8128" s="997">
        <f t="shared" si="126"/>
        <v>8127</v>
      </c>
      <c r="B8128" s="983" t="s">
        <v>2720</v>
      </c>
      <c r="C8128" s="1000"/>
      <c r="G8128" s="983" t="s">
        <v>1106</v>
      </c>
    </row>
    <row r="8129" spans="1:9" x14ac:dyDescent="0.2">
      <c r="A8129" s="997">
        <f t="shared" si="126"/>
        <v>8128</v>
      </c>
      <c r="B8129" s="983" t="s">
        <v>2720</v>
      </c>
      <c r="C8129" s="1000"/>
      <c r="H8129" s="983" t="s">
        <v>1107</v>
      </c>
    </row>
    <row r="8130" spans="1:9" x14ac:dyDescent="0.2">
      <c r="A8130" s="997">
        <f t="shared" si="126"/>
        <v>8129</v>
      </c>
      <c r="B8130" s="983" t="s">
        <v>2720</v>
      </c>
      <c r="C8130" s="999"/>
      <c r="I8130" s="983" t="s">
        <v>2263</v>
      </c>
    </row>
    <row r="8131" spans="1:9" x14ac:dyDescent="0.2">
      <c r="A8131" s="997">
        <f t="shared" si="126"/>
        <v>8130</v>
      </c>
      <c r="B8131" s="983" t="s">
        <v>2720</v>
      </c>
      <c r="C8131" s="999"/>
      <c r="H8131" s="983" t="s">
        <v>1108</v>
      </c>
    </row>
    <row r="8132" spans="1:9" x14ac:dyDescent="0.2">
      <c r="A8132" s="997">
        <f t="shared" ref="A8132:A8195" si="127">+A8131+1</f>
        <v>8131</v>
      </c>
      <c r="B8132" s="983" t="s">
        <v>2720</v>
      </c>
      <c r="C8132" s="1000"/>
      <c r="H8132" s="983" t="str">
        <f>CONCATENATE("&lt;valeur&gt;",Cellule_479,"&lt;/valeur&gt;")</f>
        <v>&lt;valeur&gt;&lt;/valeur&gt;</v>
      </c>
    </row>
    <row r="8133" spans="1:9" x14ac:dyDescent="0.2">
      <c r="A8133" s="997">
        <f t="shared" si="127"/>
        <v>8132</v>
      </c>
      <c r="B8133" s="983" t="s">
        <v>2720</v>
      </c>
      <c r="C8133" s="1001"/>
      <c r="G8133" s="983" t="s">
        <v>1109</v>
      </c>
    </row>
    <row r="8134" spans="1:9" x14ac:dyDescent="0.2">
      <c r="A8134" s="997">
        <f t="shared" si="127"/>
        <v>8133</v>
      </c>
      <c r="B8134" s="983" t="s">
        <v>2720</v>
      </c>
      <c r="C8134" s="1000"/>
      <c r="G8134" s="983" t="s">
        <v>1106</v>
      </c>
    </row>
    <row r="8135" spans="1:9" x14ac:dyDescent="0.2">
      <c r="A8135" s="997">
        <f t="shared" si="127"/>
        <v>8134</v>
      </c>
      <c r="B8135" s="983" t="s">
        <v>2720</v>
      </c>
      <c r="C8135" s="1000"/>
      <c r="H8135" s="983" t="s">
        <v>1107</v>
      </c>
    </row>
    <row r="8136" spans="1:9" x14ac:dyDescent="0.2">
      <c r="A8136" s="997">
        <f t="shared" si="127"/>
        <v>8135</v>
      </c>
      <c r="B8136" s="983" t="s">
        <v>2720</v>
      </c>
      <c r="C8136" s="999"/>
      <c r="I8136" s="983" t="s">
        <v>2264</v>
      </c>
    </row>
    <row r="8137" spans="1:9" x14ac:dyDescent="0.2">
      <c r="A8137" s="997">
        <f t="shared" si="127"/>
        <v>8136</v>
      </c>
      <c r="B8137" s="983" t="s">
        <v>2720</v>
      </c>
      <c r="C8137" s="999"/>
      <c r="H8137" s="983" t="s">
        <v>1108</v>
      </c>
    </row>
    <row r="8138" spans="1:9" x14ac:dyDescent="0.2">
      <c r="A8138" s="997">
        <f t="shared" si="127"/>
        <v>8137</v>
      </c>
      <c r="B8138" s="983" t="s">
        <v>2720</v>
      </c>
      <c r="C8138" s="1000"/>
      <c r="H8138" s="983" t="str">
        <f>CONCATENATE("&lt;valeur&gt;",Cellule_481,"&lt;/valeur&gt;")</f>
        <v>&lt;valeur&gt;0&lt;/valeur&gt;</v>
      </c>
    </row>
    <row r="8139" spans="1:9" x14ac:dyDescent="0.2">
      <c r="A8139" s="997">
        <f t="shared" si="127"/>
        <v>8138</v>
      </c>
      <c r="B8139" s="983" t="s">
        <v>2720</v>
      </c>
      <c r="C8139" s="1001"/>
      <c r="G8139" s="983" t="s">
        <v>1109</v>
      </c>
    </row>
    <row r="8140" spans="1:9" x14ac:dyDescent="0.2">
      <c r="A8140" s="997">
        <f t="shared" si="127"/>
        <v>8139</v>
      </c>
      <c r="B8140" s="983" t="s">
        <v>2720</v>
      </c>
      <c r="C8140" s="1000"/>
      <c r="G8140" s="983" t="s">
        <v>1106</v>
      </c>
    </row>
    <row r="8141" spans="1:9" x14ac:dyDescent="0.2">
      <c r="A8141" s="997">
        <f t="shared" si="127"/>
        <v>8140</v>
      </c>
      <c r="B8141" s="983" t="s">
        <v>2720</v>
      </c>
      <c r="C8141" s="1000"/>
      <c r="H8141" s="983" t="s">
        <v>1107</v>
      </c>
    </row>
    <row r="8142" spans="1:9" x14ac:dyDescent="0.2">
      <c r="A8142" s="997">
        <f t="shared" si="127"/>
        <v>8141</v>
      </c>
      <c r="B8142" s="983" t="s">
        <v>2720</v>
      </c>
      <c r="C8142" s="999"/>
      <c r="I8142" s="983" t="s">
        <v>2265</v>
      </c>
    </row>
    <row r="8143" spans="1:9" x14ac:dyDescent="0.2">
      <c r="A8143" s="997">
        <f t="shared" si="127"/>
        <v>8142</v>
      </c>
      <c r="B8143" s="983" t="s">
        <v>2720</v>
      </c>
      <c r="C8143" s="999"/>
      <c r="H8143" s="983" t="s">
        <v>1108</v>
      </c>
    </row>
    <row r="8144" spans="1:9" x14ac:dyDescent="0.2">
      <c r="A8144" s="997">
        <f t="shared" si="127"/>
        <v>8143</v>
      </c>
      <c r="B8144" s="983" t="s">
        <v>2720</v>
      </c>
      <c r="C8144" s="1000"/>
      <c r="H8144" s="983" t="str">
        <f>CONCATENATE("&lt;valeur&gt;",Cellule_483,"&lt;/valeur&gt;")</f>
        <v>&lt;valeur&gt;&lt;/valeur&gt;</v>
      </c>
    </row>
    <row r="8145" spans="1:9" x14ac:dyDescent="0.2">
      <c r="A8145" s="997">
        <f t="shared" si="127"/>
        <v>8144</v>
      </c>
      <c r="B8145" s="983" t="s">
        <v>2720</v>
      </c>
      <c r="C8145" s="1001"/>
      <c r="G8145" s="983" t="s">
        <v>1109</v>
      </c>
    </row>
    <row r="8146" spans="1:9" x14ac:dyDescent="0.2">
      <c r="A8146" s="997">
        <f t="shared" si="127"/>
        <v>8145</v>
      </c>
      <c r="B8146" s="983" t="s">
        <v>2720</v>
      </c>
      <c r="C8146" s="1000"/>
      <c r="G8146" s="983" t="s">
        <v>1106</v>
      </c>
    </row>
    <row r="8147" spans="1:9" x14ac:dyDescent="0.2">
      <c r="A8147" s="997">
        <f t="shared" si="127"/>
        <v>8146</v>
      </c>
      <c r="B8147" s="983" t="s">
        <v>2720</v>
      </c>
      <c r="C8147" s="1000"/>
      <c r="H8147" s="983" t="s">
        <v>1107</v>
      </c>
    </row>
    <row r="8148" spans="1:9" x14ac:dyDescent="0.2">
      <c r="A8148" s="997">
        <f t="shared" si="127"/>
        <v>8147</v>
      </c>
      <c r="B8148" s="983" t="s">
        <v>2720</v>
      </c>
      <c r="C8148" s="999"/>
      <c r="I8148" s="983" t="s">
        <v>2266</v>
      </c>
    </row>
    <row r="8149" spans="1:9" x14ac:dyDescent="0.2">
      <c r="A8149" s="997">
        <f t="shared" si="127"/>
        <v>8148</v>
      </c>
      <c r="B8149" s="983" t="s">
        <v>2720</v>
      </c>
      <c r="C8149" s="999"/>
      <c r="H8149" s="983" t="s">
        <v>1108</v>
      </c>
    </row>
    <row r="8150" spans="1:9" x14ac:dyDescent="0.2">
      <c r="A8150" s="997">
        <f t="shared" si="127"/>
        <v>8149</v>
      </c>
      <c r="B8150" s="983" t="s">
        <v>2720</v>
      </c>
      <c r="C8150" s="1000"/>
      <c r="H8150" s="983" t="str">
        <f>CONCATENATE("&lt;valeur&gt;",Cellule_485,"&lt;/valeur&gt;")</f>
        <v>&lt;valeur&gt;&lt;/valeur&gt;</v>
      </c>
    </row>
    <row r="8151" spans="1:9" x14ac:dyDescent="0.2">
      <c r="A8151" s="997">
        <f t="shared" si="127"/>
        <v>8150</v>
      </c>
      <c r="B8151" s="983" t="s">
        <v>2720</v>
      </c>
      <c r="C8151" s="1001"/>
      <c r="G8151" s="983" t="s">
        <v>1109</v>
      </c>
    </row>
    <row r="8152" spans="1:9" x14ac:dyDescent="0.2">
      <c r="A8152" s="997">
        <f t="shared" si="127"/>
        <v>8151</v>
      </c>
      <c r="B8152" s="983" t="s">
        <v>2720</v>
      </c>
      <c r="C8152" s="1000"/>
      <c r="G8152" s="983" t="s">
        <v>1106</v>
      </c>
    </row>
    <row r="8153" spans="1:9" x14ac:dyDescent="0.2">
      <c r="A8153" s="997">
        <f t="shared" si="127"/>
        <v>8152</v>
      </c>
      <c r="B8153" s="983" t="s">
        <v>2720</v>
      </c>
      <c r="C8153" s="1000"/>
      <c r="H8153" s="983" t="s">
        <v>1107</v>
      </c>
    </row>
    <row r="8154" spans="1:9" x14ac:dyDescent="0.2">
      <c r="A8154" s="997">
        <f t="shared" si="127"/>
        <v>8153</v>
      </c>
      <c r="B8154" s="983" t="s">
        <v>2720</v>
      </c>
      <c r="C8154" s="999"/>
      <c r="I8154" s="983" t="s">
        <v>2267</v>
      </c>
    </row>
    <row r="8155" spans="1:9" x14ac:dyDescent="0.2">
      <c r="A8155" s="997">
        <f t="shared" si="127"/>
        <v>8154</v>
      </c>
      <c r="B8155" s="983" t="s">
        <v>2720</v>
      </c>
      <c r="C8155" s="999"/>
      <c r="H8155" s="983" t="s">
        <v>1108</v>
      </c>
    </row>
    <row r="8156" spans="1:9" x14ac:dyDescent="0.2">
      <c r="A8156" s="997">
        <f t="shared" si="127"/>
        <v>8155</v>
      </c>
      <c r="B8156" s="983" t="s">
        <v>2720</v>
      </c>
      <c r="C8156" s="1000"/>
      <c r="H8156" s="983" t="str">
        <f>CONCATENATE("&lt;valeur&gt;",Cellule_487,"&lt;/valeur&gt;")</f>
        <v>&lt;valeur&gt;&lt;/valeur&gt;</v>
      </c>
    </row>
    <row r="8157" spans="1:9" x14ac:dyDescent="0.2">
      <c r="A8157" s="997">
        <f t="shared" si="127"/>
        <v>8156</v>
      </c>
      <c r="B8157" s="983" t="s">
        <v>2720</v>
      </c>
      <c r="C8157" s="1001"/>
      <c r="G8157" s="983" t="s">
        <v>1109</v>
      </c>
    </row>
    <row r="8158" spans="1:9" x14ac:dyDescent="0.2">
      <c r="A8158" s="997">
        <f t="shared" si="127"/>
        <v>8157</v>
      </c>
      <c r="B8158" s="983" t="s">
        <v>2720</v>
      </c>
      <c r="C8158" s="1000"/>
      <c r="G8158" s="983" t="s">
        <v>1106</v>
      </c>
    </row>
    <row r="8159" spans="1:9" x14ac:dyDescent="0.2">
      <c r="A8159" s="997">
        <f t="shared" si="127"/>
        <v>8158</v>
      </c>
      <c r="B8159" s="983" t="s">
        <v>2720</v>
      </c>
      <c r="C8159" s="1000"/>
      <c r="H8159" s="983" t="s">
        <v>1107</v>
      </c>
    </row>
    <row r="8160" spans="1:9" x14ac:dyDescent="0.2">
      <c r="A8160" s="997">
        <f t="shared" si="127"/>
        <v>8159</v>
      </c>
      <c r="B8160" s="983" t="s">
        <v>2720</v>
      </c>
      <c r="C8160" s="999"/>
      <c r="I8160" s="983" t="s">
        <v>2268</v>
      </c>
    </row>
    <row r="8161" spans="1:9" x14ac:dyDescent="0.2">
      <c r="A8161" s="997">
        <f t="shared" si="127"/>
        <v>8160</v>
      </c>
      <c r="B8161" s="983" t="s">
        <v>2720</v>
      </c>
      <c r="C8161" s="999"/>
      <c r="H8161" s="983" t="s">
        <v>1108</v>
      </c>
    </row>
    <row r="8162" spans="1:9" x14ac:dyDescent="0.2">
      <c r="A8162" s="997">
        <f t="shared" si="127"/>
        <v>8161</v>
      </c>
      <c r="B8162" s="983" t="s">
        <v>2720</v>
      </c>
      <c r="C8162" s="1000"/>
      <c r="H8162" s="983" t="str">
        <f>CONCATENATE("&lt;valeur&gt;",Cellule_489,"&lt;/valeur&gt;")</f>
        <v>&lt;valeur&gt;&lt;/valeur&gt;</v>
      </c>
    </row>
    <row r="8163" spans="1:9" x14ac:dyDescent="0.2">
      <c r="A8163" s="997">
        <f t="shared" si="127"/>
        <v>8162</v>
      </c>
      <c r="B8163" s="983" t="s">
        <v>2720</v>
      </c>
      <c r="C8163" s="1001"/>
      <c r="G8163" s="983" t="s">
        <v>1109</v>
      </c>
    </row>
    <row r="8164" spans="1:9" x14ac:dyDescent="0.2">
      <c r="A8164" s="997">
        <f t="shared" si="127"/>
        <v>8163</v>
      </c>
      <c r="B8164" s="983" t="s">
        <v>2720</v>
      </c>
      <c r="C8164" s="1000"/>
      <c r="G8164" s="983" t="s">
        <v>1106</v>
      </c>
    </row>
    <row r="8165" spans="1:9" x14ac:dyDescent="0.2">
      <c r="A8165" s="997">
        <f t="shared" si="127"/>
        <v>8164</v>
      </c>
      <c r="B8165" s="983" t="s">
        <v>2720</v>
      </c>
      <c r="C8165" s="1000"/>
      <c r="H8165" s="983" t="s">
        <v>1107</v>
      </c>
    </row>
    <row r="8166" spans="1:9" x14ac:dyDescent="0.2">
      <c r="A8166" s="997">
        <f t="shared" si="127"/>
        <v>8165</v>
      </c>
      <c r="B8166" s="983" t="s">
        <v>2720</v>
      </c>
      <c r="C8166" s="999"/>
      <c r="I8166" s="983" t="s">
        <v>2269</v>
      </c>
    </row>
    <row r="8167" spans="1:9" x14ac:dyDescent="0.2">
      <c r="A8167" s="997">
        <f t="shared" si="127"/>
        <v>8166</v>
      </c>
      <c r="B8167" s="983" t="s">
        <v>2720</v>
      </c>
      <c r="C8167" s="999"/>
      <c r="H8167" s="983" t="s">
        <v>1108</v>
      </c>
    </row>
    <row r="8168" spans="1:9" x14ac:dyDescent="0.2">
      <c r="A8168" s="997">
        <f t="shared" si="127"/>
        <v>8167</v>
      </c>
      <c r="B8168" s="983" t="s">
        <v>2720</v>
      </c>
      <c r="C8168" s="1000"/>
      <c r="H8168" s="983" t="str">
        <f>CONCATENATE("&lt;valeur&gt;",Cellule_491,"&lt;/valeur&gt;")</f>
        <v>&lt;valeur&gt;&lt;/valeur&gt;</v>
      </c>
    </row>
    <row r="8169" spans="1:9" x14ac:dyDescent="0.2">
      <c r="A8169" s="997">
        <f t="shared" si="127"/>
        <v>8168</v>
      </c>
      <c r="B8169" s="983" t="s">
        <v>2720</v>
      </c>
      <c r="C8169" s="1001"/>
      <c r="G8169" s="983" t="s">
        <v>1109</v>
      </c>
    </row>
    <row r="8170" spans="1:9" x14ac:dyDescent="0.2">
      <c r="A8170" s="997">
        <f t="shared" si="127"/>
        <v>8169</v>
      </c>
      <c r="B8170" s="983" t="s">
        <v>2720</v>
      </c>
      <c r="C8170" s="1000"/>
      <c r="G8170" s="983" t="s">
        <v>1106</v>
      </c>
    </row>
    <row r="8171" spans="1:9" x14ac:dyDescent="0.2">
      <c r="A8171" s="997">
        <f t="shared" si="127"/>
        <v>8170</v>
      </c>
      <c r="B8171" s="983" t="s">
        <v>2720</v>
      </c>
      <c r="C8171" s="1000"/>
      <c r="H8171" s="983" t="s">
        <v>1107</v>
      </c>
    </row>
    <row r="8172" spans="1:9" x14ac:dyDescent="0.2">
      <c r="A8172" s="997">
        <f t="shared" si="127"/>
        <v>8171</v>
      </c>
      <c r="B8172" s="983" t="s">
        <v>2720</v>
      </c>
      <c r="C8172" s="999"/>
      <c r="I8172" s="983" t="s">
        <v>2270</v>
      </c>
    </row>
    <row r="8173" spans="1:9" x14ac:dyDescent="0.2">
      <c r="A8173" s="997">
        <f t="shared" si="127"/>
        <v>8172</v>
      </c>
      <c r="B8173" s="983" t="s">
        <v>2720</v>
      </c>
      <c r="C8173" s="999"/>
      <c r="H8173" s="983" t="s">
        <v>1108</v>
      </c>
    </row>
    <row r="8174" spans="1:9" x14ac:dyDescent="0.2">
      <c r="A8174" s="997">
        <f t="shared" si="127"/>
        <v>8173</v>
      </c>
      <c r="B8174" s="983" t="s">
        <v>2720</v>
      </c>
      <c r="C8174" s="1000"/>
      <c r="H8174" s="983" t="str">
        <f>CONCATENATE("&lt;valeur&gt;",Cellule_493,"&lt;/valeur&gt;")</f>
        <v>&lt;valeur&gt;&lt;/valeur&gt;</v>
      </c>
    </row>
    <row r="8175" spans="1:9" x14ac:dyDescent="0.2">
      <c r="A8175" s="997">
        <f t="shared" si="127"/>
        <v>8174</v>
      </c>
      <c r="B8175" s="983" t="s">
        <v>2720</v>
      </c>
      <c r="C8175" s="1001"/>
      <c r="G8175" s="983" t="s">
        <v>1109</v>
      </c>
    </row>
    <row r="8176" spans="1:9" x14ac:dyDescent="0.2">
      <c r="A8176" s="997">
        <f t="shared" si="127"/>
        <v>8175</v>
      </c>
      <c r="B8176" s="983" t="s">
        <v>2720</v>
      </c>
      <c r="C8176" s="1000"/>
      <c r="G8176" s="983" t="s">
        <v>1106</v>
      </c>
    </row>
    <row r="8177" spans="1:9" x14ac:dyDescent="0.2">
      <c r="A8177" s="997">
        <f t="shared" si="127"/>
        <v>8176</v>
      </c>
      <c r="B8177" s="983" t="s">
        <v>2720</v>
      </c>
      <c r="C8177" s="1000"/>
      <c r="H8177" s="983" t="s">
        <v>1107</v>
      </c>
    </row>
    <row r="8178" spans="1:9" x14ac:dyDescent="0.2">
      <c r="A8178" s="997">
        <f t="shared" si="127"/>
        <v>8177</v>
      </c>
      <c r="B8178" s="983" t="s">
        <v>2720</v>
      </c>
      <c r="C8178" s="999"/>
      <c r="I8178" s="983" t="s">
        <v>2271</v>
      </c>
    </row>
    <row r="8179" spans="1:9" x14ac:dyDescent="0.2">
      <c r="A8179" s="997">
        <f t="shared" si="127"/>
        <v>8178</v>
      </c>
      <c r="B8179" s="983" t="s">
        <v>2720</v>
      </c>
      <c r="C8179" s="999"/>
      <c r="H8179" s="983" t="s">
        <v>1108</v>
      </c>
    </row>
    <row r="8180" spans="1:9" x14ac:dyDescent="0.2">
      <c r="A8180" s="997">
        <f t="shared" si="127"/>
        <v>8179</v>
      </c>
      <c r="B8180" s="983" t="s">
        <v>2720</v>
      </c>
      <c r="C8180" s="1000"/>
      <c r="H8180" s="983" t="str">
        <f>CONCATENATE("&lt;valeur&gt;",Cellule_495,"&lt;/valeur&gt;")</f>
        <v>&lt;valeur&gt;0&lt;/valeur&gt;</v>
      </c>
    </row>
    <row r="8181" spans="1:9" x14ac:dyDescent="0.2">
      <c r="A8181" s="997">
        <f t="shared" si="127"/>
        <v>8180</v>
      </c>
      <c r="B8181" s="983" t="s">
        <v>2720</v>
      </c>
      <c r="C8181" s="1001"/>
      <c r="G8181" s="983" t="s">
        <v>1109</v>
      </c>
    </row>
    <row r="8182" spans="1:9" x14ac:dyDescent="0.2">
      <c r="A8182" s="997">
        <f t="shared" si="127"/>
        <v>8181</v>
      </c>
      <c r="B8182" s="983" t="s">
        <v>2720</v>
      </c>
      <c r="C8182" s="1000"/>
      <c r="F8182" s="983" t="s">
        <v>1110</v>
      </c>
    </row>
    <row r="8183" spans="1:9" x14ac:dyDescent="0.2">
      <c r="A8183" s="997">
        <f t="shared" si="127"/>
        <v>8182</v>
      </c>
      <c r="B8183" s="983" t="s">
        <v>2720</v>
      </c>
      <c r="C8183" s="999"/>
      <c r="F8183" s="983" t="s">
        <v>1111</v>
      </c>
    </row>
    <row r="8184" spans="1:9" x14ac:dyDescent="0.2">
      <c r="A8184" s="997">
        <f t="shared" si="127"/>
        <v>8183</v>
      </c>
      <c r="B8184" s="983" t="s">
        <v>2720</v>
      </c>
      <c r="C8184" s="999"/>
      <c r="F8184" s="983" t="s">
        <v>1112</v>
      </c>
    </row>
    <row r="8185" spans="1:9" x14ac:dyDescent="0.2">
      <c r="A8185" s="997">
        <f t="shared" si="127"/>
        <v>8184</v>
      </c>
      <c r="B8185" s="983" t="s">
        <v>2720</v>
      </c>
      <c r="C8185" s="1000"/>
      <c r="E8185" s="983" t="s">
        <v>1113</v>
      </c>
    </row>
    <row r="8186" spans="1:9" x14ac:dyDescent="0.2">
      <c r="A8186" s="997">
        <f t="shared" si="127"/>
        <v>8185</v>
      </c>
      <c r="B8186" s="983" t="s">
        <v>2721</v>
      </c>
      <c r="C8186" s="1001"/>
      <c r="E8186" s="983" t="s">
        <v>1104</v>
      </c>
    </row>
    <row r="8187" spans="1:9" x14ac:dyDescent="0.2">
      <c r="A8187" s="997">
        <f t="shared" si="127"/>
        <v>8186</v>
      </c>
      <c r="B8187" s="983" t="s">
        <v>2721</v>
      </c>
      <c r="C8187" s="1000"/>
      <c r="F8187" s="983" t="s">
        <v>2272</v>
      </c>
    </row>
    <row r="8188" spans="1:9" x14ac:dyDescent="0.2">
      <c r="A8188" s="997">
        <f t="shared" si="127"/>
        <v>8187</v>
      </c>
      <c r="B8188" s="983" t="s">
        <v>2721</v>
      </c>
      <c r="C8188" s="1000"/>
      <c r="F8188" s="983" t="s">
        <v>1105</v>
      </c>
    </row>
    <row r="8189" spans="1:9" x14ac:dyDescent="0.2">
      <c r="A8189" s="997">
        <f t="shared" si="127"/>
        <v>8188</v>
      </c>
      <c r="B8189" s="983" t="s">
        <v>2721</v>
      </c>
      <c r="C8189" s="999"/>
      <c r="G8189" s="983" t="s">
        <v>1106</v>
      </c>
    </row>
    <row r="8190" spans="1:9" x14ac:dyDescent="0.2">
      <c r="A8190" s="997">
        <f t="shared" si="127"/>
        <v>8189</v>
      </c>
      <c r="B8190" s="983" t="s">
        <v>2721</v>
      </c>
      <c r="C8190" s="998"/>
      <c r="H8190" s="983" t="s">
        <v>1107</v>
      </c>
    </row>
    <row r="8191" spans="1:9" x14ac:dyDescent="0.2">
      <c r="A8191" s="997">
        <f t="shared" si="127"/>
        <v>8190</v>
      </c>
      <c r="B8191" s="983" t="s">
        <v>2721</v>
      </c>
      <c r="C8191" s="998"/>
      <c r="I8191" s="983" t="s">
        <v>2273</v>
      </c>
    </row>
    <row r="8192" spans="1:9" x14ac:dyDescent="0.2">
      <c r="A8192" s="997">
        <f t="shared" si="127"/>
        <v>8191</v>
      </c>
      <c r="B8192" s="983" t="s">
        <v>2721</v>
      </c>
      <c r="C8192" s="995"/>
      <c r="H8192" s="983" t="s">
        <v>1108</v>
      </c>
    </row>
    <row r="8193" spans="1:9" x14ac:dyDescent="0.2">
      <c r="A8193" s="997">
        <f t="shared" si="127"/>
        <v>8192</v>
      </c>
      <c r="B8193" s="983" t="s">
        <v>2721</v>
      </c>
      <c r="C8193" s="995"/>
      <c r="H8193" s="983" t="str">
        <f>CONCATENATE("&lt;valeur&gt;",Cellule_873,"&lt;/valeur&gt;")</f>
        <v>&lt;valeur&gt;&lt;/valeur&gt;</v>
      </c>
    </row>
    <row r="8194" spans="1:9" x14ac:dyDescent="0.2">
      <c r="A8194" s="997">
        <f t="shared" si="127"/>
        <v>8193</v>
      </c>
      <c r="B8194" s="983" t="s">
        <v>2721</v>
      </c>
      <c r="C8194" s="998"/>
      <c r="G8194" s="983" t="s">
        <v>1109</v>
      </c>
    </row>
    <row r="8195" spans="1:9" x14ac:dyDescent="0.2">
      <c r="A8195" s="997">
        <f t="shared" si="127"/>
        <v>8194</v>
      </c>
      <c r="B8195" s="983" t="s">
        <v>2721</v>
      </c>
      <c r="C8195" s="999"/>
      <c r="G8195" s="983" t="s">
        <v>1106</v>
      </c>
    </row>
    <row r="8196" spans="1:9" x14ac:dyDescent="0.2">
      <c r="A8196" s="997">
        <f t="shared" ref="A8196:A8259" si="128">+A8195+1</f>
        <v>8195</v>
      </c>
      <c r="B8196" s="983" t="s">
        <v>2721</v>
      </c>
      <c r="C8196" s="998"/>
      <c r="H8196" s="983" t="s">
        <v>1107</v>
      </c>
    </row>
    <row r="8197" spans="1:9" x14ac:dyDescent="0.2">
      <c r="A8197" s="997">
        <f t="shared" si="128"/>
        <v>8196</v>
      </c>
      <c r="B8197" s="983" t="s">
        <v>2721</v>
      </c>
      <c r="C8197" s="998"/>
      <c r="I8197" s="983" t="s">
        <v>2274</v>
      </c>
    </row>
    <row r="8198" spans="1:9" x14ac:dyDescent="0.2">
      <c r="A8198" s="997">
        <f t="shared" si="128"/>
        <v>8197</v>
      </c>
      <c r="B8198" s="983" t="s">
        <v>2721</v>
      </c>
      <c r="C8198" s="999"/>
      <c r="H8198" s="983" t="s">
        <v>1108</v>
      </c>
    </row>
    <row r="8199" spans="1:9" x14ac:dyDescent="0.2">
      <c r="A8199" s="997">
        <f t="shared" si="128"/>
        <v>8198</v>
      </c>
      <c r="B8199" s="983" t="s">
        <v>2721</v>
      </c>
      <c r="C8199" s="1000"/>
      <c r="H8199" s="983" t="str">
        <f>CONCATENATE("&lt;valeur&gt;",Cellule_877,"&lt;/valeur&gt;")</f>
        <v>&lt;valeur&gt;&lt;/valeur&gt;</v>
      </c>
    </row>
    <row r="8200" spans="1:9" x14ac:dyDescent="0.2">
      <c r="A8200" s="997">
        <f t="shared" si="128"/>
        <v>8199</v>
      </c>
      <c r="B8200" s="983" t="s">
        <v>2721</v>
      </c>
      <c r="C8200" s="1001"/>
      <c r="G8200" s="983" t="s">
        <v>1109</v>
      </c>
    </row>
    <row r="8201" spans="1:9" x14ac:dyDescent="0.2">
      <c r="A8201" s="997">
        <f t="shared" si="128"/>
        <v>8200</v>
      </c>
      <c r="B8201" s="983" t="s">
        <v>2721</v>
      </c>
      <c r="C8201" s="1000"/>
      <c r="G8201" s="983" t="s">
        <v>1106</v>
      </c>
    </row>
    <row r="8202" spans="1:9" x14ac:dyDescent="0.2">
      <c r="A8202" s="997">
        <f t="shared" si="128"/>
        <v>8201</v>
      </c>
      <c r="B8202" s="983" t="s">
        <v>2721</v>
      </c>
      <c r="C8202" s="1000"/>
      <c r="H8202" s="983" t="s">
        <v>1107</v>
      </c>
    </row>
    <row r="8203" spans="1:9" x14ac:dyDescent="0.2">
      <c r="A8203" s="997">
        <f t="shared" si="128"/>
        <v>8202</v>
      </c>
      <c r="B8203" s="983" t="s">
        <v>2721</v>
      </c>
      <c r="C8203" s="999"/>
      <c r="I8203" s="983" t="s">
        <v>2275</v>
      </c>
    </row>
    <row r="8204" spans="1:9" x14ac:dyDescent="0.2">
      <c r="A8204" s="997">
        <f t="shared" si="128"/>
        <v>8203</v>
      </c>
      <c r="B8204" s="983" t="s">
        <v>2721</v>
      </c>
      <c r="C8204" s="999"/>
      <c r="H8204" s="983" t="s">
        <v>1108</v>
      </c>
    </row>
    <row r="8205" spans="1:9" x14ac:dyDescent="0.2">
      <c r="A8205" s="997">
        <f t="shared" si="128"/>
        <v>8204</v>
      </c>
      <c r="B8205" s="983" t="s">
        <v>2721</v>
      </c>
      <c r="C8205" s="1000"/>
      <c r="H8205" s="983" t="str">
        <f>CONCATENATE("&lt;valeur&gt;",Cellule_881,"&lt;/valeur&gt;")</f>
        <v>&lt;valeur&gt;&lt;/valeur&gt;</v>
      </c>
    </row>
    <row r="8206" spans="1:9" x14ac:dyDescent="0.2">
      <c r="A8206" s="997">
        <f t="shared" si="128"/>
        <v>8205</v>
      </c>
      <c r="B8206" s="983" t="s">
        <v>2721</v>
      </c>
      <c r="C8206" s="1001"/>
      <c r="G8206" s="983" t="s">
        <v>1109</v>
      </c>
    </row>
    <row r="8207" spans="1:9" x14ac:dyDescent="0.2">
      <c r="A8207" s="997">
        <f t="shared" si="128"/>
        <v>8206</v>
      </c>
      <c r="B8207" s="983" t="s">
        <v>2721</v>
      </c>
      <c r="C8207" s="1000"/>
      <c r="G8207" s="983" t="s">
        <v>1106</v>
      </c>
    </row>
    <row r="8208" spans="1:9" x14ac:dyDescent="0.2">
      <c r="A8208" s="997">
        <f t="shared" si="128"/>
        <v>8207</v>
      </c>
      <c r="B8208" s="983" t="s">
        <v>2721</v>
      </c>
      <c r="C8208" s="1000"/>
      <c r="H8208" s="983" t="s">
        <v>1107</v>
      </c>
    </row>
    <row r="8209" spans="1:9" x14ac:dyDescent="0.2">
      <c r="A8209" s="997">
        <f t="shared" si="128"/>
        <v>8208</v>
      </c>
      <c r="B8209" s="983" t="s">
        <v>2721</v>
      </c>
      <c r="C8209" s="999"/>
      <c r="I8209" s="983" t="s">
        <v>2276</v>
      </c>
    </row>
    <row r="8210" spans="1:9" x14ac:dyDescent="0.2">
      <c r="A8210" s="997">
        <f t="shared" si="128"/>
        <v>8209</v>
      </c>
      <c r="B8210" s="983" t="s">
        <v>2721</v>
      </c>
      <c r="C8210" s="999"/>
      <c r="H8210" s="983" t="s">
        <v>1108</v>
      </c>
    </row>
    <row r="8211" spans="1:9" x14ac:dyDescent="0.2">
      <c r="A8211" s="997">
        <f t="shared" si="128"/>
        <v>8210</v>
      </c>
      <c r="B8211" s="983" t="s">
        <v>2721</v>
      </c>
      <c r="C8211" s="1000"/>
      <c r="H8211" s="983" t="str">
        <f>CONCATENATE("&lt;valeur&gt;",Cellule_874,"&lt;/valeur&gt;")</f>
        <v>&lt;valeur&gt;&lt;/valeur&gt;</v>
      </c>
    </row>
    <row r="8212" spans="1:9" x14ac:dyDescent="0.2">
      <c r="A8212" s="997">
        <f t="shared" si="128"/>
        <v>8211</v>
      </c>
      <c r="B8212" s="983" t="s">
        <v>2721</v>
      </c>
      <c r="C8212" s="1001"/>
      <c r="G8212" s="983" t="s">
        <v>1109</v>
      </c>
    </row>
    <row r="8213" spans="1:9" x14ac:dyDescent="0.2">
      <c r="A8213" s="997">
        <f t="shared" si="128"/>
        <v>8212</v>
      </c>
      <c r="B8213" s="983" t="s">
        <v>2721</v>
      </c>
      <c r="C8213" s="1000"/>
      <c r="G8213" s="983" t="s">
        <v>1106</v>
      </c>
    </row>
    <row r="8214" spans="1:9" x14ac:dyDescent="0.2">
      <c r="A8214" s="997">
        <f t="shared" si="128"/>
        <v>8213</v>
      </c>
      <c r="B8214" s="983" t="s">
        <v>2721</v>
      </c>
      <c r="C8214" s="1000"/>
      <c r="H8214" s="983" t="s">
        <v>1107</v>
      </c>
    </row>
    <row r="8215" spans="1:9" x14ac:dyDescent="0.2">
      <c r="A8215" s="997">
        <f t="shared" si="128"/>
        <v>8214</v>
      </c>
      <c r="B8215" s="983" t="s">
        <v>2721</v>
      </c>
      <c r="C8215" s="999"/>
      <c r="I8215" s="983" t="s">
        <v>2277</v>
      </c>
    </row>
    <row r="8216" spans="1:9" x14ac:dyDescent="0.2">
      <c r="A8216" s="997">
        <f t="shared" si="128"/>
        <v>8215</v>
      </c>
      <c r="B8216" s="983" t="s">
        <v>2721</v>
      </c>
      <c r="C8216" s="999"/>
      <c r="H8216" s="983" t="s">
        <v>1108</v>
      </c>
    </row>
    <row r="8217" spans="1:9" x14ac:dyDescent="0.2">
      <c r="A8217" s="997">
        <f t="shared" si="128"/>
        <v>8216</v>
      </c>
      <c r="B8217" s="983" t="s">
        <v>2721</v>
      </c>
      <c r="C8217" s="1000"/>
      <c r="H8217" s="983" t="str">
        <f>CONCATENATE("&lt;valeur&gt;",Cellule_878,"&lt;/valeur&gt;")</f>
        <v>&lt;valeur&gt;&lt;/valeur&gt;</v>
      </c>
    </row>
    <row r="8218" spans="1:9" x14ac:dyDescent="0.2">
      <c r="A8218" s="997">
        <f t="shared" si="128"/>
        <v>8217</v>
      </c>
      <c r="B8218" s="983" t="s">
        <v>2721</v>
      </c>
      <c r="C8218" s="1001"/>
      <c r="G8218" s="983" t="s">
        <v>1109</v>
      </c>
    </row>
    <row r="8219" spans="1:9" x14ac:dyDescent="0.2">
      <c r="A8219" s="997">
        <f t="shared" si="128"/>
        <v>8218</v>
      </c>
      <c r="B8219" s="983" t="s">
        <v>2721</v>
      </c>
      <c r="C8219" s="1000"/>
      <c r="G8219" s="983" t="s">
        <v>1106</v>
      </c>
    </row>
    <row r="8220" spans="1:9" x14ac:dyDescent="0.2">
      <c r="A8220" s="997">
        <f t="shared" si="128"/>
        <v>8219</v>
      </c>
      <c r="B8220" s="983" t="s">
        <v>2721</v>
      </c>
      <c r="C8220" s="1000"/>
      <c r="H8220" s="983" t="s">
        <v>1107</v>
      </c>
    </row>
    <row r="8221" spans="1:9" x14ac:dyDescent="0.2">
      <c r="A8221" s="997">
        <f t="shared" si="128"/>
        <v>8220</v>
      </c>
      <c r="B8221" s="983" t="s">
        <v>2721</v>
      </c>
      <c r="C8221" s="999"/>
      <c r="I8221" s="983" t="s">
        <v>2278</v>
      </c>
    </row>
    <row r="8222" spans="1:9" x14ac:dyDescent="0.2">
      <c r="A8222" s="997">
        <f t="shared" si="128"/>
        <v>8221</v>
      </c>
      <c r="B8222" s="983" t="s">
        <v>2721</v>
      </c>
      <c r="C8222" s="999"/>
      <c r="H8222" s="983" t="s">
        <v>1108</v>
      </c>
    </row>
    <row r="8223" spans="1:9" x14ac:dyDescent="0.2">
      <c r="A8223" s="997">
        <f t="shared" si="128"/>
        <v>8222</v>
      </c>
      <c r="B8223" s="983" t="s">
        <v>2721</v>
      </c>
      <c r="C8223" s="1000"/>
      <c r="H8223" s="983" t="str">
        <f>CONCATENATE("&lt;valeur&gt;",Cellule_882,"&lt;/valeur&gt;")</f>
        <v>&lt;valeur&gt;&lt;/valeur&gt;</v>
      </c>
    </row>
    <row r="8224" spans="1:9" x14ac:dyDescent="0.2">
      <c r="A8224" s="997">
        <f t="shared" si="128"/>
        <v>8223</v>
      </c>
      <c r="B8224" s="983" t="s">
        <v>2721</v>
      </c>
      <c r="C8224" s="1001"/>
      <c r="G8224" s="983" t="s">
        <v>1109</v>
      </c>
    </row>
    <row r="8225" spans="1:9" x14ac:dyDescent="0.2">
      <c r="A8225" s="997">
        <f t="shared" si="128"/>
        <v>8224</v>
      </c>
      <c r="B8225" s="983" t="s">
        <v>2721</v>
      </c>
      <c r="C8225" s="1000"/>
      <c r="G8225" s="983" t="s">
        <v>1106</v>
      </c>
    </row>
    <row r="8226" spans="1:9" x14ac:dyDescent="0.2">
      <c r="A8226" s="997">
        <f t="shared" si="128"/>
        <v>8225</v>
      </c>
      <c r="B8226" s="983" t="s">
        <v>2721</v>
      </c>
      <c r="C8226" s="1000"/>
      <c r="H8226" s="983" t="s">
        <v>1107</v>
      </c>
    </row>
    <row r="8227" spans="1:9" x14ac:dyDescent="0.2">
      <c r="A8227" s="997">
        <f t="shared" si="128"/>
        <v>8226</v>
      </c>
      <c r="B8227" s="983" t="s">
        <v>2721</v>
      </c>
      <c r="C8227" s="999"/>
      <c r="I8227" s="983" t="s">
        <v>2279</v>
      </c>
    </row>
    <row r="8228" spans="1:9" x14ac:dyDescent="0.2">
      <c r="A8228" s="997">
        <f t="shared" si="128"/>
        <v>8227</v>
      </c>
      <c r="B8228" s="983" t="s">
        <v>2721</v>
      </c>
      <c r="C8228" s="999"/>
      <c r="H8228" s="983" t="s">
        <v>1108</v>
      </c>
    </row>
    <row r="8229" spans="1:9" x14ac:dyDescent="0.2">
      <c r="A8229" s="997">
        <f t="shared" si="128"/>
        <v>8228</v>
      </c>
      <c r="B8229" s="983" t="s">
        <v>2721</v>
      </c>
      <c r="C8229" s="1000"/>
      <c r="H8229" s="983" t="str">
        <f>CONCATENATE("&lt;valeur&gt;",Cellule_875,"&lt;/valeur&gt;")</f>
        <v>&lt;valeur&gt;&lt;/valeur&gt;</v>
      </c>
    </row>
    <row r="8230" spans="1:9" x14ac:dyDescent="0.2">
      <c r="A8230" s="997">
        <f t="shared" si="128"/>
        <v>8229</v>
      </c>
      <c r="B8230" s="983" t="s">
        <v>2721</v>
      </c>
      <c r="C8230" s="1001"/>
      <c r="G8230" s="983" t="s">
        <v>1109</v>
      </c>
    </row>
    <row r="8231" spans="1:9" x14ac:dyDescent="0.2">
      <c r="A8231" s="997">
        <f t="shared" si="128"/>
        <v>8230</v>
      </c>
      <c r="B8231" s="983" t="s">
        <v>2721</v>
      </c>
      <c r="C8231" s="1000"/>
      <c r="G8231" s="983" t="s">
        <v>1106</v>
      </c>
    </row>
    <row r="8232" spans="1:9" x14ac:dyDescent="0.2">
      <c r="A8232" s="997">
        <f t="shared" si="128"/>
        <v>8231</v>
      </c>
      <c r="B8232" s="983" t="s">
        <v>2721</v>
      </c>
      <c r="C8232" s="1000"/>
      <c r="H8232" s="983" t="s">
        <v>1107</v>
      </c>
    </row>
    <row r="8233" spans="1:9" x14ac:dyDescent="0.2">
      <c r="A8233" s="997">
        <f t="shared" si="128"/>
        <v>8232</v>
      </c>
      <c r="B8233" s="983" t="s">
        <v>2721</v>
      </c>
      <c r="C8233" s="999"/>
      <c r="I8233" s="983" t="s">
        <v>2280</v>
      </c>
    </row>
    <row r="8234" spans="1:9" x14ac:dyDescent="0.2">
      <c r="A8234" s="997">
        <f t="shared" si="128"/>
        <v>8233</v>
      </c>
      <c r="B8234" s="983" t="s">
        <v>2721</v>
      </c>
      <c r="C8234" s="999"/>
      <c r="H8234" s="983" t="s">
        <v>1108</v>
      </c>
    </row>
    <row r="8235" spans="1:9" x14ac:dyDescent="0.2">
      <c r="A8235" s="997">
        <f t="shared" si="128"/>
        <v>8234</v>
      </c>
      <c r="B8235" s="983" t="s">
        <v>2721</v>
      </c>
      <c r="C8235" s="1000"/>
      <c r="H8235" s="983" t="str">
        <f>CONCATENATE("&lt;valeur&gt;",Cellule_879,"&lt;/valeur&gt;")</f>
        <v>&lt;valeur&gt;&lt;/valeur&gt;</v>
      </c>
    </row>
    <row r="8236" spans="1:9" x14ac:dyDescent="0.2">
      <c r="A8236" s="997">
        <f t="shared" si="128"/>
        <v>8235</v>
      </c>
      <c r="B8236" s="983" t="s">
        <v>2721</v>
      </c>
      <c r="C8236" s="1001"/>
      <c r="G8236" s="983" t="s">
        <v>1109</v>
      </c>
    </row>
    <row r="8237" spans="1:9" x14ac:dyDescent="0.2">
      <c r="A8237" s="997">
        <f t="shared" si="128"/>
        <v>8236</v>
      </c>
      <c r="B8237" s="983" t="s">
        <v>2721</v>
      </c>
      <c r="C8237" s="1000"/>
      <c r="G8237" s="983" t="s">
        <v>1106</v>
      </c>
    </row>
    <row r="8238" spans="1:9" x14ac:dyDescent="0.2">
      <c r="A8238" s="997">
        <f t="shared" si="128"/>
        <v>8237</v>
      </c>
      <c r="B8238" s="983" t="s">
        <v>2721</v>
      </c>
      <c r="C8238" s="1000"/>
      <c r="H8238" s="983" t="s">
        <v>1107</v>
      </c>
    </row>
    <row r="8239" spans="1:9" x14ac:dyDescent="0.2">
      <c r="A8239" s="997">
        <f t="shared" si="128"/>
        <v>8238</v>
      </c>
      <c r="B8239" s="983" t="s">
        <v>2721</v>
      </c>
      <c r="C8239" s="999"/>
      <c r="I8239" s="983" t="s">
        <v>2281</v>
      </c>
    </row>
    <row r="8240" spans="1:9" x14ac:dyDescent="0.2">
      <c r="A8240" s="997">
        <f t="shared" si="128"/>
        <v>8239</v>
      </c>
      <c r="B8240" s="983" t="s">
        <v>2721</v>
      </c>
      <c r="C8240" s="999"/>
      <c r="H8240" s="983" t="s">
        <v>1108</v>
      </c>
    </row>
    <row r="8241" spans="1:9" x14ac:dyDescent="0.2">
      <c r="A8241" s="997">
        <f t="shared" si="128"/>
        <v>8240</v>
      </c>
      <c r="B8241" s="983" t="s">
        <v>2721</v>
      </c>
      <c r="C8241" s="1000"/>
      <c r="H8241" s="983" t="str">
        <f>CONCATENATE("&lt;valeur&gt;",Cellule_883,"&lt;/valeur&gt;")</f>
        <v>&lt;valeur&gt;&lt;/valeur&gt;</v>
      </c>
    </row>
    <row r="8242" spans="1:9" x14ac:dyDescent="0.2">
      <c r="A8242" s="997">
        <f t="shared" si="128"/>
        <v>8241</v>
      </c>
      <c r="B8242" s="983" t="s">
        <v>2721</v>
      </c>
      <c r="C8242" s="1001"/>
      <c r="G8242" s="983" t="s">
        <v>1109</v>
      </c>
    </row>
    <row r="8243" spans="1:9" x14ac:dyDescent="0.2">
      <c r="A8243" s="997">
        <f t="shared" si="128"/>
        <v>8242</v>
      </c>
      <c r="B8243" s="983" t="s">
        <v>2721</v>
      </c>
      <c r="C8243" s="1000"/>
      <c r="G8243" s="983" t="s">
        <v>1106</v>
      </c>
    </row>
    <row r="8244" spans="1:9" x14ac:dyDescent="0.2">
      <c r="A8244" s="997">
        <f t="shared" si="128"/>
        <v>8243</v>
      </c>
      <c r="B8244" s="983" t="s">
        <v>2721</v>
      </c>
      <c r="C8244" s="1000"/>
      <c r="H8244" s="983" t="s">
        <v>1107</v>
      </c>
    </row>
    <row r="8245" spans="1:9" x14ac:dyDescent="0.2">
      <c r="A8245" s="997">
        <f t="shared" si="128"/>
        <v>8244</v>
      </c>
      <c r="B8245" s="983" t="s">
        <v>2721</v>
      </c>
      <c r="C8245" s="999"/>
      <c r="I8245" s="983" t="s">
        <v>2282</v>
      </c>
    </row>
    <row r="8246" spans="1:9" x14ac:dyDescent="0.2">
      <c r="A8246" s="997">
        <f t="shared" si="128"/>
        <v>8245</v>
      </c>
      <c r="B8246" s="983" t="s">
        <v>2721</v>
      </c>
      <c r="C8246" s="999"/>
      <c r="H8246" s="983" t="s">
        <v>1108</v>
      </c>
    </row>
    <row r="8247" spans="1:9" x14ac:dyDescent="0.2">
      <c r="A8247" s="997">
        <f t="shared" si="128"/>
        <v>8246</v>
      </c>
      <c r="B8247" s="983" t="s">
        <v>2721</v>
      </c>
      <c r="C8247" s="1000"/>
      <c r="H8247" s="983" t="str">
        <f>CONCATENATE("&lt;valeur&gt;",Cellule_885,"&lt;/valeur&gt;")</f>
        <v>&lt;valeur&gt;&lt;/valeur&gt;</v>
      </c>
    </row>
    <row r="8248" spans="1:9" x14ac:dyDescent="0.2">
      <c r="A8248" s="997">
        <f t="shared" si="128"/>
        <v>8247</v>
      </c>
      <c r="B8248" s="983" t="s">
        <v>2721</v>
      </c>
      <c r="C8248" s="1001"/>
      <c r="G8248" s="983" t="s">
        <v>1109</v>
      </c>
    </row>
    <row r="8249" spans="1:9" x14ac:dyDescent="0.2">
      <c r="A8249" s="997">
        <f t="shared" si="128"/>
        <v>8248</v>
      </c>
      <c r="B8249" s="983" t="s">
        <v>2721</v>
      </c>
      <c r="C8249" s="1000"/>
      <c r="G8249" s="983" t="s">
        <v>1106</v>
      </c>
    </row>
    <row r="8250" spans="1:9" x14ac:dyDescent="0.2">
      <c r="A8250" s="997">
        <f t="shared" si="128"/>
        <v>8249</v>
      </c>
      <c r="B8250" s="983" t="s">
        <v>2721</v>
      </c>
      <c r="C8250" s="1000"/>
      <c r="H8250" s="983" t="s">
        <v>1107</v>
      </c>
    </row>
    <row r="8251" spans="1:9" x14ac:dyDescent="0.2">
      <c r="A8251" s="997">
        <f t="shared" si="128"/>
        <v>8250</v>
      </c>
      <c r="B8251" s="983" t="s">
        <v>2721</v>
      </c>
      <c r="C8251" s="999"/>
      <c r="I8251" s="983" t="s">
        <v>2283</v>
      </c>
    </row>
    <row r="8252" spans="1:9" x14ac:dyDescent="0.2">
      <c r="A8252" s="997">
        <f t="shared" si="128"/>
        <v>8251</v>
      </c>
      <c r="B8252" s="983" t="s">
        <v>2721</v>
      </c>
      <c r="C8252" s="999"/>
      <c r="H8252" s="983" t="s">
        <v>1108</v>
      </c>
    </row>
    <row r="8253" spans="1:9" x14ac:dyDescent="0.2">
      <c r="A8253" s="997">
        <f t="shared" si="128"/>
        <v>8252</v>
      </c>
      <c r="B8253" s="983" t="s">
        <v>2721</v>
      </c>
      <c r="C8253" s="1000"/>
      <c r="H8253" s="983" t="str">
        <f>CONCATENATE("&lt;valeur&gt;",Cellule_893,"&lt;/valeur&gt;")</f>
        <v>&lt;valeur&gt;&lt;/valeur&gt;</v>
      </c>
    </row>
    <row r="8254" spans="1:9" x14ac:dyDescent="0.2">
      <c r="A8254" s="997">
        <f t="shared" si="128"/>
        <v>8253</v>
      </c>
      <c r="B8254" s="983" t="s">
        <v>2721</v>
      </c>
      <c r="C8254" s="1001"/>
      <c r="G8254" s="983" t="s">
        <v>1109</v>
      </c>
    </row>
    <row r="8255" spans="1:9" x14ac:dyDescent="0.2">
      <c r="A8255" s="997">
        <f t="shared" si="128"/>
        <v>8254</v>
      </c>
      <c r="B8255" s="983" t="s">
        <v>2721</v>
      </c>
      <c r="C8255" s="1000"/>
      <c r="G8255" s="983" t="s">
        <v>1106</v>
      </c>
    </row>
    <row r="8256" spans="1:9" x14ac:dyDescent="0.2">
      <c r="A8256" s="997">
        <f t="shared" si="128"/>
        <v>8255</v>
      </c>
      <c r="B8256" s="983" t="s">
        <v>2721</v>
      </c>
      <c r="C8256" s="1000"/>
      <c r="H8256" s="983" t="s">
        <v>1107</v>
      </c>
    </row>
    <row r="8257" spans="1:9" x14ac:dyDescent="0.2">
      <c r="A8257" s="997">
        <f t="shared" si="128"/>
        <v>8256</v>
      </c>
      <c r="B8257" s="983" t="s">
        <v>2721</v>
      </c>
      <c r="C8257" s="999"/>
      <c r="I8257" s="983" t="s">
        <v>2284</v>
      </c>
    </row>
    <row r="8258" spans="1:9" x14ac:dyDescent="0.2">
      <c r="A8258" s="997">
        <f t="shared" si="128"/>
        <v>8257</v>
      </c>
      <c r="B8258" s="983" t="s">
        <v>2721</v>
      </c>
      <c r="C8258" s="999"/>
      <c r="H8258" s="983" t="s">
        <v>1108</v>
      </c>
    </row>
    <row r="8259" spans="1:9" x14ac:dyDescent="0.2">
      <c r="A8259" s="997">
        <f t="shared" si="128"/>
        <v>8258</v>
      </c>
      <c r="B8259" s="983" t="s">
        <v>2721</v>
      </c>
      <c r="C8259" s="1000"/>
      <c r="H8259" s="983" t="str">
        <f>CONCATENATE("&lt;valeur&gt;",Cellule_897,"&lt;/valeur&gt;")</f>
        <v>&lt;valeur&gt;&lt;/valeur&gt;</v>
      </c>
    </row>
    <row r="8260" spans="1:9" x14ac:dyDescent="0.2">
      <c r="A8260" s="997">
        <f t="shared" ref="A8260:A8323" si="129">+A8259+1</f>
        <v>8259</v>
      </c>
      <c r="B8260" s="983" t="s">
        <v>2721</v>
      </c>
      <c r="C8260" s="1001"/>
      <c r="G8260" s="983" t="s">
        <v>1109</v>
      </c>
    </row>
    <row r="8261" spans="1:9" x14ac:dyDescent="0.2">
      <c r="A8261" s="997">
        <f t="shared" si="129"/>
        <v>8260</v>
      </c>
      <c r="B8261" s="983" t="s">
        <v>2721</v>
      </c>
      <c r="C8261" s="1000"/>
      <c r="G8261" s="983" t="s">
        <v>1106</v>
      </c>
    </row>
    <row r="8262" spans="1:9" x14ac:dyDescent="0.2">
      <c r="A8262" s="997">
        <f t="shared" si="129"/>
        <v>8261</v>
      </c>
      <c r="B8262" s="983" t="s">
        <v>2721</v>
      </c>
      <c r="C8262" s="1000"/>
      <c r="H8262" s="983" t="s">
        <v>1107</v>
      </c>
    </row>
    <row r="8263" spans="1:9" x14ac:dyDescent="0.2">
      <c r="A8263" s="997">
        <f t="shared" si="129"/>
        <v>8262</v>
      </c>
      <c r="B8263" s="983" t="s">
        <v>2721</v>
      </c>
      <c r="C8263" s="999"/>
      <c r="I8263" s="983" t="s">
        <v>2285</v>
      </c>
    </row>
    <row r="8264" spans="1:9" x14ac:dyDescent="0.2">
      <c r="A8264" s="997">
        <f t="shared" si="129"/>
        <v>8263</v>
      </c>
      <c r="B8264" s="983" t="s">
        <v>2721</v>
      </c>
      <c r="C8264" s="999"/>
      <c r="H8264" s="983" t="s">
        <v>1108</v>
      </c>
    </row>
    <row r="8265" spans="1:9" x14ac:dyDescent="0.2">
      <c r="A8265" s="997">
        <f t="shared" si="129"/>
        <v>8264</v>
      </c>
      <c r="B8265" s="983" t="s">
        <v>2721</v>
      </c>
      <c r="C8265" s="1000"/>
      <c r="H8265" s="983" t="str">
        <f>CONCATENATE("&lt;valeur&gt;",Cellule_886,"&lt;/valeur&gt;")</f>
        <v>&lt;valeur&gt;&lt;/valeur&gt;</v>
      </c>
    </row>
    <row r="8266" spans="1:9" x14ac:dyDescent="0.2">
      <c r="A8266" s="997">
        <f t="shared" si="129"/>
        <v>8265</v>
      </c>
      <c r="B8266" s="983" t="s">
        <v>2721</v>
      </c>
      <c r="C8266" s="1001"/>
      <c r="G8266" s="983" t="s">
        <v>1109</v>
      </c>
    </row>
    <row r="8267" spans="1:9" x14ac:dyDescent="0.2">
      <c r="A8267" s="997">
        <f t="shared" si="129"/>
        <v>8266</v>
      </c>
      <c r="B8267" s="983" t="s">
        <v>2721</v>
      </c>
      <c r="C8267" s="1000"/>
      <c r="G8267" s="983" t="s">
        <v>1106</v>
      </c>
    </row>
    <row r="8268" spans="1:9" x14ac:dyDescent="0.2">
      <c r="A8268" s="997">
        <f t="shared" si="129"/>
        <v>8267</v>
      </c>
      <c r="B8268" s="983" t="s">
        <v>2721</v>
      </c>
      <c r="C8268" s="1000"/>
      <c r="H8268" s="983" t="s">
        <v>1107</v>
      </c>
    </row>
    <row r="8269" spans="1:9" x14ac:dyDescent="0.2">
      <c r="A8269" s="997">
        <f t="shared" si="129"/>
        <v>8268</v>
      </c>
      <c r="B8269" s="983" t="s">
        <v>2721</v>
      </c>
      <c r="C8269" s="999"/>
      <c r="I8269" s="983" t="s">
        <v>2286</v>
      </c>
    </row>
    <row r="8270" spans="1:9" x14ac:dyDescent="0.2">
      <c r="A8270" s="997">
        <f t="shared" si="129"/>
        <v>8269</v>
      </c>
      <c r="B8270" s="983" t="s">
        <v>2721</v>
      </c>
      <c r="C8270" s="999"/>
      <c r="H8270" s="983" t="s">
        <v>1108</v>
      </c>
    </row>
    <row r="8271" spans="1:9" x14ac:dyDescent="0.2">
      <c r="A8271" s="997">
        <f t="shared" si="129"/>
        <v>8270</v>
      </c>
      <c r="B8271" s="983" t="s">
        <v>2721</v>
      </c>
      <c r="C8271" s="1000"/>
      <c r="H8271" s="983" t="str">
        <f>CONCATENATE("&lt;valeur&gt;",Cellule_894,"&lt;/valeur&gt;")</f>
        <v>&lt;valeur&gt;&lt;/valeur&gt;</v>
      </c>
    </row>
    <row r="8272" spans="1:9" x14ac:dyDescent="0.2">
      <c r="A8272" s="997">
        <f t="shared" si="129"/>
        <v>8271</v>
      </c>
      <c r="B8272" s="983" t="s">
        <v>2721</v>
      </c>
      <c r="C8272" s="1001"/>
      <c r="G8272" s="983" t="s">
        <v>1109</v>
      </c>
    </row>
    <row r="8273" spans="1:9" x14ac:dyDescent="0.2">
      <c r="A8273" s="997">
        <f t="shared" si="129"/>
        <v>8272</v>
      </c>
      <c r="B8273" s="983" t="s">
        <v>2721</v>
      </c>
      <c r="C8273" s="1000"/>
      <c r="G8273" s="983" t="s">
        <v>1106</v>
      </c>
    </row>
    <row r="8274" spans="1:9" x14ac:dyDescent="0.2">
      <c r="A8274" s="997">
        <f t="shared" si="129"/>
        <v>8273</v>
      </c>
      <c r="B8274" s="983" t="s">
        <v>2721</v>
      </c>
      <c r="C8274" s="1000"/>
      <c r="H8274" s="983" t="s">
        <v>1107</v>
      </c>
    </row>
    <row r="8275" spans="1:9" x14ac:dyDescent="0.2">
      <c r="A8275" s="997">
        <f t="shared" si="129"/>
        <v>8274</v>
      </c>
      <c r="B8275" s="983" t="s">
        <v>2721</v>
      </c>
      <c r="C8275" s="999"/>
      <c r="I8275" s="983" t="s">
        <v>2287</v>
      </c>
    </row>
    <row r="8276" spans="1:9" x14ac:dyDescent="0.2">
      <c r="A8276" s="997">
        <f t="shared" si="129"/>
        <v>8275</v>
      </c>
      <c r="B8276" s="983" t="s">
        <v>2721</v>
      </c>
      <c r="C8276" s="998"/>
      <c r="H8276" s="983" t="s">
        <v>1108</v>
      </c>
    </row>
    <row r="8277" spans="1:9" x14ac:dyDescent="0.2">
      <c r="A8277" s="997">
        <f t="shared" si="129"/>
        <v>8276</v>
      </c>
      <c r="B8277" s="983" t="s">
        <v>2721</v>
      </c>
      <c r="C8277" s="998"/>
      <c r="H8277" s="983" t="str">
        <f>CONCATENATE("&lt;valeur&gt;",Cellule_898,"&lt;/valeur&gt;")</f>
        <v>&lt;valeur&gt;&lt;/valeur&gt;</v>
      </c>
    </row>
    <row r="8278" spans="1:9" x14ac:dyDescent="0.2">
      <c r="A8278" s="997">
        <f t="shared" si="129"/>
        <v>8277</v>
      </c>
      <c r="B8278" s="983" t="s">
        <v>2721</v>
      </c>
      <c r="C8278" s="995"/>
      <c r="G8278" s="983" t="s">
        <v>1109</v>
      </c>
    </row>
    <row r="8279" spans="1:9" x14ac:dyDescent="0.2">
      <c r="A8279" s="997">
        <f t="shared" si="129"/>
        <v>8278</v>
      </c>
      <c r="B8279" s="983" t="s">
        <v>2721</v>
      </c>
      <c r="C8279" s="995"/>
      <c r="G8279" s="983" t="s">
        <v>1106</v>
      </c>
    </row>
    <row r="8280" spans="1:9" x14ac:dyDescent="0.2">
      <c r="A8280" s="997">
        <f t="shared" si="129"/>
        <v>8279</v>
      </c>
      <c r="B8280" s="983" t="s">
        <v>2721</v>
      </c>
      <c r="C8280" s="998"/>
      <c r="H8280" s="983" t="s">
        <v>1107</v>
      </c>
    </row>
    <row r="8281" spans="1:9" x14ac:dyDescent="0.2">
      <c r="A8281" s="997">
        <f t="shared" si="129"/>
        <v>8280</v>
      </c>
      <c r="B8281" s="983" t="s">
        <v>2721</v>
      </c>
      <c r="C8281" s="999"/>
      <c r="I8281" s="983" t="s">
        <v>2288</v>
      </c>
    </row>
    <row r="8282" spans="1:9" x14ac:dyDescent="0.2">
      <c r="A8282" s="997">
        <f t="shared" si="129"/>
        <v>8281</v>
      </c>
      <c r="B8282" s="983" t="s">
        <v>2721</v>
      </c>
      <c r="C8282" s="998"/>
      <c r="H8282" s="983" t="s">
        <v>1108</v>
      </c>
    </row>
    <row r="8283" spans="1:9" x14ac:dyDescent="0.2">
      <c r="A8283" s="997">
        <f t="shared" si="129"/>
        <v>8282</v>
      </c>
      <c r="B8283" s="983" t="s">
        <v>2721</v>
      </c>
      <c r="C8283" s="998"/>
      <c r="H8283" s="983" t="str">
        <f>CONCATENATE("&lt;valeur&gt;",Cellule_887,"&lt;/valeur&gt;")</f>
        <v>&lt;valeur&gt;&lt;/valeur&gt;</v>
      </c>
    </row>
    <row r="8284" spans="1:9" x14ac:dyDescent="0.2">
      <c r="A8284" s="997">
        <f t="shared" si="129"/>
        <v>8283</v>
      </c>
      <c r="B8284" s="983" t="s">
        <v>2721</v>
      </c>
      <c r="C8284" s="999"/>
      <c r="G8284" s="983" t="s">
        <v>1109</v>
      </c>
    </row>
    <row r="8285" spans="1:9" x14ac:dyDescent="0.2">
      <c r="A8285" s="997">
        <f t="shared" si="129"/>
        <v>8284</v>
      </c>
      <c r="B8285" s="983" t="s">
        <v>2721</v>
      </c>
      <c r="C8285" s="1000"/>
      <c r="G8285" s="983" t="s">
        <v>1106</v>
      </c>
    </row>
    <row r="8286" spans="1:9" x14ac:dyDescent="0.2">
      <c r="A8286" s="997">
        <f t="shared" si="129"/>
        <v>8285</v>
      </c>
      <c r="B8286" s="983" t="s">
        <v>2721</v>
      </c>
      <c r="C8286" s="1001"/>
      <c r="H8286" s="983" t="s">
        <v>1107</v>
      </c>
    </row>
    <row r="8287" spans="1:9" x14ac:dyDescent="0.2">
      <c r="A8287" s="997">
        <f t="shared" si="129"/>
        <v>8286</v>
      </c>
      <c r="B8287" s="983" t="s">
        <v>2721</v>
      </c>
      <c r="C8287" s="1000"/>
      <c r="I8287" s="983" t="s">
        <v>2289</v>
      </c>
    </row>
    <row r="8288" spans="1:9" x14ac:dyDescent="0.2">
      <c r="A8288" s="997">
        <f t="shared" si="129"/>
        <v>8287</v>
      </c>
      <c r="B8288" s="983" t="s">
        <v>2721</v>
      </c>
      <c r="C8288" s="1000"/>
      <c r="H8288" s="983" t="s">
        <v>1108</v>
      </c>
    </row>
    <row r="8289" spans="1:9" x14ac:dyDescent="0.2">
      <c r="A8289" s="997">
        <f t="shared" si="129"/>
        <v>8288</v>
      </c>
      <c r="B8289" s="983" t="s">
        <v>2721</v>
      </c>
      <c r="C8289" s="999"/>
      <c r="H8289" s="983" t="str">
        <f>CONCATENATE("&lt;valeur&gt;",Cellule_895,"&lt;/valeur&gt;")</f>
        <v>&lt;valeur&gt;&lt;/valeur&gt;</v>
      </c>
    </row>
    <row r="8290" spans="1:9" x14ac:dyDescent="0.2">
      <c r="A8290" s="997">
        <f t="shared" si="129"/>
        <v>8289</v>
      </c>
      <c r="B8290" s="983" t="s">
        <v>2721</v>
      </c>
      <c r="C8290" s="999"/>
      <c r="G8290" s="983" t="s">
        <v>1109</v>
      </c>
    </row>
    <row r="8291" spans="1:9" x14ac:dyDescent="0.2">
      <c r="A8291" s="997">
        <f t="shared" si="129"/>
        <v>8290</v>
      </c>
      <c r="B8291" s="983" t="s">
        <v>2721</v>
      </c>
      <c r="C8291" s="1000"/>
      <c r="G8291" s="983" t="s">
        <v>1106</v>
      </c>
    </row>
    <row r="8292" spans="1:9" x14ac:dyDescent="0.2">
      <c r="A8292" s="997">
        <f t="shared" si="129"/>
        <v>8291</v>
      </c>
      <c r="B8292" s="983" t="s">
        <v>2721</v>
      </c>
      <c r="C8292" s="1001"/>
      <c r="H8292" s="983" t="s">
        <v>1107</v>
      </c>
    </row>
    <row r="8293" spans="1:9" x14ac:dyDescent="0.2">
      <c r="A8293" s="997">
        <f t="shared" si="129"/>
        <v>8292</v>
      </c>
      <c r="B8293" s="983" t="s">
        <v>2721</v>
      </c>
      <c r="C8293" s="1000"/>
      <c r="I8293" s="983" t="s">
        <v>2290</v>
      </c>
    </row>
    <row r="8294" spans="1:9" x14ac:dyDescent="0.2">
      <c r="A8294" s="997">
        <f t="shared" si="129"/>
        <v>8293</v>
      </c>
      <c r="B8294" s="983" t="s">
        <v>2721</v>
      </c>
      <c r="C8294" s="1000"/>
      <c r="H8294" s="983" t="s">
        <v>1108</v>
      </c>
    </row>
    <row r="8295" spans="1:9" x14ac:dyDescent="0.2">
      <c r="A8295" s="997">
        <f t="shared" si="129"/>
        <v>8294</v>
      </c>
      <c r="B8295" s="983" t="s">
        <v>2721</v>
      </c>
      <c r="C8295" s="999"/>
      <c r="H8295" s="983" t="str">
        <f>CONCATENATE("&lt;valeur&gt;",Cellule_899,"&lt;/valeur&gt;")</f>
        <v>&lt;valeur&gt;&lt;/valeur&gt;</v>
      </c>
    </row>
    <row r="8296" spans="1:9" x14ac:dyDescent="0.2">
      <c r="A8296" s="997">
        <f t="shared" si="129"/>
        <v>8295</v>
      </c>
      <c r="B8296" s="983" t="s">
        <v>2721</v>
      </c>
      <c r="C8296" s="999"/>
      <c r="G8296" s="983" t="s">
        <v>1109</v>
      </c>
    </row>
    <row r="8297" spans="1:9" x14ac:dyDescent="0.2">
      <c r="A8297" s="997">
        <f t="shared" si="129"/>
        <v>8296</v>
      </c>
      <c r="B8297" s="983" t="s">
        <v>2721</v>
      </c>
      <c r="C8297" s="1000"/>
      <c r="G8297" s="983" t="s">
        <v>1106</v>
      </c>
    </row>
    <row r="8298" spans="1:9" x14ac:dyDescent="0.2">
      <c r="A8298" s="997">
        <f t="shared" si="129"/>
        <v>8297</v>
      </c>
      <c r="B8298" s="983" t="s">
        <v>2721</v>
      </c>
      <c r="C8298" s="1001"/>
      <c r="H8298" s="983" t="s">
        <v>1107</v>
      </c>
    </row>
    <row r="8299" spans="1:9" x14ac:dyDescent="0.2">
      <c r="A8299" s="997">
        <f t="shared" si="129"/>
        <v>8298</v>
      </c>
      <c r="B8299" s="983" t="s">
        <v>2721</v>
      </c>
      <c r="C8299" s="1000"/>
      <c r="I8299" s="983" t="s">
        <v>2291</v>
      </c>
    </row>
    <row r="8300" spans="1:9" x14ac:dyDescent="0.2">
      <c r="A8300" s="997">
        <f t="shared" si="129"/>
        <v>8299</v>
      </c>
      <c r="B8300" s="983" t="s">
        <v>2721</v>
      </c>
      <c r="C8300" s="1000"/>
      <c r="H8300" s="983" t="s">
        <v>1108</v>
      </c>
    </row>
    <row r="8301" spans="1:9" x14ac:dyDescent="0.2">
      <c r="A8301" s="997">
        <f t="shared" si="129"/>
        <v>8300</v>
      </c>
      <c r="B8301" s="983" t="s">
        <v>2721</v>
      </c>
      <c r="C8301" s="999"/>
      <c r="H8301" s="983" t="str">
        <f>CONCATENATE("&lt;valeur&gt;",Cellule_901,"&lt;/valeur&gt;")</f>
        <v>&lt;valeur&gt;&lt;/valeur&gt;</v>
      </c>
    </row>
    <row r="8302" spans="1:9" x14ac:dyDescent="0.2">
      <c r="A8302" s="997">
        <f t="shared" si="129"/>
        <v>8301</v>
      </c>
      <c r="B8302" s="983" t="s">
        <v>2721</v>
      </c>
      <c r="C8302" s="999"/>
      <c r="G8302" s="983" t="s">
        <v>1109</v>
      </c>
    </row>
    <row r="8303" spans="1:9" x14ac:dyDescent="0.2">
      <c r="A8303" s="997">
        <f t="shared" si="129"/>
        <v>8302</v>
      </c>
      <c r="B8303" s="983" t="s">
        <v>2721</v>
      </c>
      <c r="C8303" s="1000"/>
      <c r="G8303" s="983" t="s">
        <v>1106</v>
      </c>
    </row>
    <row r="8304" spans="1:9" x14ac:dyDescent="0.2">
      <c r="A8304" s="997">
        <f t="shared" si="129"/>
        <v>8303</v>
      </c>
      <c r="B8304" s="983" t="s">
        <v>2721</v>
      </c>
      <c r="C8304" s="1001"/>
      <c r="H8304" s="983" t="s">
        <v>1107</v>
      </c>
    </row>
    <row r="8305" spans="1:9" x14ac:dyDescent="0.2">
      <c r="A8305" s="997">
        <f t="shared" si="129"/>
        <v>8304</v>
      </c>
      <c r="B8305" s="983" t="s">
        <v>2721</v>
      </c>
      <c r="C8305" s="1000"/>
      <c r="I8305" s="983" t="s">
        <v>2292</v>
      </c>
    </row>
    <row r="8306" spans="1:9" x14ac:dyDescent="0.2">
      <c r="A8306" s="997">
        <f t="shared" si="129"/>
        <v>8305</v>
      </c>
      <c r="B8306" s="983" t="s">
        <v>2721</v>
      </c>
      <c r="C8306" s="1000"/>
      <c r="H8306" s="983" t="s">
        <v>1108</v>
      </c>
    </row>
    <row r="8307" spans="1:9" x14ac:dyDescent="0.2">
      <c r="A8307" s="997">
        <f t="shared" si="129"/>
        <v>8306</v>
      </c>
      <c r="B8307" s="983" t="s">
        <v>2721</v>
      </c>
      <c r="C8307" s="999"/>
      <c r="H8307" s="983" t="str">
        <f>CONCATENATE("&lt;valeur&gt;",Cellule_905,"&lt;/valeur&gt;")</f>
        <v>&lt;valeur&gt;&lt;/valeur&gt;</v>
      </c>
    </row>
    <row r="8308" spans="1:9" x14ac:dyDescent="0.2">
      <c r="A8308" s="997">
        <f t="shared" si="129"/>
        <v>8307</v>
      </c>
      <c r="B8308" s="983" t="s">
        <v>2721</v>
      </c>
      <c r="C8308" s="999"/>
      <c r="G8308" s="983" t="s">
        <v>1109</v>
      </c>
    </row>
    <row r="8309" spans="1:9" x14ac:dyDescent="0.2">
      <c r="A8309" s="997">
        <f t="shared" si="129"/>
        <v>8308</v>
      </c>
      <c r="B8309" s="983" t="s">
        <v>2721</v>
      </c>
      <c r="C8309" s="1000"/>
      <c r="G8309" s="983" t="s">
        <v>1106</v>
      </c>
    </row>
    <row r="8310" spans="1:9" x14ac:dyDescent="0.2">
      <c r="A8310" s="997">
        <f t="shared" si="129"/>
        <v>8309</v>
      </c>
      <c r="B8310" s="983" t="s">
        <v>2721</v>
      </c>
      <c r="C8310" s="1001"/>
      <c r="H8310" s="983" t="s">
        <v>1107</v>
      </c>
    </row>
    <row r="8311" spans="1:9" x14ac:dyDescent="0.2">
      <c r="A8311" s="997">
        <f t="shared" si="129"/>
        <v>8310</v>
      </c>
      <c r="B8311" s="983" t="s">
        <v>2721</v>
      </c>
      <c r="C8311" s="1000"/>
      <c r="I8311" s="983" t="s">
        <v>2293</v>
      </c>
    </row>
    <row r="8312" spans="1:9" x14ac:dyDescent="0.2">
      <c r="A8312" s="997">
        <f t="shared" si="129"/>
        <v>8311</v>
      </c>
      <c r="B8312" s="983" t="s">
        <v>2721</v>
      </c>
      <c r="C8312" s="1000"/>
      <c r="H8312" s="983" t="s">
        <v>1108</v>
      </c>
    </row>
    <row r="8313" spans="1:9" x14ac:dyDescent="0.2">
      <c r="A8313" s="997">
        <f t="shared" si="129"/>
        <v>8312</v>
      </c>
      <c r="B8313" s="983" t="s">
        <v>2721</v>
      </c>
      <c r="C8313" s="999"/>
      <c r="H8313" s="983" t="str">
        <f>CONCATENATE("&lt;valeur&gt;",Cellule_909,"&lt;/valeur&gt;")</f>
        <v>&lt;valeur&gt;&lt;/valeur&gt;</v>
      </c>
    </row>
    <row r="8314" spans="1:9" x14ac:dyDescent="0.2">
      <c r="A8314" s="997">
        <f t="shared" si="129"/>
        <v>8313</v>
      </c>
      <c r="B8314" s="983" t="s">
        <v>2721</v>
      </c>
      <c r="C8314" s="999"/>
      <c r="G8314" s="983" t="s">
        <v>1109</v>
      </c>
    </row>
    <row r="8315" spans="1:9" x14ac:dyDescent="0.2">
      <c r="A8315" s="997">
        <f t="shared" si="129"/>
        <v>8314</v>
      </c>
      <c r="B8315" s="983" t="s">
        <v>2721</v>
      </c>
      <c r="C8315" s="1000"/>
      <c r="G8315" s="983" t="s">
        <v>1106</v>
      </c>
    </row>
    <row r="8316" spans="1:9" x14ac:dyDescent="0.2">
      <c r="A8316" s="997">
        <f t="shared" si="129"/>
        <v>8315</v>
      </c>
      <c r="B8316" s="983" t="s">
        <v>2721</v>
      </c>
      <c r="C8316" s="1001"/>
      <c r="H8316" s="983" t="s">
        <v>1107</v>
      </c>
    </row>
    <row r="8317" spans="1:9" x14ac:dyDescent="0.2">
      <c r="A8317" s="997">
        <f t="shared" si="129"/>
        <v>8316</v>
      </c>
      <c r="B8317" s="983" t="s">
        <v>2721</v>
      </c>
      <c r="C8317" s="1000"/>
      <c r="I8317" s="983" t="s">
        <v>2294</v>
      </c>
    </row>
    <row r="8318" spans="1:9" x14ac:dyDescent="0.2">
      <c r="A8318" s="997">
        <f t="shared" si="129"/>
        <v>8317</v>
      </c>
      <c r="B8318" s="983" t="s">
        <v>2721</v>
      </c>
      <c r="C8318" s="1000"/>
      <c r="H8318" s="983" t="s">
        <v>1108</v>
      </c>
    </row>
    <row r="8319" spans="1:9" x14ac:dyDescent="0.2">
      <c r="A8319" s="997">
        <f t="shared" si="129"/>
        <v>8318</v>
      </c>
      <c r="B8319" s="983" t="s">
        <v>2721</v>
      </c>
      <c r="C8319" s="999"/>
      <c r="H8319" s="983" t="str">
        <f>CONCATENATE("&lt;valeur&gt;",Cellule_902,"&lt;/valeur&gt;")</f>
        <v>&lt;valeur&gt;&lt;/valeur&gt;</v>
      </c>
    </row>
    <row r="8320" spans="1:9" x14ac:dyDescent="0.2">
      <c r="A8320" s="997">
        <f t="shared" si="129"/>
        <v>8319</v>
      </c>
      <c r="B8320" s="983" t="s">
        <v>2721</v>
      </c>
      <c r="C8320" s="999"/>
      <c r="G8320" s="983" t="s">
        <v>1109</v>
      </c>
    </row>
    <row r="8321" spans="1:9" x14ac:dyDescent="0.2">
      <c r="A8321" s="997">
        <f t="shared" si="129"/>
        <v>8320</v>
      </c>
      <c r="B8321" s="983" t="s">
        <v>2721</v>
      </c>
      <c r="C8321" s="1000"/>
      <c r="G8321" s="983" t="s">
        <v>1106</v>
      </c>
    </row>
    <row r="8322" spans="1:9" x14ac:dyDescent="0.2">
      <c r="A8322" s="997">
        <f t="shared" si="129"/>
        <v>8321</v>
      </c>
      <c r="B8322" s="983" t="s">
        <v>2721</v>
      </c>
      <c r="C8322" s="1001"/>
      <c r="H8322" s="983" t="s">
        <v>1107</v>
      </c>
    </row>
    <row r="8323" spans="1:9" x14ac:dyDescent="0.2">
      <c r="A8323" s="997">
        <f t="shared" si="129"/>
        <v>8322</v>
      </c>
      <c r="B8323" s="983" t="s">
        <v>2721</v>
      </c>
      <c r="C8323" s="1000"/>
      <c r="I8323" s="983" t="s">
        <v>2295</v>
      </c>
    </row>
    <row r="8324" spans="1:9" x14ac:dyDescent="0.2">
      <c r="A8324" s="997">
        <f t="shared" ref="A8324:A8387" si="130">+A8323+1</f>
        <v>8323</v>
      </c>
      <c r="B8324" s="983" t="s">
        <v>2721</v>
      </c>
      <c r="C8324" s="1000"/>
      <c r="H8324" s="983" t="s">
        <v>1108</v>
      </c>
    </row>
    <row r="8325" spans="1:9" x14ac:dyDescent="0.2">
      <c r="A8325" s="997">
        <f t="shared" si="130"/>
        <v>8324</v>
      </c>
      <c r="B8325" s="983" t="s">
        <v>2721</v>
      </c>
      <c r="C8325" s="999"/>
      <c r="H8325" s="983" t="str">
        <f>CONCATENATE("&lt;valeur&gt;",Cellule_906,"&lt;/valeur&gt;")</f>
        <v>&lt;valeur&gt;&lt;/valeur&gt;</v>
      </c>
    </row>
    <row r="8326" spans="1:9" x14ac:dyDescent="0.2">
      <c r="A8326" s="997">
        <f t="shared" si="130"/>
        <v>8325</v>
      </c>
      <c r="B8326" s="983" t="s">
        <v>2721</v>
      </c>
      <c r="C8326" s="999"/>
      <c r="G8326" s="983" t="s">
        <v>1109</v>
      </c>
    </row>
    <row r="8327" spans="1:9" x14ac:dyDescent="0.2">
      <c r="A8327" s="997">
        <f t="shared" si="130"/>
        <v>8326</v>
      </c>
      <c r="B8327" s="983" t="s">
        <v>2721</v>
      </c>
      <c r="C8327" s="1000"/>
      <c r="G8327" s="983" t="s">
        <v>1106</v>
      </c>
    </row>
    <row r="8328" spans="1:9" x14ac:dyDescent="0.2">
      <c r="A8328" s="997">
        <f t="shared" si="130"/>
        <v>8327</v>
      </c>
      <c r="B8328" s="983" t="s">
        <v>2721</v>
      </c>
      <c r="C8328" s="1001"/>
      <c r="H8328" s="983" t="s">
        <v>1107</v>
      </c>
    </row>
    <row r="8329" spans="1:9" x14ac:dyDescent="0.2">
      <c r="A8329" s="997">
        <f t="shared" si="130"/>
        <v>8328</v>
      </c>
      <c r="B8329" s="983" t="s">
        <v>2721</v>
      </c>
      <c r="C8329" s="1000"/>
      <c r="I8329" s="983" t="s">
        <v>2296</v>
      </c>
    </row>
    <row r="8330" spans="1:9" x14ac:dyDescent="0.2">
      <c r="A8330" s="997">
        <f t="shared" si="130"/>
        <v>8329</v>
      </c>
      <c r="B8330" s="983" t="s">
        <v>2721</v>
      </c>
      <c r="C8330" s="1000"/>
      <c r="H8330" s="983" t="s">
        <v>1108</v>
      </c>
    </row>
    <row r="8331" spans="1:9" x14ac:dyDescent="0.2">
      <c r="A8331" s="997">
        <f t="shared" si="130"/>
        <v>8330</v>
      </c>
      <c r="B8331" s="983" t="s">
        <v>2721</v>
      </c>
      <c r="C8331" s="999"/>
      <c r="H8331" s="983" t="str">
        <f>CONCATENATE("&lt;valeur&gt;",Cellule_910,"&lt;/valeur&gt;")</f>
        <v>&lt;valeur&gt;&lt;/valeur&gt;</v>
      </c>
    </row>
    <row r="8332" spans="1:9" x14ac:dyDescent="0.2">
      <c r="A8332" s="997">
        <f t="shared" si="130"/>
        <v>8331</v>
      </c>
      <c r="B8332" s="983" t="s">
        <v>2721</v>
      </c>
      <c r="C8332" s="999"/>
      <c r="G8332" s="983" t="s">
        <v>1109</v>
      </c>
    </row>
    <row r="8333" spans="1:9" x14ac:dyDescent="0.2">
      <c r="A8333" s="997">
        <f t="shared" si="130"/>
        <v>8332</v>
      </c>
      <c r="B8333" s="983" t="s">
        <v>2721</v>
      </c>
      <c r="C8333" s="1000"/>
      <c r="G8333" s="983" t="s">
        <v>1106</v>
      </c>
    </row>
    <row r="8334" spans="1:9" x14ac:dyDescent="0.2">
      <c r="A8334" s="997">
        <f t="shared" si="130"/>
        <v>8333</v>
      </c>
      <c r="B8334" s="983" t="s">
        <v>2721</v>
      </c>
      <c r="C8334" s="1001"/>
      <c r="H8334" s="983" t="s">
        <v>1107</v>
      </c>
    </row>
    <row r="8335" spans="1:9" x14ac:dyDescent="0.2">
      <c r="A8335" s="997">
        <f t="shared" si="130"/>
        <v>8334</v>
      </c>
      <c r="B8335" s="983" t="s">
        <v>2721</v>
      </c>
      <c r="C8335" s="1000"/>
      <c r="I8335" s="983" t="s">
        <v>2297</v>
      </c>
    </row>
    <row r="8336" spans="1:9" x14ac:dyDescent="0.2">
      <c r="A8336" s="997">
        <f t="shared" si="130"/>
        <v>8335</v>
      </c>
      <c r="B8336" s="983" t="s">
        <v>2721</v>
      </c>
      <c r="C8336" s="1000"/>
      <c r="H8336" s="983" t="s">
        <v>1108</v>
      </c>
    </row>
    <row r="8337" spans="1:9" x14ac:dyDescent="0.2">
      <c r="A8337" s="997">
        <f t="shared" si="130"/>
        <v>8336</v>
      </c>
      <c r="B8337" s="983" t="s">
        <v>2721</v>
      </c>
      <c r="C8337" s="999"/>
      <c r="H8337" s="983" t="str">
        <f>CONCATENATE("&lt;valeur&gt;",Cellule_903,"&lt;/valeur&gt;")</f>
        <v>&lt;valeur&gt;&lt;/valeur&gt;</v>
      </c>
    </row>
    <row r="8338" spans="1:9" x14ac:dyDescent="0.2">
      <c r="A8338" s="997">
        <f t="shared" si="130"/>
        <v>8337</v>
      </c>
      <c r="B8338" s="983" t="s">
        <v>2721</v>
      </c>
      <c r="C8338" s="999"/>
      <c r="G8338" s="983" t="s">
        <v>1109</v>
      </c>
    </row>
    <row r="8339" spans="1:9" x14ac:dyDescent="0.2">
      <c r="A8339" s="997">
        <f t="shared" si="130"/>
        <v>8338</v>
      </c>
      <c r="B8339" s="983" t="s">
        <v>2721</v>
      </c>
      <c r="C8339" s="1000"/>
      <c r="G8339" s="983" t="s">
        <v>1106</v>
      </c>
    </row>
    <row r="8340" spans="1:9" x14ac:dyDescent="0.2">
      <c r="A8340" s="997">
        <f t="shared" si="130"/>
        <v>8339</v>
      </c>
      <c r="B8340" s="983" t="s">
        <v>2721</v>
      </c>
      <c r="C8340" s="1001"/>
      <c r="H8340" s="983" t="s">
        <v>1107</v>
      </c>
    </row>
    <row r="8341" spans="1:9" x14ac:dyDescent="0.2">
      <c r="A8341" s="997">
        <f t="shared" si="130"/>
        <v>8340</v>
      </c>
      <c r="B8341" s="983" t="s">
        <v>2721</v>
      </c>
      <c r="C8341" s="1000"/>
      <c r="I8341" s="983" t="s">
        <v>2298</v>
      </c>
    </row>
    <row r="8342" spans="1:9" x14ac:dyDescent="0.2">
      <c r="A8342" s="997">
        <f t="shared" si="130"/>
        <v>8341</v>
      </c>
      <c r="B8342" s="983" t="s">
        <v>2721</v>
      </c>
      <c r="C8342" s="1000"/>
      <c r="H8342" s="983" t="s">
        <v>1108</v>
      </c>
    </row>
    <row r="8343" spans="1:9" x14ac:dyDescent="0.2">
      <c r="A8343" s="997">
        <f t="shared" si="130"/>
        <v>8342</v>
      </c>
      <c r="B8343" s="983" t="s">
        <v>2721</v>
      </c>
      <c r="C8343" s="999"/>
      <c r="H8343" s="983" t="str">
        <f>CONCATENATE("&lt;valeur&gt;",Cellule_907,"&lt;/valeur&gt;")</f>
        <v>&lt;valeur&gt;&lt;/valeur&gt;</v>
      </c>
    </row>
    <row r="8344" spans="1:9" x14ac:dyDescent="0.2">
      <c r="A8344" s="997">
        <f t="shared" si="130"/>
        <v>8343</v>
      </c>
      <c r="B8344" s="983" t="s">
        <v>2721</v>
      </c>
      <c r="C8344" s="999"/>
      <c r="G8344" s="983" t="s">
        <v>1109</v>
      </c>
    </row>
    <row r="8345" spans="1:9" x14ac:dyDescent="0.2">
      <c r="A8345" s="997">
        <f t="shared" si="130"/>
        <v>8344</v>
      </c>
      <c r="B8345" s="983" t="s">
        <v>2721</v>
      </c>
      <c r="C8345" s="1000"/>
      <c r="G8345" s="983" t="s">
        <v>1106</v>
      </c>
    </row>
    <row r="8346" spans="1:9" x14ac:dyDescent="0.2">
      <c r="A8346" s="997">
        <f t="shared" si="130"/>
        <v>8345</v>
      </c>
      <c r="B8346" s="983" t="s">
        <v>2721</v>
      </c>
      <c r="C8346" s="1001"/>
      <c r="H8346" s="983" t="s">
        <v>1107</v>
      </c>
    </row>
    <row r="8347" spans="1:9" x14ac:dyDescent="0.2">
      <c r="A8347" s="997">
        <f t="shared" si="130"/>
        <v>8346</v>
      </c>
      <c r="B8347" s="983" t="s">
        <v>2721</v>
      </c>
      <c r="C8347" s="1000"/>
      <c r="I8347" s="983" t="s">
        <v>2299</v>
      </c>
    </row>
    <row r="8348" spans="1:9" x14ac:dyDescent="0.2">
      <c r="A8348" s="997">
        <f t="shared" si="130"/>
        <v>8347</v>
      </c>
      <c r="B8348" s="983" t="s">
        <v>2721</v>
      </c>
      <c r="C8348" s="1000"/>
      <c r="H8348" s="983" t="s">
        <v>1108</v>
      </c>
    </row>
    <row r="8349" spans="1:9" x14ac:dyDescent="0.2">
      <c r="A8349" s="997">
        <f t="shared" si="130"/>
        <v>8348</v>
      </c>
      <c r="B8349" s="983" t="s">
        <v>2721</v>
      </c>
      <c r="C8349" s="999"/>
      <c r="H8349" s="983" t="str">
        <f>CONCATENATE("&lt;valeur&gt;",Cellule_911,"&lt;/valeur&gt;")</f>
        <v>&lt;valeur&gt;&lt;/valeur&gt;</v>
      </c>
    </row>
    <row r="8350" spans="1:9" x14ac:dyDescent="0.2">
      <c r="A8350" s="997">
        <f t="shared" si="130"/>
        <v>8349</v>
      </c>
      <c r="B8350" s="983" t="s">
        <v>2721</v>
      </c>
      <c r="C8350" s="999"/>
      <c r="G8350" s="983" t="s">
        <v>1109</v>
      </c>
    </row>
    <row r="8351" spans="1:9" x14ac:dyDescent="0.2">
      <c r="A8351" s="997">
        <f t="shared" si="130"/>
        <v>8350</v>
      </c>
      <c r="B8351" s="983" t="s">
        <v>2721</v>
      </c>
      <c r="C8351" s="1000"/>
      <c r="G8351" s="983" t="s">
        <v>1106</v>
      </c>
    </row>
    <row r="8352" spans="1:9" x14ac:dyDescent="0.2">
      <c r="A8352" s="997">
        <f t="shared" si="130"/>
        <v>8351</v>
      </c>
      <c r="B8352" s="983" t="s">
        <v>2721</v>
      </c>
      <c r="C8352" s="1001"/>
      <c r="H8352" s="983" t="s">
        <v>1107</v>
      </c>
    </row>
    <row r="8353" spans="1:9" x14ac:dyDescent="0.2">
      <c r="A8353" s="997">
        <f t="shared" si="130"/>
        <v>8352</v>
      </c>
      <c r="B8353" s="983" t="s">
        <v>2721</v>
      </c>
      <c r="C8353" s="1000"/>
      <c r="I8353" s="983" t="s">
        <v>2300</v>
      </c>
    </row>
    <row r="8354" spans="1:9" x14ac:dyDescent="0.2">
      <c r="A8354" s="997">
        <f t="shared" si="130"/>
        <v>8353</v>
      </c>
      <c r="B8354" s="983" t="s">
        <v>2721</v>
      </c>
      <c r="C8354" s="1000"/>
      <c r="H8354" s="983" t="s">
        <v>1108</v>
      </c>
    </row>
    <row r="8355" spans="1:9" x14ac:dyDescent="0.2">
      <c r="A8355" s="997">
        <f t="shared" si="130"/>
        <v>8354</v>
      </c>
      <c r="B8355" s="983" t="s">
        <v>2721</v>
      </c>
      <c r="C8355" s="999"/>
      <c r="H8355" s="983" t="str">
        <f>CONCATENATE("&lt;valeur&gt;",Cellule_10040,"&lt;/valeur&gt;")</f>
        <v>&lt;valeur&gt;&lt;/valeur&gt;</v>
      </c>
    </row>
    <row r="8356" spans="1:9" x14ac:dyDescent="0.2">
      <c r="A8356" s="997">
        <f t="shared" si="130"/>
        <v>8355</v>
      </c>
      <c r="B8356" s="983" t="s">
        <v>2721</v>
      </c>
      <c r="C8356" s="999"/>
      <c r="G8356" s="983" t="s">
        <v>1109</v>
      </c>
    </row>
    <row r="8357" spans="1:9" x14ac:dyDescent="0.2">
      <c r="A8357" s="997">
        <f t="shared" si="130"/>
        <v>8356</v>
      </c>
      <c r="B8357" s="983" t="s">
        <v>2721</v>
      </c>
      <c r="C8357" s="1000"/>
      <c r="G8357" s="983" t="s">
        <v>1106</v>
      </c>
    </row>
    <row r="8358" spans="1:9" x14ac:dyDescent="0.2">
      <c r="A8358" s="997">
        <f t="shared" si="130"/>
        <v>8357</v>
      </c>
      <c r="B8358" s="983" t="s">
        <v>2721</v>
      </c>
      <c r="C8358" s="1001"/>
      <c r="H8358" s="983" t="s">
        <v>1107</v>
      </c>
    </row>
    <row r="8359" spans="1:9" x14ac:dyDescent="0.2">
      <c r="A8359" s="997">
        <f t="shared" si="130"/>
        <v>8358</v>
      </c>
      <c r="B8359" s="983" t="s">
        <v>2721</v>
      </c>
      <c r="C8359" s="1000"/>
      <c r="I8359" s="983" t="s">
        <v>2301</v>
      </c>
    </row>
    <row r="8360" spans="1:9" x14ac:dyDescent="0.2">
      <c r="A8360" s="997">
        <f t="shared" si="130"/>
        <v>8359</v>
      </c>
      <c r="B8360" s="983" t="s">
        <v>2721</v>
      </c>
      <c r="C8360" s="1000"/>
      <c r="H8360" s="983" t="s">
        <v>1108</v>
      </c>
    </row>
    <row r="8361" spans="1:9" x14ac:dyDescent="0.2">
      <c r="A8361" s="997">
        <f t="shared" si="130"/>
        <v>8360</v>
      </c>
      <c r="B8361" s="983" t="s">
        <v>2721</v>
      </c>
      <c r="C8361" s="999"/>
      <c r="H8361" s="983" t="str">
        <f>CONCATENATE("&lt;valeur&gt;",Cellule_10041,"&lt;/valeur&gt;")</f>
        <v>&lt;valeur&gt;&lt;/valeur&gt;</v>
      </c>
    </row>
    <row r="8362" spans="1:9" x14ac:dyDescent="0.2">
      <c r="A8362" s="997">
        <f t="shared" si="130"/>
        <v>8361</v>
      </c>
      <c r="B8362" s="983" t="s">
        <v>2721</v>
      </c>
      <c r="C8362" s="999"/>
      <c r="G8362" s="983" t="s">
        <v>1109</v>
      </c>
    </row>
    <row r="8363" spans="1:9" x14ac:dyDescent="0.2">
      <c r="A8363" s="997">
        <f t="shared" si="130"/>
        <v>8362</v>
      </c>
      <c r="B8363" s="983" t="s">
        <v>2721</v>
      </c>
      <c r="C8363" s="1000"/>
      <c r="G8363" s="983" t="s">
        <v>1106</v>
      </c>
    </row>
    <row r="8364" spans="1:9" x14ac:dyDescent="0.2">
      <c r="A8364" s="997">
        <f t="shared" si="130"/>
        <v>8363</v>
      </c>
      <c r="B8364" s="983" t="s">
        <v>2721</v>
      </c>
      <c r="C8364" s="1001"/>
      <c r="H8364" s="983" t="s">
        <v>1107</v>
      </c>
    </row>
    <row r="8365" spans="1:9" x14ac:dyDescent="0.2">
      <c r="A8365" s="997">
        <f t="shared" si="130"/>
        <v>8364</v>
      </c>
      <c r="B8365" s="983" t="s">
        <v>2721</v>
      </c>
      <c r="C8365" s="1000"/>
      <c r="I8365" s="983" t="s">
        <v>2302</v>
      </c>
    </row>
    <row r="8366" spans="1:9" x14ac:dyDescent="0.2">
      <c r="A8366" s="997">
        <f t="shared" si="130"/>
        <v>8365</v>
      </c>
      <c r="B8366" s="983" t="s">
        <v>2721</v>
      </c>
      <c r="C8366" s="1000"/>
      <c r="H8366" s="983" t="s">
        <v>1108</v>
      </c>
    </row>
    <row r="8367" spans="1:9" x14ac:dyDescent="0.2">
      <c r="A8367" s="997">
        <f t="shared" si="130"/>
        <v>8366</v>
      </c>
      <c r="B8367" s="983" t="s">
        <v>2721</v>
      </c>
      <c r="C8367" s="999"/>
      <c r="H8367" s="983" t="str">
        <f>CONCATENATE("&lt;valeur&gt;",Cellule_10042,"&lt;/valeur&gt;")</f>
        <v>&lt;valeur&gt;&lt;/valeur&gt;</v>
      </c>
    </row>
    <row r="8368" spans="1:9" x14ac:dyDescent="0.2">
      <c r="A8368" s="997">
        <f t="shared" si="130"/>
        <v>8367</v>
      </c>
      <c r="B8368" s="983" t="s">
        <v>2721</v>
      </c>
      <c r="C8368" s="999"/>
      <c r="G8368" s="983" t="s">
        <v>1109</v>
      </c>
    </row>
    <row r="8369" spans="1:9" x14ac:dyDescent="0.2">
      <c r="A8369" s="997">
        <f t="shared" si="130"/>
        <v>8368</v>
      </c>
      <c r="B8369" s="983" t="s">
        <v>2721</v>
      </c>
      <c r="C8369" s="1000"/>
      <c r="G8369" s="983" t="s">
        <v>1106</v>
      </c>
    </row>
    <row r="8370" spans="1:9" x14ac:dyDescent="0.2">
      <c r="A8370" s="997">
        <f t="shared" si="130"/>
        <v>8369</v>
      </c>
      <c r="B8370" s="983" t="s">
        <v>2721</v>
      </c>
      <c r="C8370" s="1001"/>
      <c r="H8370" s="983" t="s">
        <v>1107</v>
      </c>
    </row>
    <row r="8371" spans="1:9" x14ac:dyDescent="0.2">
      <c r="A8371" s="997">
        <f t="shared" si="130"/>
        <v>8370</v>
      </c>
      <c r="B8371" s="983" t="s">
        <v>2721</v>
      </c>
      <c r="C8371" s="1000"/>
      <c r="I8371" s="983" t="s">
        <v>2303</v>
      </c>
    </row>
    <row r="8372" spans="1:9" x14ac:dyDescent="0.2">
      <c r="A8372" s="997">
        <f t="shared" si="130"/>
        <v>8371</v>
      </c>
      <c r="B8372" s="983" t="s">
        <v>2721</v>
      </c>
      <c r="C8372" s="1000"/>
      <c r="H8372" s="983" t="s">
        <v>1108</v>
      </c>
    </row>
    <row r="8373" spans="1:9" x14ac:dyDescent="0.2">
      <c r="A8373" s="997">
        <f t="shared" si="130"/>
        <v>8372</v>
      </c>
      <c r="B8373" s="983" t="s">
        <v>2721</v>
      </c>
      <c r="C8373" s="999"/>
      <c r="H8373" s="983" t="str">
        <f>CONCATENATE("&lt;valeur&gt;",Cellule_10043,"&lt;/valeur&gt;")</f>
        <v>&lt;valeur&gt;&lt;/valeur&gt;</v>
      </c>
    </row>
    <row r="8374" spans="1:9" x14ac:dyDescent="0.2">
      <c r="A8374" s="997">
        <f t="shared" si="130"/>
        <v>8373</v>
      </c>
      <c r="B8374" s="983" t="s">
        <v>2721</v>
      </c>
      <c r="C8374" s="999"/>
      <c r="G8374" s="983" t="s">
        <v>1109</v>
      </c>
    </row>
    <row r="8375" spans="1:9" x14ac:dyDescent="0.2">
      <c r="A8375" s="997">
        <f t="shared" si="130"/>
        <v>8374</v>
      </c>
      <c r="B8375" s="983" t="s">
        <v>2721</v>
      </c>
      <c r="C8375" s="1000"/>
      <c r="G8375" s="983" t="s">
        <v>1106</v>
      </c>
    </row>
    <row r="8376" spans="1:9" x14ac:dyDescent="0.2">
      <c r="A8376" s="997">
        <f t="shared" si="130"/>
        <v>8375</v>
      </c>
      <c r="B8376" s="983" t="s">
        <v>2721</v>
      </c>
      <c r="C8376" s="1001"/>
      <c r="H8376" s="983" t="s">
        <v>1107</v>
      </c>
    </row>
    <row r="8377" spans="1:9" x14ac:dyDescent="0.2">
      <c r="A8377" s="997">
        <f t="shared" si="130"/>
        <v>8376</v>
      </c>
      <c r="B8377" s="983" t="s">
        <v>2721</v>
      </c>
      <c r="C8377" s="1000"/>
      <c r="I8377" s="983" t="s">
        <v>2304</v>
      </c>
    </row>
    <row r="8378" spans="1:9" x14ac:dyDescent="0.2">
      <c r="A8378" s="997">
        <f t="shared" si="130"/>
        <v>8377</v>
      </c>
      <c r="B8378" s="983" t="s">
        <v>2721</v>
      </c>
      <c r="C8378" s="1000"/>
      <c r="H8378" s="983" t="s">
        <v>1108</v>
      </c>
    </row>
    <row r="8379" spans="1:9" x14ac:dyDescent="0.2">
      <c r="A8379" s="997">
        <f t="shared" si="130"/>
        <v>8378</v>
      </c>
      <c r="B8379" s="983" t="s">
        <v>2721</v>
      </c>
      <c r="C8379" s="999"/>
      <c r="H8379" s="983" t="str">
        <f>CONCATENATE("&lt;valeur&gt;",Cellule_10028,"&lt;/valeur&gt;")</f>
        <v>&lt;valeur&gt;&lt;/valeur&gt;</v>
      </c>
    </row>
    <row r="8380" spans="1:9" x14ac:dyDescent="0.2">
      <c r="A8380" s="997">
        <f t="shared" si="130"/>
        <v>8379</v>
      </c>
      <c r="B8380" s="983" t="s">
        <v>2721</v>
      </c>
      <c r="C8380" s="999"/>
      <c r="G8380" s="983" t="s">
        <v>1109</v>
      </c>
    </row>
    <row r="8381" spans="1:9" x14ac:dyDescent="0.2">
      <c r="A8381" s="997">
        <f t="shared" si="130"/>
        <v>8380</v>
      </c>
      <c r="B8381" s="983" t="s">
        <v>2721</v>
      </c>
      <c r="C8381" s="1000"/>
      <c r="G8381" s="983" t="s">
        <v>1106</v>
      </c>
    </row>
    <row r="8382" spans="1:9" x14ac:dyDescent="0.2">
      <c r="A8382" s="997">
        <f t="shared" si="130"/>
        <v>8381</v>
      </c>
      <c r="B8382" s="983" t="s">
        <v>2721</v>
      </c>
      <c r="C8382" s="1001"/>
      <c r="H8382" s="983" t="s">
        <v>1107</v>
      </c>
    </row>
    <row r="8383" spans="1:9" x14ac:dyDescent="0.2">
      <c r="A8383" s="997">
        <f t="shared" si="130"/>
        <v>8382</v>
      </c>
      <c r="B8383" s="983" t="s">
        <v>2721</v>
      </c>
      <c r="C8383" s="1000"/>
      <c r="I8383" s="983" t="s">
        <v>2305</v>
      </c>
    </row>
    <row r="8384" spans="1:9" x14ac:dyDescent="0.2">
      <c r="A8384" s="997">
        <f t="shared" si="130"/>
        <v>8383</v>
      </c>
      <c r="B8384" s="983" t="s">
        <v>2721</v>
      </c>
      <c r="C8384" s="1000"/>
      <c r="H8384" s="983" t="s">
        <v>1108</v>
      </c>
    </row>
    <row r="8385" spans="1:9" x14ac:dyDescent="0.2">
      <c r="A8385" s="997">
        <f t="shared" si="130"/>
        <v>8384</v>
      </c>
      <c r="B8385" s="983" t="s">
        <v>2721</v>
      </c>
      <c r="C8385" s="999"/>
      <c r="H8385" s="983" t="str">
        <f>CONCATENATE("&lt;valeur&gt;",Cellule_10029,"&lt;/valeur&gt;")</f>
        <v>&lt;valeur&gt;&lt;/valeur&gt;</v>
      </c>
    </row>
    <row r="8386" spans="1:9" x14ac:dyDescent="0.2">
      <c r="A8386" s="997">
        <f t="shared" si="130"/>
        <v>8385</v>
      </c>
      <c r="B8386" s="983" t="s">
        <v>2721</v>
      </c>
      <c r="C8386" s="999"/>
      <c r="G8386" s="983" t="s">
        <v>1109</v>
      </c>
    </row>
    <row r="8387" spans="1:9" x14ac:dyDescent="0.2">
      <c r="A8387" s="997">
        <f t="shared" si="130"/>
        <v>8386</v>
      </c>
      <c r="B8387" s="983" t="s">
        <v>2721</v>
      </c>
      <c r="C8387" s="1000"/>
      <c r="G8387" s="983" t="s">
        <v>1106</v>
      </c>
    </row>
    <row r="8388" spans="1:9" x14ac:dyDescent="0.2">
      <c r="A8388" s="997">
        <f t="shared" ref="A8388:A8451" si="131">+A8387+1</f>
        <v>8387</v>
      </c>
      <c r="B8388" s="983" t="s">
        <v>2721</v>
      </c>
      <c r="C8388" s="1001"/>
      <c r="H8388" s="983" t="s">
        <v>1107</v>
      </c>
    </row>
    <row r="8389" spans="1:9" x14ac:dyDescent="0.2">
      <c r="A8389" s="997">
        <f t="shared" si="131"/>
        <v>8388</v>
      </c>
      <c r="B8389" s="983" t="s">
        <v>2721</v>
      </c>
      <c r="C8389" s="1000"/>
      <c r="I8389" s="983" t="s">
        <v>2306</v>
      </c>
    </row>
    <row r="8390" spans="1:9" x14ac:dyDescent="0.2">
      <c r="A8390" s="997">
        <f t="shared" si="131"/>
        <v>8389</v>
      </c>
      <c r="B8390" s="983" t="s">
        <v>2721</v>
      </c>
      <c r="C8390" s="1000"/>
      <c r="H8390" s="983" t="s">
        <v>1108</v>
      </c>
    </row>
    <row r="8391" spans="1:9" x14ac:dyDescent="0.2">
      <c r="A8391" s="997">
        <f t="shared" si="131"/>
        <v>8390</v>
      </c>
      <c r="B8391" s="983" t="s">
        <v>2721</v>
      </c>
      <c r="C8391" s="999"/>
      <c r="H8391" s="983" t="str">
        <f>CONCATENATE("&lt;valeur&gt;",Cellule_921,"&lt;/valeur&gt;")</f>
        <v>&lt;valeur&gt;&lt;/valeur&gt;</v>
      </c>
    </row>
    <row r="8392" spans="1:9" x14ac:dyDescent="0.2">
      <c r="A8392" s="997">
        <f t="shared" si="131"/>
        <v>8391</v>
      </c>
      <c r="B8392" s="983" t="s">
        <v>2721</v>
      </c>
      <c r="C8392" s="999"/>
      <c r="G8392" s="983" t="s">
        <v>1109</v>
      </c>
    </row>
    <row r="8393" spans="1:9" x14ac:dyDescent="0.2">
      <c r="A8393" s="997">
        <f t="shared" si="131"/>
        <v>8392</v>
      </c>
      <c r="B8393" s="983" t="s">
        <v>2721</v>
      </c>
      <c r="C8393" s="1000"/>
      <c r="G8393" s="983" t="s">
        <v>1106</v>
      </c>
    </row>
    <row r="8394" spans="1:9" x14ac:dyDescent="0.2">
      <c r="A8394" s="997">
        <f t="shared" si="131"/>
        <v>8393</v>
      </c>
      <c r="B8394" s="983" t="s">
        <v>2721</v>
      </c>
      <c r="C8394" s="1001"/>
      <c r="H8394" s="983" t="s">
        <v>1107</v>
      </c>
    </row>
    <row r="8395" spans="1:9" x14ac:dyDescent="0.2">
      <c r="A8395" s="997">
        <f t="shared" si="131"/>
        <v>8394</v>
      </c>
      <c r="B8395" s="983" t="s">
        <v>2721</v>
      </c>
      <c r="C8395" s="1000"/>
      <c r="I8395" s="983" t="s">
        <v>2307</v>
      </c>
    </row>
    <row r="8396" spans="1:9" x14ac:dyDescent="0.2">
      <c r="A8396" s="997">
        <f t="shared" si="131"/>
        <v>8395</v>
      </c>
      <c r="B8396" s="983" t="s">
        <v>2721</v>
      </c>
      <c r="C8396" s="1000"/>
      <c r="H8396" s="983" t="s">
        <v>1108</v>
      </c>
    </row>
    <row r="8397" spans="1:9" x14ac:dyDescent="0.2">
      <c r="A8397" s="997">
        <f t="shared" si="131"/>
        <v>8396</v>
      </c>
      <c r="B8397" s="983" t="s">
        <v>2721</v>
      </c>
      <c r="C8397" s="999"/>
      <c r="H8397" s="983" t="str">
        <f>CONCATENATE("&lt;valeur&gt;",Cellule_925,"&lt;/valeur&gt;")</f>
        <v>&lt;valeur&gt;&lt;/valeur&gt;</v>
      </c>
    </row>
    <row r="8398" spans="1:9" x14ac:dyDescent="0.2">
      <c r="A8398" s="997">
        <f t="shared" si="131"/>
        <v>8397</v>
      </c>
      <c r="B8398" s="983" t="s">
        <v>2721</v>
      </c>
      <c r="C8398" s="999"/>
      <c r="G8398" s="983" t="s">
        <v>1109</v>
      </c>
    </row>
    <row r="8399" spans="1:9" x14ac:dyDescent="0.2">
      <c r="A8399" s="997">
        <f t="shared" si="131"/>
        <v>8398</v>
      </c>
      <c r="B8399" s="983" t="s">
        <v>2721</v>
      </c>
      <c r="C8399" s="1000"/>
      <c r="G8399" s="983" t="s">
        <v>1106</v>
      </c>
    </row>
    <row r="8400" spans="1:9" x14ac:dyDescent="0.2">
      <c r="A8400" s="997">
        <f t="shared" si="131"/>
        <v>8399</v>
      </c>
      <c r="B8400" s="983" t="s">
        <v>2721</v>
      </c>
      <c r="C8400" s="1001"/>
      <c r="H8400" s="983" t="s">
        <v>1107</v>
      </c>
    </row>
    <row r="8401" spans="1:9" x14ac:dyDescent="0.2">
      <c r="A8401" s="997">
        <f t="shared" si="131"/>
        <v>8400</v>
      </c>
      <c r="B8401" s="983" t="s">
        <v>2721</v>
      </c>
      <c r="C8401" s="1000"/>
      <c r="I8401" s="983" t="s">
        <v>2308</v>
      </c>
    </row>
    <row r="8402" spans="1:9" x14ac:dyDescent="0.2">
      <c r="A8402" s="997">
        <f t="shared" si="131"/>
        <v>8401</v>
      </c>
      <c r="B8402" s="983" t="s">
        <v>2721</v>
      </c>
      <c r="C8402" s="1000"/>
      <c r="H8402" s="983" t="s">
        <v>1108</v>
      </c>
    </row>
    <row r="8403" spans="1:9" x14ac:dyDescent="0.2">
      <c r="A8403" s="997">
        <f t="shared" si="131"/>
        <v>8402</v>
      </c>
      <c r="B8403" s="983" t="s">
        <v>2721</v>
      </c>
      <c r="C8403" s="999"/>
      <c r="H8403" s="983" t="str">
        <f>CONCATENATE("&lt;valeur&gt;",Cellule_925,"&lt;/valeur&gt;")</f>
        <v>&lt;valeur&gt;&lt;/valeur&gt;</v>
      </c>
    </row>
    <row r="8404" spans="1:9" x14ac:dyDescent="0.2">
      <c r="A8404" s="997">
        <f t="shared" si="131"/>
        <v>8403</v>
      </c>
      <c r="B8404" s="983" t="s">
        <v>2721</v>
      </c>
      <c r="C8404" s="999"/>
      <c r="G8404" s="983" t="s">
        <v>1109</v>
      </c>
    </row>
    <row r="8405" spans="1:9" x14ac:dyDescent="0.2">
      <c r="A8405" s="997">
        <f t="shared" si="131"/>
        <v>8404</v>
      </c>
      <c r="B8405" s="983" t="s">
        <v>2721</v>
      </c>
      <c r="C8405" s="1000"/>
      <c r="G8405" s="983" t="s">
        <v>1106</v>
      </c>
    </row>
    <row r="8406" spans="1:9" x14ac:dyDescent="0.2">
      <c r="A8406" s="997">
        <f t="shared" si="131"/>
        <v>8405</v>
      </c>
      <c r="B8406" s="983" t="s">
        <v>2721</v>
      </c>
      <c r="C8406" s="1001"/>
      <c r="H8406" s="983" t="s">
        <v>1107</v>
      </c>
    </row>
    <row r="8407" spans="1:9" x14ac:dyDescent="0.2">
      <c r="A8407" s="997">
        <f t="shared" si="131"/>
        <v>8406</v>
      </c>
      <c r="B8407" s="983" t="s">
        <v>2721</v>
      </c>
      <c r="C8407" s="1000"/>
      <c r="I8407" s="983" t="s">
        <v>2309</v>
      </c>
    </row>
    <row r="8408" spans="1:9" x14ac:dyDescent="0.2">
      <c r="A8408" s="997">
        <f t="shared" si="131"/>
        <v>8407</v>
      </c>
      <c r="B8408" s="983" t="s">
        <v>2721</v>
      </c>
      <c r="C8408" s="1000"/>
      <c r="H8408" s="983" t="s">
        <v>1108</v>
      </c>
    </row>
    <row r="8409" spans="1:9" x14ac:dyDescent="0.2">
      <c r="A8409" s="997">
        <f t="shared" si="131"/>
        <v>8408</v>
      </c>
      <c r="B8409" s="983" t="s">
        <v>2721</v>
      </c>
      <c r="C8409" s="999"/>
      <c r="H8409" s="983" t="str">
        <f>CONCATENATE("&lt;valeur&gt;",Cellule_933,"&lt;/valeur&gt;")</f>
        <v>&lt;valeur&gt;&lt;/valeur&gt;</v>
      </c>
    </row>
    <row r="8410" spans="1:9" x14ac:dyDescent="0.2">
      <c r="A8410" s="997">
        <f t="shared" si="131"/>
        <v>8409</v>
      </c>
      <c r="B8410" s="983" t="s">
        <v>2721</v>
      </c>
      <c r="C8410" s="999"/>
      <c r="G8410" s="983" t="s">
        <v>1109</v>
      </c>
    </row>
    <row r="8411" spans="1:9" x14ac:dyDescent="0.2">
      <c r="A8411" s="997">
        <f t="shared" si="131"/>
        <v>8410</v>
      </c>
      <c r="B8411" s="983" t="s">
        <v>2721</v>
      </c>
      <c r="C8411" s="1000"/>
      <c r="G8411" s="983" t="s">
        <v>1106</v>
      </c>
    </row>
    <row r="8412" spans="1:9" x14ac:dyDescent="0.2">
      <c r="A8412" s="997">
        <f t="shared" si="131"/>
        <v>8411</v>
      </c>
      <c r="B8412" s="983" t="s">
        <v>2721</v>
      </c>
      <c r="C8412" s="1001"/>
      <c r="H8412" s="983" t="s">
        <v>1107</v>
      </c>
    </row>
    <row r="8413" spans="1:9" x14ac:dyDescent="0.2">
      <c r="A8413" s="997">
        <f t="shared" si="131"/>
        <v>8412</v>
      </c>
      <c r="B8413" s="983" t="s">
        <v>2721</v>
      </c>
      <c r="C8413" s="1000"/>
      <c r="I8413" s="983" t="s">
        <v>2310</v>
      </c>
    </row>
    <row r="8414" spans="1:9" x14ac:dyDescent="0.2">
      <c r="A8414" s="997">
        <f t="shared" si="131"/>
        <v>8413</v>
      </c>
      <c r="B8414" s="983" t="s">
        <v>2721</v>
      </c>
      <c r="C8414" s="1000"/>
      <c r="H8414" s="983" t="s">
        <v>1108</v>
      </c>
    </row>
    <row r="8415" spans="1:9" x14ac:dyDescent="0.2">
      <c r="A8415" s="997">
        <f t="shared" si="131"/>
        <v>8414</v>
      </c>
      <c r="B8415" s="983" t="s">
        <v>2721</v>
      </c>
      <c r="C8415" s="999"/>
      <c r="H8415" s="983" t="str">
        <f>CONCATENATE("&lt;valeur&gt;",Cellule_922,"&lt;/valeur&gt;")</f>
        <v>&lt;valeur&gt;&lt;/valeur&gt;</v>
      </c>
    </row>
    <row r="8416" spans="1:9" x14ac:dyDescent="0.2">
      <c r="A8416" s="997">
        <f t="shared" si="131"/>
        <v>8415</v>
      </c>
      <c r="B8416" s="983" t="s">
        <v>2721</v>
      </c>
      <c r="C8416" s="999"/>
      <c r="G8416" s="983" t="s">
        <v>1109</v>
      </c>
    </row>
    <row r="8417" spans="1:9" x14ac:dyDescent="0.2">
      <c r="A8417" s="997">
        <f t="shared" si="131"/>
        <v>8416</v>
      </c>
      <c r="B8417" s="983" t="s">
        <v>2721</v>
      </c>
      <c r="C8417" s="1000"/>
      <c r="G8417" s="983" t="s">
        <v>1106</v>
      </c>
    </row>
    <row r="8418" spans="1:9" x14ac:dyDescent="0.2">
      <c r="A8418" s="997">
        <f t="shared" si="131"/>
        <v>8417</v>
      </c>
      <c r="B8418" s="983" t="s">
        <v>2721</v>
      </c>
      <c r="C8418" s="1001"/>
      <c r="H8418" s="983" t="s">
        <v>1107</v>
      </c>
    </row>
    <row r="8419" spans="1:9" x14ac:dyDescent="0.2">
      <c r="A8419" s="997">
        <f t="shared" si="131"/>
        <v>8418</v>
      </c>
      <c r="B8419" s="983" t="s">
        <v>2721</v>
      </c>
      <c r="C8419" s="1000"/>
      <c r="I8419" s="983" t="s">
        <v>2311</v>
      </c>
    </row>
    <row r="8420" spans="1:9" x14ac:dyDescent="0.2">
      <c r="A8420" s="997">
        <f t="shared" si="131"/>
        <v>8419</v>
      </c>
      <c r="B8420" s="983" t="s">
        <v>2721</v>
      </c>
      <c r="C8420" s="1000"/>
      <c r="H8420" s="983" t="s">
        <v>1108</v>
      </c>
    </row>
    <row r="8421" spans="1:9" x14ac:dyDescent="0.2">
      <c r="A8421" s="997">
        <f t="shared" si="131"/>
        <v>8420</v>
      </c>
      <c r="B8421" s="983" t="s">
        <v>2721</v>
      </c>
      <c r="C8421" s="999"/>
      <c r="H8421" s="983" t="str">
        <f>CONCATENATE("&lt;valeur&gt;",Cellule_926,"&lt;/valeur&gt;")</f>
        <v>&lt;valeur&gt;&lt;/valeur&gt;</v>
      </c>
    </row>
    <row r="8422" spans="1:9" x14ac:dyDescent="0.2">
      <c r="A8422" s="997">
        <f t="shared" si="131"/>
        <v>8421</v>
      </c>
      <c r="B8422" s="983" t="s">
        <v>2721</v>
      </c>
      <c r="C8422" s="999"/>
      <c r="G8422" s="983" t="s">
        <v>1109</v>
      </c>
    </row>
    <row r="8423" spans="1:9" x14ac:dyDescent="0.2">
      <c r="A8423" s="997">
        <f t="shared" si="131"/>
        <v>8422</v>
      </c>
      <c r="B8423" s="983" t="s">
        <v>2721</v>
      </c>
      <c r="C8423" s="1000"/>
      <c r="G8423" s="983" t="s">
        <v>1106</v>
      </c>
    </row>
    <row r="8424" spans="1:9" x14ac:dyDescent="0.2">
      <c r="A8424" s="997">
        <f t="shared" si="131"/>
        <v>8423</v>
      </c>
      <c r="B8424" s="983" t="s">
        <v>2721</v>
      </c>
      <c r="C8424" s="1001"/>
      <c r="H8424" s="983" t="s">
        <v>1107</v>
      </c>
    </row>
    <row r="8425" spans="1:9" x14ac:dyDescent="0.2">
      <c r="A8425" s="997">
        <f t="shared" si="131"/>
        <v>8424</v>
      </c>
      <c r="B8425" s="983" t="s">
        <v>2721</v>
      </c>
      <c r="C8425" s="1000"/>
      <c r="I8425" s="983" t="s">
        <v>2312</v>
      </c>
    </row>
    <row r="8426" spans="1:9" x14ac:dyDescent="0.2">
      <c r="A8426" s="997">
        <f t="shared" si="131"/>
        <v>8425</v>
      </c>
      <c r="B8426" s="983" t="s">
        <v>2721</v>
      </c>
      <c r="C8426" s="1000"/>
      <c r="H8426" s="983" t="s">
        <v>1108</v>
      </c>
    </row>
    <row r="8427" spans="1:9" x14ac:dyDescent="0.2">
      <c r="A8427" s="997">
        <f t="shared" si="131"/>
        <v>8426</v>
      </c>
      <c r="B8427" s="983" t="s">
        <v>2721</v>
      </c>
      <c r="C8427" s="999"/>
      <c r="H8427" s="983" t="str">
        <f>CONCATENATE("&lt;valeur&gt;",Cellule_930,"&lt;/valeur&gt;")</f>
        <v>&lt;valeur&gt;&lt;/valeur&gt;</v>
      </c>
    </row>
    <row r="8428" spans="1:9" x14ac:dyDescent="0.2">
      <c r="A8428" s="997">
        <f t="shared" si="131"/>
        <v>8427</v>
      </c>
      <c r="B8428" s="983" t="s">
        <v>2721</v>
      </c>
      <c r="C8428" s="999"/>
      <c r="G8428" s="983" t="s">
        <v>1109</v>
      </c>
    </row>
    <row r="8429" spans="1:9" x14ac:dyDescent="0.2">
      <c r="A8429" s="997">
        <f t="shared" si="131"/>
        <v>8428</v>
      </c>
      <c r="B8429" s="983" t="s">
        <v>2721</v>
      </c>
      <c r="C8429" s="1000"/>
      <c r="G8429" s="983" t="s">
        <v>1106</v>
      </c>
    </row>
    <row r="8430" spans="1:9" x14ac:dyDescent="0.2">
      <c r="A8430" s="997">
        <f t="shared" si="131"/>
        <v>8429</v>
      </c>
      <c r="B8430" s="983" t="s">
        <v>2721</v>
      </c>
      <c r="C8430" s="1001"/>
      <c r="H8430" s="983" t="s">
        <v>1107</v>
      </c>
    </row>
    <row r="8431" spans="1:9" x14ac:dyDescent="0.2">
      <c r="A8431" s="997">
        <f t="shared" si="131"/>
        <v>8430</v>
      </c>
      <c r="B8431" s="983" t="s">
        <v>2721</v>
      </c>
      <c r="C8431" s="1000"/>
      <c r="I8431" s="983" t="s">
        <v>2313</v>
      </c>
    </row>
    <row r="8432" spans="1:9" x14ac:dyDescent="0.2">
      <c r="A8432" s="997">
        <f t="shared" si="131"/>
        <v>8431</v>
      </c>
      <c r="B8432" s="983" t="s">
        <v>2721</v>
      </c>
      <c r="C8432" s="1000"/>
      <c r="H8432" s="983" t="s">
        <v>1108</v>
      </c>
    </row>
    <row r="8433" spans="1:9" x14ac:dyDescent="0.2">
      <c r="A8433" s="997">
        <f t="shared" si="131"/>
        <v>8432</v>
      </c>
      <c r="B8433" s="983" t="s">
        <v>2721</v>
      </c>
      <c r="C8433" s="999"/>
      <c r="H8433" s="983" t="str">
        <f>CONCATENATE("&lt;valeur&gt;",Cellule_934,"&lt;/valeur&gt;")</f>
        <v>&lt;valeur&gt;&lt;/valeur&gt;</v>
      </c>
    </row>
    <row r="8434" spans="1:9" x14ac:dyDescent="0.2">
      <c r="A8434" s="997">
        <f t="shared" si="131"/>
        <v>8433</v>
      </c>
      <c r="B8434" s="983" t="s">
        <v>2721</v>
      </c>
      <c r="C8434" s="999"/>
      <c r="G8434" s="983" t="s">
        <v>1109</v>
      </c>
    </row>
    <row r="8435" spans="1:9" x14ac:dyDescent="0.2">
      <c r="A8435" s="997">
        <f t="shared" si="131"/>
        <v>8434</v>
      </c>
      <c r="B8435" s="983" t="s">
        <v>2721</v>
      </c>
      <c r="C8435" s="1000"/>
      <c r="G8435" s="983" t="s">
        <v>1106</v>
      </c>
    </row>
    <row r="8436" spans="1:9" x14ac:dyDescent="0.2">
      <c r="A8436" s="997">
        <f t="shared" si="131"/>
        <v>8435</v>
      </c>
      <c r="B8436" s="983" t="s">
        <v>2721</v>
      </c>
      <c r="C8436" s="1001"/>
      <c r="H8436" s="983" t="s">
        <v>1107</v>
      </c>
    </row>
    <row r="8437" spans="1:9" x14ac:dyDescent="0.2">
      <c r="A8437" s="997">
        <f t="shared" si="131"/>
        <v>8436</v>
      </c>
      <c r="B8437" s="983" t="s">
        <v>2721</v>
      </c>
      <c r="C8437" s="1000"/>
      <c r="I8437" s="983" t="s">
        <v>2314</v>
      </c>
    </row>
    <row r="8438" spans="1:9" x14ac:dyDescent="0.2">
      <c r="A8438" s="997">
        <f t="shared" si="131"/>
        <v>8437</v>
      </c>
      <c r="B8438" s="983" t="s">
        <v>2721</v>
      </c>
      <c r="C8438" s="1000"/>
      <c r="H8438" s="983" t="s">
        <v>1108</v>
      </c>
    </row>
    <row r="8439" spans="1:9" x14ac:dyDescent="0.2">
      <c r="A8439" s="997">
        <f t="shared" si="131"/>
        <v>8438</v>
      </c>
      <c r="B8439" s="983" t="s">
        <v>2721</v>
      </c>
      <c r="C8439" s="999"/>
      <c r="H8439" s="983" t="str">
        <f>CONCATENATE("&lt;valeur&gt;",Cellule_923,"&lt;/valeur&gt;")</f>
        <v>&lt;valeur&gt;&lt;/valeur&gt;</v>
      </c>
    </row>
    <row r="8440" spans="1:9" x14ac:dyDescent="0.2">
      <c r="A8440" s="997">
        <f t="shared" si="131"/>
        <v>8439</v>
      </c>
      <c r="B8440" s="983" t="s">
        <v>2721</v>
      </c>
      <c r="C8440" s="999"/>
      <c r="G8440" s="983" t="s">
        <v>1109</v>
      </c>
    </row>
    <row r="8441" spans="1:9" x14ac:dyDescent="0.2">
      <c r="A8441" s="997">
        <f t="shared" si="131"/>
        <v>8440</v>
      </c>
      <c r="B8441" s="983" t="s">
        <v>2721</v>
      </c>
      <c r="C8441" s="1000"/>
      <c r="G8441" s="983" t="s">
        <v>1106</v>
      </c>
    </row>
    <row r="8442" spans="1:9" x14ac:dyDescent="0.2">
      <c r="A8442" s="997">
        <f t="shared" si="131"/>
        <v>8441</v>
      </c>
      <c r="B8442" s="983" t="s">
        <v>2721</v>
      </c>
      <c r="C8442" s="1001"/>
      <c r="H8442" s="983" t="s">
        <v>1107</v>
      </c>
    </row>
    <row r="8443" spans="1:9" x14ac:dyDescent="0.2">
      <c r="A8443" s="997">
        <f t="shared" si="131"/>
        <v>8442</v>
      </c>
      <c r="B8443" s="983" t="s">
        <v>2721</v>
      </c>
      <c r="C8443" s="1000"/>
      <c r="I8443" s="983" t="s">
        <v>2315</v>
      </c>
    </row>
    <row r="8444" spans="1:9" x14ac:dyDescent="0.2">
      <c r="A8444" s="997">
        <f t="shared" si="131"/>
        <v>8443</v>
      </c>
      <c r="B8444" s="983" t="s">
        <v>2721</v>
      </c>
      <c r="C8444" s="1000"/>
      <c r="H8444" s="983" t="s">
        <v>1108</v>
      </c>
    </row>
    <row r="8445" spans="1:9" x14ac:dyDescent="0.2">
      <c r="A8445" s="997">
        <f t="shared" si="131"/>
        <v>8444</v>
      </c>
      <c r="B8445" s="983" t="s">
        <v>2721</v>
      </c>
      <c r="C8445" s="999"/>
      <c r="H8445" s="983" t="str">
        <f>CONCATENATE("&lt;valeur&gt;",Cellule_927,"&lt;/valeur&gt;")</f>
        <v>&lt;valeur&gt;&lt;/valeur&gt;</v>
      </c>
    </row>
    <row r="8446" spans="1:9" x14ac:dyDescent="0.2">
      <c r="A8446" s="997">
        <f t="shared" si="131"/>
        <v>8445</v>
      </c>
      <c r="B8446" s="983" t="s">
        <v>2721</v>
      </c>
      <c r="C8446" s="999"/>
      <c r="G8446" s="983" t="s">
        <v>1109</v>
      </c>
    </row>
    <row r="8447" spans="1:9" x14ac:dyDescent="0.2">
      <c r="A8447" s="997">
        <f t="shared" si="131"/>
        <v>8446</v>
      </c>
      <c r="B8447" s="983" t="s">
        <v>2721</v>
      </c>
      <c r="C8447" s="1000"/>
      <c r="G8447" s="983" t="s">
        <v>1106</v>
      </c>
    </row>
    <row r="8448" spans="1:9" x14ac:dyDescent="0.2">
      <c r="A8448" s="997">
        <f t="shared" si="131"/>
        <v>8447</v>
      </c>
      <c r="B8448" s="983" t="s">
        <v>2721</v>
      </c>
      <c r="C8448" s="1001"/>
      <c r="H8448" s="983" t="s">
        <v>1107</v>
      </c>
    </row>
    <row r="8449" spans="1:9" x14ac:dyDescent="0.2">
      <c r="A8449" s="997">
        <f t="shared" si="131"/>
        <v>8448</v>
      </c>
      <c r="B8449" s="983" t="s">
        <v>2721</v>
      </c>
      <c r="C8449" s="1000"/>
      <c r="I8449" s="983" t="s">
        <v>2316</v>
      </c>
    </row>
    <row r="8450" spans="1:9" x14ac:dyDescent="0.2">
      <c r="A8450" s="997">
        <f t="shared" si="131"/>
        <v>8449</v>
      </c>
      <c r="B8450" s="983" t="s">
        <v>2721</v>
      </c>
      <c r="C8450" s="1000"/>
      <c r="H8450" s="983" t="s">
        <v>1108</v>
      </c>
    </row>
    <row r="8451" spans="1:9" x14ac:dyDescent="0.2">
      <c r="A8451" s="997">
        <f t="shared" si="131"/>
        <v>8450</v>
      </c>
      <c r="B8451" s="983" t="s">
        <v>2721</v>
      </c>
      <c r="C8451" s="999"/>
      <c r="H8451" s="983" t="str">
        <f>CONCATENATE("&lt;valeur&gt;",Cellule_931,"&lt;/valeur&gt;")</f>
        <v>&lt;valeur&gt;&lt;/valeur&gt;</v>
      </c>
    </row>
    <row r="8452" spans="1:9" x14ac:dyDescent="0.2">
      <c r="A8452" s="997">
        <f t="shared" ref="A8452:A8515" si="132">+A8451+1</f>
        <v>8451</v>
      </c>
      <c r="B8452" s="983" t="s">
        <v>2721</v>
      </c>
      <c r="C8452" s="999"/>
      <c r="G8452" s="983" t="s">
        <v>1109</v>
      </c>
    </row>
    <row r="8453" spans="1:9" x14ac:dyDescent="0.2">
      <c r="A8453" s="997">
        <f t="shared" si="132"/>
        <v>8452</v>
      </c>
      <c r="B8453" s="983" t="s">
        <v>2721</v>
      </c>
      <c r="C8453" s="1000"/>
      <c r="G8453" s="983" t="s">
        <v>1106</v>
      </c>
    </row>
    <row r="8454" spans="1:9" x14ac:dyDescent="0.2">
      <c r="A8454" s="997">
        <f t="shared" si="132"/>
        <v>8453</v>
      </c>
      <c r="B8454" s="983" t="s">
        <v>2721</v>
      </c>
      <c r="C8454" s="1001"/>
      <c r="H8454" s="983" t="s">
        <v>1107</v>
      </c>
    </row>
    <row r="8455" spans="1:9" x14ac:dyDescent="0.2">
      <c r="A8455" s="997">
        <f t="shared" si="132"/>
        <v>8454</v>
      </c>
      <c r="B8455" s="983" t="s">
        <v>2721</v>
      </c>
      <c r="C8455" s="1000"/>
      <c r="I8455" s="983" t="s">
        <v>2317</v>
      </c>
    </row>
    <row r="8456" spans="1:9" x14ac:dyDescent="0.2">
      <c r="A8456" s="997">
        <f t="shared" si="132"/>
        <v>8455</v>
      </c>
      <c r="B8456" s="983" t="s">
        <v>2721</v>
      </c>
      <c r="C8456" s="1000"/>
      <c r="H8456" s="983" t="s">
        <v>1108</v>
      </c>
    </row>
    <row r="8457" spans="1:9" x14ac:dyDescent="0.2">
      <c r="A8457" s="997">
        <f t="shared" si="132"/>
        <v>8456</v>
      </c>
      <c r="B8457" s="983" t="s">
        <v>2721</v>
      </c>
      <c r="C8457" s="999"/>
      <c r="H8457" s="983" t="str">
        <f>CONCATENATE("&lt;valeur&gt;",Cellule_935,"&lt;/valeur&gt;")</f>
        <v>&lt;valeur&gt;&lt;/valeur&gt;</v>
      </c>
    </row>
    <row r="8458" spans="1:9" x14ac:dyDescent="0.2">
      <c r="A8458" s="997">
        <f t="shared" si="132"/>
        <v>8457</v>
      </c>
      <c r="B8458" s="983" t="s">
        <v>2721</v>
      </c>
      <c r="C8458" s="999"/>
      <c r="G8458" s="983" t="s">
        <v>1109</v>
      </c>
    </row>
    <row r="8459" spans="1:9" x14ac:dyDescent="0.2">
      <c r="A8459" s="997">
        <f t="shared" si="132"/>
        <v>8458</v>
      </c>
      <c r="B8459" s="983" t="s">
        <v>2721</v>
      </c>
      <c r="C8459" s="1000"/>
      <c r="G8459" s="983" t="s">
        <v>1106</v>
      </c>
    </row>
    <row r="8460" spans="1:9" x14ac:dyDescent="0.2">
      <c r="A8460" s="997">
        <f t="shared" si="132"/>
        <v>8459</v>
      </c>
      <c r="B8460" s="983" t="s">
        <v>2721</v>
      </c>
      <c r="C8460" s="1001"/>
      <c r="H8460" s="983" t="s">
        <v>1107</v>
      </c>
    </row>
    <row r="8461" spans="1:9" x14ac:dyDescent="0.2">
      <c r="A8461" s="997">
        <f t="shared" si="132"/>
        <v>8460</v>
      </c>
      <c r="B8461" s="983" t="s">
        <v>2721</v>
      </c>
      <c r="C8461" s="1000"/>
      <c r="I8461" s="983" t="s">
        <v>2318</v>
      </c>
    </row>
    <row r="8462" spans="1:9" x14ac:dyDescent="0.2">
      <c r="A8462" s="997">
        <f t="shared" si="132"/>
        <v>8461</v>
      </c>
      <c r="B8462" s="983" t="s">
        <v>2721</v>
      </c>
      <c r="C8462" s="1000"/>
      <c r="H8462" s="983" t="s">
        <v>1108</v>
      </c>
    </row>
    <row r="8463" spans="1:9" x14ac:dyDescent="0.2">
      <c r="A8463" s="997">
        <f t="shared" si="132"/>
        <v>8462</v>
      </c>
      <c r="B8463" s="983" t="s">
        <v>2721</v>
      </c>
      <c r="C8463" s="999"/>
      <c r="H8463" s="983" t="str">
        <f>CONCATENATE("&lt;valeur&gt;",Cellule_937,"&lt;/valeur&gt;")</f>
        <v>&lt;valeur&gt;&lt;/valeur&gt;</v>
      </c>
    </row>
    <row r="8464" spans="1:9" x14ac:dyDescent="0.2">
      <c r="A8464" s="997">
        <f t="shared" si="132"/>
        <v>8463</v>
      </c>
      <c r="B8464" s="983" t="s">
        <v>2721</v>
      </c>
      <c r="C8464" s="999"/>
      <c r="G8464" s="983" t="s">
        <v>1109</v>
      </c>
    </row>
    <row r="8465" spans="1:9" x14ac:dyDescent="0.2">
      <c r="A8465" s="997">
        <f t="shared" si="132"/>
        <v>8464</v>
      </c>
      <c r="B8465" s="983" t="s">
        <v>2721</v>
      </c>
      <c r="C8465" s="1000"/>
      <c r="G8465" s="983" t="s">
        <v>1106</v>
      </c>
    </row>
    <row r="8466" spans="1:9" x14ac:dyDescent="0.2">
      <c r="A8466" s="997">
        <f t="shared" si="132"/>
        <v>8465</v>
      </c>
      <c r="B8466" s="983" t="s">
        <v>2721</v>
      </c>
      <c r="C8466" s="1001"/>
      <c r="H8466" s="983" t="s">
        <v>1107</v>
      </c>
    </row>
    <row r="8467" spans="1:9" x14ac:dyDescent="0.2">
      <c r="A8467" s="997">
        <f t="shared" si="132"/>
        <v>8466</v>
      </c>
      <c r="B8467" s="983" t="s">
        <v>2721</v>
      </c>
      <c r="C8467" s="1000"/>
      <c r="I8467" s="983" t="s">
        <v>2319</v>
      </c>
    </row>
    <row r="8468" spans="1:9" x14ac:dyDescent="0.2">
      <c r="A8468" s="997">
        <f t="shared" si="132"/>
        <v>8467</v>
      </c>
      <c r="B8468" s="983" t="s">
        <v>2721</v>
      </c>
      <c r="C8468" s="1000"/>
      <c r="H8468" s="983" t="s">
        <v>1108</v>
      </c>
    </row>
    <row r="8469" spans="1:9" x14ac:dyDescent="0.2">
      <c r="A8469" s="997">
        <f t="shared" si="132"/>
        <v>8468</v>
      </c>
      <c r="B8469" s="983" t="s">
        <v>2721</v>
      </c>
      <c r="C8469" s="999"/>
      <c r="H8469" s="983" t="str">
        <f>CONCATENATE("&lt;valeur&gt;",Cellule_938,"&lt;/valeur&gt;")</f>
        <v>&lt;valeur&gt;&lt;/valeur&gt;</v>
      </c>
    </row>
    <row r="8470" spans="1:9" x14ac:dyDescent="0.2">
      <c r="A8470" s="997">
        <f t="shared" si="132"/>
        <v>8469</v>
      </c>
      <c r="B8470" s="983" t="s">
        <v>2721</v>
      </c>
      <c r="C8470" s="999"/>
      <c r="G8470" s="983" t="s">
        <v>1109</v>
      </c>
    </row>
    <row r="8471" spans="1:9" x14ac:dyDescent="0.2">
      <c r="A8471" s="997">
        <f t="shared" si="132"/>
        <v>8470</v>
      </c>
      <c r="B8471" s="983" t="s">
        <v>2721</v>
      </c>
      <c r="C8471" s="1000"/>
      <c r="G8471" s="983" t="s">
        <v>1106</v>
      </c>
    </row>
    <row r="8472" spans="1:9" x14ac:dyDescent="0.2">
      <c r="A8472" s="997">
        <f t="shared" si="132"/>
        <v>8471</v>
      </c>
      <c r="B8472" s="983" t="s">
        <v>2721</v>
      </c>
      <c r="C8472" s="1001"/>
      <c r="H8472" s="983" t="s">
        <v>1107</v>
      </c>
    </row>
    <row r="8473" spans="1:9" x14ac:dyDescent="0.2">
      <c r="A8473" s="997">
        <f t="shared" si="132"/>
        <v>8472</v>
      </c>
      <c r="B8473" s="983" t="s">
        <v>2721</v>
      </c>
      <c r="C8473" s="1000"/>
      <c r="I8473" s="983" t="s">
        <v>2320</v>
      </c>
    </row>
    <row r="8474" spans="1:9" x14ac:dyDescent="0.2">
      <c r="A8474" s="997">
        <f t="shared" si="132"/>
        <v>8473</v>
      </c>
      <c r="B8474" s="983" t="s">
        <v>2721</v>
      </c>
      <c r="C8474" s="1000"/>
      <c r="H8474" s="983" t="s">
        <v>1108</v>
      </c>
    </row>
    <row r="8475" spans="1:9" x14ac:dyDescent="0.2">
      <c r="A8475" s="997">
        <f t="shared" si="132"/>
        <v>8474</v>
      </c>
      <c r="B8475" s="983" t="s">
        <v>2721</v>
      </c>
      <c r="C8475" s="999"/>
      <c r="H8475" s="983" t="str">
        <f>CONCATENATE("&lt;valeur&gt;",Cellule_939,"&lt;/valeur&gt;")</f>
        <v>&lt;valeur&gt;&lt;/valeur&gt;</v>
      </c>
    </row>
    <row r="8476" spans="1:9" x14ac:dyDescent="0.2">
      <c r="A8476" s="997">
        <f t="shared" si="132"/>
        <v>8475</v>
      </c>
      <c r="B8476" s="983" t="s">
        <v>2721</v>
      </c>
      <c r="C8476" s="999"/>
      <c r="G8476" s="983" t="s">
        <v>1109</v>
      </c>
    </row>
    <row r="8477" spans="1:9" x14ac:dyDescent="0.2">
      <c r="A8477" s="997">
        <f t="shared" si="132"/>
        <v>8476</v>
      </c>
      <c r="B8477" s="983" t="s">
        <v>2721</v>
      </c>
      <c r="C8477" s="1000"/>
      <c r="G8477" s="983" t="s">
        <v>1106</v>
      </c>
    </row>
    <row r="8478" spans="1:9" x14ac:dyDescent="0.2">
      <c r="A8478" s="997">
        <f t="shared" si="132"/>
        <v>8477</v>
      </c>
      <c r="B8478" s="983" t="s">
        <v>2721</v>
      </c>
      <c r="C8478" s="1001"/>
      <c r="H8478" s="983" t="s">
        <v>1107</v>
      </c>
    </row>
    <row r="8479" spans="1:9" x14ac:dyDescent="0.2">
      <c r="A8479" s="997">
        <f t="shared" si="132"/>
        <v>8478</v>
      </c>
      <c r="B8479" s="983" t="s">
        <v>2721</v>
      </c>
      <c r="C8479" s="1000"/>
      <c r="I8479" s="983" t="s">
        <v>2321</v>
      </c>
    </row>
    <row r="8480" spans="1:9" x14ac:dyDescent="0.2">
      <c r="A8480" s="997">
        <f t="shared" si="132"/>
        <v>8479</v>
      </c>
      <c r="B8480" s="983" t="s">
        <v>2721</v>
      </c>
      <c r="C8480" s="1000"/>
      <c r="H8480" s="983" t="s">
        <v>1108</v>
      </c>
    </row>
    <row r="8481" spans="1:9" x14ac:dyDescent="0.2">
      <c r="A8481" s="997">
        <f t="shared" si="132"/>
        <v>8480</v>
      </c>
      <c r="B8481" s="983" t="s">
        <v>2721</v>
      </c>
      <c r="C8481" s="999"/>
      <c r="H8481" s="983" t="str">
        <f>CONCATENATE("&lt;valeur&gt;",Cellule_10022,"&lt;/valeur&gt;")</f>
        <v>&lt;valeur&gt;&lt;/valeur&gt;</v>
      </c>
    </row>
    <row r="8482" spans="1:9" x14ac:dyDescent="0.2">
      <c r="A8482" s="997">
        <f t="shared" si="132"/>
        <v>8481</v>
      </c>
      <c r="B8482" s="983" t="s">
        <v>2721</v>
      </c>
      <c r="C8482" s="999"/>
      <c r="G8482" s="983" t="s">
        <v>1109</v>
      </c>
    </row>
    <row r="8483" spans="1:9" x14ac:dyDescent="0.2">
      <c r="A8483" s="997">
        <f t="shared" si="132"/>
        <v>8482</v>
      </c>
      <c r="B8483" s="983" t="s">
        <v>2721</v>
      </c>
      <c r="C8483" s="1000"/>
      <c r="G8483" s="983" t="s">
        <v>1106</v>
      </c>
    </row>
    <row r="8484" spans="1:9" x14ac:dyDescent="0.2">
      <c r="A8484" s="997">
        <f t="shared" si="132"/>
        <v>8483</v>
      </c>
      <c r="B8484" s="983" t="s">
        <v>2721</v>
      </c>
      <c r="C8484" s="1001"/>
      <c r="H8484" s="983" t="s">
        <v>1107</v>
      </c>
    </row>
    <row r="8485" spans="1:9" x14ac:dyDescent="0.2">
      <c r="A8485" s="997">
        <f t="shared" si="132"/>
        <v>8484</v>
      </c>
      <c r="B8485" s="983" t="s">
        <v>2721</v>
      </c>
      <c r="C8485" s="1000"/>
      <c r="I8485" s="983" t="s">
        <v>2322</v>
      </c>
    </row>
    <row r="8486" spans="1:9" x14ac:dyDescent="0.2">
      <c r="A8486" s="997">
        <f t="shared" si="132"/>
        <v>8485</v>
      </c>
      <c r="B8486" s="983" t="s">
        <v>2721</v>
      </c>
      <c r="C8486" s="1000"/>
      <c r="H8486" s="983" t="s">
        <v>1108</v>
      </c>
    </row>
    <row r="8487" spans="1:9" x14ac:dyDescent="0.2">
      <c r="A8487" s="997">
        <f t="shared" si="132"/>
        <v>8486</v>
      </c>
      <c r="B8487" s="983" t="s">
        <v>2721</v>
      </c>
      <c r="C8487" s="999"/>
      <c r="H8487" s="983" t="str">
        <f>CONCATENATE("&lt;valeur&gt;",Cellule_10023,"&lt;/valeur&gt;")</f>
        <v>&lt;valeur&gt;&lt;/valeur&gt;</v>
      </c>
    </row>
    <row r="8488" spans="1:9" x14ac:dyDescent="0.2">
      <c r="A8488" s="997">
        <f t="shared" si="132"/>
        <v>8487</v>
      </c>
      <c r="B8488" s="983" t="s">
        <v>2721</v>
      </c>
      <c r="C8488" s="999"/>
      <c r="G8488" s="983" t="s">
        <v>1109</v>
      </c>
    </row>
    <row r="8489" spans="1:9" x14ac:dyDescent="0.2">
      <c r="A8489" s="997">
        <f t="shared" si="132"/>
        <v>8488</v>
      </c>
      <c r="B8489" s="983" t="s">
        <v>2721</v>
      </c>
      <c r="C8489" s="1000"/>
      <c r="G8489" s="983" t="s">
        <v>1106</v>
      </c>
    </row>
    <row r="8490" spans="1:9" x14ac:dyDescent="0.2">
      <c r="A8490" s="997">
        <f t="shared" si="132"/>
        <v>8489</v>
      </c>
      <c r="B8490" s="983" t="s">
        <v>2721</v>
      </c>
      <c r="C8490" s="1001"/>
      <c r="H8490" s="983" t="s">
        <v>1107</v>
      </c>
    </row>
    <row r="8491" spans="1:9" x14ac:dyDescent="0.2">
      <c r="A8491" s="997">
        <f t="shared" si="132"/>
        <v>8490</v>
      </c>
      <c r="B8491" s="983" t="s">
        <v>2721</v>
      </c>
      <c r="C8491" s="1000"/>
      <c r="I8491" s="983" t="s">
        <v>2323</v>
      </c>
    </row>
    <row r="8492" spans="1:9" x14ac:dyDescent="0.2">
      <c r="A8492" s="997">
        <f t="shared" si="132"/>
        <v>8491</v>
      </c>
      <c r="B8492" s="983" t="s">
        <v>2721</v>
      </c>
      <c r="C8492" s="1000"/>
      <c r="H8492" s="983" t="s">
        <v>1108</v>
      </c>
    </row>
    <row r="8493" spans="1:9" x14ac:dyDescent="0.2">
      <c r="A8493" s="997">
        <f t="shared" si="132"/>
        <v>8492</v>
      </c>
      <c r="B8493" s="983" t="s">
        <v>2721</v>
      </c>
      <c r="C8493" s="999"/>
      <c r="H8493" s="983" t="str">
        <f>CONCATENATE("&lt;valeur&gt;",Cellule_10024,"&lt;/valeur&gt;")</f>
        <v>&lt;valeur&gt;&lt;/valeur&gt;</v>
      </c>
    </row>
    <row r="8494" spans="1:9" x14ac:dyDescent="0.2">
      <c r="A8494" s="997">
        <f t="shared" si="132"/>
        <v>8493</v>
      </c>
      <c r="B8494" s="983" t="s">
        <v>2721</v>
      </c>
      <c r="C8494" s="999"/>
      <c r="G8494" s="983" t="s">
        <v>1109</v>
      </c>
    </row>
    <row r="8495" spans="1:9" x14ac:dyDescent="0.2">
      <c r="A8495" s="997">
        <f t="shared" si="132"/>
        <v>8494</v>
      </c>
      <c r="B8495" s="983" t="s">
        <v>2721</v>
      </c>
      <c r="C8495" s="1000"/>
      <c r="G8495" s="983" t="s">
        <v>1106</v>
      </c>
    </row>
    <row r="8496" spans="1:9" x14ac:dyDescent="0.2">
      <c r="A8496" s="997">
        <f t="shared" si="132"/>
        <v>8495</v>
      </c>
      <c r="B8496" s="983" t="s">
        <v>2721</v>
      </c>
      <c r="C8496" s="1001"/>
      <c r="H8496" s="983" t="s">
        <v>1107</v>
      </c>
    </row>
    <row r="8497" spans="1:9" x14ac:dyDescent="0.2">
      <c r="A8497" s="997">
        <f t="shared" si="132"/>
        <v>8496</v>
      </c>
      <c r="B8497" s="983" t="s">
        <v>2721</v>
      </c>
      <c r="C8497" s="1000"/>
      <c r="I8497" s="983" t="s">
        <v>2324</v>
      </c>
    </row>
    <row r="8498" spans="1:9" x14ac:dyDescent="0.2">
      <c r="A8498" s="997">
        <f t="shared" si="132"/>
        <v>8497</v>
      </c>
      <c r="B8498" s="983" t="s">
        <v>2721</v>
      </c>
      <c r="C8498" s="1000"/>
      <c r="H8498" s="983" t="s">
        <v>1108</v>
      </c>
    </row>
    <row r="8499" spans="1:9" x14ac:dyDescent="0.2">
      <c r="A8499" s="997">
        <f t="shared" si="132"/>
        <v>8498</v>
      </c>
      <c r="B8499" s="983" t="s">
        <v>2721</v>
      </c>
      <c r="C8499" s="999"/>
      <c r="H8499" s="983" t="str">
        <f>CONCATENATE("&lt;valeur&gt;",Cellule_10025,"&lt;/valeur&gt;")</f>
        <v>&lt;valeur&gt;&lt;/valeur&gt;</v>
      </c>
    </row>
    <row r="8500" spans="1:9" x14ac:dyDescent="0.2">
      <c r="A8500" s="997">
        <f t="shared" si="132"/>
        <v>8499</v>
      </c>
      <c r="B8500" s="983" t="s">
        <v>2721</v>
      </c>
      <c r="C8500" s="999"/>
      <c r="G8500" s="983" t="s">
        <v>1109</v>
      </c>
    </row>
    <row r="8501" spans="1:9" x14ac:dyDescent="0.2">
      <c r="A8501" s="997">
        <f t="shared" si="132"/>
        <v>8500</v>
      </c>
      <c r="B8501" s="983" t="s">
        <v>2721</v>
      </c>
      <c r="C8501" s="1000"/>
      <c r="G8501" s="983" t="s">
        <v>1106</v>
      </c>
    </row>
    <row r="8502" spans="1:9" x14ac:dyDescent="0.2">
      <c r="A8502" s="997">
        <f t="shared" si="132"/>
        <v>8501</v>
      </c>
      <c r="B8502" s="983" t="s">
        <v>2721</v>
      </c>
      <c r="C8502" s="1001"/>
      <c r="H8502" s="983" t="s">
        <v>1107</v>
      </c>
    </row>
    <row r="8503" spans="1:9" x14ac:dyDescent="0.2">
      <c r="A8503" s="997">
        <f t="shared" si="132"/>
        <v>8502</v>
      </c>
      <c r="B8503" s="983" t="s">
        <v>2721</v>
      </c>
      <c r="C8503" s="1000"/>
      <c r="I8503" s="983" t="s">
        <v>2325</v>
      </c>
    </row>
    <row r="8504" spans="1:9" x14ac:dyDescent="0.2">
      <c r="A8504" s="997">
        <f t="shared" si="132"/>
        <v>8503</v>
      </c>
      <c r="B8504" s="983" t="s">
        <v>2721</v>
      </c>
      <c r="C8504" s="1000"/>
      <c r="H8504" s="983" t="s">
        <v>1108</v>
      </c>
    </row>
    <row r="8505" spans="1:9" x14ac:dyDescent="0.2">
      <c r="A8505" s="997">
        <f t="shared" si="132"/>
        <v>8504</v>
      </c>
      <c r="B8505" s="983" t="s">
        <v>2721</v>
      </c>
      <c r="C8505" s="999"/>
      <c r="H8505" s="983" t="str">
        <f>CONCATENATE("&lt;valeur&gt;",Cellule_10026,"&lt;/valeur&gt;")</f>
        <v>&lt;valeur&gt;&lt;/valeur&gt;</v>
      </c>
    </row>
    <row r="8506" spans="1:9" x14ac:dyDescent="0.2">
      <c r="A8506" s="997">
        <f t="shared" si="132"/>
        <v>8505</v>
      </c>
      <c r="B8506" s="983" t="s">
        <v>2721</v>
      </c>
      <c r="C8506" s="999"/>
      <c r="G8506" s="983" t="s">
        <v>1109</v>
      </c>
    </row>
    <row r="8507" spans="1:9" x14ac:dyDescent="0.2">
      <c r="A8507" s="997">
        <f t="shared" si="132"/>
        <v>8506</v>
      </c>
      <c r="B8507" s="983" t="s">
        <v>2721</v>
      </c>
      <c r="C8507" s="1000"/>
      <c r="G8507" s="983" t="s">
        <v>1106</v>
      </c>
    </row>
    <row r="8508" spans="1:9" x14ac:dyDescent="0.2">
      <c r="A8508" s="997">
        <f t="shared" si="132"/>
        <v>8507</v>
      </c>
      <c r="B8508" s="983" t="s">
        <v>2721</v>
      </c>
      <c r="C8508" s="1001"/>
      <c r="H8508" s="983" t="s">
        <v>1107</v>
      </c>
    </row>
    <row r="8509" spans="1:9" x14ac:dyDescent="0.2">
      <c r="A8509" s="997">
        <f t="shared" si="132"/>
        <v>8508</v>
      </c>
      <c r="B8509" s="983" t="s">
        <v>2721</v>
      </c>
      <c r="C8509" s="1000"/>
      <c r="I8509" s="983" t="s">
        <v>2326</v>
      </c>
    </row>
    <row r="8510" spans="1:9" x14ac:dyDescent="0.2">
      <c r="A8510" s="997">
        <f t="shared" si="132"/>
        <v>8509</v>
      </c>
      <c r="B8510" s="983" t="s">
        <v>2721</v>
      </c>
      <c r="C8510" s="1000"/>
      <c r="H8510" s="983" t="s">
        <v>1108</v>
      </c>
    </row>
    <row r="8511" spans="1:9" x14ac:dyDescent="0.2">
      <c r="A8511" s="997">
        <f t="shared" si="132"/>
        <v>8510</v>
      </c>
      <c r="B8511" s="983" t="s">
        <v>2721</v>
      </c>
      <c r="C8511" s="999"/>
      <c r="H8511" s="983" t="str">
        <f>CONCATENATE("&lt;valeur&gt;",Cellule_10027,"&lt;/valeur&gt;")</f>
        <v>&lt;valeur&gt;&lt;/valeur&gt;</v>
      </c>
    </row>
    <row r="8512" spans="1:9" x14ac:dyDescent="0.2">
      <c r="A8512" s="997">
        <f t="shared" si="132"/>
        <v>8511</v>
      </c>
      <c r="B8512" s="983" t="s">
        <v>2721</v>
      </c>
      <c r="C8512" s="999"/>
      <c r="G8512" s="983" t="s">
        <v>1109</v>
      </c>
    </row>
    <row r="8513" spans="1:9" x14ac:dyDescent="0.2">
      <c r="A8513" s="997">
        <f t="shared" si="132"/>
        <v>8512</v>
      </c>
      <c r="B8513" s="983" t="s">
        <v>2721</v>
      </c>
      <c r="C8513" s="1000"/>
      <c r="G8513" s="983" t="s">
        <v>1106</v>
      </c>
    </row>
    <row r="8514" spans="1:9" x14ac:dyDescent="0.2">
      <c r="A8514" s="997">
        <f t="shared" si="132"/>
        <v>8513</v>
      </c>
      <c r="B8514" s="983" t="s">
        <v>2721</v>
      </c>
      <c r="C8514" s="1001"/>
      <c r="H8514" s="983" t="s">
        <v>1107</v>
      </c>
    </row>
    <row r="8515" spans="1:9" x14ac:dyDescent="0.2">
      <c r="A8515" s="997">
        <f t="shared" si="132"/>
        <v>8514</v>
      </c>
      <c r="B8515" s="983" t="s">
        <v>2721</v>
      </c>
      <c r="C8515" s="1000"/>
      <c r="I8515" s="983" t="s">
        <v>2327</v>
      </c>
    </row>
    <row r="8516" spans="1:9" x14ac:dyDescent="0.2">
      <c r="A8516" s="997">
        <f t="shared" ref="A8516:A8579" si="133">+A8515+1</f>
        <v>8515</v>
      </c>
      <c r="B8516" s="983" t="s">
        <v>2721</v>
      </c>
      <c r="C8516" s="1000"/>
      <c r="H8516" s="983" t="s">
        <v>1108</v>
      </c>
    </row>
    <row r="8517" spans="1:9" x14ac:dyDescent="0.2">
      <c r="A8517" s="997">
        <f t="shared" si="133"/>
        <v>8516</v>
      </c>
      <c r="B8517" s="983" t="s">
        <v>2721</v>
      </c>
      <c r="C8517" s="999"/>
      <c r="H8517" s="983" t="str">
        <f>CONCATENATE("&lt;valeur&gt;",Cellule_949,"&lt;/valeur&gt;")</f>
        <v>&lt;valeur&gt;0&lt;/valeur&gt;</v>
      </c>
    </row>
    <row r="8518" spans="1:9" x14ac:dyDescent="0.2">
      <c r="A8518" s="997">
        <f t="shared" si="133"/>
        <v>8517</v>
      </c>
      <c r="B8518" s="983" t="s">
        <v>2721</v>
      </c>
      <c r="C8518" s="999"/>
      <c r="G8518" s="983" t="s">
        <v>1109</v>
      </c>
    </row>
    <row r="8519" spans="1:9" x14ac:dyDescent="0.2">
      <c r="A8519" s="997">
        <f t="shared" si="133"/>
        <v>8518</v>
      </c>
      <c r="B8519" s="983" t="s">
        <v>2721</v>
      </c>
      <c r="C8519" s="1000"/>
      <c r="G8519" s="983" t="s">
        <v>1106</v>
      </c>
    </row>
    <row r="8520" spans="1:9" x14ac:dyDescent="0.2">
      <c r="A8520" s="997">
        <f t="shared" si="133"/>
        <v>8519</v>
      </c>
      <c r="B8520" s="983" t="s">
        <v>2721</v>
      </c>
      <c r="C8520" s="1001"/>
      <c r="H8520" s="983" t="s">
        <v>1107</v>
      </c>
    </row>
    <row r="8521" spans="1:9" x14ac:dyDescent="0.2">
      <c r="A8521" s="997">
        <f t="shared" si="133"/>
        <v>8520</v>
      </c>
      <c r="B8521" s="983" t="s">
        <v>2721</v>
      </c>
      <c r="C8521" s="1000"/>
      <c r="I8521" s="983" t="s">
        <v>2328</v>
      </c>
    </row>
    <row r="8522" spans="1:9" x14ac:dyDescent="0.2">
      <c r="A8522" s="997">
        <f t="shared" si="133"/>
        <v>8521</v>
      </c>
      <c r="B8522" s="983" t="s">
        <v>2721</v>
      </c>
      <c r="C8522" s="1000"/>
      <c r="H8522" s="983" t="s">
        <v>1108</v>
      </c>
    </row>
    <row r="8523" spans="1:9" x14ac:dyDescent="0.2">
      <c r="A8523" s="997">
        <f t="shared" si="133"/>
        <v>8522</v>
      </c>
      <c r="B8523" s="983" t="s">
        <v>2721</v>
      </c>
      <c r="C8523" s="999"/>
      <c r="H8523" s="983" t="str">
        <f>CONCATENATE("&lt;valeur&gt;",Cellule_950,"&lt;/valeur&gt;")</f>
        <v>&lt;valeur&gt;0&lt;/valeur&gt;</v>
      </c>
    </row>
    <row r="8524" spans="1:9" x14ac:dyDescent="0.2">
      <c r="A8524" s="997">
        <f t="shared" si="133"/>
        <v>8523</v>
      </c>
      <c r="B8524" s="983" t="s">
        <v>2721</v>
      </c>
      <c r="C8524" s="999"/>
      <c r="G8524" s="983" t="s">
        <v>1109</v>
      </c>
    </row>
    <row r="8525" spans="1:9" x14ac:dyDescent="0.2">
      <c r="A8525" s="997">
        <f t="shared" si="133"/>
        <v>8524</v>
      </c>
      <c r="B8525" s="983" t="s">
        <v>2721</v>
      </c>
      <c r="C8525" s="1000"/>
      <c r="G8525" s="983" t="s">
        <v>1106</v>
      </c>
    </row>
    <row r="8526" spans="1:9" x14ac:dyDescent="0.2">
      <c r="A8526" s="997">
        <f t="shared" si="133"/>
        <v>8525</v>
      </c>
      <c r="B8526" s="983" t="s">
        <v>2721</v>
      </c>
      <c r="C8526" s="1001"/>
      <c r="H8526" s="983" t="s">
        <v>1107</v>
      </c>
    </row>
    <row r="8527" spans="1:9" x14ac:dyDescent="0.2">
      <c r="A8527" s="997">
        <f t="shared" si="133"/>
        <v>8526</v>
      </c>
      <c r="B8527" s="983" t="s">
        <v>2721</v>
      </c>
      <c r="C8527" s="1000"/>
      <c r="I8527" s="983" t="s">
        <v>2329</v>
      </c>
    </row>
    <row r="8528" spans="1:9" x14ac:dyDescent="0.2">
      <c r="A8528" s="997">
        <f t="shared" si="133"/>
        <v>8527</v>
      </c>
      <c r="B8528" s="983" t="s">
        <v>2721</v>
      </c>
      <c r="C8528" s="1000"/>
      <c r="H8528" s="983" t="s">
        <v>1108</v>
      </c>
    </row>
    <row r="8529" spans="1:10" x14ac:dyDescent="0.2">
      <c r="A8529" s="997">
        <f t="shared" si="133"/>
        <v>8528</v>
      </c>
      <c r="B8529" s="983" t="s">
        <v>2721</v>
      </c>
      <c r="C8529" s="999"/>
      <c r="H8529" s="983" t="str">
        <f>CONCATENATE("&lt;valeur&gt;",Cellule_951,"&lt;/valeur&gt;")</f>
        <v>&lt;valeur&gt;0&lt;/valeur&gt;</v>
      </c>
    </row>
    <row r="8530" spans="1:10" x14ac:dyDescent="0.2">
      <c r="A8530" s="997">
        <f t="shared" si="133"/>
        <v>8529</v>
      </c>
      <c r="B8530" s="983" t="s">
        <v>2721</v>
      </c>
      <c r="C8530" s="999"/>
      <c r="G8530" s="983" t="s">
        <v>1109</v>
      </c>
    </row>
    <row r="8531" spans="1:10" x14ac:dyDescent="0.2">
      <c r="A8531" s="997">
        <f t="shared" si="133"/>
        <v>8530</v>
      </c>
      <c r="B8531" s="983" t="s">
        <v>2721</v>
      </c>
      <c r="C8531" s="1000"/>
      <c r="F8531" s="983" t="s">
        <v>1110</v>
      </c>
    </row>
    <row r="8532" spans="1:10" x14ac:dyDescent="0.2">
      <c r="A8532" s="997">
        <f t="shared" si="133"/>
        <v>8531</v>
      </c>
      <c r="B8532" s="983" t="s">
        <v>2721</v>
      </c>
      <c r="C8532" s="1000"/>
      <c r="F8532" s="983" t="s">
        <v>1111</v>
      </c>
    </row>
    <row r="8533" spans="1:10" x14ac:dyDescent="0.2">
      <c r="A8533" s="997">
        <f t="shared" si="133"/>
        <v>8532</v>
      </c>
      <c r="B8533" s="983" t="s">
        <v>2721</v>
      </c>
      <c r="C8533" s="1000"/>
      <c r="F8533" s="983" t="s">
        <v>1112</v>
      </c>
    </row>
    <row r="8534" spans="1:10" x14ac:dyDescent="0.2">
      <c r="A8534" s="997">
        <f t="shared" si="133"/>
        <v>8533</v>
      </c>
      <c r="B8534" s="983" t="s">
        <v>2721</v>
      </c>
      <c r="C8534" s="999"/>
      <c r="E8534" s="983" t="s">
        <v>1113</v>
      </c>
    </row>
    <row r="8535" spans="1:10" x14ac:dyDescent="0.2">
      <c r="A8535" s="997">
        <f t="shared" si="133"/>
        <v>8534</v>
      </c>
      <c r="B8535" s="983" t="s">
        <v>2722</v>
      </c>
      <c r="C8535" s="999"/>
      <c r="E8535" s="983" t="s">
        <v>1104</v>
      </c>
    </row>
    <row r="8536" spans="1:10" x14ac:dyDescent="0.2">
      <c r="A8536" s="997">
        <f t="shared" si="133"/>
        <v>8535</v>
      </c>
      <c r="B8536" s="983" t="s">
        <v>2722</v>
      </c>
      <c r="C8536" s="1000"/>
      <c r="F8536" s="983" t="s">
        <v>2330</v>
      </c>
    </row>
    <row r="8537" spans="1:10" x14ac:dyDescent="0.2">
      <c r="A8537" s="997">
        <f t="shared" si="133"/>
        <v>8536</v>
      </c>
      <c r="B8537" s="983" t="s">
        <v>2722</v>
      </c>
      <c r="C8537" s="1001"/>
      <c r="F8537" s="983" t="s">
        <v>1105</v>
      </c>
    </row>
    <row r="8538" spans="1:10" x14ac:dyDescent="0.2">
      <c r="A8538" s="997">
        <f t="shared" si="133"/>
        <v>8537</v>
      </c>
      <c r="B8538" s="1128" t="s">
        <v>2722</v>
      </c>
      <c r="C8538" s="1143"/>
      <c r="D8538" s="1128"/>
      <c r="E8538" s="1128"/>
      <c r="F8538" s="1128"/>
      <c r="G8538" s="1128" t="s">
        <v>1106</v>
      </c>
      <c r="H8538" s="1128"/>
      <c r="I8538" s="1128"/>
      <c r="J8538" s="1124"/>
    </row>
    <row r="8539" spans="1:10" x14ac:dyDescent="0.2">
      <c r="A8539" s="997">
        <f t="shared" si="133"/>
        <v>8538</v>
      </c>
      <c r="B8539" s="1129" t="s">
        <v>2722</v>
      </c>
      <c r="C8539" s="1139"/>
      <c r="D8539" s="1129"/>
      <c r="E8539" s="1129"/>
      <c r="F8539" s="1129"/>
      <c r="G8539" s="1129"/>
      <c r="H8539" s="1129" t="s">
        <v>2331</v>
      </c>
      <c r="I8539" s="1129"/>
      <c r="J8539" s="1127"/>
    </row>
    <row r="8540" spans="1:10" x14ac:dyDescent="0.2">
      <c r="A8540" s="997">
        <f t="shared" si="133"/>
        <v>8539</v>
      </c>
      <c r="B8540" s="1129" t="s">
        <v>2722</v>
      </c>
      <c r="C8540" s="1138"/>
      <c r="D8540" s="1129"/>
      <c r="E8540" s="1129"/>
      <c r="F8540" s="1129"/>
      <c r="G8540" s="1129"/>
      <c r="H8540" s="1129" t="str">
        <f>CONCATENATE("&lt;valeur&gt;",Cellule_10061_1,"&lt;/valeur&gt;")</f>
        <v>&lt;valeur&gt;MAT DE TRANSPORST&lt;/valeur&gt;</v>
      </c>
      <c r="I8540" s="1129"/>
      <c r="J8540" s="1127"/>
    </row>
    <row r="8541" spans="1:10" x14ac:dyDescent="0.2">
      <c r="A8541" s="997">
        <f t="shared" si="133"/>
        <v>8540</v>
      </c>
      <c r="B8541" s="1129" t="s">
        <v>2722</v>
      </c>
      <c r="C8541" s="1138"/>
      <c r="D8541" s="1129"/>
      <c r="E8541" s="1129"/>
      <c r="F8541" s="1129"/>
      <c r="G8541" s="1129"/>
      <c r="H8541" s="1129" t="s">
        <v>1348</v>
      </c>
      <c r="I8541" s="1129"/>
      <c r="J8541" s="1127"/>
    </row>
    <row r="8542" spans="1:10" x14ac:dyDescent="0.2">
      <c r="A8542" s="997">
        <f t="shared" si="133"/>
        <v>8541</v>
      </c>
      <c r="B8542" s="1129" t="s">
        <v>2722</v>
      </c>
      <c r="C8542" s="1139"/>
      <c r="D8542" s="1129"/>
      <c r="E8542" s="1129"/>
      <c r="F8542" s="1129"/>
      <c r="G8542" s="1129" t="s">
        <v>1109</v>
      </c>
      <c r="H8542" s="1129"/>
      <c r="I8542" s="1129"/>
      <c r="J8542" s="1127"/>
    </row>
    <row r="8543" spans="1:10" x14ac:dyDescent="0.2">
      <c r="A8543" s="997">
        <f t="shared" si="133"/>
        <v>8542</v>
      </c>
      <c r="B8543" s="1129" t="s">
        <v>2722</v>
      </c>
      <c r="C8543" s="1140"/>
      <c r="D8543" s="1129"/>
      <c r="E8543" s="1129"/>
      <c r="F8543" s="1129"/>
      <c r="G8543" s="1129" t="s">
        <v>1106</v>
      </c>
      <c r="H8543" s="1129"/>
      <c r="I8543" s="1129"/>
      <c r="J8543" s="1127"/>
    </row>
    <row r="8544" spans="1:10" x14ac:dyDescent="0.2">
      <c r="A8544" s="997">
        <f t="shared" si="133"/>
        <v>8543</v>
      </c>
      <c r="B8544" s="1129" t="s">
        <v>2722</v>
      </c>
      <c r="C8544" s="1139"/>
      <c r="D8544" s="1129"/>
      <c r="E8544" s="1129"/>
      <c r="F8544" s="1129"/>
      <c r="G8544" s="1129"/>
      <c r="H8544" s="1129" t="s">
        <v>2332</v>
      </c>
      <c r="I8544" s="1129"/>
      <c r="J8544" s="1127"/>
    </row>
    <row r="8545" spans="1:10" x14ac:dyDescent="0.2">
      <c r="A8545" s="997">
        <f t="shared" si="133"/>
        <v>8544</v>
      </c>
      <c r="B8545" s="1129" t="s">
        <v>2722</v>
      </c>
      <c r="C8545" s="1139"/>
      <c r="D8545" s="1129"/>
      <c r="E8545" s="1129"/>
      <c r="F8545" s="1129"/>
      <c r="G8545" s="1129"/>
      <c r="H8545" s="1129" t="str">
        <f>CONCATENATE("&lt;valeur&gt;",Cellule_1078_1,"&lt;/valeur&gt;")</f>
        <v>&lt;valeur&gt;42922&lt;/valeur&gt;</v>
      </c>
      <c r="I8545" s="1129"/>
      <c r="J8545" s="1127"/>
    </row>
    <row r="8546" spans="1:10" x14ac:dyDescent="0.2">
      <c r="A8546" s="997">
        <f t="shared" si="133"/>
        <v>8545</v>
      </c>
      <c r="B8546" s="1129" t="s">
        <v>2722</v>
      </c>
      <c r="C8546" s="1138"/>
      <c r="D8546" s="1129"/>
      <c r="E8546" s="1129"/>
      <c r="F8546" s="1129"/>
      <c r="G8546" s="1129"/>
      <c r="H8546" s="1129" t="s">
        <v>1348</v>
      </c>
      <c r="I8546" s="1129"/>
      <c r="J8546" s="1127"/>
    </row>
    <row r="8547" spans="1:10" x14ac:dyDescent="0.2">
      <c r="A8547" s="997">
        <f t="shared" si="133"/>
        <v>8546</v>
      </c>
      <c r="B8547" s="1129" t="s">
        <v>2722</v>
      </c>
      <c r="C8547" s="1138"/>
      <c r="D8547" s="1129"/>
      <c r="E8547" s="1129"/>
      <c r="F8547" s="1129"/>
      <c r="G8547" s="1129" t="s">
        <v>1109</v>
      </c>
      <c r="H8547" s="1129"/>
      <c r="I8547" s="1129"/>
      <c r="J8547" s="1127"/>
    </row>
    <row r="8548" spans="1:10" x14ac:dyDescent="0.2">
      <c r="A8548" s="997">
        <f t="shared" si="133"/>
        <v>8547</v>
      </c>
      <c r="B8548" s="1129" t="s">
        <v>2722</v>
      </c>
      <c r="C8548" s="1139"/>
      <c r="D8548" s="1129"/>
      <c r="E8548" s="1129"/>
      <c r="F8548" s="1129"/>
      <c r="G8548" s="1129" t="s">
        <v>1106</v>
      </c>
      <c r="H8548" s="1129"/>
      <c r="I8548" s="1129"/>
      <c r="J8548" s="1127"/>
    </row>
    <row r="8549" spans="1:10" x14ac:dyDescent="0.2">
      <c r="A8549" s="997">
        <f t="shared" si="133"/>
        <v>8548</v>
      </c>
      <c r="B8549" s="1129" t="s">
        <v>2722</v>
      </c>
      <c r="C8549" s="1140"/>
      <c r="D8549" s="1129"/>
      <c r="E8549" s="1129"/>
      <c r="F8549" s="1129"/>
      <c r="G8549" s="1129"/>
      <c r="H8549" s="1129" t="s">
        <v>2333</v>
      </c>
      <c r="I8549" s="1129"/>
      <c r="J8549" s="1127"/>
    </row>
    <row r="8550" spans="1:10" x14ac:dyDescent="0.2">
      <c r="A8550" s="997">
        <f t="shared" si="133"/>
        <v>8549</v>
      </c>
      <c r="B8550" s="1129" t="s">
        <v>2722</v>
      </c>
      <c r="C8550" s="1139"/>
      <c r="D8550" s="1129"/>
      <c r="E8550" s="1129"/>
      <c r="F8550" s="1129"/>
      <c r="G8550" s="1129"/>
      <c r="H8550" s="1129" t="str">
        <f>CONCATENATE("&lt;valeur&gt;",Cellule_1079_1,"&lt;/valeur&gt;")</f>
        <v>&lt;valeur&gt;97800&lt;/valeur&gt;</v>
      </c>
      <c r="I8550" s="1129"/>
      <c r="J8550" s="1127"/>
    </row>
    <row r="8551" spans="1:10" x14ac:dyDescent="0.2">
      <c r="A8551" s="997">
        <f t="shared" si="133"/>
        <v>8550</v>
      </c>
      <c r="B8551" s="1129" t="s">
        <v>2722</v>
      </c>
      <c r="C8551" s="1139"/>
      <c r="D8551" s="1129"/>
      <c r="E8551" s="1129"/>
      <c r="F8551" s="1129"/>
      <c r="G8551" s="1129"/>
      <c r="H8551" s="1129" t="s">
        <v>1348</v>
      </c>
      <c r="I8551" s="1129"/>
      <c r="J8551" s="1127"/>
    </row>
    <row r="8552" spans="1:10" x14ac:dyDescent="0.2">
      <c r="A8552" s="997">
        <f t="shared" si="133"/>
        <v>8551</v>
      </c>
      <c r="B8552" s="1129" t="s">
        <v>2722</v>
      </c>
      <c r="C8552" s="1138"/>
      <c r="D8552" s="1129"/>
      <c r="E8552" s="1129"/>
      <c r="F8552" s="1129"/>
      <c r="G8552" s="1129" t="s">
        <v>1109</v>
      </c>
      <c r="H8552" s="1129"/>
      <c r="I8552" s="1129"/>
      <c r="J8552" s="1127"/>
    </row>
    <row r="8553" spans="1:10" x14ac:dyDescent="0.2">
      <c r="A8553" s="997">
        <f t="shared" si="133"/>
        <v>8552</v>
      </c>
      <c r="B8553" s="1129" t="s">
        <v>2722</v>
      </c>
      <c r="C8553" s="1138"/>
      <c r="D8553" s="1129"/>
      <c r="E8553" s="1129"/>
      <c r="F8553" s="1129"/>
      <c r="G8553" s="1129" t="s">
        <v>1106</v>
      </c>
      <c r="H8553" s="1129"/>
      <c r="I8553" s="1129"/>
      <c r="J8553" s="1127"/>
    </row>
    <row r="8554" spans="1:10" x14ac:dyDescent="0.2">
      <c r="A8554" s="997">
        <f t="shared" si="133"/>
        <v>8553</v>
      </c>
      <c r="B8554" s="1129" t="s">
        <v>2722</v>
      </c>
      <c r="C8554" s="1139"/>
      <c r="D8554" s="1129"/>
      <c r="E8554" s="1129"/>
      <c r="F8554" s="1129"/>
      <c r="G8554" s="1129"/>
      <c r="H8554" s="1129" t="s">
        <v>2334</v>
      </c>
      <c r="I8554" s="1129"/>
      <c r="J8554" s="1127"/>
    </row>
    <row r="8555" spans="1:10" x14ac:dyDescent="0.2">
      <c r="A8555" s="997">
        <f t="shared" si="133"/>
        <v>8554</v>
      </c>
      <c r="B8555" s="1129" t="s">
        <v>2722</v>
      </c>
      <c r="C8555" s="1140"/>
      <c r="D8555" s="1129"/>
      <c r="E8555" s="1129"/>
      <c r="F8555" s="1129"/>
      <c r="G8555" s="1129"/>
      <c r="H8555" s="1129" t="str">
        <f>CONCATENATE("&lt;valeur&gt;",Cellule_1080_1,"&lt;/valeur&gt;")</f>
        <v>&lt;valeur&gt;&lt;/valeur&gt;</v>
      </c>
      <c r="I8555" s="1129"/>
      <c r="J8555" s="1127"/>
    </row>
    <row r="8556" spans="1:10" x14ac:dyDescent="0.2">
      <c r="A8556" s="997">
        <f t="shared" si="133"/>
        <v>8555</v>
      </c>
      <c r="B8556" s="1129" t="s">
        <v>2722</v>
      </c>
      <c r="C8556" s="1139"/>
      <c r="D8556" s="1129"/>
      <c r="E8556" s="1129"/>
      <c r="F8556" s="1129"/>
      <c r="G8556" s="1129"/>
      <c r="H8556" s="1129" t="s">
        <v>1348</v>
      </c>
      <c r="I8556" s="1129"/>
      <c r="J8556" s="1127"/>
    </row>
    <row r="8557" spans="1:10" x14ac:dyDescent="0.2">
      <c r="A8557" s="997">
        <f t="shared" si="133"/>
        <v>8556</v>
      </c>
      <c r="B8557" s="1129" t="s">
        <v>2722</v>
      </c>
      <c r="C8557" s="1139"/>
      <c r="D8557" s="1129"/>
      <c r="E8557" s="1129"/>
      <c r="F8557" s="1129"/>
      <c r="G8557" s="1129" t="s">
        <v>1109</v>
      </c>
      <c r="H8557" s="1129"/>
      <c r="I8557" s="1129"/>
      <c r="J8557" s="1127"/>
    </row>
    <row r="8558" spans="1:10" x14ac:dyDescent="0.2">
      <c r="A8558" s="997">
        <f t="shared" si="133"/>
        <v>8557</v>
      </c>
      <c r="B8558" s="1129" t="s">
        <v>2722</v>
      </c>
      <c r="C8558" s="1138"/>
      <c r="D8558" s="1129"/>
      <c r="E8558" s="1129"/>
      <c r="F8558" s="1129"/>
      <c r="G8558" s="1129" t="s">
        <v>1106</v>
      </c>
      <c r="H8558" s="1129"/>
      <c r="I8558" s="1129"/>
      <c r="J8558" s="1127"/>
    </row>
    <row r="8559" spans="1:10" x14ac:dyDescent="0.2">
      <c r="A8559" s="997">
        <f t="shared" si="133"/>
        <v>8558</v>
      </c>
      <c r="B8559" s="1129" t="s">
        <v>2722</v>
      </c>
      <c r="C8559" s="1138"/>
      <c r="D8559" s="1129"/>
      <c r="E8559" s="1129"/>
      <c r="F8559" s="1129"/>
      <c r="G8559" s="1129"/>
      <c r="H8559" s="1129" t="s">
        <v>2335</v>
      </c>
      <c r="I8559" s="1129"/>
      <c r="J8559" s="1127"/>
    </row>
    <row r="8560" spans="1:10" x14ac:dyDescent="0.2">
      <c r="A8560" s="997">
        <f t="shared" si="133"/>
        <v>8559</v>
      </c>
      <c r="B8560" s="1129" t="s">
        <v>2722</v>
      </c>
      <c r="C8560" s="1139"/>
      <c r="D8560" s="1129"/>
      <c r="E8560" s="1129"/>
      <c r="F8560" s="1129"/>
      <c r="G8560" s="1129"/>
      <c r="H8560" s="1129" t="str">
        <f>CONCATENATE("&lt;valeur&gt;",Cellule_1081_1,"&lt;/valeur&gt;")</f>
        <v>&lt;valeur&gt;11410&lt;/valeur&gt;</v>
      </c>
      <c r="I8560" s="1129"/>
      <c r="J8560" s="1127"/>
    </row>
    <row r="8561" spans="1:10" x14ac:dyDescent="0.2">
      <c r="A8561" s="997">
        <f t="shared" si="133"/>
        <v>8560</v>
      </c>
      <c r="B8561" s="1129" t="s">
        <v>2722</v>
      </c>
      <c r="C8561" s="1140"/>
      <c r="D8561" s="1129"/>
      <c r="E8561" s="1129"/>
      <c r="F8561" s="1129"/>
      <c r="G8561" s="1129"/>
      <c r="H8561" s="1129" t="s">
        <v>1348</v>
      </c>
      <c r="I8561" s="1129"/>
      <c r="J8561" s="1127"/>
    </row>
    <row r="8562" spans="1:10" x14ac:dyDescent="0.2">
      <c r="A8562" s="997">
        <f t="shared" si="133"/>
        <v>8561</v>
      </c>
      <c r="B8562" s="1129" t="s">
        <v>2722</v>
      </c>
      <c r="C8562" s="1139"/>
      <c r="D8562" s="1129"/>
      <c r="E8562" s="1129"/>
      <c r="F8562" s="1129"/>
      <c r="G8562" s="1129" t="s">
        <v>1109</v>
      </c>
      <c r="H8562" s="1129"/>
      <c r="I8562" s="1129"/>
      <c r="J8562" s="1127"/>
    </row>
    <row r="8563" spans="1:10" x14ac:dyDescent="0.2">
      <c r="A8563" s="997">
        <f t="shared" si="133"/>
        <v>8562</v>
      </c>
      <c r="B8563" s="1129" t="s">
        <v>2722</v>
      </c>
      <c r="C8563" s="1139"/>
      <c r="D8563" s="1129"/>
      <c r="E8563" s="1129"/>
      <c r="F8563" s="1129"/>
      <c r="G8563" s="1129" t="s">
        <v>1106</v>
      </c>
      <c r="H8563" s="1129"/>
      <c r="I8563" s="1129"/>
      <c r="J8563" s="1127"/>
    </row>
    <row r="8564" spans="1:10" x14ac:dyDescent="0.2">
      <c r="A8564" s="997">
        <f t="shared" si="133"/>
        <v>8563</v>
      </c>
      <c r="B8564" s="1129" t="s">
        <v>2722</v>
      </c>
      <c r="C8564" s="1138"/>
      <c r="D8564" s="1129"/>
      <c r="E8564" s="1129"/>
      <c r="F8564" s="1129"/>
      <c r="G8564" s="1129"/>
      <c r="H8564" s="1129" t="s">
        <v>2336</v>
      </c>
      <c r="I8564" s="1129"/>
      <c r="J8564" s="1127"/>
    </row>
    <row r="8565" spans="1:10" x14ac:dyDescent="0.2">
      <c r="A8565" s="997">
        <f t="shared" si="133"/>
        <v>8564</v>
      </c>
      <c r="B8565" s="1129" t="s">
        <v>2722</v>
      </c>
      <c r="C8565" s="1138"/>
      <c r="D8565" s="1129"/>
      <c r="E8565" s="1129"/>
      <c r="F8565" s="1129"/>
      <c r="G8565" s="1129"/>
      <c r="H8565" s="1129" t="str">
        <f>CONCATENATE("&lt;valeur&gt;",Cellule_1082_1,"&lt;/valeur&gt;")</f>
        <v>&lt;valeur&gt;0,2&lt;/valeur&gt;</v>
      </c>
      <c r="I8565" s="1129"/>
      <c r="J8565" s="1127"/>
    </row>
    <row r="8566" spans="1:10" x14ac:dyDescent="0.2">
      <c r="A8566" s="997">
        <f t="shared" si="133"/>
        <v>8565</v>
      </c>
      <c r="B8566" s="1129" t="s">
        <v>2722</v>
      </c>
      <c r="C8566" s="1139"/>
      <c r="D8566" s="1129"/>
      <c r="E8566" s="1129"/>
      <c r="F8566" s="1129"/>
      <c r="G8566" s="1129"/>
      <c r="H8566" s="1129" t="s">
        <v>1348</v>
      </c>
      <c r="I8566" s="1129"/>
      <c r="J8566" s="1127"/>
    </row>
    <row r="8567" spans="1:10" x14ac:dyDescent="0.2">
      <c r="A8567" s="997">
        <f t="shared" si="133"/>
        <v>8566</v>
      </c>
      <c r="B8567" s="1129" t="s">
        <v>2722</v>
      </c>
      <c r="C8567" s="1140"/>
      <c r="D8567" s="1129"/>
      <c r="E8567" s="1129"/>
      <c r="F8567" s="1129"/>
      <c r="G8567" s="1129" t="s">
        <v>1109</v>
      </c>
      <c r="H8567" s="1129"/>
      <c r="I8567" s="1129"/>
      <c r="J8567" s="1127"/>
    </row>
    <row r="8568" spans="1:10" x14ac:dyDescent="0.2">
      <c r="A8568" s="997">
        <f t="shared" si="133"/>
        <v>8567</v>
      </c>
      <c r="B8568" s="1129" t="s">
        <v>2722</v>
      </c>
      <c r="C8568" s="1139"/>
      <c r="D8568" s="1129"/>
      <c r="E8568" s="1129"/>
      <c r="F8568" s="1129"/>
      <c r="G8568" s="1129" t="s">
        <v>1106</v>
      </c>
      <c r="H8568" s="1129"/>
      <c r="I8568" s="1129"/>
      <c r="J8568" s="1127"/>
    </row>
    <row r="8569" spans="1:10" x14ac:dyDescent="0.2">
      <c r="A8569" s="997">
        <f t="shared" si="133"/>
        <v>8568</v>
      </c>
      <c r="B8569" s="1129" t="s">
        <v>2722</v>
      </c>
      <c r="C8569" s="1139"/>
      <c r="D8569" s="1129"/>
      <c r="E8569" s="1129"/>
      <c r="F8569" s="1129"/>
      <c r="G8569" s="1129"/>
      <c r="H8569" s="1129" t="s">
        <v>2337</v>
      </c>
      <c r="I8569" s="1129"/>
      <c r="J8569" s="1127"/>
    </row>
    <row r="8570" spans="1:10" x14ac:dyDescent="0.2">
      <c r="A8570" s="997">
        <f t="shared" si="133"/>
        <v>8569</v>
      </c>
      <c r="B8570" s="1129" t="s">
        <v>2722</v>
      </c>
      <c r="C8570" s="1138"/>
      <c r="D8570" s="1129"/>
      <c r="E8570" s="1129"/>
      <c r="F8570" s="1129"/>
      <c r="G8570" s="1129"/>
      <c r="H8570" s="1129" t="str">
        <f>CONCATENATE("&lt;valeur&gt;",Cellule_1083_1,"&lt;/valeur&gt;")</f>
        <v>&lt;valeur&gt;5&lt;/valeur&gt;</v>
      </c>
      <c r="I8570" s="1129"/>
      <c r="J8570" s="1127"/>
    </row>
    <row r="8571" spans="1:10" x14ac:dyDescent="0.2">
      <c r="A8571" s="997">
        <f t="shared" si="133"/>
        <v>8570</v>
      </c>
      <c r="B8571" s="1129" t="s">
        <v>2722</v>
      </c>
      <c r="C8571" s="1138"/>
      <c r="D8571" s="1129"/>
      <c r="E8571" s="1129"/>
      <c r="F8571" s="1129"/>
      <c r="G8571" s="1129"/>
      <c r="H8571" s="1129" t="s">
        <v>1348</v>
      </c>
      <c r="I8571" s="1129"/>
      <c r="J8571" s="1127"/>
    </row>
    <row r="8572" spans="1:10" x14ac:dyDescent="0.2">
      <c r="A8572" s="997">
        <f t="shared" si="133"/>
        <v>8571</v>
      </c>
      <c r="B8572" s="1129" t="s">
        <v>2722</v>
      </c>
      <c r="C8572" s="1139"/>
      <c r="D8572" s="1129"/>
      <c r="E8572" s="1129"/>
      <c r="F8572" s="1129"/>
      <c r="G8572" s="1129" t="s">
        <v>1109</v>
      </c>
      <c r="H8572" s="1129"/>
      <c r="I8572" s="1129"/>
      <c r="J8572" s="1127"/>
    </row>
    <row r="8573" spans="1:10" x14ac:dyDescent="0.2">
      <c r="A8573" s="997">
        <f t="shared" si="133"/>
        <v>8572</v>
      </c>
      <c r="B8573" s="1129" t="s">
        <v>2722</v>
      </c>
      <c r="C8573" s="1140"/>
      <c r="D8573" s="1129"/>
      <c r="E8573" s="1129"/>
      <c r="F8573" s="1129"/>
      <c r="G8573" s="1129" t="s">
        <v>1106</v>
      </c>
      <c r="H8573" s="1129"/>
      <c r="I8573" s="1129"/>
      <c r="J8573" s="1127"/>
    </row>
    <row r="8574" spans="1:10" x14ac:dyDescent="0.2">
      <c r="A8574" s="997">
        <f t="shared" si="133"/>
        <v>8573</v>
      </c>
      <c r="B8574" s="1129" t="s">
        <v>2722</v>
      </c>
      <c r="C8574" s="1139"/>
      <c r="D8574" s="1129"/>
      <c r="E8574" s="1129"/>
      <c r="F8574" s="1129"/>
      <c r="G8574" s="1129"/>
      <c r="H8574" s="1129" t="s">
        <v>2338</v>
      </c>
      <c r="I8574" s="1129"/>
      <c r="J8574" s="1127"/>
    </row>
    <row r="8575" spans="1:10" x14ac:dyDescent="0.2">
      <c r="A8575" s="997">
        <f t="shared" si="133"/>
        <v>8574</v>
      </c>
      <c r="B8575" s="1129" t="s">
        <v>2722</v>
      </c>
      <c r="C8575" s="1139"/>
      <c r="D8575" s="1129"/>
      <c r="E8575" s="1129"/>
      <c r="F8575" s="1129"/>
      <c r="G8575" s="1129"/>
      <c r="H8575" s="1129" t="str">
        <f>CONCATENATE("&lt;valeur&gt;",Cellule_1084_1,"&lt;/valeur&gt;")</f>
        <v>&lt;valeur&gt;19560&lt;/valeur&gt;</v>
      </c>
      <c r="I8575" s="1129"/>
      <c r="J8575" s="1127"/>
    </row>
    <row r="8576" spans="1:10" x14ac:dyDescent="0.2">
      <c r="A8576" s="997">
        <f t="shared" si="133"/>
        <v>8575</v>
      </c>
      <c r="B8576" s="1129" t="s">
        <v>2722</v>
      </c>
      <c r="C8576" s="1138"/>
      <c r="D8576" s="1129"/>
      <c r="E8576" s="1129"/>
      <c r="F8576" s="1129"/>
      <c r="G8576" s="1129"/>
      <c r="H8576" s="1129" t="s">
        <v>1348</v>
      </c>
      <c r="I8576" s="1129"/>
      <c r="J8576" s="1127"/>
    </row>
    <row r="8577" spans="1:10" x14ac:dyDescent="0.2">
      <c r="A8577" s="997">
        <f t="shared" si="133"/>
        <v>8576</v>
      </c>
      <c r="B8577" s="1129" t="s">
        <v>2722</v>
      </c>
      <c r="C8577" s="1138"/>
      <c r="D8577" s="1129"/>
      <c r="E8577" s="1129"/>
      <c r="F8577" s="1129"/>
      <c r="G8577" s="1129" t="s">
        <v>1109</v>
      </c>
      <c r="H8577" s="1129"/>
      <c r="I8577" s="1129"/>
      <c r="J8577" s="1127"/>
    </row>
    <row r="8578" spans="1:10" x14ac:dyDescent="0.2">
      <c r="A8578" s="997">
        <f t="shared" si="133"/>
        <v>8577</v>
      </c>
      <c r="B8578" s="1129" t="s">
        <v>2722</v>
      </c>
      <c r="C8578" s="1139"/>
      <c r="D8578" s="1129"/>
      <c r="E8578" s="1129"/>
      <c r="F8578" s="1129"/>
      <c r="G8578" s="1129" t="s">
        <v>1106</v>
      </c>
      <c r="H8578" s="1129"/>
      <c r="I8578" s="1129"/>
      <c r="J8578" s="1127"/>
    </row>
    <row r="8579" spans="1:10" x14ac:dyDescent="0.2">
      <c r="A8579" s="997">
        <f t="shared" si="133"/>
        <v>8578</v>
      </c>
      <c r="B8579" s="1129" t="s">
        <v>2722</v>
      </c>
      <c r="C8579" s="1140"/>
      <c r="D8579" s="1129"/>
      <c r="E8579" s="1129"/>
      <c r="F8579" s="1129"/>
      <c r="G8579" s="1129"/>
      <c r="H8579" s="1129" t="s">
        <v>2339</v>
      </c>
      <c r="I8579" s="1129"/>
      <c r="J8579" s="1127"/>
    </row>
    <row r="8580" spans="1:10" x14ac:dyDescent="0.2">
      <c r="A8580" s="997">
        <f t="shared" ref="A8580:A8643" si="134">+A8579+1</f>
        <v>8579</v>
      </c>
      <c r="B8580" s="1129" t="s">
        <v>2722</v>
      </c>
      <c r="C8580" s="1139"/>
      <c r="D8580" s="1129"/>
      <c r="E8580" s="1129"/>
      <c r="F8580" s="1129"/>
      <c r="G8580" s="1129"/>
      <c r="H8580" s="1129" t="str">
        <f>CONCATENATE("&lt;valeur&gt;",Cellule_1085_1,"&lt;/valeur&gt;")</f>
        <v>&lt;valeur&gt;19560&lt;/valeur&gt;</v>
      </c>
      <c r="I8580" s="1129"/>
      <c r="J8580" s="1127"/>
    </row>
    <row r="8581" spans="1:10" x14ac:dyDescent="0.2">
      <c r="A8581" s="997">
        <f t="shared" si="134"/>
        <v>8580</v>
      </c>
      <c r="B8581" s="1129" t="s">
        <v>2722</v>
      </c>
      <c r="C8581" s="1139"/>
      <c r="D8581" s="1129"/>
      <c r="E8581" s="1129"/>
      <c r="F8581" s="1129"/>
      <c r="G8581" s="1129"/>
      <c r="H8581" s="1129" t="s">
        <v>1348</v>
      </c>
      <c r="I8581" s="1129"/>
      <c r="J8581" s="1127"/>
    </row>
    <row r="8582" spans="1:10" x14ac:dyDescent="0.2">
      <c r="A8582" s="997">
        <f t="shared" si="134"/>
        <v>8581</v>
      </c>
      <c r="B8582" s="1129" t="s">
        <v>2722</v>
      </c>
      <c r="C8582" s="1138"/>
      <c r="D8582" s="1129"/>
      <c r="E8582" s="1129"/>
      <c r="F8582" s="1129"/>
      <c r="G8582" s="1129" t="s">
        <v>1109</v>
      </c>
      <c r="H8582" s="1129"/>
      <c r="I8582" s="1129"/>
      <c r="J8582" s="1127"/>
    </row>
    <row r="8583" spans="1:10" x14ac:dyDescent="0.2">
      <c r="A8583" s="997">
        <f t="shared" si="134"/>
        <v>8582</v>
      </c>
      <c r="B8583" s="1129" t="s">
        <v>2722</v>
      </c>
      <c r="C8583" s="1138"/>
      <c r="D8583" s="1129"/>
      <c r="E8583" s="1129"/>
      <c r="F8583" s="1129"/>
      <c r="G8583" s="1129" t="s">
        <v>1106</v>
      </c>
      <c r="H8583" s="1129"/>
      <c r="I8583" s="1129"/>
      <c r="J8583" s="1127"/>
    </row>
    <row r="8584" spans="1:10" x14ac:dyDescent="0.2">
      <c r="A8584" s="997">
        <f t="shared" si="134"/>
        <v>8583</v>
      </c>
      <c r="B8584" s="1129" t="s">
        <v>2722</v>
      </c>
      <c r="C8584" s="1139"/>
      <c r="D8584" s="1129"/>
      <c r="E8584" s="1129"/>
      <c r="F8584" s="1129"/>
      <c r="G8584" s="1129"/>
      <c r="H8584" s="1129" t="s">
        <v>2340</v>
      </c>
      <c r="I8584" s="1129"/>
      <c r="J8584" s="1127"/>
    </row>
    <row r="8585" spans="1:10" x14ac:dyDescent="0.2">
      <c r="A8585" s="997">
        <f t="shared" si="134"/>
        <v>8584</v>
      </c>
      <c r="B8585" s="1129" t="s">
        <v>2722</v>
      </c>
      <c r="C8585" s="1140"/>
      <c r="D8585" s="1129"/>
      <c r="E8585" s="1129"/>
      <c r="F8585" s="1129"/>
      <c r="G8585" s="1129"/>
      <c r="H8585" s="1129" t="str">
        <f>CONCATENATE("&lt;valeur&gt;",Cellule_1086_1,"&lt;/valeur&gt;")</f>
        <v>&lt;valeur&gt;&lt;/valeur&gt;</v>
      </c>
      <c r="I8585" s="1129"/>
      <c r="J8585" s="1127"/>
    </row>
    <row r="8586" spans="1:10" x14ac:dyDescent="0.2">
      <c r="A8586" s="997">
        <f t="shared" si="134"/>
        <v>8585</v>
      </c>
      <c r="B8586" s="1129" t="s">
        <v>2722</v>
      </c>
      <c r="C8586" s="1139"/>
      <c r="D8586" s="1129"/>
      <c r="E8586" s="1129"/>
      <c r="F8586" s="1129"/>
      <c r="G8586" s="1129"/>
      <c r="H8586" s="1129" t="s">
        <v>1348</v>
      </c>
      <c r="I8586" s="1129"/>
      <c r="J8586" s="1127"/>
    </row>
    <row r="8587" spans="1:10" x14ac:dyDescent="0.2">
      <c r="A8587" s="997">
        <f t="shared" si="134"/>
        <v>8586</v>
      </c>
      <c r="B8587" s="1130" t="s">
        <v>2722</v>
      </c>
      <c r="C8587" s="1144"/>
      <c r="D8587" s="1130"/>
      <c r="E8587" s="1130"/>
      <c r="F8587" s="1130"/>
      <c r="G8587" s="1130" t="s">
        <v>1109</v>
      </c>
      <c r="H8587" s="1130"/>
      <c r="I8587" s="1130"/>
      <c r="J8587" s="1142"/>
    </row>
    <row r="8588" spans="1:10" x14ac:dyDescent="0.2">
      <c r="A8588" s="997">
        <f t="shared" si="134"/>
        <v>8587</v>
      </c>
      <c r="B8588" s="1128" t="s">
        <v>2722</v>
      </c>
      <c r="C8588" s="1143"/>
      <c r="D8588" s="1128"/>
      <c r="E8588" s="1128"/>
      <c r="F8588" s="1128"/>
      <c r="G8588" s="1128" t="s">
        <v>1106</v>
      </c>
      <c r="H8588" s="1128"/>
      <c r="I8588" s="1128"/>
      <c r="J8588" s="1124"/>
    </row>
    <row r="8589" spans="1:10" x14ac:dyDescent="0.2">
      <c r="A8589" s="997">
        <f t="shared" si="134"/>
        <v>8588</v>
      </c>
      <c r="B8589" s="1129" t="s">
        <v>2722</v>
      </c>
      <c r="C8589" s="1139"/>
      <c r="D8589" s="1129"/>
      <c r="E8589" s="1129"/>
      <c r="F8589" s="1129"/>
      <c r="G8589" s="1129"/>
      <c r="H8589" s="1129" t="s">
        <v>2331</v>
      </c>
      <c r="I8589" s="1129"/>
      <c r="J8589" s="1127"/>
    </row>
    <row r="8590" spans="1:10" x14ac:dyDescent="0.2">
      <c r="A8590" s="997">
        <f t="shared" si="134"/>
        <v>8589</v>
      </c>
      <c r="B8590" s="1129" t="s">
        <v>2722</v>
      </c>
      <c r="C8590" s="1138"/>
      <c r="D8590" s="1129"/>
      <c r="E8590" s="1129"/>
      <c r="F8590" s="1129"/>
      <c r="G8590" s="1129"/>
      <c r="H8590" s="1129" t="str">
        <f>CONCATENATE("&lt;valeur&gt;",Cellule_10061_2,"&lt;/valeur&gt;")</f>
        <v>&lt;valeur&gt;MAT DE TRANSPORST&lt;/valeur&gt;</v>
      </c>
      <c r="I8590" s="1129"/>
      <c r="J8590" s="1127"/>
    </row>
    <row r="8591" spans="1:10" x14ac:dyDescent="0.2">
      <c r="A8591" s="997">
        <f t="shared" si="134"/>
        <v>8590</v>
      </c>
      <c r="B8591" s="1129" t="s">
        <v>2722</v>
      </c>
      <c r="C8591" s="1138"/>
      <c r="D8591" s="1129"/>
      <c r="E8591" s="1129"/>
      <c r="F8591" s="1129"/>
      <c r="G8591" s="1129"/>
      <c r="H8591" s="1129" t="s">
        <v>2735</v>
      </c>
      <c r="I8591" s="1129"/>
      <c r="J8591" s="1127"/>
    </row>
    <row r="8592" spans="1:10" x14ac:dyDescent="0.2">
      <c r="A8592" s="997">
        <f t="shared" si="134"/>
        <v>8591</v>
      </c>
      <c r="B8592" s="1129" t="s">
        <v>2722</v>
      </c>
      <c r="C8592" s="1139"/>
      <c r="D8592" s="1129"/>
      <c r="E8592" s="1129"/>
      <c r="F8592" s="1129"/>
      <c r="G8592" s="1129" t="s">
        <v>1109</v>
      </c>
      <c r="H8592" s="1129"/>
      <c r="I8592" s="1129"/>
      <c r="J8592" s="1127"/>
    </row>
    <row r="8593" spans="1:10" x14ac:dyDescent="0.2">
      <c r="A8593" s="997">
        <f t="shared" si="134"/>
        <v>8592</v>
      </c>
      <c r="B8593" s="1129" t="s">
        <v>2722</v>
      </c>
      <c r="C8593" s="1140"/>
      <c r="D8593" s="1129"/>
      <c r="E8593" s="1129"/>
      <c r="F8593" s="1129"/>
      <c r="G8593" s="1129" t="s">
        <v>1106</v>
      </c>
      <c r="H8593" s="1129"/>
      <c r="I8593" s="1129"/>
      <c r="J8593" s="1127"/>
    </row>
    <row r="8594" spans="1:10" x14ac:dyDescent="0.2">
      <c r="A8594" s="997">
        <f t="shared" si="134"/>
        <v>8593</v>
      </c>
      <c r="B8594" s="1129" t="s">
        <v>2722</v>
      </c>
      <c r="C8594" s="1139"/>
      <c r="D8594" s="1129"/>
      <c r="E8594" s="1129"/>
      <c r="F8594" s="1129"/>
      <c r="G8594" s="1129"/>
      <c r="H8594" s="1129" t="s">
        <v>2332</v>
      </c>
      <c r="I8594" s="1129"/>
      <c r="J8594" s="1127"/>
    </row>
    <row r="8595" spans="1:10" x14ac:dyDescent="0.2">
      <c r="A8595" s="997">
        <f t="shared" si="134"/>
        <v>8594</v>
      </c>
      <c r="B8595" s="1129" t="s">
        <v>2722</v>
      </c>
      <c r="C8595" s="1139"/>
      <c r="D8595" s="1129"/>
      <c r="E8595" s="1129"/>
      <c r="F8595" s="1129"/>
      <c r="G8595" s="1129"/>
      <c r="H8595" s="1129" t="str">
        <f>CONCATENATE("&lt;valeur&gt;",Cellule_1078_2,"&lt;/valeur&gt;")</f>
        <v>&lt;valeur&gt;42922&lt;/valeur&gt;</v>
      </c>
      <c r="I8595" s="1129"/>
      <c r="J8595" s="1127"/>
    </row>
    <row r="8596" spans="1:10" x14ac:dyDescent="0.2">
      <c r="A8596" s="997">
        <f t="shared" si="134"/>
        <v>8595</v>
      </c>
      <c r="B8596" s="1129" t="s">
        <v>2722</v>
      </c>
      <c r="C8596" s="1138"/>
      <c r="D8596" s="1129"/>
      <c r="E8596" s="1129"/>
      <c r="F8596" s="1129"/>
      <c r="G8596" s="1129"/>
      <c r="H8596" s="1129" t="s">
        <v>2735</v>
      </c>
      <c r="I8596" s="1129"/>
      <c r="J8596" s="1127"/>
    </row>
    <row r="8597" spans="1:10" x14ac:dyDescent="0.2">
      <c r="A8597" s="997">
        <f t="shared" si="134"/>
        <v>8596</v>
      </c>
      <c r="B8597" s="1129" t="s">
        <v>2722</v>
      </c>
      <c r="C8597" s="1138"/>
      <c r="D8597" s="1129"/>
      <c r="E8597" s="1129"/>
      <c r="F8597" s="1129"/>
      <c r="G8597" s="1129" t="s">
        <v>1109</v>
      </c>
      <c r="H8597" s="1129"/>
      <c r="I8597" s="1129"/>
      <c r="J8597" s="1127"/>
    </row>
    <row r="8598" spans="1:10" x14ac:dyDescent="0.2">
      <c r="A8598" s="997">
        <f t="shared" si="134"/>
        <v>8597</v>
      </c>
      <c r="B8598" s="1129" t="s">
        <v>2722</v>
      </c>
      <c r="C8598" s="1139"/>
      <c r="D8598" s="1129"/>
      <c r="E8598" s="1129"/>
      <c r="F8598" s="1129"/>
      <c r="G8598" s="1129" t="s">
        <v>1106</v>
      </c>
      <c r="H8598" s="1129"/>
      <c r="I8598" s="1129"/>
      <c r="J8598" s="1127"/>
    </row>
    <row r="8599" spans="1:10" x14ac:dyDescent="0.2">
      <c r="A8599" s="997">
        <f t="shared" si="134"/>
        <v>8598</v>
      </c>
      <c r="B8599" s="1129" t="s">
        <v>2722</v>
      </c>
      <c r="C8599" s="1140"/>
      <c r="D8599" s="1129"/>
      <c r="E8599" s="1129"/>
      <c r="F8599" s="1129"/>
      <c r="G8599" s="1129"/>
      <c r="H8599" s="1129" t="s">
        <v>2333</v>
      </c>
      <c r="I8599" s="1129"/>
      <c r="J8599" s="1127"/>
    </row>
    <row r="8600" spans="1:10" x14ac:dyDescent="0.2">
      <c r="A8600" s="997">
        <f t="shared" si="134"/>
        <v>8599</v>
      </c>
      <c r="B8600" s="1129" t="s">
        <v>2722</v>
      </c>
      <c r="C8600" s="1139"/>
      <c r="D8600" s="1129"/>
      <c r="E8600" s="1129"/>
      <c r="F8600" s="1129"/>
      <c r="G8600" s="1129"/>
      <c r="H8600" s="1129" t="str">
        <f>CONCATENATE("&lt;valeur&gt;",Cellule_1079_2,"&lt;/valeur&gt;")</f>
        <v>&lt;valeur&gt;112900&lt;/valeur&gt;</v>
      </c>
      <c r="I8600" s="1129"/>
      <c r="J8600" s="1127"/>
    </row>
    <row r="8601" spans="1:10" x14ac:dyDescent="0.2">
      <c r="A8601" s="997">
        <f t="shared" si="134"/>
        <v>8600</v>
      </c>
      <c r="B8601" s="1129" t="s">
        <v>2722</v>
      </c>
      <c r="C8601" s="1139"/>
      <c r="D8601" s="1129"/>
      <c r="E8601" s="1129"/>
      <c r="F8601" s="1129"/>
      <c r="G8601" s="1129"/>
      <c r="H8601" s="1129" t="s">
        <v>2735</v>
      </c>
      <c r="I8601" s="1129"/>
      <c r="J8601" s="1127"/>
    </row>
    <row r="8602" spans="1:10" x14ac:dyDescent="0.2">
      <c r="A8602" s="997">
        <f t="shared" si="134"/>
        <v>8601</v>
      </c>
      <c r="B8602" s="1129" t="s">
        <v>2722</v>
      </c>
      <c r="C8602" s="1138"/>
      <c r="D8602" s="1129"/>
      <c r="E8602" s="1129"/>
      <c r="F8602" s="1129"/>
      <c r="G8602" s="1129" t="s">
        <v>1109</v>
      </c>
      <c r="H8602" s="1129"/>
      <c r="I8602" s="1129"/>
      <c r="J8602" s="1127"/>
    </row>
    <row r="8603" spans="1:10" x14ac:dyDescent="0.2">
      <c r="A8603" s="997">
        <f t="shared" si="134"/>
        <v>8602</v>
      </c>
      <c r="B8603" s="1129" t="s">
        <v>2722</v>
      </c>
      <c r="C8603" s="1138"/>
      <c r="D8603" s="1129"/>
      <c r="E8603" s="1129"/>
      <c r="F8603" s="1129"/>
      <c r="G8603" s="1129" t="s">
        <v>1106</v>
      </c>
      <c r="H8603" s="1129"/>
      <c r="I8603" s="1129"/>
      <c r="J8603" s="1127"/>
    </row>
    <row r="8604" spans="1:10" x14ac:dyDescent="0.2">
      <c r="A8604" s="997">
        <f t="shared" si="134"/>
        <v>8603</v>
      </c>
      <c r="B8604" s="1129" t="s">
        <v>2722</v>
      </c>
      <c r="C8604" s="1139"/>
      <c r="D8604" s="1129"/>
      <c r="E8604" s="1129"/>
      <c r="F8604" s="1129"/>
      <c r="G8604" s="1129"/>
      <c r="H8604" s="1129" t="s">
        <v>2334</v>
      </c>
      <c r="I8604" s="1129"/>
      <c r="J8604" s="1127"/>
    </row>
    <row r="8605" spans="1:10" x14ac:dyDescent="0.2">
      <c r="A8605" s="997">
        <f t="shared" si="134"/>
        <v>8604</v>
      </c>
      <c r="B8605" s="1129" t="s">
        <v>2722</v>
      </c>
      <c r="C8605" s="1140"/>
      <c r="D8605" s="1129"/>
      <c r="E8605" s="1129"/>
      <c r="F8605" s="1129"/>
      <c r="G8605" s="1129"/>
      <c r="H8605" s="1129" t="str">
        <f>CONCATENATE("&lt;valeur&gt;",Cellule_1080_2,"&lt;/valeur&gt;")</f>
        <v>&lt;valeur&gt;&lt;/valeur&gt;</v>
      </c>
      <c r="I8605" s="1129"/>
      <c r="J8605" s="1127"/>
    </row>
    <row r="8606" spans="1:10" x14ac:dyDescent="0.2">
      <c r="A8606" s="997">
        <f t="shared" si="134"/>
        <v>8605</v>
      </c>
      <c r="B8606" s="1129" t="s">
        <v>2722</v>
      </c>
      <c r="C8606" s="1139"/>
      <c r="D8606" s="1129"/>
      <c r="E8606" s="1129"/>
      <c r="F8606" s="1129"/>
      <c r="G8606" s="1129"/>
      <c r="H8606" s="1129" t="s">
        <v>2735</v>
      </c>
      <c r="I8606" s="1129"/>
      <c r="J8606" s="1127"/>
    </row>
    <row r="8607" spans="1:10" x14ac:dyDescent="0.2">
      <c r="A8607" s="997">
        <f t="shared" si="134"/>
        <v>8606</v>
      </c>
      <c r="B8607" s="1129" t="s">
        <v>2722</v>
      </c>
      <c r="C8607" s="1139"/>
      <c r="D8607" s="1129"/>
      <c r="E8607" s="1129"/>
      <c r="F8607" s="1129"/>
      <c r="G8607" s="1129" t="s">
        <v>1109</v>
      </c>
      <c r="H8607" s="1129"/>
      <c r="I8607" s="1129"/>
      <c r="J8607" s="1127"/>
    </row>
    <row r="8608" spans="1:10" x14ac:dyDescent="0.2">
      <c r="A8608" s="997">
        <f t="shared" si="134"/>
        <v>8607</v>
      </c>
      <c r="B8608" s="1129" t="s">
        <v>2722</v>
      </c>
      <c r="C8608" s="1138"/>
      <c r="D8608" s="1129"/>
      <c r="E8608" s="1129"/>
      <c r="F8608" s="1129"/>
      <c r="G8608" s="1129" t="s">
        <v>1106</v>
      </c>
      <c r="H8608" s="1129"/>
      <c r="I8608" s="1129"/>
      <c r="J8608" s="1127"/>
    </row>
    <row r="8609" spans="1:10" x14ac:dyDescent="0.2">
      <c r="A8609" s="997">
        <f t="shared" si="134"/>
        <v>8608</v>
      </c>
      <c r="B8609" s="1129" t="s">
        <v>2722</v>
      </c>
      <c r="C8609" s="1138"/>
      <c r="D8609" s="1129"/>
      <c r="E8609" s="1129"/>
      <c r="F8609" s="1129"/>
      <c r="G8609" s="1129"/>
      <c r="H8609" s="1129" t="s">
        <v>2335</v>
      </c>
      <c r="I8609" s="1129"/>
      <c r="J8609" s="1127"/>
    </row>
    <row r="8610" spans="1:10" x14ac:dyDescent="0.2">
      <c r="A8610" s="997">
        <f t="shared" si="134"/>
        <v>8609</v>
      </c>
      <c r="B8610" s="1129" t="s">
        <v>2722</v>
      </c>
      <c r="C8610" s="1139"/>
      <c r="D8610" s="1129"/>
      <c r="E8610" s="1129"/>
      <c r="F8610" s="1129"/>
      <c r="G8610" s="1129"/>
      <c r="H8610" s="1129" t="str">
        <f>CONCATENATE("&lt;valeur&gt;",Cellule_1081_2,"&lt;/valeur&gt;")</f>
        <v>&lt;valeur&gt;13171,67&lt;/valeur&gt;</v>
      </c>
      <c r="I8610" s="1129"/>
      <c r="J8610" s="1127"/>
    </row>
    <row r="8611" spans="1:10" x14ac:dyDescent="0.2">
      <c r="A8611" s="997">
        <f t="shared" si="134"/>
        <v>8610</v>
      </c>
      <c r="B8611" s="1129" t="s">
        <v>2722</v>
      </c>
      <c r="C8611" s="1140"/>
      <c r="D8611" s="1129"/>
      <c r="E8611" s="1129"/>
      <c r="F8611" s="1129"/>
      <c r="G8611" s="1129"/>
      <c r="H8611" s="1129" t="s">
        <v>2735</v>
      </c>
      <c r="I8611" s="1129"/>
      <c r="J8611" s="1127"/>
    </row>
    <row r="8612" spans="1:10" x14ac:dyDescent="0.2">
      <c r="A8612" s="997">
        <f t="shared" si="134"/>
        <v>8611</v>
      </c>
      <c r="B8612" s="1129" t="s">
        <v>2722</v>
      </c>
      <c r="C8612" s="1139"/>
      <c r="D8612" s="1129"/>
      <c r="E8612" s="1129"/>
      <c r="F8612" s="1129"/>
      <c r="G8612" s="1129" t="s">
        <v>1109</v>
      </c>
      <c r="H8612" s="1129"/>
      <c r="I8612" s="1129"/>
      <c r="J8612" s="1127"/>
    </row>
    <row r="8613" spans="1:10" x14ac:dyDescent="0.2">
      <c r="A8613" s="997">
        <f t="shared" si="134"/>
        <v>8612</v>
      </c>
      <c r="B8613" s="1129" t="s">
        <v>2722</v>
      </c>
      <c r="C8613" s="1139"/>
      <c r="D8613" s="1129"/>
      <c r="E8613" s="1129"/>
      <c r="F8613" s="1129"/>
      <c r="G8613" s="1129" t="s">
        <v>1106</v>
      </c>
      <c r="H8613" s="1129"/>
      <c r="I8613" s="1129"/>
      <c r="J8613" s="1127"/>
    </row>
    <row r="8614" spans="1:10" x14ac:dyDescent="0.2">
      <c r="A8614" s="997">
        <f t="shared" si="134"/>
        <v>8613</v>
      </c>
      <c r="B8614" s="1129" t="s">
        <v>2722</v>
      </c>
      <c r="C8614" s="1138"/>
      <c r="D8614" s="1129"/>
      <c r="E8614" s="1129"/>
      <c r="F8614" s="1129"/>
      <c r="G8614" s="1129"/>
      <c r="H8614" s="1129" t="s">
        <v>2336</v>
      </c>
      <c r="I8614" s="1129"/>
      <c r="J8614" s="1127"/>
    </row>
    <row r="8615" spans="1:10" x14ac:dyDescent="0.2">
      <c r="A8615" s="997">
        <f t="shared" si="134"/>
        <v>8614</v>
      </c>
      <c r="B8615" s="1129" t="s">
        <v>2722</v>
      </c>
      <c r="C8615" s="1138"/>
      <c r="D8615" s="1129"/>
      <c r="E8615" s="1129"/>
      <c r="F8615" s="1129"/>
      <c r="G8615" s="1129"/>
      <c r="H8615" s="1129" t="str">
        <f>CONCATENATE("&lt;valeur&gt;",Cellule_1082_2,"&lt;/valeur&gt;")</f>
        <v>&lt;valeur&gt;0,2&lt;/valeur&gt;</v>
      </c>
      <c r="I8615" s="1129"/>
      <c r="J8615" s="1127"/>
    </row>
    <row r="8616" spans="1:10" x14ac:dyDescent="0.2">
      <c r="A8616" s="997">
        <f t="shared" si="134"/>
        <v>8615</v>
      </c>
      <c r="B8616" s="1129" t="s">
        <v>2722</v>
      </c>
      <c r="C8616" s="1139"/>
      <c r="D8616" s="1129"/>
      <c r="E8616" s="1129"/>
      <c r="F8616" s="1129"/>
      <c r="G8616" s="1129"/>
      <c r="H8616" s="1129" t="s">
        <v>2735</v>
      </c>
      <c r="I8616" s="1129"/>
      <c r="J8616" s="1127"/>
    </row>
    <row r="8617" spans="1:10" x14ac:dyDescent="0.2">
      <c r="A8617" s="997">
        <f t="shared" si="134"/>
        <v>8616</v>
      </c>
      <c r="B8617" s="1129" t="s">
        <v>2722</v>
      </c>
      <c r="C8617" s="1140"/>
      <c r="D8617" s="1129"/>
      <c r="E8617" s="1129"/>
      <c r="F8617" s="1129"/>
      <c r="G8617" s="1129" t="s">
        <v>1109</v>
      </c>
      <c r="H8617" s="1129"/>
      <c r="I8617" s="1129"/>
      <c r="J8617" s="1127"/>
    </row>
    <row r="8618" spans="1:10" x14ac:dyDescent="0.2">
      <c r="A8618" s="997">
        <f t="shared" si="134"/>
        <v>8617</v>
      </c>
      <c r="B8618" s="1129" t="s">
        <v>2722</v>
      </c>
      <c r="C8618" s="1139"/>
      <c r="D8618" s="1129"/>
      <c r="E8618" s="1129"/>
      <c r="F8618" s="1129"/>
      <c r="G8618" s="1129" t="s">
        <v>1106</v>
      </c>
      <c r="H8618" s="1129"/>
      <c r="I8618" s="1129"/>
      <c r="J8618" s="1127"/>
    </row>
    <row r="8619" spans="1:10" x14ac:dyDescent="0.2">
      <c r="A8619" s="997">
        <f t="shared" si="134"/>
        <v>8618</v>
      </c>
      <c r="B8619" s="1129" t="s">
        <v>2722</v>
      </c>
      <c r="C8619" s="1139"/>
      <c r="D8619" s="1129"/>
      <c r="E8619" s="1129"/>
      <c r="F8619" s="1129"/>
      <c r="G8619" s="1129"/>
      <c r="H8619" s="1129" t="s">
        <v>2337</v>
      </c>
      <c r="I8619" s="1129"/>
      <c r="J8619" s="1127"/>
    </row>
    <row r="8620" spans="1:10" x14ac:dyDescent="0.2">
      <c r="A8620" s="997">
        <f t="shared" si="134"/>
        <v>8619</v>
      </c>
      <c r="B8620" s="1129" t="s">
        <v>2722</v>
      </c>
      <c r="C8620" s="1138"/>
      <c r="D8620" s="1129"/>
      <c r="E8620" s="1129"/>
      <c r="F8620" s="1129"/>
      <c r="G8620" s="1129"/>
      <c r="H8620" s="1129" t="str">
        <f>CONCATENATE("&lt;valeur&gt;",Cellule_1083_2,"&lt;/valeur&gt;")</f>
        <v>&lt;valeur&gt;5&lt;/valeur&gt;</v>
      </c>
      <c r="I8620" s="1129"/>
      <c r="J8620" s="1127"/>
    </row>
    <row r="8621" spans="1:10" x14ac:dyDescent="0.2">
      <c r="A8621" s="997">
        <f t="shared" si="134"/>
        <v>8620</v>
      </c>
      <c r="B8621" s="1129" t="s">
        <v>2722</v>
      </c>
      <c r="C8621" s="1138"/>
      <c r="D8621" s="1129"/>
      <c r="E8621" s="1129"/>
      <c r="F8621" s="1129"/>
      <c r="G8621" s="1129"/>
      <c r="H8621" s="1129" t="s">
        <v>2735</v>
      </c>
      <c r="I8621" s="1129"/>
      <c r="J8621" s="1127"/>
    </row>
    <row r="8622" spans="1:10" x14ac:dyDescent="0.2">
      <c r="A8622" s="997">
        <f t="shared" si="134"/>
        <v>8621</v>
      </c>
      <c r="B8622" s="1129" t="s">
        <v>2722</v>
      </c>
      <c r="C8622" s="1139"/>
      <c r="D8622" s="1129"/>
      <c r="E8622" s="1129"/>
      <c r="F8622" s="1129"/>
      <c r="G8622" s="1129" t="s">
        <v>1109</v>
      </c>
      <c r="H8622" s="1129"/>
      <c r="I8622" s="1129"/>
      <c r="J8622" s="1127"/>
    </row>
    <row r="8623" spans="1:10" x14ac:dyDescent="0.2">
      <c r="A8623" s="997">
        <f t="shared" si="134"/>
        <v>8622</v>
      </c>
      <c r="B8623" s="1129" t="s">
        <v>2722</v>
      </c>
      <c r="C8623" s="1140"/>
      <c r="D8623" s="1129"/>
      <c r="E8623" s="1129"/>
      <c r="F8623" s="1129"/>
      <c r="G8623" s="1129" t="s">
        <v>1106</v>
      </c>
      <c r="H8623" s="1129"/>
      <c r="I8623" s="1129"/>
      <c r="J8623" s="1127"/>
    </row>
    <row r="8624" spans="1:10" x14ac:dyDescent="0.2">
      <c r="A8624" s="997">
        <f t="shared" si="134"/>
        <v>8623</v>
      </c>
      <c r="B8624" s="1129" t="s">
        <v>2722</v>
      </c>
      <c r="C8624" s="1139"/>
      <c r="D8624" s="1129"/>
      <c r="E8624" s="1129"/>
      <c r="F8624" s="1129"/>
      <c r="G8624" s="1129"/>
      <c r="H8624" s="1129" t="s">
        <v>2338</v>
      </c>
      <c r="I8624" s="1129"/>
      <c r="J8624" s="1127"/>
    </row>
    <row r="8625" spans="1:10" x14ac:dyDescent="0.2">
      <c r="A8625" s="997">
        <f t="shared" si="134"/>
        <v>8624</v>
      </c>
      <c r="B8625" s="1129" t="s">
        <v>2722</v>
      </c>
      <c r="C8625" s="1139"/>
      <c r="D8625" s="1129"/>
      <c r="E8625" s="1129"/>
      <c r="F8625" s="1129"/>
      <c r="G8625" s="1129"/>
      <c r="H8625" s="1129" t="str">
        <f>CONCATENATE("&lt;valeur&gt;",Cellule_1084_2,"&lt;/valeur&gt;")</f>
        <v>&lt;valeur&gt;22580&lt;/valeur&gt;</v>
      </c>
      <c r="I8625" s="1129"/>
      <c r="J8625" s="1127"/>
    </row>
    <row r="8626" spans="1:10" x14ac:dyDescent="0.2">
      <c r="A8626" s="997">
        <f t="shared" si="134"/>
        <v>8625</v>
      </c>
      <c r="B8626" s="1129" t="s">
        <v>2722</v>
      </c>
      <c r="C8626" s="1138"/>
      <c r="D8626" s="1129"/>
      <c r="E8626" s="1129"/>
      <c r="F8626" s="1129"/>
      <c r="G8626" s="1129"/>
      <c r="H8626" s="1129" t="s">
        <v>2735</v>
      </c>
      <c r="I8626" s="1129"/>
      <c r="J8626" s="1127"/>
    </row>
    <row r="8627" spans="1:10" x14ac:dyDescent="0.2">
      <c r="A8627" s="997">
        <f t="shared" si="134"/>
        <v>8626</v>
      </c>
      <c r="B8627" s="1129" t="s">
        <v>2722</v>
      </c>
      <c r="C8627" s="1138"/>
      <c r="D8627" s="1129"/>
      <c r="E8627" s="1129"/>
      <c r="F8627" s="1129"/>
      <c r="G8627" s="1129" t="s">
        <v>1109</v>
      </c>
      <c r="H8627" s="1129"/>
      <c r="I8627" s="1129"/>
      <c r="J8627" s="1127"/>
    </row>
    <row r="8628" spans="1:10" x14ac:dyDescent="0.2">
      <c r="A8628" s="997">
        <f t="shared" si="134"/>
        <v>8627</v>
      </c>
      <c r="B8628" s="1129" t="s">
        <v>2722</v>
      </c>
      <c r="C8628" s="1139"/>
      <c r="D8628" s="1129"/>
      <c r="E8628" s="1129"/>
      <c r="F8628" s="1129"/>
      <c r="G8628" s="1129" t="s">
        <v>1106</v>
      </c>
      <c r="H8628" s="1129"/>
      <c r="I8628" s="1129"/>
      <c r="J8628" s="1127"/>
    </row>
    <row r="8629" spans="1:10" x14ac:dyDescent="0.2">
      <c r="A8629" s="997">
        <f t="shared" si="134"/>
        <v>8628</v>
      </c>
      <c r="B8629" s="1129" t="s">
        <v>2722</v>
      </c>
      <c r="C8629" s="1140"/>
      <c r="D8629" s="1129"/>
      <c r="E8629" s="1129"/>
      <c r="F8629" s="1129"/>
      <c r="G8629" s="1129"/>
      <c r="H8629" s="1129" t="s">
        <v>2339</v>
      </c>
      <c r="I8629" s="1129"/>
      <c r="J8629" s="1127"/>
    </row>
    <row r="8630" spans="1:10" x14ac:dyDescent="0.2">
      <c r="A8630" s="997">
        <f t="shared" si="134"/>
        <v>8629</v>
      </c>
      <c r="B8630" s="1129" t="s">
        <v>2722</v>
      </c>
      <c r="C8630" s="1139"/>
      <c r="D8630" s="1129"/>
      <c r="E8630" s="1129"/>
      <c r="F8630" s="1129"/>
      <c r="G8630" s="1129"/>
      <c r="H8630" s="1129" t="str">
        <f>CONCATENATE("&lt;valeur&gt;",Cellule_1085_2,"&lt;/valeur&gt;")</f>
        <v>&lt;valeur&gt;22580&lt;/valeur&gt;</v>
      </c>
      <c r="I8630" s="1129"/>
      <c r="J8630" s="1127"/>
    </row>
    <row r="8631" spans="1:10" x14ac:dyDescent="0.2">
      <c r="A8631" s="997">
        <f t="shared" si="134"/>
        <v>8630</v>
      </c>
      <c r="B8631" s="1129" t="s">
        <v>2722</v>
      </c>
      <c r="C8631" s="1139"/>
      <c r="D8631" s="1129"/>
      <c r="E8631" s="1129"/>
      <c r="F8631" s="1129"/>
      <c r="G8631" s="1129"/>
      <c r="H8631" s="1129" t="s">
        <v>2735</v>
      </c>
      <c r="I8631" s="1129"/>
      <c r="J8631" s="1127"/>
    </row>
    <row r="8632" spans="1:10" x14ac:dyDescent="0.2">
      <c r="A8632" s="997">
        <f t="shared" si="134"/>
        <v>8631</v>
      </c>
      <c r="B8632" s="1129" t="s">
        <v>2722</v>
      </c>
      <c r="C8632" s="1138"/>
      <c r="D8632" s="1129"/>
      <c r="E8632" s="1129"/>
      <c r="F8632" s="1129"/>
      <c r="G8632" s="1129" t="s">
        <v>1109</v>
      </c>
      <c r="H8632" s="1129"/>
      <c r="I8632" s="1129"/>
      <c r="J8632" s="1127"/>
    </row>
    <row r="8633" spans="1:10" x14ac:dyDescent="0.2">
      <c r="A8633" s="997">
        <f t="shared" si="134"/>
        <v>8632</v>
      </c>
      <c r="B8633" s="1129" t="s">
        <v>2722</v>
      </c>
      <c r="C8633" s="1138"/>
      <c r="D8633" s="1129"/>
      <c r="E8633" s="1129"/>
      <c r="F8633" s="1129"/>
      <c r="G8633" s="1129" t="s">
        <v>1106</v>
      </c>
      <c r="H8633" s="1129"/>
      <c r="I8633" s="1129"/>
      <c r="J8633" s="1127"/>
    </row>
    <row r="8634" spans="1:10" x14ac:dyDescent="0.2">
      <c r="A8634" s="997">
        <f t="shared" si="134"/>
        <v>8633</v>
      </c>
      <c r="B8634" s="1129" t="s">
        <v>2722</v>
      </c>
      <c r="C8634" s="1139"/>
      <c r="D8634" s="1129"/>
      <c r="E8634" s="1129"/>
      <c r="F8634" s="1129"/>
      <c r="G8634" s="1129"/>
      <c r="H8634" s="1129" t="s">
        <v>2340</v>
      </c>
      <c r="I8634" s="1129"/>
      <c r="J8634" s="1127"/>
    </row>
    <row r="8635" spans="1:10" x14ac:dyDescent="0.2">
      <c r="A8635" s="997">
        <f t="shared" si="134"/>
        <v>8634</v>
      </c>
      <c r="B8635" s="1129" t="s">
        <v>2722</v>
      </c>
      <c r="C8635" s="1140"/>
      <c r="D8635" s="1129"/>
      <c r="E8635" s="1129"/>
      <c r="F8635" s="1129"/>
      <c r="G8635" s="1129"/>
      <c r="H8635" s="1129" t="str">
        <f>CONCATENATE("&lt;valeur&gt;",Cellule_1086_2,"&lt;/valeur&gt;")</f>
        <v>&lt;valeur&gt;&lt;/valeur&gt;</v>
      </c>
      <c r="I8635" s="1129"/>
      <c r="J8635" s="1127"/>
    </row>
    <row r="8636" spans="1:10" x14ac:dyDescent="0.2">
      <c r="A8636" s="997">
        <f t="shared" si="134"/>
        <v>8635</v>
      </c>
      <c r="B8636" s="1129" t="s">
        <v>2722</v>
      </c>
      <c r="C8636" s="1139"/>
      <c r="D8636" s="1129"/>
      <c r="E8636" s="1129"/>
      <c r="F8636" s="1129"/>
      <c r="G8636" s="1129"/>
      <c r="H8636" s="1129" t="s">
        <v>2735</v>
      </c>
      <c r="I8636" s="1129"/>
      <c r="J8636" s="1127"/>
    </row>
    <row r="8637" spans="1:10" x14ac:dyDescent="0.2">
      <c r="A8637" s="997">
        <f t="shared" si="134"/>
        <v>8636</v>
      </c>
      <c r="B8637" s="1130" t="s">
        <v>2722</v>
      </c>
      <c r="C8637" s="1144"/>
      <c r="D8637" s="1130"/>
      <c r="E8637" s="1130"/>
      <c r="F8637" s="1130"/>
      <c r="G8637" s="1130" t="s">
        <v>1109</v>
      </c>
      <c r="H8637" s="1130"/>
      <c r="I8637" s="1130"/>
      <c r="J8637" s="1142"/>
    </row>
    <row r="8638" spans="1:10" x14ac:dyDescent="0.2">
      <c r="A8638" s="997">
        <f t="shared" si="134"/>
        <v>8637</v>
      </c>
      <c r="B8638" s="1128" t="s">
        <v>2722</v>
      </c>
      <c r="C8638" s="1143"/>
      <c r="D8638" s="1128"/>
      <c r="E8638" s="1128"/>
      <c r="F8638" s="1128"/>
      <c r="G8638" s="1128" t="s">
        <v>1106</v>
      </c>
      <c r="H8638" s="1128"/>
      <c r="I8638" s="1128"/>
      <c r="J8638" s="1124"/>
    </row>
    <row r="8639" spans="1:10" x14ac:dyDescent="0.2">
      <c r="A8639" s="997">
        <f t="shared" si="134"/>
        <v>8638</v>
      </c>
      <c r="B8639" s="1129" t="s">
        <v>2722</v>
      </c>
      <c r="C8639" s="1139"/>
      <c r="D8639" s="1129"/>
      <c r="E8639" s="1129"/>
      <c r="F8639" s="1129"/>
      <c r="G8639" s="1129"/>
      <c r="H8639" s="1129" t="s">
        <v>2331</v>
      </c>
      <c r="I8639" s="1129"/>
      <c r="J8639" s="1127"/>
    </row>
    <row r="8640" spans="1:10" x14ac:dyDescent="0.2">
      <c r="A8640" s="997">
        <f t="shared" si="134"/>
        <v>8639</v>
      </c>
      <c r="B8640" s="1129" t="s">
        <v>2722</v>
      </c>
      <c r="C8640" s="1138"/>
      <c r="D8640" s="1129"/>
      <c r="E8640" s="1129"/>
      <c r="F8640" s="1129"/>
      <c r="G8640" s="1129"/>
      <c r="H8640" s="1129" t="str">
        <f>CONCATENATE("&lt;valeur&gt;",Cellule_10061_3,"&lt;/valeur&gt;")</f>
        <v>&lt;valeur&gt;MAT DE TRANSPORST&lt;/valeur&gt;</v>
      </c>
      <c r="I8640" s="1129"/>
      <c r="J8640" s="1127"/>
    </row>
    <row r="8641" spans="1:10" x14ac:dyDescent="0.2">
      <c r="A8641" s="997">
        <f t="shared" si="134"/>
        <v>8640</v>
      </c>
      <c r="B8641" s="1129" t="s">
        <v>2722</v>
      </c>
      <c r="C8641" s="1138"/>
      <c r="D8641" s="1129"/>
      <c r="E8641" s="1129"/>
      <c r="F8641" s="1129"/>
      <c r="G8641" s="1129"/>
      <c r="H8641" s="1129" t="s">
        <v>2736</v>
      </c>
      <c r="I8641" s="1129"/>
      <c r="J8641" s="1127"/>
    </row>
    <row r="8642" spans="1:10" x14ac:dyDescent="0.2">
      <c r="A8642" s="997">
        <f t="shared" si="134"/>
        <v>8641</v>
      </c>
      <c r="B8642" s="1129" t="s">
        <v>2722</v>
      </c>
      <c r="C8642" s="1139"/>
      <c r="D8642" s="1129"/>
      <c r="E8642" s="1129"/>
      <c r="F8642" s="1129"/>
      <c r="G8642" s="1129" t="s">
        <v>1109</v>
      </c>
      <c r="H8642" s="1129"/>
      <c r="I8642" s="1129"/>
      <c r="J8642" s="1127"/>
    </row>
    <row r="8643" spans="1:10" x14ac:dyDescent="0.2">
      <c r="A8643" s="997">
        <f t="shared" si="134"/>
        <v>8642</v>
      </c>
      <c r="B8643" s="1129" t="s">
        <v>2722</v>
      </c>
      <c r="C8643" s="1140"/>
      <c r="D8643" s="1129"/>
      <c r="E8643" s="1129"/>
      <c r="F8643" s="1129"/>
      <c r="G8643" s="1129" t="s">
        <v>1106</v>
      </c>
      <c r="H8643" s="1129"/>
      <c r="I8643" s="1129"/>
      <c r="J8643" s="1127"/>
    </row>
    <row r="8644" spans="1:10" x14ac:dyDescent="0.2">
      <c r="A8644" s="997">
        <f t="shared" ref="A8644:A8707" si="135">+A8643+1</f>
        <v>8643</v>
      </c>
      <c r="B8644" s="1129" t="s">
        <v>2722</v>
      </c>
      <c r="C8644" s="1139"/>
      <c r="D8644" s="1129"/>
      <c r="E8644" s="1129"/>
      <c r="F8644" s="1129"/>
      <c r="G8644" s="1129"/>
      <c r="H8644" s="1129" t="s">
        <v>2332</v>
      </c>
      <c r="I8644" s="1129"/>
      <c r="J8644" s="1127"/>
    </row>
    <row r="8645" spans="1:10" x14ac:dyDescent="0.2">
      <c r="A8645" s="997">
        <f t="shared" si="135"/>
        <v>8644</v>
      </c>
      <c r="B8645" s="1129" t="s">
        <v>2722</v>
      </c>
      <c r="C8645" s="1139"/>
      <c r="D8645" s="1129"/>
      <c r="E8645" s="1129"/>
      <c r="F8645" s="1129"/>
      <c r="G8645" s="1129"/>
      <c r="H8645" s="1129" t="str">
        <f>CONCATENATE("&lt;valeur&gt;",Cellule_1078_3,"&lt;/valeur&gt;")</f>
        <v>&lt;valeur&gt;42988&lt;/valeur&gt;</v>
      </c>
      <c r="I8645" s="1129"/>
      <c r="J8645" s="1127"/>
    </row>
    <row r="8646" spans="1:10" x14ac:dyDescent="0.2">
      <c r="A8646" s="997">
        <f t="shared" si="135"/>
        <v>8645</v>
      </c>
      <c r="B8646" s="1129" t="s">
        <v>2722</v>
      </c>
      <c r="C8646" s="1138"/>
      <c r="D8646" s="1129"/>
      <c r="E8646" s="1129"/>
      <c r="F8646" s="1129"/>
      <c r="G8646" s="1129"/>
      <c r="H8646" s="1129" t="s">
        <v>2736</v>
      </c>
      <c r="I8646" s="1129"/>
      <c r="J8646" s="1127"/>
    </row>
    <row r="8647" spans="1:10" x14ac:dyDescent="0.2">
      <c r="A8647" s="997">
        <f t="shared" si="135"/>
        <v>8646</v>
      </c>
      <c r="B8647" s="1129" t="s">
        <v>2722</v>
      </c>
      <c r="C8647" s="1138"/>
      <c r="D8647" s="1129"/>
      <c r="E8647" s="1129"/>
      <c r="F8647" s="1129"/>
      <c r="G8647" s="1129" t="s">
        <v>1109</v>
      </c>
      <c r="H8647" s="1129"/>
      <c r="I8647" s="1129"/>
      <c r="J8647" s="1127"/>
    </row>
    <row r="8648" spans="1:10" x14ac:dyDescent="0.2">
      <c r="A8648" s="997">
        <f t="shared" si="135"/>
        <v>8647</v>
      </c>
      <c r="B8648" s="1129" t="s">
        <v>2722</v>
      </c>
      <c r="C8648" s="1139"/>
      <c r="D8648" s="1129"/>
      <c r="E8648" s="1129"/>
      <c r="F8648" s="1129"/>
      <c r="G8648" s="1129" t="s">
        <v>1106</v>
      </c>
      <c r="H8648" s="1129"/>
      <c r="I8648" s="1129"/>
      <c r="J8648" s="1127"/>
    </row>
    <row r="8649" spans="1:10" x14ac:dyDescent="0.2">
      <c r="A8649" s="997">
        <f t="shared" si="135"/>
        <v>8648</v>
      </c>
      <c r="B8649" s="1129" t="s">
        <v>2722</v>
      </c>
      <c r="C8649" s="1140"/>
      <c r="D8649" s="1129"/>
      <c r="E8649" s="1129"/>
      <c r="F8649" s="1129"/>
      <c r="G8649" s="1129"/>
      <c r="H8649" s="1129" t="s">
        <v>2333</v>
      </c>
      <c r="I8649" s="1129"/>
      <c r="J8649" s="1127"/>
    </row>
    <row r="8650" spans="1:10" x14ac:dyDescent="0.2">
      <c r="A8650" s="997">
        <f t="shared" si="135"/>
        <v>8649</v>
      </c>
      <c r="B8650" s="1129" t="s">
        <v>2722</v>
      </c>
      <c r="C8650" s="1139"/>
      <c r="D8650" s="1129"/>
      <c r="E8650" s="1129"/>
      <c r="F8650" s="1129"/>
      <c r="G8650" s="1129"/>
      <c r="H8650" s="1129" t="str">
        <f>CONCATENATE("&lt;valeur&gt;",Cellule_1079_3,"&lt;/valeur&gt;")</f>
        <v>&lt;valeur&gt;186214,17&lt;/valeur&gt;</v>
      </c>
      <c r="I8650" s="1129"/>
      <c r="J8650" s="1127"/>
    </row>
    <row r="8651" spans="1:10" x14ac:dyDescent="0.2">
      <c r="A8651" s="997">
        <f t="shared" si="135"/>
        <v>8650</v>
      </c>
      <c r="B8651" s="1129" t="s">
        <v>2722</v>
      </c>
      <c r="C8651" s="1139"/>
      <c r="D8651" s="1129"/>
      <c r="E8651" s="1129"/>
      <c r="F8651" s="1129"/>
      <c r="G8651" s="1129"/>
      <c r="H8651" s="1129" t="s">
        <v>2736</v>
      </c>
      <c r="I8651" s="1129"/>
      <c r="J8651" s="1127"/>
    </row>
    <row r="8652" spans="1:10" x14ac:dyDescent="0.2">
      <c r="A8652" s="997">
        <f t="shared" si="135"/>
        <v>8651</v>
      </c>
      <c r="B8652" s="1129" t="s">
        <v>2722</v>
      </c>
      <c r="C8652" s="1138"/>
      <c r="D8652" s="1129"/>
      <c r="E8652" s="1129"/>
      <c r="F8652" s="1129"/>
      <c r="G8652" s="1129" t="s">
        <v>1109</v>
      </c>
      <c r="H8652" s="1129"/>
      <c r="I8652" s="1129"/>
      <c r="J8652" s="1127"/>
    </row>
    <row r="8653" spans="1:10" x14ac:dyDescent="0.2">
      <c r="A8653" s="997">
        <f t="shared" si="135"/>
        <v>8652</v>
      </c>
      <c r="B8653" s="1129" t="s">
        <v>2722</v>
      </c>
      <c r="C8653" s="1138"/>
      <c r="D8653" s="1129"/>
      <c r="E8653" s="1129"/>
      <c r="F8653" s="1129"/>
      <c r="G8653" s="1129" t="s">
        <v>1106</v>
      </c>
      <c r="H8653" s="1129"/>
      <c r="I8653" s="1129"/>
      <c r="J8653" s="1127"/>
    </row>
    <row r="8654" spans="1:10" x14ac:dyDescent="0.2">
      <c r="A8654" s="997">
        <f t="shared" si="135"/>
        <v>8653</v>
      </c>
      <c r="B8654" s="1129" t="s">
        <v>2722</v>
      </c>
      <c r="C8654" s="1139"/>
      <c r="D8654" s="1129"/>
      <c r="E8654" s="1129"/>
      <c r="F8654" s="1129"/>
      <c r="G8654" s="1129"/>
      <c r="H8654" s="1129" t="s">
        <v>2334</v>
      </c>
      <c r="I8654" s="1129"/>
      <c r="J8654" s="1127"/>
    </row>
    <row r="8655" spans="1:10" x14ac:dyDescent="0.2">
      <c r="A8655" s="997">
        <f t="shared" si="135"/>
        <v>8654</v>
      </c>
      <c r="B8655" s="1129" t="s">
        <v>2722</v>
      </c>
      <c r="C8655" s="1140"/>
      <c r="D8655" s="1129"/>
      <c r="E8655" s="1129"/>
      <c r="F8655" s="1129"/>
      <c r="G8655" s="1129"/>
      <c r="H8655" s="1129" t="str">
        <f>CONCATENATE("&lt;valeur&gt;",Cellule_1080_3,"&lt;/valeur&gt;")</f>
        <v>&lt;valeur&gt;&lt;/valeur&gt;</v>
      </c>
      <c r="I8655" s="1129"/>
      <c r="J8655" s="1127"/>
    </row>
    <row r="8656" spans="1:10" x14ac:dyDescent="0.2">
      <c r="A8656" s="997">
        <f t="shared" si="135"/>
        <v>8655</v>
      </c>
      <c r="B8656" s="1129" t="s">
        <v>2722</v>
      </c>
      <c r="C8656" s="1139"/>
      <c r="D8656" s="1129"/>
      <c r="E8656" s="1129"/>
      <c r="F8656" s="1129"/>
      <c r="G8656" s="1129"/>
      <c r="H8656" s="1129" t="s">
        <v>2736</v>
      </c>
      <c r="I8656" s="1129"/>
      <c r="J8656" s="1127"/>
    </row>
    <row r="8657" spans="1:10" x14ac:dyDescent="0.2">
      <c r="A8657" s="997">
        <f t="shared" si="135"/>
        <v>8656</v>
      </c>
      <c r="B8657" s="1129" t="s">
        <v>2722</v>
      </c>
      <c r="C8657" s="1139"/>
      <c r="D8657" s="1129"/>
      <c r="E8657" s="1129"/>
      <c r="F8657" s="1129"/>
      <c r="G8657" s="1129" t="s">
        <v>1109</v>
      </c>
      <c r="H8657" s="1129"/>
      <c r="I8657" s="1129"/>
      <c r="J8657" s="1127"/>
    </row>
    <row r="8658" spans="1:10" x14ac:dyDescent="0.2">
      <c r="A8658" s="997">
        <f t="shared" si="135"/>
        <v>8657</v>
      </c>
      <c r="B8658" s="1129" t="s">
        <v>2722</v>
      </c>
      <c r="C8658" s="1138"/>
      <c r="D8658" s="1129"/>
      <c r="E8658" s="1129"/>
      <c r="F8658" s="1129"/>
      <c r="G8658" s="1129" t="s">
        <v>1106</v>
      </c>
      <c r="H8658" s="1129"/>
      <c r="I8658" s="1129"/>
      <c r="J8658" s="1127"/>
    </row>
    <row r="8659" spans="1:10" x14ac:dyDescent="0.2">
      <c r="A8659" s="997">
        <f t="shared" si="135"/>
        <v>8658</v>
      </c>
      <c r="B8659" s="1129" t="s">
        <v>2722</v>
      </c>
      <c r="C8659" s="1138"/>
      <c r="D8659" s="1129"/>
      <c r="E8659" s="1129"/>
      <c r="F8659" s="1129"/>
      <c r="G8659" s="1129"/>
      <c r="H8659" s="1129" t="s">
        <v>2335</v>
      </c>
      <c r="I8659" s="1129"/>
      <c r="J8659" s="1127"/>
    </row>
    <row r="8660" spans="1:10" x14ac:dyDescent="0.2">
      <c r="A8660" s="997">
        <f t="shared" si="135"/>
        <v>8659</v>
      </c>
      <c r="B8660" s="1129" t="s">
        <v>2722</v>
      </c>
      <c r="C8660" s="1139"/>
      <c r="D8660" s="1129"/>
      <c r="E8660" s="1129"/>
      <c r="F8660" s="1129"/>
      <c r="G8660" s="1129"/>
      <c r="H8660" s="1129" t="str">
        <f>CONCATENATE("&lt;valeur&gt;",Cellule_1081_3,"&lt;/valeur&gt;")</f>
        <v>&lt;valeur&gt;27932,13&lt;/valeur&gt;</v>
      </c>
      <c r="I8660" s="1129"/>
      <c r="J8660" s="1127"/>
    </row>
    <row r="8661" spans="1:10" x14ac:dyDescent="0.2">
      <c r="A8661" s="997">
        <f t="shared" si="135"/>
        <v>8660</v>
      </c>
      <c r="B8661" s="1129" t="s">
        <v>2722</v>
      </c>
      <c r="C8661" s="1140"/>
      <c r="D8661" s="1129"/>
      <c r="E8661" s="1129"/>
      <c r="F8661" s="1129"/>
      <c r="G8661" s="1129"/>
      <c r="H8661" s="1129" t="s">
        <v>2736</v>
      </c>
      <c r="I8661" s="1129"/>
      <c r="J8661" s="1127"/>
    </row>
    <row r="8662" spans="1:10" x14ac:dyDescent="0.2">
      <c r="A8662" s="997">
        <f t="shared" si="135"/>
        <v>8661</v>
      </c>
      <c r="B8662" s="1129" t="s">
        <v>2722</v>
      </c>
      <c r="C8662" s="1139"/>
      <c r="D8662" s="1129"/>
      <c r="E8662" s="1129"/>
      <c r="F8662" s="1129"/>
      <c r="G8662" s="1129" t="s">
        <v>1109</v>
      </c>
      <c r="H8662" s="1129"/>
      <c r="I8662" s="1129"/>
      <c r="J8662" s="1127"/>
    </row>
    <row r="8663" spans="1:10" x14ac:dyDescent="0.2">
      <c r="A8663" s="997">
        <f t="shared" si="135"/>
        <v>8662</v>
      </c>
      <c r="B8663" s="1129" t="s">
        <v>2722</v>
      </c>
      <c r="C8663" s="1139"/>
      <c r="D8663" s="1129"/>
      <c r="E8663" s="1129"/>
      <c r="F8663" s="1129"/>
      <c r="G8663" s="1129" t="s">
        <v>1106</v>
      </c>
      <c r="H8663" s="1129"/>
      <c r="I8663" s="1129"/>
      <c r="J8663" s="1127"/>
    </row>
    <row r="8664" spans="1:10" x14ac:dyDescent="0.2">
      <c r="A8664" s="997">
        <f t="shared" si="135"/>
        <v>8663</v>
      </c>
      <c r="B8664" s="1129" t="s">
        <v>2722</v>
      </c>
      <c r="C8664" s="1138"/>
      <c r="D8664" s="1129"/>
      <c r="E8664" s="1129"/>
      <c r="F8664" s="1129"/>
      <c r="G8664" s="1129"/>
      <c r="H8664" s="1129" t="s">
        <v>2336</v>
      </c>
      <c r="I8664" s="1129"/>
      <c r="J8664" s="1127"/>
    </row>
    <row r="8665" spans="1:10" x14ac:dyDescent="0.2">
      <c r="A8665" s="997">
        <f t="shared" si="135"/>
        <v>8664</v>
      </c>
      <c r="B8665" s="1129" t="s">
        <v>2722</v>
      </c>
      <c r="C8665" s="1138"/>
      <c r="D8665" s="1129"/>
      <c r="E8665" s="1129"/>
      <c r="F8665" s="1129"/>
      <c r="G8665" s="1129"/>
      <c r="H8665" s="1129" t="str">
        <f>CONCATENATE("&lt;valeur&gt;",Cellule_1082_3,"&lt;/valeur&gt;")</f>
        <v>&lt;valeur&gt;0,2&lt;/valeur&gt;</v>
      </c>
      <c r="I8665" s="1129"/>
      <c r="J8665" s="1127"/>
    </row>
    <row r="8666" spans="1:10" x14ac:dyDescent="0.2">
      <c r="A8666" s="997">
        <f t="shared" si="135"/>
        <v>8665</v>
      </c>
      <c r="B8666" s="1129" t="s">
        <v>2722</v>
      </c>
      <c r="C8666" s="1139"/>
      <c r="D8666" s="1129"/>
      <c r="E8666" s="1129"/>
      <c r="F8666" s="1129"/>
      <c r="G8666" s="1129"/>
      <c r="H8666" s="1129" t="s">
        <v>2736</v>
      </c>
      <c r="I8666" s="1129"/>
      <c r="J8666" s="1127"/>
    </row>
    <row r="8667" spans="1:10" x14ac:dyDescent="0.2">
      <c r="A8667" s="997">
        <f t="shared" si="135"/>
        <v>8666</v>
      </c>
      <c r="B8667" s="1129" t="s">
        <v>2722</v>
      </c>
      <c r="C8667" s="1140"/>
      <c r="D8667" s="1129"/>
      <c r="E8667" s="1129"/>
      <c r="F8667" s="1129"/>
      <c r="G8667" s="1129" t="s">
        <v>1109</v>
      </c>
      <c r="H8667" s="1129"/>
      <c r="I8667" s="1129"/>
      <c r="J8667" s="1127"/>
    </row>
    <row r="8668" spans="1:10" x14ac:dyDescent="0.2">
      <c r="A8668" s="997">
        <f t="shared" si="135"/>
        <v>8667</v>
      </c>
      <c r="B8668" s="1129" t="s">
        <v>2722</v>
      </c>
      <c r="C8668" s="1139"/>
      <c r="D8668" s="1129"/>
      <c r="E8668" s="1129"/>
      <c r="F8668" s="1129"/>
      <c r="G8668" s="1129" t="s">
        <v>1106</v>
      </c>
      <c r="H8668" s="1129"/>
      <c r="I8668" s="1129"/>
      <c r="J8668" s="1127"/>
    </row>
    <row r="8669" spans="1:10" x14ac:dyDescent="0.2">
      <c r="A8669" s="997">
        <f t="shared" si="135"/>
        <v>8668</v>
      </c>
      <c r="B8669" s="1129" t="s">
        <v>2722</v>
      </c>
      <c r="C8669" s="1139"/>
      <c r="D8669" s="1129"/>
      <c r="E8669" s="1129"/>
      <c r="F8669" s="1129"/>
      <c r="G8669" s="1129"/>
      <c r="H8669" s="1129" t="s">
        <v>2337</v>
      </c>
      <c r="I8669" s="1129"/>
      <c r="J8669" s="1127"/>
    </row>
    <row r="8670" spans="1:10" x14ac:dyDescent="0.2">
      <c r="A8670" s="997">
        <f t="shared" si="135"/>
        <v>8669</v>
      </c>
      <c r="B8670" s="1129" t="s">
        <v>2722</v>
      </c>
      <c r="C8670" s="1138"/>
      <c r="D8670" s="1129"/>
      <c r="E8670" s="1129"/>
      <c r="F8670" s="1129"/>
      <c r="G8670" s="1129"/>
      <c r="H8670" s="1129" t="str">
        <f>CONCATENATE("&lt;valeur&gt;",Cellule_1083_3,"&lt;/valeur&gt;")</f>
        <v>&lt;valeur&gt;5&lt;/valeur&gt;</v>
      </c>
      <c r="I8670" s="1129"/>
      <c r="J8670" s="1127"/>
    </row>
    <row r="8671" spans="1:10" x14ac:dyDescent="0.2">
      <c r="A8671" s="997">
        <f t="shared" si="135"/>
        <v>8670</v>
      </c>
      <c r="B8671" s="1129" t="s">
        <v>2722</v>
      </c>
      <c r="C8671" s="1138"/>
      <c r="D8671" s="1129"/>
      <c r="E8671" s="1129"/>
      <c r="F8671" s="1129"/>
      <c r="G8671" s="1129"/>
      <c r="H8671" s="1129" t="s">
        <v>2736</v>
      </c>
      <c r="I8671" s="1129"/>
      <c r="J8671" s="1127"/>
    </row>
    <row r="8672" spans="1:10" x14ac:dyDescent="0.2">
      <c r="A8672" s="997">
        <f t="shared" si="135"/>
        <v>8671</v>
      </c>
      <c r="B8672" s="1129" t="s">
        <v>2722</v>
      </c>
      <c r="C8672" s="1139"/>
      <c r="D8672" s="1129"/>
      <c r="E8672" s="1129"/>
      <c r="F8672" s="1129"/>
      <c r="G8672" s="1129" t="s">
        <v>1109</v>
      </c>
      <c r="H8672" s="1129"/>
      <c r="I8672" s="1129"/>
      <c r="J8672" s="1127"/>
    </row>
    <row r="8673" spans="1:10" x14ac:dyDescent="0.2">
      <c r="A8673" s="997">
        <f t="shared" si="135"/>
        <v>8672</v>
      </c>
      <c r="B8673" s="1129" t="s">
        <v>2722</v>
      </c>
      <c r="C8673" s="1140"/>
      <c r="D8673" s="1129"/>
      <c r="E8673" s="1129"/>
      <c r="F8673" s="1129"/>
      <c r="G8673" s="1129" t="s">
        <v>1106</v>
      </c>
      <c r="H8673" s="1129"/>
      <c r="I8673" s="1129"/>
      <c r="J8673" s="1127"/>
    </row>
    <row r="8674" spans="1:10" x14ac:dyDescent="0.2">
      <c r="A8674" s="997">
        <f t="shared" si="135"/>
        <v>8673</v>
      </c>
      <c r="B8674" s="1129" t="s">
        <v>2722</v>
      </c>
      <c r="C8674" s="1139"/>
      <c r="D8674" s="1129"/>
      <c r="E8674" s="1129"/>
      <c r="F8674" s="1129"/>
      <c r="G8674" s="1129"/>
      <c r="H8674" s="1129" t="s">
        <v>2338</v>
      </c>
      <c r="I8674" s="1129"/>
      <c r="J8674" s="1127"/>
    </row>
    <row r="8675" spans="1:10" x14ac:dyDescent="0.2">
      <c r="A8675" s="997">
        <f t="shared" si="135"/>
        <v>8674</v>
      </c>
      <c r="B8675" s="1129" t="s">
        <v>2722</v>
      </c>
      <c r="C8675" s="1139"/>
      <c r="D8675" s="1129"/>
      <c r="E8675" s="1129"/>
      <c r="F8675" s="1129"/>
      <c r="G8675" s="1129"/>
      <c r="H8675" s="1129" t="str">
        <f>CONCATENATE("&lt;valeur&gt;",Cellule_1084_3,"&lt;/valeur&gt;")</f>
        <v>&lt;valeur&gt;37242,834&lt;/valeur&gt;</v>
      </c>
      <c r="I8675" s="1129"/>
      <c r="J8675" s="1127"/>
    </row>
    <row r="8676" spans="1:10" x14ac:dyDescent="0.2">
      <c r="A8676" s="997">
        <f t="shared" si="135"/>
        <v>8675</v>
      </c>
      <c r="B8676" s="1129" t="s">
        <v>2722</v>
      </c>
      <c r="C8676" s="1138"/>
      <c r="D8676" s="1129"/>
      <c r="E8676" s="1129"/>
      <c r="F8676" s="1129"/>
      <c r="G8676" s="1129"/>
      <c r="H8676" s="1129" t="s">
        <v>2736</v>
      </c>
      <c r="I8676" s="1129"/>
      <c r="J8676" s="1127"/>
    </row>
    <row r="8677" spans="1:10" x14ac:dyDescent="0.2">
      <c r="A8677" s="997">
        <f t="shared" si="135"/>
        <v>8676</v>
      </c>
      <c r="B8677" s="1129" t="s">
        <v>2722</v>
      </c>
      <c r="C8677" s="1138"/>
      <c r="D8677" s="1129"/>
      <c r="E8677" s="1129"/>
      <c r="F8677" s="1129"/>
      <c r="G8677" s="1129" t="s">
        <v>1109</v>
      </c>
      <c r="H8677" s="1129"/>
      <c r="I8677" s="1129"/>
      <c r="J8677" s="1127"/>
    </row>
    <row r="8678" spans="1:10" x14ac:dyDescent="0.2">
      <c r="A8678" s="997">
        <f t="shared" si="135"/>
        <v>8677</v>
      </c>
      <c r="B8678" s="1129" t="s">
        <v>2722</v>
      </c>
      <c r="C8678" s="1139"/>
      <c r="D8678" s="1129"/>
      <c r="E8678" s="1129"/>
      <c r="F8678" s="1129"/>
      <c r="G8678" s="1129" t="s">
        <v>1106</v>
      </c>
      <c r="H8678" s="1129"/>
      <c r="I8678" s="1129"/>
      <c r="J8678" s="1127"/>
    </row>
    <row r="8679" spans="1:10" x14ac:dyDescent="0.2">
      <c r="A8679" s="997">
        <f t="shared" si="135"/>
        <v>8678</v>
      </c>
      <c r="B8679" s="1129" t="s">
        <v>2722</v>
      </c>
      <c r="C8679" s="1140"/>
      <c r="D8679" s="1129"/>
      <c r="E8679" s="1129"/>
      <c r="F8679" s="1129"/>
      <c r="G8679" s="1129"/>
      <c r="H8679" s="1129" t="s">
        <v>2339</v>
      </c>
      <c r="I8679" s="1129"/>
      <c r="J8679" s="1127"/>
    </row>
    <row r="8680" spans="1:10" x14ac:dyDescent="0.2">
      <c r="A8680" s="997">
        <f t="shared" si="135"/>
        <v>8679</v>
      </c>
      <c r="B8680" s="1129" t="s">
        <v>2722</v>
      </c>
      <c r="C8680" s="1139"/>
      <c r="D8680" s="1129"/>
      <c r="E8680" s="1129"/>
      <c r="F8680" s="1129"/>
      <c r="G8680" s="1129"/>
      <c r="H8680" s="1129" t="str">
        <f>CONCATENATE("&lt;valeur&gt;",Cellule_1085_3,"&lt;/valeur&gt;")</f>
        <v>&lt;valeur&gt;37242,834&lt;/valeur&gt;</v>
      </c>
      <c r="I8680" s="1129"/>
      <c r="J8680" s="1127"/>
    </row>
    <row r="8681" spans="1:10" x14ac:dyDescent="0.2">
      <c r="A8681" s="997">
        <f t="shared" si="135"/>
        <v>8680</v>
      </c>
      <c r="B8681" s="1129" t="s">
        <v>2722</v>
      </c>
      <c r="C8681" s="1139"/>
      <c r="D8681" s="1129"/>
      <c r="E8681" s="1129"/>
      <c r="F8681" s="1129"/>
      <c r="G8681" s="1129"/>
      <c r="H8681" s="1129" t="s">
        <v>2736</v>
      </c>
      <c r="I8681" s="1129"/>
      <c r="J8681" s="1127"/>
    </row>
    <row r="8682" spans="1:10" x14ac:dyDescent="0.2">
      <c r="A8682" s="997">
        <f t="shared" si="135"/>
        <v>8681</v>
      </c>
      <c r="B8682" s="1129" t="s">
        <v>2722</v>
      </c>
      <c r="C8682" s="1138"/>
      <c r="D8682" s="1129"/>
      <c r="E8682" s="1129"/>
      <c r="F8682" s="1129"/>
      <c r="G8682" s="1129" t="s">
        <v>1109</v>
      </c>
      <c r="H8682" s="1129"/>
      <c r="I8682" s="1129"/>
      <c r="J8682" s="1127"/>
    </row>
    <row r="8683" spans="1:10" x14ac:dyDescent="0.2">
      <c r="A8683" s="997">
        <f t="shared" si="135"/>
        <v>8682</v>
      </c>
      <c r="B8683" s="1129" t="s">
        <v>2722</v>
      </c>
      <c r="C8683" s="1138"/>
      <c r="D8683" s="1129"/>
      <c r="E8683" s="1129"/>
      <c r="F8683" s="1129"/>
      <c r="G8683" s="1129" t="s">
        <v>1106</v>
      </c>
      <c r="H8683" s="1129"/>
      <c r="I8683" s="1129"/>
      <c r="J8683" s="1127"/>
    </row>
    <row r="8684" spans="1:10" x14ac:dyDescent="0.2">
      <c r="A8684" s="997">
        <f t="shared" si="135"/>
        <v>8683</v>
      </c>
      <c r="B8684" s="1129" t="s">
        <v>2722</v>
      </c>
      <c r="C8684" s="1139"/>
      <c r="D8684" s="1129"/>
      <c r="E8684" s="1129"/>
      <c r="F8684" s="1129"/>
      <c r="G8684" s="1129"/>
      <c r="H8684" s="1129" t="s">
        <v>2340</v>
      </c>
      <c r="I8684" s="1129"/>
      <c r="J8684" s="1127"/>
    </row>
    <row r="8685" spans="1:10" x14ac:dyDescent="0.2">
      <c r="A8685" s="997">
        <f t="shared" si="135"/>
        <v>8684</v>
      </c>
      <c r="B8685" s="1129" t="s">
        <v>2722</v>
      </c>
      <c r="C8685" s="1140"/>
      <c r="D8685" s="1129"/>
      <c r="E8685" s="1129"/>
      <c r="F8685" s="1129"/>
      <c r="G8685" s="1129"/>
      <c r="H8685" s="1129" t="str">
        <f>CONCATENATE("&lt;valeur&gt;",Cellule_1086_3,"&lt;/valeur&gt;")</f>
        <v>&lt;valeur&gt;&lt;/valeur&gt;</v>
      </c>
      <c r="I8685" s="1129"/>
      <c r="J8685" s="1127"/>
    </row>
    <row r="8686" spans="1:10" x14ac:dyDescent="0.2">
      <c r="A8686" s="997">
        <f t="shared" si="135"/>
        <v>8685</v>
      </c>
      <c r="B8686" s="1129" t="s">
        <v>2722</v>
      </c>
      <c r="C8686" s="1139"/>
      <c r="D8686" s="1129"/>
      <c r="E8686" s="1129"/>
      <c r="F8686" s="1129"/>
      <c r="G8686" s="1129"/>
      <c r="H8686" s="1129" t="s">
        <v>2736</v>
      </c>
      <c r="I8686" s="1129"/>
      <c r="J8686" s="1127"/>
    </row>
    <row r="8687" spans="1:10" x14ac:dyDescent="0.2">
      <c r="A8687" s="997">
        <f t="shared" si="135"/>
        <v>8686</v>
      </c>
      <c r="B8687" s="1130" t="s">
        <v>2722</v>
      </c>
      <c r="C8687" s="1144"/>
      <c r="D8687" s="1130"/>
      <c r="E8687" s="1130"/>
      <c r="F8687" s="1130"/>
      <c r="G8687" s="1130" t="s">
        <v>1109</v>
      </c>
      <c r="H8687" s="1130"/>
      <c r="I8687" s="1130"/>
      <c r="J8687" s="1142"/>
    </row>
    <row r="8688" spans="1:10" x14ac:dyDescent="0.2">
      <c r="A8688" s="997">
        <f t="shared" si="135"/>
        <v>8687</v>
      </c>
      <c r="B8688" s="1128" t="s">
        <v>2722</v>
      </c>
      <c r="C8688" s="1143"/>
      <c r="D8688" s="1128"/>
      <c r="E8688" s="1128"/>
      <c r="F8688" s="1128"/>
      <c r="G8688" s="1128" t="s">
        <v>1106</v>
      </c>
      <c r="H8688" s="1128"/>
      <c r="I8688" s="1128"/>
      <c r="J8688" s="1124"/>
    </row>
    <row r="8689" spans="1:10" x14ac:dyDescent="0.2">
      <c r="A8689" s="997">
        <f t="shared" si="135"/>
        <v>8688</v>
      </c>
      <c r="B8689" s="1129" t="s">
        <v>2722</v>
      </c>
      <c r="C8689" s="1139"/>
      <c r="D8689" s="1129"/>
      <c r="E8689" s="1129"/>
      <c r="F8689" s="1129"/>
      <c r="G8689" s="1129"/>
      <c r="H8689" s="1129" t="s">
        <v>2331</v>
      </c>
      <c r="I8689" s="1129"/>
      <c r="J8689" s="1127"/>
    </row>
    <row r="8690" spans="1:10" x14ac:dyDescent="0.2">
      <c r="A8690" s="997">
        <f t="shared" si="135"/>
        <v>8689</v>
      </c>
      <c r="B8690" s="1129" t="s">
        <v>2722</v>
      </c>
      <c r="C8690" s="1138"/>
      <c r="D8690" s="1129"/>
      <c r="E8690" s="1129"/>
      <c r="F8690" s="1129"/>
      <c r="G8690" s="1129"/>
      <c r="H8690" s="1129" t="str">
        <f>CONCATENATE("&lt;valeur&gt;",Cellule_10061_4,"&lt;/valeur&gt;")</f>
        <v>&lt;valeur&gt;MAT DE TRANSPORST&lt;/valeur&gt;</v>
      </c>
      <c r="I8690" s="1129"/>
      <c r="J8690" s="1127"/>
    </row>
    <row r="8691" spans="1:10" x14ac:dyDescent="0.2">
      <c r="A8691" s="997">
        <f t="shared" si="135"/>
        <v>8690</v>
      </c>
      <c r="B8691" s="1129" t="s">
        <v>2722</v>
      </c>
      <c r="C8691" s="1138"/>
      <c r="D8691" s="1129"/>
      <c r="E8691" s="1129"/>
      <c r="F8691" s="1129"/>
      <c r="G8691" s="1129"/>
      <c r="H8691" s="1129" t="s">
        <v>2737</v>
      </c>
      <c r="I8691" s="1129"/>
      <c r="J8691" s="1127"/>
    </row>
    <row r="8692" spans="1:10" x14ac:dyDescent="0.2">
      <c r="A8692" s="997">
        <f t="shared" si="135"/>
        <v>8691</v>
      </c>
      <c r="B8692" s="1129" t="s">
        <v>2722</v>
      </c>
      <c r="C8692" s="1139"/>
      <c r="D8692" s="1129"/>
      <c r="E8692" s="1129"/>
      <c r="F8692" s="1129"/>
      <c r="G8692" s="1129" t="s">
        <v>1109</v>
      </c>
      <c r="H8692" s="1129"/>
      <c r="I8692" s="1129"/>
      <c r="J8692" s="1127"/>
    </row>
    <row r="8693" spans="1:10" x14ac:dyDescent="0.2">
      <c r="A8693" s="997">
        <f t="shared" si="135"/>
        <v>8692</v>
      </c>
      <c r="B8693" s="1129" t="s">
        <v>2722</v>
      </c>
      <c r="C8693" s="1140"/>
      <c r="D8693" s="1129"/>
      <c r="E8693" s="1129"/>
      <c r="F8693" s="1129"/>
      <c r="G8693" s="1129" t="s">
        <v>1106</v>
      </c>
      <c r="H8693" s="1129"/>
      <c r="I8693" s="1129"/>
      <c r="J8693" s="1127"/>
    </row>
    <row r="8694" spans="1:10" x14ac:dyDescent="0.2">
      <c r="A8694" s="997">
        <f t="shared" si="135"/>
        <v>8693</v>
      </c>
      <c r="B8694" s="1129" t="s">
        <v>2722</v>
      </c>
      <c r="C8694" s="1139"/>
      <c r="D8694" s="1129"/>
      <c r="E8694" s="1129"/>
      <c r="F8694" s="1129"/>
      <c r="G8694" s="1129"/>
      <c r="H8694" s="1129" t="s">
        <v>2332</v>
      </c>
      <c r="I8694" s="1129"/>
      <c r="J8694" s="1127"/>
    </row>
    <row r="8695" spans="1:10" x14ac:dyDescent="0.2">
      <c r="A8695" s="997">
        <f t="shared" si="135"/>
        <v>8694</v>
      </c>
      <c r="B8695" s="1129" t="s">
        <v>2722</v>
      </c>
      <c r="C8695" s="1139"/>
      <c r="D8695" s="1129"/>
      <c r="E8695" s="1129"/>
      <c r="F8695" s="1129"/>
      <c r="G8695" s="1129"/>
      <c r="H8695" s="1129" t="str">
        <f>CONCATENATE("&lt;valeur&gt;",Cellule_1078_4,"&lt;/valeur&gt;")</f>
        <v>&lt;valeur&gt;43039&lt;/valeur&gt;</v>
      </c>
      <c r="I8695" s="1129"/>
      <c r="J8695" s="1127"/>
    </row>
    <row r="8696" spans="1:10" x14ac:dyDescent="0.2">
      <c r="A8696" s="997">
        <f t="shared" si="135"/>
        <v>8695</v>
      </c>
      <c r="B8696" s="1129" t="s">
        <v>2722</v>
      </c>
      <c r="C8696" s="1138"/>
      <c r="D8696" s="1129"/>
      <c r="E8696" s="1129"/>
      <c r="F8696" s="1129"/>
      <c r="G8696" s="1129"/>
      <c r="H8696" s="1129" t="s">
        <v>2737</v>
      </c>
      <c r="I8696" s="1129"/>
      <c r="J8696" s="1127"/>
    </row>
    <row r="8697" spans="1:10" x14ac:dyDescent="0.2">
      <c r="A8697" s="997">
        <f t="shared" si="135"/>
        <v>8696</v>
      </c>
      <c r="B8697" s="1129" t="s">
        <v>2722</v>
      </c>
      <c r="C8697" s="1138"/>
      <c r="D8697" s="1129"/>
      <c r="E8697" s="1129"/>
      <c r="F8697" s="1129"/>
      <c r="G8697" s="1129" t="s">
        <v>1109</v>
      </c>
      <c r="H8697" s="1129"/>
      <c r="I8697" s="1129"/>
      <c r="J8697" s="1127"/>
    </row>
    <row r="8698" spans="1:10" x14ac:dyDescent="0.2">
      <c r="A8698" s="997">
        <f t="shared" si="135"/>
        <v>8697</v>
      </c>
      <c r="B8698" s="1129" t="s">
        <v>2722</v>
      </c>
      <c r="C8698" s="1139"/>
      <c r="D8698" s="1129"/>
      <c r="E8698" s="1129"/>
      <c r="F8698" s="1129"/>
      <c r="G8698" s="1129" t="s">
        <v>1106</v>
      </c>
      <c r="H8698" s="1129"/>
      <c r="I8698" s="1129"/>
      <c r="J8698" s="1127"/>
    </row>
    <row r="8699" spans="1:10" x14ac:dyDescent="0.2">
      <c r="A8699" s="997">
        <f t="shared" si="135"/>
        <v>8698</v>
      </c>
      <c r="B8699" s="1129" t="s">
        <v>2722</v>
      </c>
      <c r="C8699" s="1140"/>
      <c r="D8699" s="1129"/>
      <c r="E8699" s="1129"/>
      <c r="F8699" s="1129"/>
      <c r="G8699" s="1129"/>
      <c r="H8699" s="1129" t="s">
        <v>2333</v>
      </c>
      <c r="I8699" s="1129"/>
      <c r="J8699" s="1127"/>
    </row>
    <row r="8700" spans="1:10" x14ac:dyDescent="0.2">
      <c r="A8700" s="997">
        <f t="shared" si="135"/>
        <v>8699</v>
      </c>
      <c r="B8700" s="1129" t="s">
        <v>2722</v>
      </c>
      <c r="C8700" s="1139"/>
      <c r="D8700" s="1129"/>
      <c r="E8700" s="1129"/>
      <c r="F8700" s="1129"/>
      <c r="G8700" s="1129"/>
      <c r="H8700" s="1129" t="str">
        <f>CONCATENATE("&lt;valeur&gt;",Cellule_1079_4,"&lt;/valeur&gt;")</f>
        <v>&lt;valeur&gt;97164&lt;/valeur&gt;</v>
      </c>
      <c r="I8700" s="1129"/>
      <c r="J8700" s="1127"/>
    </row>
    <row r="8701" spans="1:10" x14ac:dyDescent="0.2">
      <c r="A8701" s="997">
        <f t="shared" si="135"/>
        <v>8700</v>
      </c>
      <c r="B8701" s="1129" t="s">
        <v>2722</v>
      </c>
      <c r="C8701" s="1139"/>
      <c r="D8701" s="1129"/>
      <c r="E8701" s="1129"/>
      <c r="F8701" s="1129"/>
      <c r="G8701" s="1129"/>
      <c r="H8701" s="1129" t="s">
        <v>2737</v>
      </c>
      <c r="I8701" s="1129"/>
      <c r="J8701" s="1127"/>
    </row>
    <row r="8702" spans="1:10" x14ac:dyDescent="0.2">
      <c r="A8702" s="997">
        <f t="shared" si="135"/>
        <v>8701</v>
      </c>
      <c r="B8702" s="1129" t="s">
        <v>2722</v>
      </c>
      <c r="C8702" s="1138"/>
      <c r="D8702" s="1129"/>
      <c r="E8702" s="1129"/>
      <c r="F8702" s="1129"/>
      <c r="G8702" s="1129" t="s">
        <v>1109</v>
      </c>
      <c r="H8702" s="1129"/>
      <c r="I8702" s="1129"/>
      <c r="J8702" s="1127"/>
    </row>
    <row r="8703" spans="1:10" x14ac:dyDescent="0.2">
      <c r="A8703" s="997">
        <f t="shared" si="135"/>
        <v>8702</v>
      </c>
      <c r="B8703" s="1129" t="s">
        <v>2722</v>
      </c>
      <c r="C8703" s="1138"/>
      <c r="D8703" s="1129"/>
      <c r="E8703" s="1129"/>
      <c r="F8703" s="1129"/>
      <c r="G8703" s="1129" t="s">
        <v>1106</v>
      </c>
      <c r="H8703" s="1129"/>
      <c r="I8703" s="1129"/>
      <c r="J8703" s="1127"/>
    </row>
    <row r="8704" spans="1:10" x14ac:dyDescent="0.2">
      <c r="A8704" s="997">
        <f t="shared" si="135"/>
        <v>8703</v>
      </c>
      <c r="B8704" s="1129" t="s">
        <v>2722</v>
      </c>
      <c r="C8704" s="1139"/>
      <c r="D8704" s="1129"/>
      <c r="E8704" s="1129"/>
      <c r="F8704" s="1129"/>
      <c r="G8704" s="1129"/>
      <c r="H8704" s="1129" t="s">
        <v>2334</v>
      </c>
      <c r="I8704" s="1129"/>
      <c r="J8704" s="1127"/>
    </row>
    <row r="8705" spans="1:10" x14ac:dyDescent="0.2">
      <c r="A8705" s="997">
        <f t="shared" si="135"/>
        <v>8704</v>
      </c>
      <c r="B8705" s="1129" t="s">
        <v>2722</v>
      </c>
      <c r="C8705" s="1140"/>
      <c r="D8705" s="1129"/>
      <c r="E8705" s="1129"/>
      <c r="F8705" s="1129"/>
      <c r="G8705" s="1129"/>
      <c r="H8705" s="1129" t="str">
        <f>CONCATENATE("&lt;valeur&gt;",Cellule_1080_4,"&lt;/valeur&gt;")</f>
        <v>&lt;valeur&gt;&lt;/valeur&gt;</v>
      </c>
      <c r="I8705" s="1129"/>
      <c r="J8705" s="1127"/>
    </row>
    <row r="8706" spans="1:10" x14ac:dyDescent="0.2">
      <c r="A8706" s="997">
        <f t="shared" si="135"/>
        <v>8705</v>
      </c>
      <c r="B8706" s="1129" t="s">
        <v>2722</v>
      </c>
      <c r="C8706" s="1139"/>
      <c r="D8706" s="1129"/>
      <c r="E8706" s="1129"/>
      <c r="F8706" s="1129"/>
      <c r="G8706" s="1129"/>
      <c r="H8706" s="1129" t="s">
        <v>2737</v>
      </c>
      <c r="I8706" s="1129"/>
      <c r="J8706" s="1127"/>
    </row>
    <row r="8707" spans="1:10" x14ac:dyDescent="0.2">
      <c r="A8707" s="997">
        <f t="shared" si="135"/>
        <v>8706</v>
      </c>
      <c r="B8707" s="1129" t="s">
        <v>2722</v>
      </c>
      <c r="C8707" s="1139"/>
      <c r="D8707" s="1129"/>
      <c r="E8707" s="1129"/>
      <c r="F8707" s="1129"/>
      <c r="G8707" s="1129" t="s">
        <v>1109</v>
      </c>
      <c r="H8707" s="1129"/>
      <c r="I8707" s="1129"/>
      <c r="J8707" s="1127"/>
    </row>
    <row r="8708" spans="1:10" x14ac:dyDescent="0.2">
      <c r="A8708" s="997">
        <f t="shared" ref="A8708:A8771" si="136">+A8707+1</f>
        <v>8707</v>
      </c>
      <c r="B8708" s="1129" t="s">
        <v>2722</v>
      </c>
      <c r="C8708" s="1138"/>
      <c r="D8708" s="1129"/>
      <c r="E8708" s="1129"/>
      <c r="F8708" s="1129"/>
      <c r="G8708" s="1129" t="s">
        <v>1106</v>
      </c>
      <c r="H8708" s="1129"/>
      <c r="I8708" s="1129"/>
      <c r="J8708" s="1127"/>
    </row>
    <row r="8709" spans="1:10" x14ac:dyDescent="0.2">
      <c r="A8709" s="997">
        <f t="shared" si="136"/>
        <v>8708</v>
      </c>
      <c r="B8709" s="1129" t="s">
        <v>2722</v>
      </c>
      <c r="C8709" s="1138"/>
      <c r="D8709" s="1129"/>
      <c r="E8709" s="1129"/>
      <c r="F8709" s="1129"/>
      <c r="G8709" s="1129"/>
      <c r="H8709" s="1129" t="s">
        <v>2335</v>
      </c>
      <c r="I8709" s="1129"/>
      <c r="J8709" s="1127"/>
    </row>
    <row r="8710" spans="1:10" x14ac:dyDescent="0.2">
      <c r="A8710" s="997">
        <f t="shared" si="136"/>
        <v>8709</v>
      </c>
      <c r="B8710" s="1129" t="s">
        <v>2722</v>
      </c>
      <c r="C8710" s="1139"/>
      <c r="D8710" s="1129"/>
      <c r="E8710" s="1129"/>
      <c r="F8710" s="1129"/>
      <c r="G8710" s="1129"/>
      <c r="H8710" s="1129" t="str">
        <f>CONCATENATE("&lt;valeur&gt;",Cellule_1081_4,"&lt;/valeur&gt;")</f>
        <v>&lt;valeur&gt;3238,8&lt;/valeur&gt;</v>
      </c>
      <c r="I8710" s="1129"/>
      <c r="J8710" s="1127"/>
    </row>
    <row r="8711" spans="1:10" x14ac:dyDescent="0.2">
      <c r="A8711" s="997">
        <f t="shared" si="136"/>
        <v>8710</v>
      </c>
      <c r="B8711" s="1129" t="s">
        <v>2722</v>
      </c>
      <c r="C8711" s="1140"/>
      <c r="D8711" s="1129"/>
      <c r="E8711" s="1129"/>
      <c r="F8711" s="1129"/>
      <c r="G8711" s="1129"/>
      <c r="H8711" s="1129" t="s">
        <v>2737</v>
      </c>
      <c r="I8711" s="1129"/>
      <c r="J8711" s="1127"/>
    </row>
    <row r="8712" spans="1:10" x14ac:dyDescent="0.2">
      <c r="A8712" s="997">
        <f t="shared" si="136"/>
        <v>8711</v>
      </c>
      <c r="B8712" s="1129" t="s">
        <v>2722</v>
      </c>
      <c r="C8712" s="1139"/>
      <c r="D8712" s="1129"/>
      <c r="E8712" s="1129"/>
      <c r="F8712" s="1129"/>
      <c r="G8712" s="1129" t="s">
        <v>1109</v>
      </c>
      <c r="H8712" s="1129"/>
      <c r="I8712" s="1129"/>
      <c r="J8712" s="1127"/>
    </row>
    <row r="8713" spans="1:10" x14ac:dyDescent="0.2">
      <c r="A8713" s="997">
        <f t="shared" si="136"/>
        <v>8712</v>
      </c>
      <c r="B8713" s="1129" t="s">
        <v>2722</v>
      </c>
      <c r="C8713" s="1139"/>
      <c r="D8713" s="1129"/>
      <c r="E8713" s="1129"/>
      <c r="F8713" s="1129"/>
      <c r="G8713" s="1129" t="s">
        <v>1106</v>
      </c>
      <c r="H8713" s="1129"/>
      <c r="I8713" s="1129"/>
      <c r="J8713" s="1127"/>
    </row>
    <row r="8714" spans="1:10" x14ac:dyDescent="0.2">
      <c r="A8714" s="997">
        <f t="shared" si="136"/>
        <v>8713</v>
      </c>
      <c r="B8714" s="1129" t="s">
        <v>2722</v>
      </c>
      <c r="C8714" s="1138"/>
      <c r="D8714" s="1129"/>
      <c r="E8714" s="1129"/>
      <c r="F8714" s="1129"/>
      <c r="G8714" s="1129"/>
      <c r="H8714" s="1129" t="s">
        <v>2336</v>
      </c>
      <c r="I8714" s="1129"/>
      <c r="J8714" s="1127"/>
    </row>
    <row r="8715" spans="1:10" x14ac:dyDescent="0.2">
      <c r="A8715" s="997">
        <f t="shared" si="136"/>
        <v>8714</v>
      </c>
      <c r="B8715" s="1129" t="s">
        <v>2722</v>
      </c>
      <c r="C8715" s="1138"/>
      <c r="D8715" s="1129"/>
      <c r="E8715" s="1129"/>
      <c r="F8715" s="1129"/>
      <c r="G8715" s="1129"/>
      <c r="H8715" s="1129" t="str">
        <f>CONCATENATE("&lt;valeur&gt;",Cellule_1082_4,"&lt;/valeur&gt;")</f>
        <v>&lt;valeur&gt;0,2&lt;/valeur&gt;</v>
      </c>
      <c r="I8715" s="1129"/>
      <c r="J8715" s="1127"/>
    </row>
    <row r="8716" spans="1:10" x14ac:dyDescent="0.2">
      <c r="A8716" s="997">
        <f t="shared" si="136"/>
        <v>8715</v>
      </c>
      <c r="B8716" s="1129" t="s">
        <v>2722</v>
      </c>
      <c r="C8716" s="1139"/>
      <c r="D8716" s="1129"/>
      <c r="E8716" s="1129"/>
      <c r="F8716" s="1129"/>
      <c r="G8716" s="1129"/>
      <c r="H8716" s="1129" t="s">
        <v>2737</v>
      </c>
      <c r="I8716" s="1129"/>
      <c r="J8716" s="1127"/>
    </row>
    <row r="8717" spans="1:10" x14ac:dyDescent="0.2">
      <c r="A8717" s="997">
        <f t="shared" si="136"/>
        <v>8716</v>
      </c>
      <c r="B8717" s="1129" t="s">
        <v>2722</v>
      </c>
      <c r="C8717" s="1140"/>
      <c r="D8717" s="1129"/>
      <c r="E8717" s="1129"/>
      <c r="F8717" s="1129"/>
      <c r="G8717" s="1129" t="s">
        <v>1109</v>
      </c>
      <c r="H8717" s="1129"/>
      <c r="I8717" s="1129"/>
      <c r="J8717" s="1127"/>
    </row>
    <row r="8718" spans="1:10" x14ac:dyDescent="0.2">
      <c r="A8718" s="997">
        <f t="shared" si="136"/>
        <v>8717</v>
      </c>
      <c r="B8718" s="1129" t="s">
        <v>2722</v>
      </c>
      <c r="C8718" s="1139"/>
      <c r="D8718" s="1129"/>
      <c r="E8718" s="1129"/>
      <c r="F8718" s="1129"/>
      <c r="G8718" s="1129" t="s">
        <v>1106</v>
      </c>
      <c r="H8718" s="1129"/>
      <c r="I8718" s="1129"/>
      <c r="J8718" s="1127"/>
    </row>
    <row r="8719" spans="1:10" x14ac:dyDescent="0.2">
      <c r="A8719" s="997">
        <f t="shared" si="136"/>
        <v>8718</v>
      </c>
      <c r="B8719" s="1129" t="s">
        <v>2722</v>
      </c>
      <c r="C8719" s="1139"/>
      <c r="D8719" s="1129"/>
      <c r="E8719" s="1129"/>
      <c r="F8719" s="1129"/>
      <c r="G8719" s="1129"/>
      <c r="H8719" s="1129" t="s">
        <v>2337</v>
      </c>
      <c r="I8719" s="1129"/>
      <c r="J8719" s="1127"/>
    </row>
    <row r="8720" spans="1:10" x14ac:dyDescent="0.2">
      <c r="A8720" s="997">
        <f t="shared" si="136"/>
        <v>8719</v>
      </c>
      <c r="B8720" s="1129" t="s">
        <v>2722</v>
      </c>
      <c r="C8720" s="1138"/>
      <c r="D8720" s="1129"/>
      <c r="E8720" s="1129"/>
      <c r="F8720" s="1129"/>
      <c r="G8720" s="1129"/>
      <c r="H8720" s="1129" t="str">
        <f>CONCATENATE("&lt;valeur&gt;",Cellule_1083_4,"&lt;/valeur&gt;")</f>
        <v>&lt;valeur&gt;5&lt;/valeur&gt;</v>
      </c>
      <c r="I8720" s="1129"/>
      <c r="J8720" s="1127"/>
    </row>
    <row r="8721" spans="1:10" x14ac:dyDescent="0.2">
      <c r="A8721" s="997">
        <f t="shared" si="136"/>
        <v>8720</v>
      </c>
      <c r="B8721" s="1129" t="s">
        <v>2722</v>
      </c>
      <c r="C8721" s="1138"/>
      <c r="D8721" s="1129"/>
      <c r="E8721" s="1129"/>
      <c r="F8721" s="1129"/>
      <c r="G8721" s="1129"/>
      <c r="H8721" s="1129" t="s">
        <v>2737</v>
      </c>
      <c r="I8721" s="1129"/>
      <c r="J8721" s="1127"/>
    </row>
    <row r="8722" spans="1:10" x14ac:dyDescent="0.2">
      <c r="A8722" s="997">
        <f t="shared" si="136"/>
        <v>8721</v>
      </c>
      <c r="B8722" s="1129" t="s">
        <v>2722</v>
      </c>
      <c r="C8722" s="1139"/>
      <c r="D8722" s="1129"/>
      <c r="E8722" s="1129"/>
      <c r="F8722" s="1129"/>
      <c r="G8722" s="1129" t="s">
        <v>1109</v>
      </c>
      <c r="H8722" s="1129"/>
      <c r="I8722" s="1129"/>
      <c r="J8722" s="1127"/>
    </row>
    <row r="8723" spans="1:10" x14ac:dyDescent="0.2">
      <c r="A8723" s="997">
        <f t="shared" si="136"/>
        <v>8722</v>
      </c>
      <c r="B8723" s="1129" t="s">
        <v>2722</v>
      </c>
      <c r="C8723" s="1140"/>
      <c r="D8723" s="1129"/>
      <c r="E8723" s="1129"/>
      <c r="F8723" s="1129"/>
      <c r="G8723" s="1129" t="s">
        <v>1106</v>
      </c>
      <c r="H8723" s="1129"/>
      <c r="I8723" s="1129"/>
      <c r="J8723" s="1127"/>
    </row>
    <row r="8724" spans="1:10" x14ac:dyDescent="0.2">
      <c r="A8724" s="997">
        <f t="shared" si="136"/>
        <v>8723</v>
      </c>
      <c r="B8724" s="1129" t="s">
        <v>2722</v>
      </c>
      <c r="C8724" s="1139"/>
      <c r="D8724" s="1129"/>
      <c r="E8724" s="1129"/>
      <c r="F8724" s="1129"/>
      <c r="G8724" s="1129"/>
      <c r="H8724" s="1129" t="s">
        <v>2338</v>
      </c>
      <c r="I8724" s="1129"/>
      <c r="J8724" s="1127"/>
    </row>
    <row r="8725" spans="1:10" x14ac:dyDescent="0.2">
      <c r="A8725" s="997">
        <f t="shared" si="136"/>
        <v>8724</v>
      </c>
      <c r="B8725" s="1129" t="s">
        <v>2722</v>
      </c>
      <c r="C8725" s="1139"/>
      <c r="D8725" s="1129"/>
      <c r="E8725" s="1129"/>
      <c r="F8725" s="1129"/>
      <c r="G8725" s="1129"/>
      <c r="H8725" s="1129" t="str">
        <f>CONCATENATE("&lt;valeur&gt;",Cellule_1084_4,"&lt;/valeur&gt;")</f>
        <v>&lt;valeur&gt;19432,8&lt;/valeur&gt;</v>
      </c>
      <c r="I8725" s="1129"/>
      <c r="J8725" s="1127"/>
    </row>
    <row r="8726" spans="1:10" x14ac:dyDescent="0.2">
      <c r="A8726" s="997">
        <f t="shared" si="136"/>
        <v>8725</v>
      </c>
      <c r="B8726" s="1129" t="s">
        <v>2722</v>
      </c>
      <c r="C8726" s="1138"/>
      <c r="D8726" s="1129"/>
      <c r="E8726" s="1129"/>
      <c r="F8726" s="1129"/>
      <c r="G8726" s="1129"/>
      <c r="H8726" s="1129" t="s">
        <v>2737</v>
      </c>
      <c r="I8726" s="1129"/>
      <c r="J8726" s="1127"/>
    </row>
    <row r="8727" spans="1:10" x14ac:dyDescent="0.2">
      <c r="A8727" s="997">
        <f t="shared" si="136"/>
        <v>8726</v>
      </c>
      <c r="B8727" s="1129" t="s">
        <v>2722</v>
      </c>
      <c r="C8727" s="1138"/>
      <c r="D8727" s="1129"/>
      <c r="E8727" s="1129"/>
      <c r="F8727" s="1129"/>
      <c r="G8727" s="1129" t="s">
        <v>1109</v>
      </c>
      <c r="H8727" s="1129"/>
      <c r="I8727" s="1129"/>
      <c r="J8727" s="1127"/>
    </row>
    <row r="8728" spans="1:10" x14ac:dyDescent="0.2">
      <c r="A8728" s="997">
        <f t="shared" si="136"/>
        <v>8727</v>
      </c>
      <c r="B8728" s="1129" t="s">
        <v>2722</v>
      </c>
      <c r="C8728" s="1139"/>
      <c r="D8728" s="1129"/>
      <c r="E8728" s="1129"/>
      <c r="F8728" s="1129"/>
      <c r="G8728" s="1129" t="s">
        <v>1106</v>
      </c>
      <c r="H8728" s="1129"/>
      <c r="I8728" s="1129"/>
      <c r="J8728" s="1127"/>
    </row>
    <row r="8729" spans="1:10" x14ac:dyDescent="0.2">
      <c r="A8729" s="997">
        <f t="shared" si="136"/>
        <v>8728</v>
      </c>
      <c r="B8729" s="1129" t="s">
        <v>2722</v>
      </c>
      <c r="C8729" s="1140"/>
      <c r="D8729" s="1129"/>
      <c r="E8729" s="1129"/>
      <c r="F8729" s="1129"/>
      <c r="G8729" s="1129"/>
      <c r="H8729" s="1129" t="s">
        <v>2339</v>
      </c>
      <c r="I8729" s="1129"/>
      <c r="J8729" s="1127"/>
    </row>
    <row r="8730" spans="1:10" x14ac:dyDescent="0.2">
      <c r="A8730" s="997">
        <f t="shared" si="136"/>
        <v>8729</v>
      </c>
      <c r="B8730" s="1129" t="s">
        <v>2722</v>
      </c>
      <c r="C8730" s="1139"/>
      <c r="D8730" s="1129"/>
      <c r="E8730" s="1129"/>
      <c r="F8730" s="1129"/>
      <c r="G8730" s="1129"/>
      <c r="H8730" s="1129" t="str">
        <f>CONCATENATE("&lt;valeur&gt;",Cellule_1085_4,"&lt;/valeur&gt;")</f>
        <v>&lt;valeur&gt;19432,8&lt;/valeur&gt;</v>
      </c>
      <c r="I8730" s="1129"/>
      <c r="J8730" s="1127"/>
    </row>
    <row r="8731" spans="1:10" x14ac:dyDescent="0.2">
      <c r="A8731" s="997">
        <f t="shared" si="136"/>
        <v>8730</v>
      </c>
      <c r="B8731" s="1129" t="s">
        <v>2722</v>
      </c>
      <c r="C8731" s="1139"/>
      <c r="D8731" s="1129"/>
      <c r="E8731" s="1129"/>
      <c r="F8731" s="1129"/>
      <c r="G8731" s="1129"/>
      <c r="H8731" s="1129" t="s">
        <v>2737</v>
      </c>
      <c r="I8731" s="1129"/>
      <c r="J8731" s="1127"/>
    </row>
    <row r="8732" spans="1:10" x14ac:dyDescent="0.2">
      <c r="A8732" s="997">
        <f t="shared" si="136"/>
        <v>8731</v>
      </c>
      <c r="B8732" s="1129" t="s">
        <v>2722</v>
      </c>
      <c r="C8732" s="1138"/>
      <c r="D8732" s="1129"/>
      <c r="E8732" s="1129"/>
      <c r="F8732" s="1129"/>
      <c r="G8732" s="1129" t="s">
        <v>1109</v>
      </c>
      <c r="H8732" s="1129"/>
      <c r="I8732" s="1129"/>
      <c r="J8732" s="1127"/>
    </row>
    <row r="8733" spans="1:10" x14ac:dyDescent="0.2">
      <c r="A8733" s="997">
        <f t="shared" si="136"/>
        <v>8732</v>
      </c>
      <c r="B8733" s="1129" t="s">
        <v>2722</v>
      </c>
      <c r="C8733" s="1138"/>
      <c r="D8733" s="1129"/>
      <c r="E8733" s="1129"/>
      <c r="F8733" s="1129"/>
      <c r="G8733" s="1129" t="s">
        <v>1106</v>
      </c>
      <c r="H8733" s="1129"/>
      <c r="I8733" s="1129"/>
      <c r="J8733" s="1127"/>
    </row>
    <row r="8734" spans="1:10" x14ac:dyDescent="0.2">
      <c r="A8734" s="997">
        <f t="shared" si="136"/>
        <v>8733</v>
      </c>
      <c r="B8734" s="1129" t="s">
        <v>2722</v>
      </c>
      <c r="C8734" s="1139"/>
      <c r="D8734" s="1129"/>
      <c r="E8734" s="1129"/>
      <c r="F8734" s="1129"/>
      <c r="G8734" s="1129"/>
      <c r="H8734" s="1129" t="s">
        <v>2340</v>
      </c>
      <c r="I8734" s="1129"/>
      <c r="J8734" s="1127"/>
    </row>
    <row r="8735" spans="1:10" x14ac:dyDescent="0.2">
      <c r="A8735" s="997">
        <f t="shared" si="136"/>
        <v>8734</v>
      </c>
      <c r="B8735" s="1129" t="s">
        <v>2722</v>
      </c>
      <c r="C8735" s="1140"/>
      <c r="D8735" s="1129"/>
      <c r="E8735" s="1129"/>
      <c r="F8735" s="1129"/>
      <c r="G8735" s="1129"/>
      <c r="H8735" s="1129" t="str">
        <f>CONCATENATE("&lt;valeur&gt;",Cellule_1086_4,"&lt;/valeur&gt;")</f>
        <v>&lt;valeur&gt;&lt;/valeur&gt;</v>
      </c>
      <c r="I8735" s="1129"/>
      <c r="J8735" s="1127"/>
    </row>
    <row r="8736" spans="1:10" x14ac:dyDescent="0.2">
      <c r="A8736" s="997">
        <f t="shared" si="136"/>
        <v>8735</v>
      </c>
      <c r="B8736" s="1129" t="s">
        <v>2722</v>
      </c>
      <c r="C8736" s="1139"/>
      <c r="D8736" s="1129"/>
      <c r="E8736" s="1129"/>
      <c r="F8736" s="1129"/>
      <c r="G8736" s="1129"/>
      <c r="H8736" s="1129" t="s">
        <v>2737</v>
      </c>
      <c r="I8736" s="1129"/>
      <c r="J8736" s="1127"/>
    </row>
    <row r="8737" spans="1:10" x14ac:dyDescent="0.2">
      <c r="A8737" s="997">
        <f t="shared" si="136"/>
        <v>8736</v>
      </c>
      <c r="B8737" s="1130" t="s">
        <v>2722</v>
      </c>
      <c r="C8737" s="1144"/>
      <c r="D8737" s="1130"/>
      <c r="E8737" s="1130"/>
      <c r="F8737" s="1130"/>
      <c r="G8737" s="1130" t="s">
        <v>1109</v>
      </c>
      <c r="H8737" s="1130"/>
      <c r="I8737" s="1130"/>
      <c r="J8737" s="1142"/>
    </row>
    <row r="8738" spans="1:10" x14ac:dyDescent="0.2">
      <c r="A8738" s="997">
        <f t="shared" si="136"/>
        <v>8737</v>
      </c>
      <c r="B8738" s="1128" t="s">
        <v>2722</v>
      </c>
      <c r="C8738" s="1143"/>
      <c r="D8738" s="1128"/>
      <c r="E8738" s="1128"/>
      <c r="F8738" s="1128"/>
      <c r="G8738" s="1128" t="s">
        <v>1106</v>
      </c>
      <c r="H8738" s="1128"/>
      <c r="I8738" s="1128"/>
      <c r="J8738" s="1124"/>
    </row>
    <row r="8739" spans="1:10" x14ac:dyDescent="0.2">
      <c r="A8739" s="997">
        <f t="shared" si="136"/>
        <v>8738</v>
      </c>
      <c r="B8739" s="1129" t="s">
        <v>2722</v>
      </c>
      <c r="C8739" s="1139"/>
      <c r="D8739" s="1129"/>
      <c r="E8739" s="1129"/>
      <c r="F8739" s="1129"/>
      <c r="G8739" s="1129"/>
      <c r="H8739" s="1129" t="s">
        <v>2331</v>
      </c>
      <c r="I8739" s="1129"/>
      <c r="J8739" s="1127"/>
    </row>
    <row r="8740" spans="1:10" x14ac:dyDescent="0.2">
      <c r="A8740" s="997">
        <f t="shared" si="136"/>
        <v>8739</v>
      </c>
      <c r="B8740" s="1129" t="s">
        <v>2722</v>
      </c>
      <c r="C8740" s="1138"/>
      <c r="D8740" s="1129"/>
      <c r="E8740" s="1129"/>
      <c r="F8740" s="1129"/>
      <c r="G8740" s="1129"/>
      <c r="H8740" s="1129" t="str">
        <f>CONCATENATE("&lt;valeur&gt;",Cellule_10061_5,"&lt;/valeur&gt;")</f>
        <v>&lt;valeur&gt;MAT DE TRANSPORST&lt;/valeur&gt;</v>
      </c>
      <c r="I8740" s="1129"/>
      <c r="J8740" s="1127"/>
    </row>
    <row r="8741" spans="1:10" x14ac:dyDescent="0.2">
      <c r="A8741" s="997">
        <f t="shared" si="136"/>
        <v>8740</v>
      </c>
      <c r="B8741" s="1129" t="s">
        <v>2722</v>
      </c>
      <c r="C8741" s="1138"/>
      <c r="D8741" s="1129"/>
      <c r="E8741" s="1129"/>
      <c r="F8741" s="1129"/>
      <c r="G8741" s="1129"/>
      <c r="H8741" s="1129" t="s">
        <v>2738</v>
      </c>
      <c r="I8741" s="1129"/>
      <c r="J8741" s="1127"/>
    </row>
    <row r="8742" spans="1:10" x14ac:dyDescent="0.2">
      <c r="A8742" s="997">
        <f t="shared" si="136"/>
        <v>8741</v>
      </c>
      <c r="B8742" s="1129" t="s">
        <v>2722</v>
      </c>
      <c r="C8742" s="1139"/>
      <c r="D8742" s="1129"/>
      <c r="E8742" s="1129"/>
      <c r="F8742" s="1129"/>
      <c r="G8742" s="1129" t="s">
        <v>1109</v>
      </c>
      <c r="H8742" s="1129"/>
      <c r="I8742" s="1129"/>
      <c r="J8742" s="1127"/>
    </row>
    <row r="8743" spans="1:10" x14ac:dyDescent="0.2">
      <c r="A8743" s="997">
        <f t="shared" si="136"/>
        <v>8742</v>
      </c>
      <c r="B8743" s="1129" t="s">
        <v>2722</v>
      </c>
      <c r="C8743" s="1140"/>
      <c r="D8743" s="1129"/>
      <c r="E8743" s="1129"/>
      <c r="F8743" s="1129"/>
      <c r="G8743" s="1129" t="s">
        <v>1106</v>
      </c>
      <c r="H8743" s="1129"/>
      <c r="I8743" s="1129"/>
      <c r="J8743" s="1127"/>
    </row>
    <row r="8744" spans="1:10" x14ac:dyDescent="0.2">
      <c r="A8744" s="997">
        <f t="shared" si="136"/>
        <v>8743</v>
      </c>
      <c r="B8744" s="1129" t="s">
        <v>2722</v>
      </c>
      <c r="C8744" s="1139"/>
      <c r="D8744" s="1129"/>
      <c r="E8744" s="1129"/>
      <c r="F8744" s="1129"/>
      <c r="G8744" s="1129"/>
      <c r="H8744" s="1129" t="s">
        <v>2332</v>
      </c>
      <c r="I8744" s="1129"/>
      <c r="J8744" s="1127"/>
    </row>
    <row r="8745" spans="1:10" x14ac:dyDescent="0.2">
      <c r="A8745" s="997">
        <f t="shared" si="136"/>
        <v>8744</v>
      </c>
      <c r="B8745" s="1129" t="s">
        <v>2722</v>
      </c>
      <c r="C8745" s="1139"/>
      <c r="D8745" s="1129"/>
      <c r="E8745" s="1129"/>
      <c r="F8745" s="1129"/>
      <c r="G8745" s="1129"/>
      <c r="H8745" s="1129" t="str">
        <f>CONCATENATE("&lt;valeur&gt;",Cellule_1078_5,"&lt;/valeur&gt;")</f>
        <v>&lt;valeur&gt;43039&lt;/valeur&gt;</v>
      </c>
      <c r="I8745" s="1129"/>
      <c r="J8745" s="1127"/>
    </row>
    <row r="8746" spans="1:10" x14ac:dyDescent="0.2">
      <c r="A8746" s="997">
        <f t="shared" si="136"/>
        <v>8745</v>
      </c>
      <c r="B8746" s="1129" t="s">
        <v>2722</v>
      </c>
      <c r="C8746" s="1138"/>
      <c r="D8746" s="1129"/>
      <c r="E8746" s="1129"/>
      <c r="F8746" s="1129"/>
      <c r="G8746" s="1129"/>
      <c r="H8746" s="1129" t="s">
        <v>2738</v>
      </c>
      <c r="I8746" s="1129"/>
      <c r="J8746" s="1127"/>
    </row>
    <row r="8747" spans="1:10" x14ac:dyDescent="0.2">
      <c r="A8747" s="997">
        <f t="shared" si="136"/>
        <v>8746</v>
      </c>
      <c r="B8747" s="1129" t="s">
        <v>2722</v>
      </c>
      <c r="C8747" s="1138"/>
      <c r="D8747" s="1129"/>
      <c r="E8747" s="1129"/>
      <c r="F8747" s="1129"/>
      <c r="G8747" s="1129" t="s">
        <v>1109</v>
      </c>
      <c r="H8747" s="1129"/>
      <c r="I8747" s="1129"/>
      <c r="J8747" s="1127"/>
    </row>
    <row r="8748" spans="1:10" x14ac:dyDescent="0.2">
      <c r="A8748" s="997">
        <f t="shared" si="136"/>
        <v>8747</v>
      </c>
      <c r="B8748" s="1129" t="s">
        <v>2722</v>
      </c>
      <c r="C8748" s="1139"/>
      <c r="D8748" s="1129"/>
      <c r="E8748" s="1129"/>
      <c r="F8748" s="1129"/>
      <c r="G8748" s="1129" t="s">
        <v>1106</v>
      </c>
      <c r="H8748" s="1129"/>
      <c r="I8748" s="1129"/>
      <c r="J8748" s="1127"/>
    </row>
    <row r="8749" spans="1:10" x14ac:dyDescent="0.2">
      <c r="A8749" s="997">
        <f t="shared" si="136"/>
        <v>8748</v>
      </c>
      <c r="B8749" s="1129" t="s">
        <v>2722</v>
      </c>
      <c r="C8749" s="1140"/>
      <c r="D8749" s="1129"/>
      <c r="E8749" s="1129"/>
      <c r="F8749" s="1129"/>
      <c r="G8749" s="1129"/>
      <c r="H8749" s="1129" t="s">
        <v>2333</v>
      </c>
      <c r="I8749" s="1129"/>
      <c r="J8749" s="1127"/>
    </row>
    <row r="8750" spans="1:10" x14ac:dyDescent="0.2">
      <c r="A8750" s="997">
        <f t="shared" si="136"/>
        <v>8749</v>
      </c>
      <c r="B8750" s="1129" t="s">
        <v>2722</v>
      </c>
      <c r="C8750" s="1139"/>
      <c r="D8750" s="1129"/>
      <c r="E8750" s="1129"/>
      <c r="F8750" s="1129"/>
      <c r="G8750" s="1129"/>
      <c r="H8750" s="1129" t="str">
        <f>CONCATENATE("&lt;valeur&gt;",Cellule_1079_5,"&lt;/valeur&gt;")</f>
        <v>&lt;valeur&gt;97104&lt;/valeur&gt;</v>
      </c>
      <c r="I8750" s="1129"/>
      <c r="J8750" s="1127"/>
    </row>
    <row r="8751" spans="1:10" x14ac:dyDescent="0.2">
      <c r="A8751" s="997">
        <f t="shared" si="136"/>
        <v>8750</v>
      </c>
      <c r="B8751" s="1129" t="s">
        <v>2722</v>
      </c>
      <c r="C8751" s="1139"/>
      <c r="D8751" s="1129"/>
      <c r="E8751" s="1129"/>
      <c r="F8751" s="1129"/>
      <c r="G8751" s="1129"/>
      <c r="H8751" s="1129" t="s">
        <v>2738</v>
      </c>
      <c r="I8751" s="1129"/>
      <c r="J8751" s="1127"/>
    </row>
    <row r="8752" spans="1:10" x14ac:dyDescent="0.2">
      <c r="A8752" s="997">
        <f t="shared" si="136"/>
        <v>8751</v>
      </c>
      <c r="B8752" s="1129" t="s">
        <v>2722</v>
      </c>
      <c r="C8752" s="1138"/>
      <c r="D8752" s="1129"/>
      <c r="E8752" s="1129"/>
      <c r="F8752" s="1129"/>
      <c r="G8752" s="1129" t="s">
        <v>1109</v>
      </c>
      <c r="H8752" s="1129"/>
      <c r="I8752" s="1129"/>
      <c r="J8752" s="1127"/>
    </row>
    <row r="8753" spans="1:10" x14ac:dyDescent="0.2">
      <c r="A8753" s="997">
        <f t="shared" si="136"/>
        <v>8752</v>
      </c>
      <c r="B8753" s="1129" t="s">
        <v>2722</v>
      </c>
      <c r="C8753" s="1138"/>
      <c r="D8753" s="1129"/>
      <c r="E8753" s="1129"/>
      <c r="F8753" s="1129"/>
      <c r="G8753" s="1129" t="s">
        <v>1106</v>
      </c>
      <c r="H8753" s="1129"/>
      <c r="I8753" s="1129"/>
      <c r="J8753" s="1127"/>
    </row>
    <row r="8754" spans="1:10" x14ac:dyDescent="0.2">
      <c r="A8754" s="997">
        <f t="shared" si="136"/>
        <v>8753</v>
      </c>
      <c r="B8754" s="1129" t="s">
        <v>2722</v>
      </c>
      <c r="C8754" s="1139"/>
      <c r="D8754" s="1129"/>
      <c r="E8754" s="1129"/>
      <c r="F8754" s="1129"/>
      <c r="G8754" s="1129"/>
      <c r="H8754" s="1129" t="s">
        <v>2334</v>
      </c>
      <c r="I8754" s="1129"/>
      <c r="J8754" s="1127"/>
    </row>
    <row r="8755" spans="1:10" x14ac:dyDescent="0.2">
      <c r="A8755" s="997">
        <f t="shared" si="136"/>
        <v>8754</v>
      </c>
      <c r="B8755" s="1129" t="s">
        <v>2722</v>
      </c>
      <c r="C8755" s="1140"/>
      <c r="D8755" s="1129"/>
      <c r="E8755" s="1129"/>
      <c r="F8755" s="1129"/>
      <c r="G8755" s="1129"/>
      <c r="H8755" s="1129" t="str">
        <f>CONCATENATE("&lt;valeur&gt;",Cellule_1080_5,"&lt;/valeur&gt;")</f>
        <v>&lt;valeur&gt;&lt;/valeur&gt;</v>
      </c>
      <c r="I8755" s="1129"/>
      <c r="J8755" s="1127"/>
    </row>
    <row r="8756" spans="1:10" x14ac:dyDescent="0.2">
      <c r="A8756" s="997">
        <f t="shared" si="136"/>
        <v>8755</v>
      </c>
      <c r="B8756" s="1129" t="s">
        <v>2722</v>
      </c>
      <c r="C8756" s="1139"/>
      <c r="D8756" s="1129"/>
      <c r="E8756" s="1129"/>
      <c r="F8756" s="1129"/>
      <c r="G8756" s="1129"/>
      <c r="H8756" s="1129" t="s">
        <v>2738</v>
      </c>
      <c r="I8756" s="1129"/>
      <c r="J8756" s="1127"/>
    </row>
    <row r="8757" spans="1:10" x14ac:dyDescent="0.2">
      <c r="A8757" s="997">
        <f t="shared" si="136"/>
        <v>8756</v>
      </c>
      <c r="B8757" s="1129" t="s">
        <v>2722</v>
      </c>
      <c r="C8757" s="1139"/>
      <c r="D8757" s="1129"/>
      <c r="E8757" s="1129"/>
      <c r="F8757" s="1129"/>
      <c r="G8757" s="1129" t="s">
        <v>1109</v>
      </c>
      <c r="H8757" s="1129"/>
      <c r="I8757" s="1129"/>
      <c r="J8757" s="1127"/>
    </row>
    <row r="8758" spans="1:10" x14ac:dyDescent="0.2">
      <c r="A8758" s="997">
        <f t="shared" si="136"/>
        <v>8757</v>
      </c>
      <c r="B8758" s="1129" t="s">
        <v>2722</v>
      </c>
      <c r="C8758" s="1138"/>
      <c r="D8758" s="1129"/>
      <c r="E8758" s="1129"/>
      <c r="F8758" s="1129"/>
      <c r="G8758" s="1129" t="s">
        <v>1106</v>
      </c>
      <c r="H8758" s="1129"/>
      <c r="I8758" s="1129"/>
      <c r="J8758" s="1127"/>
    </row>
    <row r="8759" spans="1:10" x14ac:dyDescent="0.2">
      <c r="A8759" s="997">
        <f t="shared" si="136"/>
        <v>8758</v>
      </c>
      <c r="B8759" s="1129" t="s">
        <v>2722</v>
      </c>
      <c r="C8759" s="1138"/>
      <c r="D8759" s="1129"/>
      <c r="E8759" s="1129"/>
      <c r="F8759" s="1129"/>
      <c r="G8759" s="1129"/>
      <c r="H8759" s="1129" t="s">
        <v>2335</v>
      </c>
      <c r="I8759" s="1129"/>
      <c r="J8759" s="1127"/>
    </row>
    <row r="8760" spans="1:10" x14ac:dyDescent="0.2">
      <c r="A8760" s="997">
        <f t="shared" si="136"/>
        <v>8759</v>
      </c>
      <c r="B8760" s="1129" t="s">
        <v>2722</v>
      </c>
      <c r="C8760" s="1139"/>
      <c r="D8760" s="1129"/>
      <c r="E8760" s="1129"/>
      <c r="F8760" s="1129"/>
      <c r="G8760" s="1129"/>
      <c r="H8760" s="1129" t="str">
        <f>CONCATENATE("&lt;valeur&gt;",Cellule_1081_5,"&lt;/valeur&gt;")</f>
        <v>&lt;valeur&gt;3236,8&lt;/valeur&gt;</v>
      </c>
      <c r="I8760" s="1129"/>
      <c r="J8760" s="1127"/>
    </row>
    <row r="8761" spans="1:10" x14ac:dyDescent="0.2">
      <c r="A8761" s="997">
        <f t="shared" si="136"/>
        <v>8760</v>
      </c>
      <c r="B8761" s="1129" t="s">
        <v>2722</v>
      </c>
      <c r="C8761" s="1140"/>
      <c r="D8761" s="1129"/>
      <c r="E8761" s="1129"/>
      <c r="F8761" s="1129"/>
      <c r="G8761" s="1129"/>
      <c r="H8761" s="1129" t="s">
        <v>2738</v>
      </c>
      <c r="I8761" s="1129"/>
      <c r="J8761" s="1127"/>
    </row>
    <row r="8762" spans="1:10" x14ac:dyDescent="0.2">
      <c r="A8762" s="997">
        <f t="shared" si="136"/>
        <v>8761</v>
      </c>
      <c r="B8762" s="1129" t="s">
        <v>2722</v>
      </c>
      <c r="C8762" s="1139"/>
      <c r="D8762" s="1129"/>
      <c r="E8762" s="1129"/>
      <c r="F8762" s="1129"/>
      <c r="G8762" s="1129" t="s">
        <v>1109</v>
      </c>
      <c r="H8762" s="1129"/>
      <c r="I8762" s="1129"/>
      <c r="J8762" s="1127"/>
    </row>
    <row r="8763" spans="1:10" x14ac:dyDescent="0.2">
      <c r="A8763" s="997">
        <f t="shared" si="136"/>
        <v>8762</v>
      </c>
      <c r="B8763" s="1129" t="s">
        <v>2722</v>
      </c>
      <c r="C8763" s="1139"/>
      <c r="D8763" s="1129"/>
      <c r="E8763" s="1129"/>
      <c r="F8763" s="1129"/>
      <c r="G8763" s="1129" t="s">
        <v>1106</v>
      </c>
      <c r="H8763" s="1129"/>
      <c r="I8763" s="1129"/>
      <c r="J8763" s="1127"/>
    </row>
    <row r="8764" spans="1:10" x14ac:dyDescent="0.2">
      <c r="A8764" s="997">
        <f t="shared" si="136"/>
        <v>8763</v>
      </c>
      <c r="B8764" s="1129" t="s">
        <v>2722</v>
      </c>
      <c r="C8764" s="1138"/>
      <c r="D8764" s="1129"/>
      <c r="E8764" s="1129"/>
      <c r="F8764" s="1129"/>
      <c r="G8764" s="1129"/>
      <c r="H8764" s="1129" t="s">
        <v>2336</v>
      </c>
      <c r="I8764" s="1129"/>
      <c r="J8764" s="1127"/>
    </row>
    <row r="8765" spans="1:10" x14ac:dyDescent="0.2">
      <c r="A8765" s="997">
        <f t="shared" si="136"/>
        <v>8764</v>
      </c>
      <c r="B8765" s="1129" t="s">
        <v>2722</v>
      </c>
      <c r="C8765" s="1138"/>
      <c r="D8765" s="1129"/>
      <c r="E8765" s="1129"/>
      <c r="F8765" s="1129"/>
      <c r="G8765" s="1129"/>
      <c r="H8765" s="1129" t="str">
        <f>CONCATENATE("&lt;valeur&gt;",Cellule_1082_5,"&lt;/valeur&gt;")</f>
        <v>&lt;valeur&gt;0,2&lt;/valeur&gt;</v>
      </c>
      <c r="I8765" s="1129"/>
      <c r="J8765" s="1127"/>
    </row>
    <row r="8766" spans="1:10" x14ac:dyDescent="0.2">
      <c r="A8766" s="997">
        <f t="shared" si="136"/>
        <v>8765</v>
      </c>
      <c r="B8766" s="1129" t="s">
        <v>2722</v>
      </c>
      <c r="C8766" s="1139"/>
      <c r="D8766" s="1129"/>
      <c r="E8766" s="1129"/>
      <c r="F8766" s="1129"/>
      <c r="G8766" s="1129"/>
      <c r="H8766" s="1129" t="s">
        <v>2738</v>
      </c>
      <c r="I8766" s="1129"/>
      <c r="J8766" s="1127"/>
    </row>
    <row r="8767" spans="1:10" x14ac:dyDescent="0.2">
      <c r="A8767" s="997">
        <f t="shared" si="136"/>
        <v>8766</v>
      </c>
      <c r="B8767" s="1129" t="s">
        <v>2722</v>
      </c>
      <c r="C8767" s="1140"/>
      <c r="D8767" s="1129"/>
      <c r="E8767" s="1129"/>
      <c r="F8767" s="1129"/>
      <c r="G8767" s="1129" t="s">
        <v>1109</v>
      </c>
      <c r="H8767" s="1129"/>
      <c r="I8767" s="1129"/>
      <c r="J8767" s="1127"/>
    </row>
    <row r="8768" spans="1:10" x14ac:dyDescent="0.2">
      <c r="A8768" s="997">
        <f t="shared" si="136"/>
        <v>8767</v>
      </c>
      <c r="B8768" s="1129" t="s">
        <v>2722</v>
      </c>
      <c r="C8768" s="1139"/>
      <c r="D8768" s="1129"/>
      <c r="E8768" s="1129"/>
      <c r="F8768" s="1129"/>
      <c r="G8768" s="1129" t="s">
        <v>1106</v>
      </c>
      <c r="H8768" s="1129"/>
      <c r="I8768" s="1129"/>
      <c r="J8768" s="1127"/>
    </row>
    <row r="8769" spans="1:10" x14ac:dyDescent="0.2">
      <c r="A8769" s="997">
        <f t="shared" si="136"/>
        <v>8768</v>
      </c>
      <c r="B8769" s="1129" t="s">
        <v>2722</v>
      </c>
      <c r="C8769" s="1139"/>
      <c r="D8769" s="1129"/>
      <c r="E8769" s="1129"/>
      <c r="F8769" s="1129"/>
      <c r="G8769" s="1129"/>
      <c r="H8769" s="1129" t="s">
        <v>2337</v>
      </c>
      <c r="I8769" s="1129"/>
      <c r="J8769" s="1127"/>
    </row>
    <row r="8770" spans="1:10" x14ac:dyDescent="0.2">
      <c r="A8770" s="997">
        <f t="shared" si="136"/>
        <v>8769</v>
      </c>
      <c r="B8770" s="1129" t="s">
        <v>2722</v>
      </c>
      <c r="C8770" s="1138"/>
      <c r="D8770" s="1129"/>
      <c r="E8770" s="1129"/>
      <c r="F8770" s="1129"/>
      <c r="G8770" s="1129"/>
      <c r="H8770" s="1129" t="str">
        <f>CONCATENATE("&lt;valeur&gt;",Cellule_1083_5,"&lt;/valeur&gt;")</f>
        <v>&lt;valeur&gt;5&lt;/valeur&gt;</v>
      </c>
      <c r="I8770" s="1129"/>
      <c r="J8770" s="1127"/>
    </row>
    <row r="8771" spans="1:10" x14ac:dyDescent="0.2">
      <c r="A8771" s="997">
        <f t="shared" si="136"/>
        <v>8770</v>
      </c>
      <c r="B8771" s="1129" t="s">
        <v>2722</v>
      </c>
      <c r="C8771" s="1138"/>
      <c r="D8771" s="1129"/>
      <c r="E8771" s="1129"/>
      <c r="F8771" s="1129"/>
      <c r="G8771" s="1129"/>
      <c r="H8771" s="1129" t="s">
        <v>2738</v>
      </c>
      <c r="I8771" s="1129"/>
      <c r="J8771" s="1127"/>
    </row>
    <row r="8772" spans="1:10" x14ac:dyDescent="0.2">
      <c r="A8772" s="997">
        <f t="shared" ref="A8772:A8835" si="137">+A8771+1</f>
        <v>8771</v>
      </c>
      <c r="B8772" s="1129" t="s">
        <v>2722</v>
      </c>
      <c r="C8772" s="1139"/>
      <c r="D8772" s="1129"/>
      <c r="E8772" s="1129"/>
      <c r="F8772" s="1129"/>
      <c r="G8772" s="1129" t="s">
        <v>1109</v>
      </c>
      <c r="H8772" s="1129"/>
      <c r="I8772" s="1129"/>
      <c r="J8772" s="1127"/>
    </row>
    <row r="8773" spans="1:10" x14ac:dyDescent="0.2">
      <c r="A8773" s="997">
        <f t="shared" si="137"/>
        <v>8772</v>
      </c>
      <c r="B8773" s="1129" t="s">
        <v>2722</v>
      </c>
      <c r="C8773" s="1140"/>
      <c r="D8773" s="1129"/>
      <c r="E8773" s="1129"/>
      <c r="F8773" s="1129"/>
      <c r="G8773" s="1129" t="s">
        <v>1106</v>
      </c>
      <c r="H8773" s="1129"/>
      <c r="I8773" s="1129"/>
      <c r="J8773" s="1127"/>
    </row>
    <row r="8774" spans="1:10" x14ac:dyDescent="0.2">
      <c r="A8774" s="997">
        <f t="shared" si="137"/>
        <v>8773</v>
      </c>
      <c r="B8774" s="1129" t="s">
        <v>2722</v>
      </c>
      <c r="C8774" s="1139"/>
      <c r="D8774" s="1129"/>
      <c r="E8774" s="1129"/>
      <c r="F8774" s="1129"/>
      <c r="G8774" s="1129"/>
      <c r="H8774" s="1129" t="s">
        <v>2338</v>
      </c>
      <c r="I8774" s="1129"/>
      <c r="J8774" s="1127"/>
    </row>
    <row r="8775" spans="1:10" x14ac:dyDescent="0.2">
      <c r="A8775" s="997">
        <f t="shared" si="137"/>
        <v>8774</v>
      </c>
      <c r="B8775" s="1129" t="s">
        <v>2722</v>
      </c>
      <c r="C8775" s="1139"/>
      <c r="D8775" s="1129"/>
      <c r="E8775" s="1129"/>
      <c r="F8775" s="1129"/>
      <c r="G8775" s="1129"/>
      <c r="H8775" s="1129" t="str">
        <f>CONCATENATE("&lt;valeur&gt;",Cellule_1084_5,"&lt;/valeur&gt;")</f>
        <v>&lt;valeur&gt;19420,8&lt;/valeur&gt;</v>
      </c>
      <c r="I8775" s="1129"/>
      <c r="J8775" s="1127"/>
    </row>
    <row r="8776" spans="1:10" x14ac:dyDescent="0.2">
      <c r="A8776" s="997">
        <f t="shared" si="137"/>
        <v>8775</v>
      </c>
      <c r="B8776" s="1129" t="s">
        <v>2722</v>
      </c>
      <c r="C8776" s="1138"/>
      <c r="D8776" s="1129"/>
      <c r="E8776" s="1129"/>
      <c r="F8776" s="1129"/>
      <c r="G8776" s="1129"/>
      <c r="H8776" s="1129" t="s">
        <v>2738</v>
      </c>
      <c r="I8776" s="1129"/>
      <c r="J8776" s="1127"/>
    </row>
    <row r="8777" spans="1:10" x14ac:dyDescent="0.2">
      <c r="A8777" s="997">
        <f t="shared" si="137"/>
        <v>8776</v>
      </c>
      <c r="B8777" s="1129" t="s">
        <v>2722</v>
      </c>
      <c r="C8777" s="1138"/>
      <c r="D8777" s="1129"/>
      <c r="E8777" s="1129"/>
      <c r="F8777" s="1129"/>
      <c r="G8777" s="1129" t="s">
        <v>1109</v>
      </c>
      <c r="H8777" s="1129"/>
      <c r="I8777" s="1129"/>
      <c r="J8777" s="1127"/>
    </row>
    <row r="8778" spans="1:10" x14ac:dyDescent="0.2">
      <c r="A8778" s="997">
        <f t="shared" si="137"/>
        <v>8777</v>
      </c>
      <c r="B8778" s="1129" t="s">
        <v>2722</v>
      </c>
      <c r="C8778" s="1139"/>
      <c r="D8778" s="1129"/>
      <c r="E8778" s="1129"/>
      <c r="F8778" s="1129"/>
      <c r="G8778" s="1129" t="s">
        <v>1106</v>
      </c>
      <c r="H8778" s="1129"/>
      <c r="I8778" s="1129"/>
      <c r="J8778" s="1127"/>
    </row>
    <row r="8779" spans="1:10" x14ac:dyDescent="0.2">
      <c r="A8779" s="997">
        <f t="shared" si="137"/>
        <v>8778</v>
      </c>
      <c r="B8779" s="1129" t="s">
        <v>2722</v>
      </c>
      <c r="C8779" s="1140"/>
      <c r="D8779" s="1129"/>
      <c r="E8779" s="1129"/>
      <c r="F8779" s="1129"/>
      <c r="G8779" s="1129"/>
      <c r="H8779" s="1129" t="s">
        <v>2339</v>
      </c>
      <c r="I8779" s="1129"/>
      <c r="J8779" s="1127"/>
    </row>
    <row r="8780" spans="1:10" x14ac:dyDescent="0.2">
      <c r="A8780" s="997">
        <f t="shared" si="137"/>
        <v>8779</v>
      </c>
      <c r="B8780" s="1129" t="s">
        <v>2722</v>
      </c>
      <c r="C8780" s="1139"/>
      <c r="D8780" s="1129"/>
      <c r="E8780" s="1129"/>
      <c r="F8780" s="1129"/>
      <c r="G8780" s="1129"/>
      <c r="H8780" s="1129" t="str">
        <f>CONCATENATE("&lt;valeur&gt;",Cellule_1085_5,"&lt;/valeur&gt;")</f>
        <v>&lt;valeur&gt;19420,8&lt;/valeur&gt;</v>
      </c>
      <c r="I8780" s="1129"/>
      <c r="J8780" s="1127"/>
    </row>
    <row r="8781" spans="1:10" x14ac:dyDescent="0.2">
      <c r="A8781" s="997">
        <f t="shared" si="137"/>
        <v>8780</v>
      </c>
      <c r="B8781" s="1129" t="s">
        <v>2722</v>
      </c>
      <c r="C8781" s="1139"/>
      <c r="D8781" s="1129"/>
      <c r="E8781" s="1129"/>
      <c r="F8781" s="1129"/>
      <c r="G8781" s="1129"/>
      <c r="H8781" s="1129" t="s">
        <v>2738</v>
      </c>
      <c r="I8781" s="1129"/>
      <c r="J8781" s="1127"/>
    </row>
    <row r="8782" spans="1:10" x14ac:dyDescent="0.2">
      <c r="A8782" s="997">
        <f t="shared" si="137"/>
        <v>8781</v>
      </c>
      <c r="B8782" s="1129" t="s">
        <v>2722</v>
      </c>
      <c r="C8782" s="1138"/>
      <c r="D8782" s="1129"/>
      <c r="E8782" s="1129"/>
      <c r="F8782" s="1129"/>
      <c r="G8782" s="1129" t="s">
        <v>1109</v>
      </c>
      <c r="H8782" s="1129"/>
      <c r="I8782" s="1129"/>
      <c r="J8782" s="1127"/>
    </row>
    <row r="8783" spans="1:10" x14ac:dyDescent="0.2">
      <c r="A8783" s="997">
        <f t="shared" si="137"/>
        <v>8782</v>
      </c>
      <c r="B8783" s="1129" t="s">
        <v>2722</v>
      </c>
      <c r="C8783" s="1138"/>
      <c r="D8783" s="1129"/>
      <c r="E8783" s="1129"/>
      <c r="F8783" s="1129"/>
      <c r="G8783" s="1129" t="s">
        <v>1106</v>
      </c>
      <c r="H8783" s="1129"/>
      <c r="I8783" s="1129"/>
      <c r="J8783" s="1127"/>
    </row>
    <row r="8784" spans="1:10" x14ac:dyDescent="0.2">
      <c r="A8784" s="997">
        <f t="shared" si="137"/>
        <v>8783</v>
      </c>
      <c r="B8784" s="1129" t="s">
        <v>2722</v>
      </c>
      <c r="C8784" s="1139"/>
      <c r="D8784" s="1129"/>
      <c r="E8784" s="1129"/>
      <c r="F8784" s="1129"/>
      <c r="G8784" s="1129"/>
      <c r="H8784" s="1129" t="s">
        <v>2340</v>
      </c>
      <c r="I8784" s="1129"/>
      <c r="J8784" s="1127"/>
    </row>
    <row r="8785" spans="1:10" x14ac:dyDescent="0.2">
      <c r="A8785" s="997">
        <f t="shared" si="137"/>
        <v>8784</v>
      </c>
      <c r="B8785" s="1129" t="s">
        <v>2722</v>
      </c>
      <c r="C8785" s="1140"/>
      <c r="D8785" s="1129"/>
      <c r="E8785" s="1129"/>
      <c r="F8785" s="1129"/>
      <c r="G8785" s="1129"/>
      <c r="H8785" s="1129" t="str">
        <f>CONCATENATE("&lt;valeur&gt;",Cellule_1086_5,"&lt;/valeur&gt;")</f>
        <v>&lt;valeur&gt;&lt;/valeur&gt;</v>
      </c>
      <c r="I8785" s="1129"/>
      <c r="J8785" s="1127"/>
    </row>
    <row r="8786" spans="1:10" x14ac:dyDescent="0.2">
      <c r="A8786" s="997">
        <f t="shared" si="137"/>
        <v>8785</v>
      </c>
      <c r="B8786" s="1129" t="s">
        <v>2722</v>
      </c>
      <c r="C8786" s="1139"/>
      <c r="D8786" s="1129"/>
      <c r="E8786" s="1129"/>
      <c r="F8786" s="1129"/>
      <c r="G8786" s="1129"/>
      <c r="H8786" s="1129" t="s">
        <v>2738</v>
      </c>
      <c r="I8786" s="1129"/>
      <c r="J8786" s="1127"/>
    </row>
    <row r="8787" spans="1:10" x14ac:dyDescent="0.2">
      <c r="A8787" s="997">
        <f t="shared" si="137"/>
        <v>8786</v>
      </c>
      <c r="B8787" s="1130" t="s">
        <v>2722</v>
      </c>
      <c r="C8787" s="1144"/>
      <c r="D8787" s="1130"/>
      <c r="E8787" s="1130"/>
      <c r="F8787" s="1130"/>
      <c r="G8787" s="1130" t="s">
        <v>1109</v>
      </c>
      <c r="H8787" s="1130"/>
      <c r="I8787" s="1130"/>
      <c r="J8787" s="1142"/>
    </row>
    <row r="8788" spans="1:10" x14ac:dyDescent="0.2">
      <c r="A8788" s="997">
        <f t="shared" si="137"/>
        <v>8787</v>
      </c>
      <c r="B8788" s="1128" t="s">
        <v>2722</v>
      </c>
      <c r="C8788" s="1143"/>
      <c r="D8788" s="1128"/>
      <c r="E8788" s="1128"/>
      <c r="F8788" s="1128"/>
      <c r="G8788" s="1128" t="s">
        <v>1106</v>
      </c>
      <c r="H8788" s="1128"/>
      <c r="I8788" s="1128"/>
      <c r="J8788" s="1124"/>
    </row>
    <row r="8789" spans="1:10" x14ac:dyDescent="0.2">
      <c r="A8789" s="997">
        <f t="shared" si="137"/>
        <v>8788</v>
      </c>
      <c r="B8789" s="1129" t="s">
        <v>2722</v>
      </c>
      <c r="C8789" s="1139"/>
      <c r="D8789" s="1129"/>
      <c r="E8789" s="1129"/>
      <c r="F8789" s="1129"/>
      <c r="G8789" s="1129"/>
      <c r="H8789" s="1129" t="s">
        <v>2331</v>
      </c>
      <c r="I8789" s="1129"/>
      <c r="J8789" s="1127"/>
    </row>
    <row r="8790" spans="1:10" x14ac:dyDescent="0.2">
      <c r="A8790" s="997">
        <f t="shared" si="137"/>
        <v>8789</v>
      </c>
      <c r="B8790" s="1129" t="s">
        <v>2722</v>
      </c>
      <c r="C8790" s="1138"/>
      <c r="D8790" s="1129"/>
      <c r="E8790" s="1129"/>
      <c r="F8790" s="1129"/>
      <c r="G8790" s="1129"/>
      <c r="H8790" s="1129" t="str">
        <f>CONCATENATE("&lt;valeur&gt;",Cellule_10061_6,"&lt;/valeur&gt;")</f>
        <v>&lt;valeur&gt;MAT DE TRANSPORST&lt;/valeur&gt;</v>
      </c>
      <c r="I8790" s="1129"/>
      <c r="J8790" s="1127"/>
    </row>
    <row r="8791" spans="1:10" x14ac:dyDescent="0.2">
      <c r="A8791" s="997">
        <f t="shared" si="137"/>
        <v>8790</v>
      </c>
      <c r="B8791" s="1129" t="s">
        <v>2722</v>
      </c>
      <c r="C8791" s="1138"/>
      <c r="D8791" s="1129"/>
      <c r="E8791" s="1129"/>
      <c r="F8791" s="1129"/>
      <c r="G8791" s="1129"/>
      <c r="H8791" s="1129" t="s">
        <v>2739</v>
      </c>
      <c r="I8791" s="1129"/>
      <c r="J8791" s="1127"/>
    </row>
    <row r="8792" spans="1:10" x14ac:dyDescent="0.2">
      <c r="A8792" s="997">
        <f t="shared" si="137"/>
        <v>8791</v>
      </c>
      <c r="B8792" s="1129" t="s">
        <v>2722</v>
      </c>
      <c r="C8792" s="1139"/>
      <c r="D8792" s="1129"/>
      <c r="E8792" s="1129"/>
      <c r="F8792" s="1129"/>
      <c r="G8792" s="1129" t="s">
        <v>1109</v>
      </c>
      <c r="H8792" s="1129"/>
      <c r="I8792" s="1129"/>
      <c r="J8792" s="1127"/>
    </row>
    <row r="8793" spans="1:10" x14ac:dyDescent="0.2">
      <c r="A8793" s="997">
        <f t="shared" si="137"/>
        <v>8792</v>
      </c>
      <c r="B8793" s="1129" t="s">
        <v>2722</v>
      </c>
      <c r="C8793" s="1140"/>
      <c r="D8793" s="1129"/>
      <c r="E8793" s="1129"/>
      <c r="F8793" s="1129"/>
      <c r="G8793" s="1129" t="s">
        <v>1106</v>
      </c>
      <c r="H8793" s="1129"/>
      <c r="I8793" s="1129"/>
      <c r="J8793" s="1127"/>
    </row>
    <row r="8794" spans="1:10" x14ac:dyDescent="0.2">
      <c r="A8794" s="997">
        <f t="shared" si="137"/>
        <v>8793</v>
      </c>
      <c r="B8794" s="1129" t="s">
        <v>2722</v>
      </c>
      <c r="C8794" s="1139"/>
      <c r="D8794" s="1129"/>
      <c r="E8794" s="1129"/>
      <c r="F8794" s="1129"/>
      <c r="G8794" s="1129"/>
      <c r="H8794" s="1129" t="s">
        <v>2332</v>
      </c>
      <c r="I8794" s="1129"/>
      <c r="J8794" s="1127"/>
    </row>
    <row r="8795" spans="1:10" x14ac:dyDescent="0.2">
      <c r="A8795" s="997">
        <f t="shared" si="137"/>
        <v>8794</v>
      </c>
      <c r="B8795" s="1129" t="s">
        <v>2722</v>
      </c>
      <c r="C8795" s="1139"/>
      <c r="D8795" s="1129"/>
      <c r="E8795" s="1129"/>
      <c r="F8795" s="1129"/>
      <c r="G8795" s="1129"/>
      <c r="H8795" s="1129" t="str">
        <f>CONCATENATE("&lt;valeur&gt;",Cellule_1078_6,"&lt;/valeur&gt;")</f>
        <v>&lt;valeur&gt;43054&lt;/valeur&gt;</v>
      </c>
      <c r="I8795" s="1129"/>
      <c r="J8795" s="1127"/>
    </row>
    <row r="8796" spans="1:10" x14ac:dyDescent="0.2">
      <c r="A8796" s="997">
        <f t="shared" si="137"/>
        <v>8795</v>
      </c>
      <c r="B8796" s="1129" t="s">
        <v>2722</v>
      </c>
      <c r="C8796" s="1138"/>
      <c r="D8796" s="1129"/>
      <c r="E8796" s="1129"/>
      <c r="F8796" s="1129"/>
      <c r="G8796" s="1129"/>
      <c r="H8796" s="1129" t="s">
        <v>2739</v>
      </c>
      <c r="I8796" s="1129"/>
      <c r="J8796" s="1127"/>
    </row>
    <row r="8797" spans="1:10" x14ac:dyDescent="0.2">
      <c r="A8797" s="997">
        <f t="shared" si="137"/>
        <v>8796</v>
      </c>
      <c r="B8797" s="1129" t="s">
        <v>2722</v>
      </c>
      <c r="C8797" s="1138"/>
      <c r="D8797" s="1129"/>
      <c r="E8797" s="1129"/>
      <c r="F8797" s="1129"/>
      <c r="G8797" s="1129" t="s">
        <v>1109</v>
      </c>
      <c r="H8797" s="1129"/>
      <c r="I8797" s="1129"/>
      <c r="J8797" s="1127"/>
    </row>
    <row r="8798" spans="1:10" x14ac:dyDescent="0.2">
      <c r="A8798" s="997">
        <f t="shared" si="137"/>
        <v>8797</v>
      </c>
      <c r="B8798" s="1129" t="s">
        <v>2722</v>
      </c>
      <c r="C8798" s="1139"/>
      <c r="D8798" s="1129"/>
      <c r="E8798" s="1129"/>
      <c r="F8798" s="1129"/>
      <c r="G8798" s="1129" t="s">
        <v>1106</v>
      </c>
      <c r="H8798" s="1129"/>
      <c r="I8798" s="1129"/>
      <c r="J8798" s="1127"/>
    </row>
    <row r="8799" spans="1:10" x14ac:dyDescent="0.2">
      <c r="A8799" s="997">
        <f t="shared" si="137"/>
        <v>8798</v>
      </c>
      <c r="B8799" s="1129" t="s">
        <v>2722</v>
      </c>
      <c r="C8799" s="1140"/>
      <c r="D8799" s="1129"/>
      <c r="E8799" s="1129"/>
      <c r="F8799" s="1129"/>
      <c r="G8799" s="1129"/>
      <c r="H8799" s="1129" t="s">
        <v>2333</v>
      </c>
      <c r="I8799" s="1129"/>
      <c r="J8799" s="1127"/>
    </row>
    <row r="8800" spans="1:10" x14ac:dyDescent="0.2">
      <c r="A8800" s="997">
        <f t="shared" si="137"/>
        <v>8799</v>
      </c>
      <c r="B8800" s="1129" t="s">
        <v>2722</v>
      </c>
      <c r="C8800" s="1139"/>
      <c r="D8800" s="1129"/>
      <c r="E8800" s="1129"/>
      <c r="F8800" s="1129"/>
      <c r="G8800" s="1129"/>
      <c r="H8800" s="1129" t="str">
        <f>CONCATENATE("&lt;valeur&gt;",Cellule_1079_6,"&lt;/valeur&gt;")</f>
        <v>&lt;valeur&gt;90300&lt;/valeur&gt;</v>
      </c>
      <c r="I8800" s="1129"/>
      <c r="J8800" s="1127"/>
    </row>
    <row r="8801" spans="1:10" x14ac:dyDescent="0.2">
      <c r="A8801" s="997">
        <f t="shared" si="137"/>
        <v>8800</v>
      </c>
      <c r="B8801" s="1129" t="s">
        <v>2722</v>
      </c>
      <c r="C8801" s="1139"/>
      <c r="D8801" s="1129"/>
      <c r="E8801" s="1129"/>
      <c r="F8801" s="1129"/>
      <c r="G8801" s="1129"/>
      <c r="H8801" s="1129" t="s">
        <v>2739</v>
      </c>
      <c r="I8801" s="1129"/>
      <c r="J8801" s="1127"/>
    </row>
    <row r="8802" spans="1:10" x14ac:dyDescent="0.2">
      <c r="A8802" s="997">
        <f t="shared" si="137"/>
        <v>8801</v>
      </c>
      <c r="B8802" s="1129" t="s">
        <v>2722</v>
      </c>
      <c r="C8802" s="1138"/>
      <c r="D8802" s="1129"/>
      <c r="E8802" s="1129"/>
      <c r="F8802" s="1129"/>
      <c r="G8802" s="1129" t="s">
        <v>1109</v>
      </c>
      <c r="H8802" s="1129"/>
      <c r="I8802" s="1129"/>
      <c r="J8802" s="1127"/>
    </row>
    <row r="8803" spans="1:10" x14ac:dyDescent="0.2">
      <c r="A8803" s="997">
        <f t="shared" si="137"/>
        <v>8802</v>
      </c>
      <c r="B8803" s="1129" t="s">
        <v>2722</v>
      </c>
      <c r="C8803" s="1138"/>
      <c r="D8803" s="1129"/>
      <c r="E8803" s="1129"/>
      <c r="F8803" s="1129"/>
      <c r="G8803" s="1129" t="s">
        <v>1106</v>
      </c>
      <c r="H8803" s="1129"/>
      <c r="I8803" s="1129"/>
      <c r="J8803" s="1127"/>
    </row>
    <row r="8804" spans="1:10" x14ac:dyDescent="0.2">
      <c r="A8804" s="997">
        <f t="shared" si="137"/>
        <v>8803</v>
      </c>
      <c r="B8804" s="1129" t="s">
        <v>2722</v>
      </c>
      <c r="C8804" s="1139"/>
      <c r="D8804" s="1129"/>
      <c r="E8804" s="1129"/>
      <c r="F8804" s="1129"/>
      <c r="G8804" s="1129"/>
      <c r="H8804" s="1129" t="s">
        <v>2334</v>
      </c>
      <c r="I8804" s="1129"/>
      <c r="J8804" s="1127"/>
    </row>
    <row r="8805" spans="1:10" x14ac:dyDescent="0.2">
      <c r="A8805" s="997">
        <f t="shared" si="137"/>
        <v>8804</v>
      </c>
      <c r="B8805" s="1129" t="s">
        <v>2722</v>
      </c>
      <c r="C8805" s="1140"/>
      <c r="D8805" s="1129"/>
      <c r="E8805" s="1129"/>
      <c r="F8805" s="1129"/>
      <c r="G8805" s="1129"/>
      <c r="H8805" s="1129" t="str">
        <f>CONCATENATE("&lt;valeur&gt;",Cellule_1080_6,"&lt;/valeur&gt;")</f>
        <v>&lt;valeur&gt;&lt;/valeur&gt;</v>
      </c>
      <c r="I8805" s="1129"/>
      <c r="J8805" s="1127"/>
    </row>
    <row r="8806" spans="1:10" x14ac:dyDescent="0.2">
      <c r="A8806" s="997">
        <f t="shared" si="137"/>
        <v>8805</v>
      </c>
      <c r="B8806" s="1129" t="s">
        <v>2722</v>
      </c>
      <c r="C8806" s="1139"/>
      <c r="D8806" s="1129"/>
      <c r="E8806" s="1129"/>
      <c r="F8806" s="1129"/>
      <c r="G8806" s="1129"/>
      <c r="H8806" s="1129" t="s">
        <v>2739</v>
      </c>
      <c r="I8806" s="1129"/>
      <c r="J8806" s="1127"/>
    </row>
    <row r="8807" spans="1:10" x14ac:dyDescent="0.2">
      <c r="A8807" s="997">
        <f t="shared" si="137"/>
        <v>8806</v>
      </c>
      <c r="B8807" s="1129" t="s">
        <v>2722</v>
      </c>
      <c r="C8807" s="1139"/>
      <c r="D8807" s="1129"/>
      <c r="E8807" s="1129"/>
      <c r="F8807" s="1129"/>
      <c r="G8807" s="1129" t="s">
        <v>1109</v>
      </c>
      <c r="H8807" s="1129"/>
      <c r="I8807" s="1129"/>
      <c r="J8807" s="1127"/>
    </row>
    <row r="8808" spans="1:10" x14ac:dyDescent="0.2">
      <c r="A8808" s="997">
        <f t="shared" si="137"/>
        <v>8807</v>
      </c>
      <c r="B8808" s="1129" t="s">
        <v>2722</v>
      </c>
      <c r="C8808" s="1138"/>
      <c r="D8808" s="1129"/>
      <c r="E8808" s="1129"/>
      <c r="F8808" s="1129"/>
      <c r="G8808" s="1129" t="s">
        <v>1106</v>
      </c>
      <c r="H8808" s="1129"/>
      <c r="I8808" s="1129"/>
      <c r="J8808" s="1127"/>
    </row>
    <row r="8809" spans="1:10" x14ac:dyDescent="0.2">
      <c r="A8809" s="997">
        <f t="shared" si="137"/>
        <v>8808</v>
      </c>
      <c r="B8809" s="1129" t="s">
        <v>2722</v>
      </c>
      <c r="C8809" s="1138"/>
      <c r="D8809" s="1129"/>
      <c r="E8809" s="1129"/>
      <c r="F8809" s="1129"/>
      <c r="G8809" s="1129"/>
      <c r="H8809" s="1129" t="s">
        <v>2335</v>
      </c>
      <c r="I8809" s="1129"/>
      <c r="J8809" s="1127"/>
    </row>
    <row r="8810" spans="1:10" x14ac:dyDescent="0.2">
      <c r="A8810" s="997">
        <f t="shared" si="137"/>
        <v>8809</v>
      </c>
      <c r="B8810" s="1129" t="s">
        <v>2722</v>
      </c>
      <c r="C8810" s="1139"/>
      <c r="D8810" s="1129"/>
      <c r="E8810" s="1129"/>
      <c r="F8810" s="1129"/>
      <c r="G8810" s="1129"/>
      <c r="H8810" s="1129" t="str">
        <f>CONCATENATE("&lt;valeur&gt;",Cellule_1081_6,"&lt;/valeur&gt;")</f>
        <v>&lt;valeur&gt;2257,5&lt;/valeur&gt;</v>
      </c>
      <c r="I8810" s="1129"/>
      <c r="J8810" s="1127"/>
    </row>
    <row r="8811" spans="1:10" x14ac:dyDescent="0.2">
      <c r="A8811" s="997">
        <f t="shared" si="137"/>
        <v>8810</v>
      </c>
      <c r="B8811" s="1129" t="s">
        <v>2722</v>
      </c>
      <c r="C8811" s="1140"/>
      <c r="D8811" s="1129"/>
      <c r="E8811" s="1129"/>
      <c r="F8811" s="1129"/>
      <c r="G8811" s="1129"/>
      <c r="H8811" s="1129" t="s">
        <v>2739</v>
      </c>
      <c r="I8811" s="1129"/>
      <c r="J8811" s="1127"/>
    </row>
    <row r="8812" spans="1:10" x14ac:dyDescent="0.2">
      <c r="A8812" s="997">
        <f t="shared" si="137"/>
        <v>8811</v>
      </c>
      <c r="B8812" s="1129" t="s">
        <v>2722</v>
      </c>
      <c r="C8812" s="1139"/>
      <c r="D8812" s="1129"/>
      <c r="E8812" s="1129"/>
      <c r="F8812" s="1129"/>
      <c r="G8812" s="1129" t="s">
        <v>1109</v>
      </c>
      <c r="H8812" s="1129"/>
      <c r="I8812" s="1129"/>
      <c r="J8812" s="1127"/>
    </row>
    <row r="8813" spans="1:10" x14ac:dyDescent="0.2">
      <c r="A8813" s="997">
        <f t="shared" si="137"/>
        <v>8812</v>
      </c>
      <c r="B8813" s="1129" t="s">
        <v>2722</v>
      </c>
      <c r="C8813" s="1139"/>
      <c r="D8813" s="1129"/>
      <c r="E8813" s="1129"/>
      <c r="F8813" s="1129"/>
      <c r="G8813" s="1129" t="s">
        <v>1106</v>
      </c>
      <c r="H8813" s="1129"/>
      <c r="I8813" s="1129"/>
      <c r="J8813" s="1127"/>
    </row>
    <row r="8814" spans="1:10" x14ac:dyDescent="0.2">
      <c r="A8814" s="997">
        <f t="shared" si="137"/>
        <v>8813</v>
      </c>
      <c r="B8814" s="1129" t="s">
        <v>2722</v>
      </c>
      <c r="C8814" s="1138"/>
      <c r="D8814" s="1129"/>
      <c r="E8814" s="1129"/>
      <c r="F8814" s="1129"/>
      <c r="G8814" s="1129"/>
      <c r="H8814" s="1129" t="s">
        <v>2336</v>
      </c>
      <c r="I8814" s="1129"/>
      <c r="J8814" s="1127"/>
    </row>
    <row r="8815" spans="1:10" x14ac:dyDescent="0.2">
      <c r="A8815" s="997">
        <f t="shared" si="137"/>
        <v>8814</v>
      </c>
      <c r="B8815" s="1129" t="s">
        <v>2722</v>
      </c>
      <c r="C8815" s="1138"/>
      <c r="D8815" s="1129"/>
      <c r="E8815" s="1129"/>
      <c r="F8815" s="1129"/>
      <c r="G8815" s="1129"/>
      <c r="H8815" s="1129" t="str">
        <f>CONCATENATE("&lt;valeur&gt;",Cellule_1082_6,"&lt;/valeur&gt;")</f>
        <v>&lt;valeur&gt;0,2&lt;/valeur&gt;</v>
      </c>
      <c r="I8815" s="1129"/>
      <c r="J8815" s="1127"/>
    </row>
    <row r="8816" spans="1:10" x14ac:dyDescent="0.2">
      <c r="A8816" s="997">
        <f t="shared" si="137"/>
        <v>8815</v>
      </c>
      <c r="B8816" s="1129" t="s">
        <v>2722</v>
      </c>
      <c r="C8816" s="1139"/>
      <c r="D8816" s="1129"/>
      <c r="E8816" s="1129"/>
      <c r="F8816" s="1129"/>
      <c r="G8816" s="1129"/>
      <c r="H8816" s="1129" t="s">
        <v>2739</v>
      </c>
      <c r="I8816" s="1129"/>
      <c r="J8816" s="1127"/>
    </row>
    <row r="8817" spans="1:10" x14ac:dyDescent="0.2">
      <c r="A8817" s="997">
        <f t="shared" si="137"/>
        <v>8816</v>
      </c>
      <c r="B8817" s="1129" t="s">
        <v>2722</v>
      </c>
      <c r="C8817" s="1140"/>
      <c r="D8817" s="1129"/>
      <c r="E8817" s="1129"/>
      <c r="F8817" s="1129"/>
      <c r="G8817" s="1129" t="s">
        <v>1109</v>
      </c>
      <c r="H8817" s="1129"/>
      <c r="I8817" s="1129"/>
      <c r="J8817" s="1127"/>
    </row>
    <row r="8818" spans="1:10" x14ac:dyDescent="0.2">
      <c r="A8818" s="997">
        <f t="shared" si="137"/>
        <v>8817</v>
      </c>
      <c r="B8818" s="1129" t="s">
        <v>2722</v>
      </c>
      <c r="C8818" s="1139"/>
      <c r="D8818" s="1129"/>
      <c r="E8818" s="1129"/>
      <c r="F8818" s="1129"/>
      <c r="G8818" s="1129" t="s">
        <v>1106</v>
      </c>
      <c r="H8818" s="1129"/>
      <c r="I8818" s="1129"/>
      <c r="J8818" s="1127"/>
    </row>
    <row r="8819" spans="1:10" x14ac:dyDescent="0.2">
      <c r="A8819" s="997">
        <f t="shared" si="137"/>
        <v>8818</v>
      </c>
      <c r="B8819" s="1129" t="s">
        <v>2722</v>
      </c>
      <c r="C8819" s="1139"/>
      <c r="D8819" s="1129"/>
      <c r="E8819" s="1129"/>
      <c r="F8819" s="1129"/>
      <c r="G8819" s="1129"/>
      <c r="H8819" s="1129" t="s">
        <v>2337</v>
      </c>
      <c r="I8819" s="1129"/>
      <c r="J8819" s="1127"/>
    </row>
    <row r="8820" spans="1:10" x14ac:dyDescent="0.2">
      <c r="A8820" s="997">
        <f t="shared" si="137"/>
        <v>8819</v>
      </c>
      <c r="B8820" s="1129" t="s">
        <v>2722</v>
      </c>
      <c r="C8820" s="1138"/>
      <c r="D8820" s="1129"/>
      <c r="E8820" s="1129"/>
      <c r="F8820" s="1129"/>
      <c r="G8820" s="1129"/>
      <c r="H8820" s="1129" t="str">
        <f>CONCATENATE("&lt;valeur&gt;",Cellule_1083_6,"&lt;/valeur&gt;")</f>
        <v>&lt;valeur&gt;5&lt;/valeur&gt;</v>
      </c>
      <c r="I8820" s="1129"/>
      <c r="J8820" s="1127"/>
    </row>
    <row r="8821" spans="1:10" x14ac:dyDescent="0.2">
      <c r="A8821" s="997">
        <f t="shared" si="137"/>
        <v>8820</v>
      </c>
      <c r="B8821" s="1129" t="s">
        <v>2722</v>
      </c>
      <c r="C8821" s="1138"/>
      <c r="D8821" s="1129"/>
      <c r="E8821" s="1129"/>
      <c r="F8821" s="1129"/>
      <c r="G8821" s="1129"/>
      <c r="H8821" s="1129" t="s">
        <v>2739</v>
      </c>
      <c r="I8821" s="1129"/>
      <c r="J8821" s="1127"/>
    </row>
    <row r="8822" spans="1:10" x14ac:dyDescent="0.2">
      <c r="A8822" s="997">
        <f t="shared" si="137"/>
        <v>8821</v>
      </c>
      <c r="B8822" s="1129" t="s">
        <v>2722</v>
      </c>
      <c r="C8822" s="1139"/>
      <c r="D8822" s="1129"/>
      <c r="E8822" s="1129"/>
      <c r="F8822" s="1129"/>
      <c r="G8822" s="1129" t="s">
        <v>1109</v>
      </c>
      <c r="H8822" s="1129"/>
      <c r="I8822" s="1129"/>
      <c r="J8822" s="1127"/>
    </row>
    <row r="8823" spans="1:10" x14ac:dyDescent="0.2">
      <c r="A8823" s="997">
        <f t="shared" si="137"/>
        <v>8822</v>
      </c>
      <c r="B8823" s="1129" t="s">
        <v>2722</v>
      </c>
      <c r="C8823" s="1140"/>
      <c r="D8823" s="1129"/>
      <c r="E8823" s="1129"/>
      <c r="F8823" s="1129"/>
      <c r="G8823" s="1129" t="s">
        <v>1106</v>
      </c>
      <c r="H8823" s="1129"/>
      <c r="I8823" s="1129"/>
      <c r="J8823" s="1127"/>
    </row>
    <row r="8824" spans="1:10" x14ac:dyDescent="0.2">
      <c r="A8824" s="997">
        <f t="shared" si="137"/>
        <v>8823</v>
      </c>
      <c r="B8824" s="1129" t="s">
        <v>2722</v>
      </c>
      <c r="C8824" s="1139"/>
      <c r="D8824" s="1129"/>
      <c r="E8824" s="1129"/>
      <c r="F8824" s="1129"/>
      <c r="G8824" s="1129"/>
      <c r="H8824" s="1129" t="s">
        <v>2338</v>
      </c>
      <c r="I8824" s="1129"/>
      <c r="J8824" s="1127"/>
    </row>
    <row r="8825" spans="1:10" x14ac:dyDescent="0.2">
      <c r="A8825" s="997">
        <f t="shared" si="137"/>
        <v>8824</v>
      </c>
      <c r="B8825" s="1129" t="s">
        <v>2722</v>
      </c>
      <c r="C8825" s="1139"/>
      <c r="D8825" s="1129"/>
      <c r="E8825" s="1129"/>
      <c r="F8825" s="1129"/>
      <c r="G8825" s="1129"/>
      <c r="H8825" s="1129" t="str">
        <f>CONCATENATE("&lt;valeur&gt;",Cellule_1084_6,"&lt;/valeur&gt;")</f>
        <v>&lt;valeur&gt;18060&lt;/valeur&gt;</v>
      </c>
      <c r="I8825" s="1129"/>
      <c r="J8825" s="1127"/>
    </row>
    <row r="8826" spans="1:10" x14ac:dyDescent="0.2">
      <c r="A8826" s="997">
        <f t="shared" si="137"/>
        <v>8825</v>
      </c>
      <c r="B8826" s="1129" t="s">
        <v>2722</v>
      </c>
      <c r="C8826" s="1138"/>
      <c r="D8826" s="1129"/>
      <c r="E8826" s="1129"/>
      <c r="F8826" s="1129"/>
      <c r="G8826" s="1129"/>
      <c r="H8826" s="1129" t="s">
        <v>2739</v>
      </c>
      <c r="I8826" s="1129"/>
      <c r="J8826" s="1127"/>
    </row>
    <row r="8827" spans="1:10" x14ac:dyDescent="0.2">
      <c r="A8827" s="997">
        <f t="shared" si="137"/>
        <v>8826</v>
      </c>
      <c r="B8827" s="1129" t="s">
        <v>2722</v>
      </c>
      <c r="C8827" s="1138"/>
      <c r="D8827" s="1129"/>
      <c r="E8827" s="1129"/>
      <c r="F8827" s="1129"/>
      <c r="G8827" s="1129" t="s">
        <v>1109</v>
      </c>
      <c r="H8827" s="1129"/>
      <c r="I8827" s="1129"/>
      <c r="J8827" s="1127"/>
    </row>
    <row r="8828" spans="1:10" x14ac:dyDescent="0.2">
      <c r="A8828" s="997">
        <f t="shared" si="137"/>
        <v>8827</v>
      </c>
      <c r="B8828" s="1129" t="s">
        <v>2722</v>
      </c>
      <c r="C8828" s="1139"/>
      <c r="D8828" s="1129"/>
      <c r="E8828" s="1129"/>
      <c r="F8828" s="1129"/>
      <c r="G8828" s="1129" t="s">
        <v>1106</v>
      </c>
      <c r="H8828" s="1129"/>
      <c r="I8828" s="1129"/>
      <c r="J8828" s="1127"/>
    </row>
    <row r="8829" spans="1:10" x14ac:dyDescent="0.2">
      <c r="A8829" s="997">
        <f t="shared" si="137"/>
        <v>8828</v>
      </c>
      <c r="B8829" s="1129" t="s">
        <v>2722</v>
      </c>
      <c r="C8829" s="1140"/>
      <c r="D8829" s="1129"/>
      <c r="E8829" s="1129"/>
      <c r="F8829" s="1129"/>
      <c r="G8829" s="1129"/>
      <c r="H8829" s="1129" t="s">
        <v>2339</v>
      </c>
      <c r="I8829" s="1129"/>
      <c r="J8829" s="1127"/>
    </row>
    <row r="8830" spans="1:10" x14ac:dyDescent="0.2">
      <c r="A8830" s="997">
        <f t="shared" si="137"/>
        <v>8829</v>
      </c>
      <c r="B8830" s="1129" t="s">
        <v>2722</v>
      </c>
      <c r="C8830" s="1139"/>
      <c r="D8830" s="1129"/>
      <c r="E8830" s="1129"/>
      <c r="F8830" s="1129"/>
      <c r="G8830" s="1129"/>
      <c r="H8830" s="1129" t="str">
        <f>CONCATENATE("&lt;valeur&gt;",Cellule_1085_6,"&lt;/valeur&gt;")</f>
        <v>&lt;valeur&gt;18060&lt;/valeur&gt;</v>
      </c>
      <c r="I8830" s="1129"/>
      <c r="J8830" s="1127"/>
    </row>
    <row r="8831" spans="1:10" x14ac:dyDescent="0.2">
      <c r="A8831" s="997">
        <f t="shared" si="137"/>
        <v>8830</v>
      </c>
      <c r="B8831" s="1129" t="s">
        <v>2722</v>
      </c>
      <c r="C8831" s="1139"/>
      <c r="D8831" s="1129"/>
      <c r="E8831" s="1129"/>
      <c r="F8831" s="1129"/>
      <c r="G8831" s="1129"/>
      <c r="H8831" s="1129" t="s">
        <v>2739</v>
      </c>
      <c r="I8831" s="1129"/>
      <c r="J8831" s="1127"/>
    </row>
    <row r="8832" spans="1:10" x14ac:dyDescent="0.2">
      <c r="A8832" s="997">
        <f t="shared" si="137"/>
        <v>8831</v>
      </c>
      <c r="B8832" s="1129" t="s">
        <v>2722</v>
      </c>
      <c r="C8832" s="1138"/>
      <c r="D8832" s="1129"/>
      <c r="E8832" s="1129"/>
      <c r="F8832" s="1129"/>
      <c r="G8832" s="1129" t="s">
        <v>1109</v>
      </c>
      <c r="H8832" s="1129"/>
      <c r="I8832" s="1129"/>
      <c r="J8832" s="1127"/>
    </row>
    <row r="8833" spans="1:10" x14ac:dyDescent="0.2">
      <c r="A8833" s="997">
        <f t="shared" si="137"/>
        <v>8832</v>
      </c>
      <c r="B8833" s="1129" t="s">
        <v>2722</v>
      </c>
      <c r="C8833" s="1138"/>
      <c r="D8833" s="1129"/>
      <c r="E8833" s="1129"/>
      <c r="F8833" s="1129"/>
      <c r="G8833" s="1129" t="s">
        <v>1106</v>
      </c>
      <c r="H8833" s="1129"/>
      <c r="I8833" s="1129"/>
      <c r="J8833" s="1127"/>
    </row>
    <row r="8834" spans="1:10" x14ac:dyDescent="0.2">
      <c r="A8834" s="997">
        <f t="shared" si="137"/>
        <v>8833</v>
      </c>
      <c r="B8834" s="1129" t="s">
        <v>2722</v>
      </c>
      <c r="C8834" s="1139"/>
      <c r="D8834" s="1129"/>
      <c r="E8834" s="1129"/>
      <c r="F8834" s="1129"/>
      <c r="G8834" s="1129"/>
      <c r="H8834" s="1129" t="s">
        <v>2340</v>
      </c>
      <c r="I8834" s="1129"/>
      <c r="J8834" s="1127"/>
    </row>
    <row r="8835" spans="1:10" x14ac:dyDescent="0.2">
      <c r="A8835" s="997">
        <f t="shared" si="137"/>
        <v>8834</v>
      </c>
      <c r="B8835" s="1129" t="s">
        <v>2722</v>
      </c>
      <c r="C8835" s="1140"/>
      <c r="D8835" s="1129"/>
      <c r="E8835" s="1129"/>
      <c r="F8835" s="1129"/>
      <c r="G8835" s="1129"/>
      <c r="H8835" s="1129" t="str">
        <f>CONCATENATE("&lt;valeur&gt;",Cellule_1086_6,"&lt;/valeur&gt;")</f>
        <v>&lt;valeur&gt;&lt;/valeur&gt;</v>
      </c>
      <c r="I8835" s="1129"/>
      <c r="J8835" s="1127"/>
    </row>
    <row r="8836" spans="1:10" x14ac:dyDescent="0.2">
      <c r="A8836" s="997">
        <f t="shared" ref="A8836:A8899" si="138">+A8835+1</f>
        <v>8835</v>
      </c>
      <c r="B8836" s="1129" t="s">
        <v>2722</v>
      </c>
      <c r="C8836" s="1139"/>
      <c r="D8836" s="1129"/>
      <c r="E8836" s="1129"/>
      <c r="F8836" s="1129"/>
      <c r="G8836" s="1129"/>
      <c r="H8836" s="1129" t="s">
        <v>2739</v>
      </c>
      <c r="I8836" s="1129"/>
      <c r="J8836" s="1127"/>
    </row>
    <row r="8837" spans="1:10" x14ac:dyDescent="0.2">
      <c r="A8837" s="997">
        <f t="shared" si="138"/>
        <v>8836</v>
      </c>
      <c r="B8837" s="1130" t="s">
        <v>2722</v>
      </c>
      <c r="C8837" s="1144"/>
      <c r="D8837" s="1130"/>
      <c r="E8837" s="1130"/>
      <c r="F8837" s="1130"/>
      <c r="G8837" s="1130" t="s">
        <v>1109</v>
      </c>
      <c r="H8837" s="1130"/>
      <c r="I8837" s="1130"/>
      <c r="J8837" s="1142"/>
    </row>
    <row r="8838" spans="1:10" x14ac:dyDescent="0.2">
      <c r="A8838" s="997">
        <f t="shared" si="138"/>
        <v>8837</v>
      </c>
      <c r="B8838" s="1128" t="s">
        <v>2722</v>
      </c>
      <c r="C8838" s="1143"/>
      <c r="D8838" s="1128"/>
      <c r="E8838" s="1128"/>
      <c r="F8838" s="1128"/>
      <c r="G8838" s="1128" t="s">
        <v>1106</v>
      </c>
      <c r="H8838" s="1128"/>
      <c r="I8838" s="1128"/>
      <c r="J8838" s="1124"/>
    </row>
    <row r="8839" spans="1:10" x14ac:dyDescent="0.2">
      <c r="A8839" s="997">
        <f t="shared" si="138"/>
        <v>8838</v>
      </c>
      <c r="B8839" s="1129" t="s">
        <v>2722</v>
      </c>
      <c r="C8839" s="1139"/>
      <c r="D8839" s="1129"/>
      <c r="E8839" s="1129"/>
      <c r="F8839" s="1129"/>
      <c r="G8839" s="1129"/>
      <c r="H8839" s="1129" t="s">
        <v>2331</v>
      </c>
      <c r="I8839" s="1129"/>
      <c r="J8839" s="1127"/>
    </row>
    <row r="8840" spans="1:10" x14ac:dyDescent="0.2">
      <c r="A8840" s="997">
        <f t="shared" si="138"/>
        <v>8839</v>
      </c>
      <c r="B8840" s="1129" t="s">
        <v>2722</v>
      </c>
      <c r="C8840" s="1138"/>
      <c r="D8840" s="1129"/>
      <c r="E8840" s="1129"/>
      <c r="F8840" s="1129"/>
      <c r="G8840" s="1129"/>
      <c r="H8840" s="1129" t="str">
        <f>CONCATENATE("&lt;valeur&gt;",Cellule_10061_7,"&lt;/valeur&gt;")</f>
        <v>&lt;valeur&gt;MAT DE TRANSPORST&lt;/valeur&gt;</v>
      </c>
      <c r="I8840" s="1129"/>
      <c r="J8840" s="1127"/>
    </row>
    <row r="8841" spans="1:10" x14ac:dyDescent="0.2">
      <c r="A8841" s="997">
        <f t="shared" si="138"/>
        <v>8840</v>
      </c>
      <c r="B8841" s="1129" t="s">
        <v>2722</v>
      </c>
      <c r="C8841" s="1138"/>
      <c r="D8841" s="1129"/>
      <c r="E8841" s="1129"/>
      <c r="F8841" s="1129"/>
      <c r="G8841" s="1129"/>
      <c r="H8841" s="1129" t="s">
        <v>2780</v>
      </c>
      <c r="I8841" s="1129"/>
      <c r="J8841" s="1127"/>
    </row>
    <row r="8842" spans="1:10" x14ac:dyDescent="0.2">
      <c r="A8842" s="997">
        <f t="shared" si="138"/>
        <v>8841</v>
      </c>
      <c r="B8842" s="1129" t="s">
        <v>2722</v>
      </c>
      <c r="C8842" s="1139"/>
      <c r="D8842" s="1129"/>
      <c r="E8842" s="1129"/>
      <c r="F8842" s="1129"/>
      <c r="G8842" s="1129" t="s">
        <v>1109</v>
      </c>
      <c r="H8842" s="1129"/>
      <c r="I8842" s="1129"/>
      <c r="J8842" s="1127"/>
    </row>
    <row r="8843" spans="1:10" x14ac:dyDescent="0.2">
      <c r="A8843" s="997">
        <f t="shared" si="138"/>
        <v>8842</v>
      </c>
      <c r="B8843" s="1129" t="s">
        <v>2722</v>
      </c>
      <c r="C8843" s="1140"/>
      <c r="D8843" s="1129"/>
      <c r="E8843" s="1129"/>
      <c r="F8843" s="1129"/>
      <c r="G8843" s="1129" t="s">
        <v>1106</v>
      </c>
      <c r="H8843" s="1129"/>
      <c r="I8843" s="1129"/>
      <c r="J8843" s="1127"/>
    </row>
    <row r="8844" spans="1:10" x14ac:dyDescent="0.2">
      <c r="A8844" s="997">
        <f t="shared" si="138"/>
        <v>8843</v>
      </c>
      <c r="B8844" s="1129" t="s">
        <v>2722</v>
      </c>
      <c r="C8844" s="1139"/>
      <c r="D8844" s="1129"/>
      <c r="E8844" s="1129"/>
      <c r="F8844" s="1129"/>
      <c r="G8844" s="1129"/>
      <c r="H8844" s="1129" t="s">
        <v>2332</v>
      </c>
      <c r="I8844" s="1129"/>
      <c r="J8844" s="1127"/>
    </row>
    <row r="8845" spans="1:10" x14ac:dyDescent="0.2">
      <c r="A8845" s="997">
        <f t="shared" si="138"/>
        <v>8844</v>
      </c>
      <c r="B8845" s="1129" t="s">
        <v>2722</v>
      </c>
      <c r="C8845" s="1139"/>
      <c r="D8845" s="1129"/>
      <c r="E8845" s="1129"/>
      <c r="F8845" s="1129"/>
      <c r="G8845" s="1129"/>
      <c r="H8845" s="1129" t="str">
        <f>CONCATENATE("&lt;valeur&gt;",Cellule_1078_7,"&lt;/valeur&gt;")</f>
        <v>&lt;valeur&gt;43063&lt;/valeur&gt;</v>
      </c>
      <c r="I8845" s="1129"/>
      <c r="J8845" s="1127"/>
    </row>
    <row r="8846" spans="1:10" x14ac:dyDescent="0.2">
      <c r="A8846" s="997">
        <f t="shared" si="138"/>
        <v>8845</v>
      </c>
      <c r="B8846" s="1129" t="s">
        <v>2722</v>
      </c>
      <c r="C8846" s="1138"/>
      <c r="D8846" s="1129"/>
      <c r="E8846" s="1129"/>
      <c r="F8846" s="1129"/>
      <c r="G8846" s="1129"/>
      <c r="H8846" s="1129" t="s">
        <v>2780</v>
      </c>
      <c r="I8846" s="1129"/>
      <c r="J8846" s="1127"/>
    </row>
    <row r="8847" spans="1:10" x14ac:dyDescent="0.2">
      <c r="A8847" s="997">
        <f t="shared" si="138"/>
        <v>8846</v>
      </c>
      <c r="B8847" s="1129" t="s">
        <v>2722</v>
      </c>
      <c r="C8847" s="1138"/>
      <c r="D8847" s="1129"/>
      <c r="E8847" s="1129"/>
      <c r="F8847" s="1129"/>
      <c r="G8847" s="1129" t="s">
        <v>1109</v>
      </c>
      <c r="H8847" s="1129"/>
      <c r="I8847" s="1129"/>
      <c r="J8847" s="1127"/>
    </row>
    <row r="8848" spans="1:10" x14ac:dyDescent="0.2">
      <c r="A8848" s="997">
        <f t="shared" si="138"/>
        <v>8847</v>
      </c>
      <c r="B8848" s="1129" t="s">
        <v>2722</v>
      </c>
      <c r="C8848" s="1139"/>
      <c r="D8848" s="1129"/>
      <c r="E8848" s="1129"/>
      <c r="F8848" s="1129"/>
      <c r="G8848" s="1129" t="s">
        <v>1106</v>
      </c>
      <c r="H8848" s="1129"/>
      <c r="I8848" s="1129"/>
      <c r="J8848" s="1127"/>
    </row>
    <row r="8849" spans="1:10" x14ac:dyDescent="0.2">
      <c r="A8849" s="997">
        <f t="shared" si="138"/>
        <v>8848</v>
      </c>
      <c r="B8849" s="1129" t="s">
        <v>2722</v>
      </c>
      <c r="C8849" s="1140"/>
      <c r="D8849" s="1129"/>
      <c r="E8849" s="1129"/>
      <c r="F8849" s="1129"/>
      <c r="G8849" s="1129"/>
      <c r="H8849" s="1129" t="s">
        <v>2333</v>
      </c>
      <c r="I8849" s="1129"/>
      <c r="J8849" s="1127"/>
    </row>
    <row r="8850" spans="1:10" x14ac:dyDescent="0.2">
      <c r="A8850" s="997">
        <f t="shared" si="138"/>
        <v>8849</v>
      </c>
      <c r="B8850" s="1129" t="s">
        <v>2722</v>
      </c>
      <c r="C8850" s="1139"/>
      <c r="D8850" s="1129"/>
      <c r="E8850" s="1129"/>
      <c r="F8850" s="1129"/>
      <c r="G8850" s="1129"/>
      <c r="H8850" s="1129" t="str">
        <f>CONCATENATE("&lt;valeur&gt;",Cellule_1079_7,"&lt;/valeur&gt;")</f>
        <v>&lt;valeur&gt;101604,17&lt;/valeur&gt;</v>
      </c>
      <c r="I8850" s="1129"/>
      <c r="J8850" s="1127"/>
    </row>
    <row r="8851" spans="1:10" x14ac:dyDescent="0.2">
      <c r="A8851" s="997">
        <f t="shared" si="138"/>
        <v>8850</v>
      </c>
      <c r="B8851" s="1129" t="s">
        <v>2722</v>
      </c>
      <c r="C8851" s="1139"/>
      <c r="D8851" s="1129"/>
      <c r="E8851" s="1129"/>
      <c r="F8851" s="1129"/>
      <c r="G8851" s="1129"/>
      <c r="H8851" s="1129" t="s">
        <v>2780</v>
      </c>
      <c r="I8851" s="1129"/>
      <c r="J8851" s="1127"/>
    </row>
    <row r="8852" spans="1:10" x14ac:dyDescent="0.2">
      <c r="A8852" s="997">
        <f t="shared" si="138"/>
        <v>8851</v>
      </c>
      <c r="B8852" s="1129" t="s">
        <v>2722</v>
      </c>
      <c r="C8852" s="1138"/>
      <c r="D8852" s="1129"/>
      <c r="E8852" s="1129"/>
      <c r="F8852" s="1129"/>
      <c r="G8852" s="1129" t="s">
        <v>1109</v>
      </c>
      <c r="H8852" s="1129"/>
      <c r="I8852" s="1129"/>
      <c r="J8852" s="1127"/>
    </row>
    <row r="8853" spans="1:10" x14ac:dyDescent="0.2">
      <c r="A8853" s="997">
        <f t="shared" si="138"/>
        <v>8852</v>
      </c>
      <c r="B8853" s="1129" t="s">
        <v>2722</v>
      </c>
      <c r="C8853" s="1138"/>
      <c r="D8853" s="1129"/>
      <c r="E8853" s="1129"/>
      <c r="F8853" s="1129"/>
      <c r="G8853" s="1129" t="s">
        <v>1106</v>
      </c>
      <c r="H8853" s="1129"/>
      <c r="I8853" s="1129"/>
      <c r="J8853" s="1127"/>
    </row>
    <row r="8854" spans="1:10" x14ac:dyDescent="0.2">
      <c r="A8854" s="997">
        <f t="shared" si="138"/>
        <v>8853</v>
      </c>
      <c r="B8854" s="1129" t="s">
        <v>2722</v>
      </c>
      <c r="C8854" s="1139"/>
      <c r="D8854" s="1129"/>
      <c r="E8854" s="1129"/>
      <c r="F8854" s="1129"/>
      <c r="G8854" s="1129"/>
      <c r="H8854" s="1129" t="s">
        <v>2334</v>
      </c>
      <c r="I8854" s="1129"/>
      <c r="J8854" s="1127"/>
    </row>
    <row r="8855" spans="1:10" x14ac:dyDescent="0.2">
      <c r="A8855" s="997">
        <f t="shared" si="138"/>
        <v>8854</v>
      </c>
      <c r="B8855" s="1129" t="s">
        <v>2722</v>
      </c>
      <c r="C8855" s="1140"/>
      <c r="D8855" s="1129"/>
      <c r="E8855" s="1129"/>
      <c r="F8855" s="1129"/>
      <c r="G8855" s="1129"/>
      <c r="H8855" s="1129" t="str">
        <f>CONCATENATE("&lt;valeur&gt;",Cellule_1080_7,"&lt;/valeur&gt;")</f>
        <v>&lt;valeur&gt;&lt;/valeur&gt;</v>
      </c>
      <c r="I8855" s="1129"/>
      <c r="J8855" s="1127"/>
    </row>
    <row r="8856" spans="1:10" x14ac:dyDescent="0.2">
      <c r="A8856" s="997">
        <f t="shared" si="138"/>
        <v>8855</v>
      </c>
      <c r="B8856" s="1129" t="s">
        <v>2722</v>
      </c>
      <c r="C8856" s="1139"/>
      <c r="D8856" s="1129"/>
      <c r="E8856" s="1129"/>
      <c r="F8856" s="1129"/>
      <c r="G8856" s="1129"/>
      <c r="H8856" s="1129" t="s">
        <v>2780</v>
      </c>
      <c r="I8856" s="1129"/>
      <c r="J8856" s="1127"/>
    </row>
    <row r="8857" spans="1:10" x14ac:dyDescent="0.2">
      <c r="A8857" s="997">
        <f t="shared" si="138"/>
        <v>8856</v>
      </c>
      <c r="B8857" s="1129" t="s">
        <v>2722</v>
      </c>
      <c r="C8857" s="1139"/>
      <c r="D8857" s="1129"/>
      <c r="E8857" s="1129"/>
      <c r="F8857" s="1129"/>
      <c r="G8857" s="1129" t="s">
        <v>1109</v>
      </c>
      <c r="H8857" s="1129"/>
      <c r="I8857" s="1129"/>
      <c r="J8857" s="1127"/>
    </row>
    <row r="8858" spans="1:10" x14ac:dyDescent="0.2">
      <c r="A8858" s="997">
        <f t="shared" si="138"/>
        <v>8857</v>
      </c>
      <c r="B8858" s="1129" t="s">
        <v>2722</v>
      </c>
      <c r="C8858" s="1138"/>
      <c r="D8858" s="1129"/>
      <c r="E8858" s="1129"/>
      <c r="F8858" s="1129"/>
      <c r="G8858" s="1129" t="s">
        <v>1106</v>
      </c>
      <c r="H8858" s="1129"/>
      <c r="I8858" s="1129"/>
      <c r="J8858" s="1127"/>
    </row>
    <row r="8859" spans="1:10" x14ac:dyDescent="0.2">
      <c r="A8859" s="997">
        <f t="shared" si="138"/>
        <v>8858</v>
      </c>
      <c r="B8859" s="1129" t="s">
        <v>2722</v>
      </c>
      <c r="C8859" s="1138"/>
      <c r="D8859" s="1129"/>
      <c r="E8859" s="1129"/>
      <c r="F8859" s="1129"/>
      <c r="G8859" s="1129"/>
      <c r="H8859" s="1129" t="s">
        <v>2335</v>
      </c>
      <c r="I8859" s="1129"/>
      <c r="J8859" s="1127"/>
    </row>
    <row r="8860" spans="1:10" x14ac:dyDescent="0.2">
      <c r="A8860" s="997">
        <f t="shared" si="138"/>
        <v>8859</v>
      </c>
      <c r="B8860" s="1129" t="s">
        <v>2722</v>
      </c>
      <c r="C8860" s="1139"/>
      <c r="D8860" s="1129"/>
      <c r="E8860" s="1129"/>
      <c r="F8860" s="1129"/>
      <c r="G8860" s="1129"/>
      <c r="H8860" s="1129" t="str">
        <f>CONCATENATE("&lt;valeur&gt;",Cellule_1081_7,"&lt;/valeur&gt;")</f>
        <v>&lt;valeur&gt;1693,4&lt;/valeur&gt;</v>
      </c>
      <c r="I8860" s="1129"/>
      <c r="J8860" s="1127"/>
    </row>
    <row r="8861" spans="1:10" x14ac:dyDescent="0.2">
      <c r="A8861" s="997">
        <f t="shared" si="138"/>
        <v>8860</v>
      </c>
      <c r="B8861" s="1129" t="s">
        <v>2722</v>
      </c>
      <c r="C8861" s="1140"/>
      <c r="D8861" s="1129"/>
      <c r="E8861" s="1129"/>
      <c r="F8861" s="1129"/>
      <c r="G8861" s="1129"/>
      <c r="H8861" s="1129" t="s">
        <v>2780</v>
      </c>
      <c r="I8861" s="1129"/>
      <c r="J8861" s="1127"/>
    </row>
    <row r="8862" spans="1:10" x14ac:dyDescent="0.2">
      <c r="A8862" s="997">
        <f t="shared" si="138"/>
        <v>8861</v>
      </c>
      <c r="B8862" s="1129" t="s">
        <v>2722</v>
      </c>
      <c r="C8862" s="1139"/>
      <c r="D8862" s="1129"/>
      <c r="E8862" s="1129"/>
      <c r="F8862" s="1129"/>
      <c r="G8862" s="1129" t="s">
        <v>1109</v>
      </c>
      <c r="H8862" s="1129"/>
      <c r="I8862" s="1129"/>
      <c r="J8862" s="1127"/>
    </row>
    <row r="8863" spans="1:10" x14ac:dyDescent="0.2">
      <c r="A8863" s="997">
        <f t="shared" si="138"/>
        <v>8862</v>
      </c>
      <c r="B8863" s="1129" t="s">
        <v>2722</v>
      </c>
      <c r="C8863" s="1139"/>
      <c r="D8863" s="1129"/>
      <c r="E8863" s="1129"/>
      <c r="F8863" s="1129"/>
      <c r="G8863" s="1129" t="s">
        <v>1106</v>
      </c>
      <c r="H8863" s="1129"/>
      <c r="I8863" s="1129"/>
      <c r="J8863" s="1127"/>
    </row>
    <row r="8864" spans="1:10" x14ac:dyDescent="0.2">
      <c r="A8864" s="997">
        <f t="shared" si="138"/>
        <v>8863</v>
      </c>
      <c r="B8864" s="1129" t="s">
        <v>2722</v>
      </c>
      <c r="C8864" s="1138"/>
      <c r="D8864" s="1129"/>
      <c r="E8864" s="1129"/>
      <c r="F8864" s="1129"/>
      <c r="G8864" s="1129"/>
      <c r="H8864" s="1129" t="s">
        <v>2336</v>
      </c>
      <c r="I8864" s="1129"/>
      <c r="J8864" s="1127"/>
    </row>
    <row r="8865" spans="1:10" x14ac:dyDescent="0.2">
      <c r="A8865" s="997">
        <f t="shared" si="138"/>
        <v>8864</v>
      </c>
      <c r="B8865" s="1129" t="s">
        <v>2722</v>
      </c>
      <c r="C8865" s="1138"/>
      <c r="D8865" s="1129"/>
      <c r="E8865" s="1129"/>
      <c r="F8865" s="1129"/>
      <c r="G8865" s="1129"/>
      <c r="H8865" s="1129" t="str">
        <f>CONCATENATE("&lt;valeur&gt;",Cellule_1082_7,"&lt;/valeur&gt;")</f>
        <v>&lt;valeur&gt;0,2&lt;/valeur&gt;</v>
      </c>
      <c r="I8865" s="1129"/>
      <c r="J8865" s="1127"/>
    </row>
    <row r="8866" spans="1:10" x14ac:dyDescent="0.2">
      <c r="A8866" s="997">
        <f t="shared" si="138"/>
        <v>8865</v>
      </c>
      <c r="B8866" s="1129" t="s">
        <v>2722</v>
      </c>
      <c r="C8866" s="1139"/>
      <c r="D8866" s="1129"/>
      <c r="E8866" s="1129"/>
      <c r="F8866" s="1129"/>
      <c r="G8866" s="1129"/>
      <c r="H8866" s="1129" t="s">
        <v>2780</v>
      </c>
      <c r="I8866" s="1129"/>
      <c r="J8866" s="1127"/>
    </row>
    <row r="8867" spans="1:10" x14ac:dyDescent="0.2">
      <c r="A8867" s="997">
        <f t="shared" si="138"/>
        <v>8866</v>
      </c>
      <c r="B8867" s="1129" t="s">
        <v>2722</v>
      </c>
      <c r="C8867" s="1140"/>
      <c r="D8867" s="1129"/>
      <c r="E8867" s="1129"/>
      <c r="F8867" s="1129"/>
      <c r="G8867" s="1129" t="s">
        <v>1109</v>
      </c>
      <c r="H8867" s="1129"/>
      <c r="I8867" s="1129"/>
      <c r="J8867" s="1127"/>
    </row>
    <row r="8868" spans="1:10" x14ac:dyDescent="0.2">
      <c r="A8868" s="997">
        <f t="shared" si="138"/>
        <v>8867</v>
      </c>
      <c r="B8868" s="1129" t="s">
        <v>2722</v>
      </c>
      <c r="C8868" s="1139"/>
      <c r="D8868" s="1129"/>
      <c r="E8868" s="1129"/>
      <c r="F8868" s="1129"/>
      <c r="G8868" s="1129" t="s">
        <v>1106</v>
      </c>
      <c r="H8868" s="1129"/>
      <c r="I8868" s="1129"/>
      <c r="J8868" s="1127"/>
    </row>
    <row r="8869" spans="1:10" x14ac:dyDescent="0.2">
      <c r="A8869" s="997">
        <f t="shared" si="138"/>
        <v>8868</v>
      </c>
      <c r="B8869" s="1129" t="s">
        <v>2722</v>
      </c>
      <c r="C8869" s="1139"/>
      <c r="D8869" s="1129"/>
      <c r="E8869" s="1129"/>
      <c r="F8869" s="1129"/>
      <c r="G8869" s="1129"/>
      <c r="H8869" s="1129" t="s">
        <v>2337</v>
      </c>
      <c r="I8869" s="1129"/>
      <c r="J8869" s="1127"/>
    </row>
    <row r="8870" spans="1:10" x14ac:dyDescent="0.2">
      <c r="A8870" s="997">
        <f t="shared" si="138"/>
        <v>8869</v>
      </c>
      <c r="B8870" s="1129" t="s">
        <v>2722</v>
      </c>
      <c r="C8870" s="1138"/>
      <c r="D8870" s="1129"/>
      <c r="E8870" s="1129"/>
      <c r="F8870" s="1129"/>
      <c r="G8870" s="1129"/>
      <c r="H8870" s="1129" t="str">
        <f>CONCATENATE("&lt;valeur&gt;",Cellule_1083_7,"&lt;/valeur&gt;")</f>
        <v>&lt;valeur&gt;5&lt;/valeur&gt;</v>
      </c>
      <c r="I8870" s="1129"/>
      <c r="J8870" s="1127"/>
    </row>
    <row r="8871" spans="1:10" x14ac:dyDescent="0.2">
      <c r="A8871" s="997">
        <f t="shared" si="138"/>
        <v>8870</v>
      </c>
      <c r="B8871" s="1129" t="s">
        <v>2722</v>
      </c>
      <c r="C8871" s="1138"/>
      <c r="D8871" s="1129"/>
      <c r="E8871" s="1129"/>
      <c r="F8871" s="1129"/>
      <c r="G8871" s="1129"/>
      <c r="H8871" s="1129" t="s">
        <v>2780</v>
      </c>
      <c r="I8871" s="1129"/>
      <c r="J8871" s="1127"/>
    </row>
    <row r="8872" spans="1:10" x14ac:dyDescent="0.2">
      <c r="A8872" s="997">
        <f t="shared" si="138"/>
        <v>8871</v>
      </c>
      <c r="B8872" s="1129" t="s">
        <v>2722</v>
      </c>
      <c r="C8872" s="1139"/>
      <c r="D8872" s="1129"/>
      <c r="E8872" s="1129"/>
      <c r="F8872" s="1129"/>
      <c r="G8872" s="1129" t="s">
        <v>1109</v>
      </c>
      <c r="H8872" s="1129"/>
      <c r="I8872" s="1129"/>
      <c r="J8872" s="1127"/>
    </row>
    <row r="8873" spans="1:10" x14ac:dyDescent="0.2">
      <c r="A8873" s="997">
        <f t="shared" si="138"/>
        <v>8872</v>
      </c>
      <c r="B8873" s="1129" t="s">
        <v>2722</v>
      </c>
      <c r="C8873" s="1140"/>
      <c r="D8873" s="1129"/>
      <c r="E8873" s="1129"/>
      <c r="F8873" s="1129"/>
      <c r="G8873" s="1129" t="s">
        <v>1106</v>
      </c>
      <c r="H8873" s="1129"/>
      <c r="I8873" s="1129"/>
      <c r="J8873" s="1127"/>
    </row>
    <row r="8874" spans="1:10" x14ac:dyDescent="0.2">
      <c r="A8874" s="997">
        <f t="shared" si="138"/>
        <v>8873</v>
      </c>
      <c r="B8874" s="1129" t="s">
        <v>2722</v>
      </c>
      <c r="C8874" s="1139"/>
      <c r="D8874" s="1129"/>
      <c r="E8874" s="1129"/>
      <c r="F8874" s="1129"/>
      <c r="G8874" s="1129"/>
      <c r="H8874" s="1129" t="s">
        <v>2338</v>
      </c>
      <c r="I8874" s="1129"/>
      <c r="J8874" s="1127"/>
    </row>
    <row r="8875" spans="1:10" x14ac:dyDescent="0.2">
      <c r="A8875" s="997">
        <f t="shared" si="138"/>
        <v>8874</v>
      </c>
      <c r="B8875" s="1129" t="s">
        <v>2722</v>
      </c>
      <c r="C8875" s="1139"/>
      <c r="D8875" s="1129"/>
      <c r="E8875" s="1129"/>
      <c r="F8875" s="1129"/>
      <c r="G8875" s="1129"/>
      <c r="H8875" s="1129" t="str">
        <f>CONCATENATE("&lt;valeur&gt;",Cellule_1084_7,"&lt;/valeur&gt;")</f>
        <v>&lt;valeur&gt;20320,834&lt;/valeur&gt;</v>
      </c>
      <c r="I8875" s="1129"/>
      <c r="J8875" s="1127"/>
    </row>
    <row r="8876" spans="1:10" x14ac:dyDescent="0.2">
      <c r="A8876" s="997">
        <f t="shared" si="138"/>
        <v>8875</v>
      </c>
      <c r="B8876" s="1129" t="s">
        <v>2722</v>
      </c>
      <c r="C8876" s="1138"/>
      <c r="D8876" s="1129"/>
      <c r="E8876" s="1129"/>
      <c r="F8876" s="1129"/>
      <c r="G8876" s="1129"/>
      <c r="H8876" s="1129" t="s">
        <v>2780</v>
      </c>
      <c r="I8876" s="1129"/>
      <c r="J8876" s="1127"/>
    </row>
    <row r="8877" spans="1:10" x14ac:dyDescent="0.2">
      <c r="A8877" s="997">
        <f t="shared" si="138"/>
        <v>8876</v>
      </c>
      <c r="B8877" s="1129" t="s">
        <v>2722</v>
      </c>
      <c r="C8877" s="1138"/>
      <c r="D8877" s="1129"/>
      <c r="E8877" s="1129"/>
      <c r="F8877" s="1129"/>
      <c r="G8877" s="1129" t="s">
        <v>1109</v>
      </c>
      <c r="H8877" s="1129"/>
      <c r="I8877" s="1129"/>
      <c r="J8877" s="1127"/>
    </row>
    <row r="8878" spans="1:10" x14ac:dyDescent="0.2">
      <c r="A8878" s="997">
        <f t="shared" si="138"/>
        <v>8877</v>
      </c>
      <c r="B8878" s="1129" t="s">
        <v>2722</v>
      </c>
      <c r="C8878" s="1139"/>
      <c r="D8878" s="1129"/>
      <c r="E8878" s="1129"/>
      <c r="F8878" s="1129"/>
      <c r="G8878" s="1129" t="s">
        <v>1106</v>
      </c>
      <c r="H8878" s="1129"/>
      <c r="I8878" s="1129"/>
      <c r="J8878" s="1127"/>
    </row>
    <row r="8879" spans="1:10" x14ac:dyDescent="0.2">
      <c r="A8879" s="997">
        <f t="shared" si="138"/>
        <v>8878</v>
      </c>
      <c r="B8879" s="1129" t="s">
        <v>2722</v>
      </c>
      <c r="C8879" s="1140"/>
      <c r="D8879" s="1129"/>
      <c r="E8879" s="1129"/>
      <c r="F8879" s="1129"/>
      <c r="G8879" s="1129"/>
      <c r="H8879" s="1129" t="s">
        <v>2339</v>
      </c>
      <c r="I8879" s="1129"/>
      <c r="J8879" s="1127"/>
    </row>
    <row r="8880" spans="1:10" x14ac:dyDescent="0.2">
      <c r="A8880" s="997">
        <f t="shared" si="138"/>
        <v>8879</v>
      </c>
      <c r="B8880" s="1129" t="s">
        <v>2722</v>
      </c>
      <c r="C8880" s="1139"/>
      <c r="D8880" s="1129"/>
      <c r="E8880" s="1129"/>
      <c r="F8880" s="1129"/>
      <c r="G8880" s="1129"/>
      <c r="H8880" s="1129" t="str">
        <f>CONCATENATE("&lt;valeur&gt;",Cellule_1085_7,"&lt;/valeur&gt;")</f>
        <v>&lt;valeur&gt;20320,834&lt;/valeur&gt;</v>
      </c>
      <c r="I8880" s="1129"/>
      <c r="J8880" s="1127"/>
    </row>
    <row r="8881" spans="1:10" x14ac:dyDescent="0.2">
      <c r="A8881" s="997">
        <f t="shared" si="138"/>
        <v>8880</v>
      </c>
      <c r="B8881" s="1129" t="s">
        <v>2722</v>
      </c>
      <c r="C8881" s="1139"/>
      <c r="D8881" s="1129"/>
      <c r="E8881" s="1129"/>
      <c r="F8881" s="1129"/>
      <c r="G8881" s="1129"/>
      <c r="H8881" s="1129" t="s">
        <v>2780</v>
      </c>
      <c r="I8881" s="1129"/>
      <c r="J8881" s="1127"/>
    </row>
    <row r="8882" spans="1:10" x14ac:dyDescent="0.2">
      <c r="A8882" s="997">
        <f t="shared" si="138"/>
        <v>8881</v>
      </c>
      <c r="B8882" s="1129" t="s">
        <v>2722</v>
      </c>
      <c r="C8882" s="1138"/>
      <c r="D8882" s="1129"/>
      <c r="E8882" s="1129"/>
      <c r="F8882" s="1129"/>
      <c r="G8882" s="1129" t="s">
        <v>1109</v>
      </c>
      <c r="H8882" s="1129"/>
      <c r="I8882" s="1129"/>
      <c r="J8882" s="1127"/>
    </row>
    <row r="8883" spans="1:10" x14ac:dyDescent="0.2">
      <c r="A8883" s="997">
        <f t="shared" si="138"/>
        <v>8882</v>
      </c>
      <c r="B8883" s="1129" t="s">
        <v>2722</v>
      </c>
      <c r="C8883" s="1138"/>
      <c r="D8883" s="1129"/>
      <c r="E8883" s="1129"/>
      <c r="F8883" s="1129"/>
      <c r="G8883" s="1129" t="s">
        <v>1106</v>
      </c>
      <c r="H8883" s="1129"/>
      <c r="I8883" s="1129"/>
      <c r="J8883" s="1127"/>
    </row>
    <row r="8884" spans="1:10" x14ac:dyDescent="0.2">
      <c r="A8884" s="997">
        <f t="shared" si="138"/>
        <v>8883</v>
      </c>
      <c r="B8884" s="1129" t="s">
        <v>2722</v>
      </c>
      <c r="C8884" s="1139"/>
      <c r="D8884" s="1129"/>
      <c r="E8884" s="1129"/>
      <c r="F8884" s="1129"/>
      <c r="G8884" s="1129"/>
      <c r="H8884" s="1129" t="s">
        <v>2340</v>
      </c>
      <c r="I8884" s="1129"/>
      <c r="J8884" s="1127"/>
    </row>
    <row r="8885" spans="1:10" x14ac:dyDescent="0.2">
      <c r="A8885" s="997">
        <f t="shared" si="138"/>
        <v>8884</v>
      </c>
      <c r="B8885" s="1129" t="s">
        <v>2722</v>
      </c>
      <c r="C8885" s="1140"/>
      <c r="D8885" s="1129"/>
      <c r="E8885" s="1129"/>
      <c r="F8885" s="1129"/>
      <c r="G8885" s="1129"/>
      <c r="H8885" s="1129" t="str">
        <f>CONCATENATE("&lt;valeur&gt;",Cellule_1086_7,"&lt;/valeur&gt;")</f>
        <v>&lt;valeur&gt;&lt;/valeur&gt;</v>
      </c>
      <c r="I8885" s="1129"/>
      <c r="J8885" s="1127"/>
    </row>
    <row r="8886" spans="1:10" x14ac:dyDescent="0.2">
      <c r="A8886" s="997">
        <f t="shared" si="138"/>
        <v>8885</v>
      </c>
      <c r="B8886" s="1129" t="s">
        <v>2722</v>
      </c>
      <c r="C8886" s="1139"/>
      <c r="D8886" s="1129"/>
      <c r="E8886" s="1129"/>
      <c r="F8886" s="1129"/>
      <c r="G8886" s="1129"/>
      <c r="H8886" s="1129" t="s">
        <v>2780</v>
      </c>
      <c r="I8886" s="1129"/>
      <c r="J8886" s="1127"/>
    </row>
    <row r="8887" spans="1:10" x14ac:dyDescent="0.2">
      <c r="A8887" s="997">
        <f t="shared" si="138"/>
        <v>8886</v>
      </c>
      <c r="B8887" s="1130" t="s">
        <v>2722</v>
      </c>
      <c r="C8887" s="1144"/>
      <c r="D8887" s="1130"/>
      <c r="E8887" s="1130"/>
      <c r="F8887" s="1130"/>
      <c r="G8887" s="1130" t="s">
        <v>1109</v>
      </c>
      <c r="H8887" s="1130"/>
      <c r="I8887" s="1130"/>
      <c r="J8887" s="1142"/>
    </row>
    <row r="8888" spans="1:10" x14ac:dyDescent="0.2">
      <c r="A8888" s="997">
        <f t="shared" si="138"/>
        <v>8887</v>
      </c>
      <c r="B8888" s="1128" t="s">
        <v>2722</v>
      </c>
      <c r="C8888" s="1143"/>
      <c r="D8888" s="1128"/>
      <c r="E8888" s="1128"/>
      <c r="F8888" s="1128"/>
      <c r="G8888" s="1128" t="s">
        <v>1106</v>
      </c>
      <c r="H8888" s="1128"/>
      <c r="I8888" s="1128"/>
      <c r="J8888" s="1124"/>
    </row>
    <row r="8889" spans="1:10" x14ac:dyDescent="0.2">
      <c r="A8889" s="997">
        <f t="shared" si="138"/>
        <v>8888</v>
      </c>
      <c r="B8889" s="1129" t="s">
        <v>2722</v>
      </c>
      <c r="C8889" s="1139"/>
      <c r="D8889" s="1129"/>
      <c r="E8889" s="1129"/>
      <c r="F8889" s="1129"/>
      <c r="G8889" s="1129"/>
      <c r="H8889" s="1129" t="s">
        <v>2331</v>
      </c>
      <c r="I8889" s="1129"/>
      <c r="J8889" s="1127"/>
    </row>
    <row r="8890" spans="1:10" x14ac:dyDescent="0.2">
      <c r="A8890" s="997">
        <f t="shared" si="138"/>
        <v>8889</v>
      </c>
      <c r="B8890" s="1129" t="s">
        <v>2722</v>
      </c>
      <c r="C8890" s="1138"/>
      <c r="D8890" s="1129"/>
      <c r="E8890" s="1129"/>
      <c r="F8890" s="1129"/>
      <c r="G8890" s="1129"/>
      <c r="H8890" s="1129" t="str">
        <f>CONCATENATE("&lt;valeur&gt;",Cellule_10061_8,"&lt;/valeur&gt;")</f>
        <v>&lt;valeur&gt;MAT DE TRANSPORST&lt;/valeur&gt;</v>
      </c>
      <c r="I8890" s="1129"/>
      <c r="J8890" s="1127"/>
    </row>
    <row r="8891" spans="1:10" x14ac:dyDescent="0.2">
      <c r="A8891" s="997">
        <f t="shared" si="138"/>
        <v>8890</v>
      </c>
      <c r="B8891" s="1129" t="s">
        <v>2722</v>
      </c>
      <c r="C8891" s="1138"/>
      <c r="D8891" s="1129"/>
      <c r="E8891" s="1129"/>
      <c r="F8891" s="1129"/>
      <c r="G8891" s="1129"/>
      <c r="H8891" s="1129" t="s">
        <v>2781</v>
      </c>
      <c r="I8891" s="1129"/>
      <c r="J8891" s="1127"/>
    </row>
    <row r="8892" spans="1:10" x14ac:dyDescent="0.2">
      <c r="A8892" s="997">
        <f t="shared" si="138"/>
        <v>8891</v>
      </c>
      <c r="B8892" s="1129" t="s">
        <v>2722</v>
      </c>
      <c r="C8892" s="1139"/>
      <c r="D8892" s="1129"/>
      <c r="E8892" s="1129"/>
      <c r="F8892" s="1129"/>
      <c r="G8892" s="1129" t="s">
        <v>1109</v>
      </c>
      <c r="H8892" s="1129"/>
      <c r="I8892" s="1129"/>
      <c r="J8892" s="1127"/>
    </row>
    <row r="8893" spans="1:10" x14ac:dyDescent="0.2">
      <c r="A8893" s="997">
        <f t="shared" si="138"/>
        <v>8892</v>
      </c>
      <c r="B8893" s="1129" t="s">
        <v>2722</v>
      </c>
      <c r="C8893" s="1140"/>
      <c r="D8893" s="1129"/>
      <c r="E8893" s="1129"/>
      <c r="F8893" s="1129"/>
      <c r="G8893" s="1129" t="s">
        <v>1106</v>
      </c>
      <c r="H8893" s="1129"/>
      <c r="I8893" s="1129"/>
      <c r="J8893" s="1127"/>
    </row>
    <row r="8894" spans="1:10" x14ac:dyDescent="0.2">
      <c r="A8894" s="997">
        <f t="shared" si="138"/>
        <v>8893</v>
      </c>
      <c r="B8894" s="1129" t="s">
        <v>2722</v>
      </c>
      <c r="C8894" s="1139"/>
      <c r="D8894" s="1129"/>
      <c r="E8894" s="1129"/>
      <c r="F8894" s="1129"/>
      <c r="G8894" s="1129"/>
      <c r="H8894" s="1129" t="s">
        <v>2332</v>
      </c>
      <c r="I8894" s="1129"/>
      <c r="J8894" s="1127"/>
    </row>
    <row r="8895" spans="1:10" x14ac:dyDescent="0.2">
      <c r="A8895" s="997">
        <f t="shared" si="138"/>
        <v>8894</v>
      </c>
      <c r="B8895" s="1129" t="s">
        <v>2722</v>
      </c>
      <c r="C8895" s="1139"/>
      <c r="D8895" s="1129"/>
      <c r="E8895" s="1129"/>
      <c r="F8895" s="1129"/>
      <c r="G8895" s="1129"/>
      <c r="H8895" s="1129" t="str">
        <f>CONCATENATE("&lt;valeur&gt;",Cellule_1078_8,"&lt;/valeur&gt;")</f>
        <v>&lt;valeur&gt;31/112/17&lt;/valeur&gt;</v>
      </c>
      <c r="I8895" s="1129"/>
      <c r="J8895" s="1127"/>
    </row>
    <row r="8896" spans="1:10" x14ac:dyDescent="0.2">
      <c r="A8896" s="997">
        <f t="shared" si="138"/>
        <v>8895</v>
      </c>
      <c r="B8896" s="1129" t="s">
        <v>2722</v>
      </c>
      <c r="C8896" s="1138"/>
      <c r="D8896" s="1129"/>
      <c r="E8896" s="1129"/>
      <c r="F8896" s="1129"/>
      <c r="G8896" s="1129"/>
      <c r="H8896" s="1129" t="s">
        <v>2781</v>
      </c>
      <c r="I8896" s="1129"/>
      <c r="J8896" s="1127"/>
    </row>
    <row r="8897" spans="1:10" x14ac:dyDescent="0.2">
      <c r="A8897" s="997">
        <f t="shared" si="138"/>
        <v>8896</v>
      </c>
      <c r="B8897" s="1129" t="s">
        <v>2722</v>
      </c>
      <c r="C8897" s="1138"/>
      <c r="D8897" s="1129"/>
      <c r="E8897" s="1129"/>
      <c r="F8897" s="1129"/>
      <c r="G8897" s="1129" t="s">
        <v>1109</v>
      </c>
      <c r="H8897" s="1129"/>
      <c r="I8897" s="1129"/>
      <c r="J8897" s="1127"/>
    </row>
    <row r="8898" spans="1:10" x14ac:dyDescent="0.2">
      <c r="A8898" s="997">
        <f t="shared" si="138"/>
        <v>8897</v>
      </c>
      <c r="B8898" s="1129" t="s">
        <v>2722</v>
      </c>
      <c r="C8898" s="1139"/>
      <c r="D8898" s="1129"/>
      <c r="E8898" s="1129"/>
      <c r="F8898" s="1129"/>
      <c r="G8898" s="1129" t="s">
        <v>1106</v>
      </c>
      <c r="H8898" s="1129"/>
      <c r="I8898" s="1129"/>
      <c r="J8898" s="1127"/>
    </row>
    <row r="8899" spans="1:10" x14ac:dyDescent="0.2">
      <c r="A8899" s="997">
        <f t="shared" si="138"/>
        <v>8898</v>
      </c>
      <c r="B8899" s="1129" t="s">
        <v>2722</v>
      </c>
      <c r="C8899" s="1140"/>
      <c r="D8899" s="1129"/>
      <c r="E8899" s="1129"/>
      <c r="F8899" s="1129"/>
      <c r="G8899" s="1129"/>
      <c r="H8899" s="1129" t="s">
        <v>2333</v>
      </c>
      <c r="I8899" s="1129"/>
      <c r="J8899" s="1127"/>
    </row>
    <row r="8900" spans="1:10" x14ac:dyDescent="0.2">
      <c r="A8900" s="997">
        <f t="shared" ref="A8900:A8963" si="139">+A8899+1</f>
        <v>8899</v>
      </c>
      <c r="B8900" s="1129" t="s">
        <v>2722</v>
      </c>
      <c r="C8900" s="1139"/>
      <c r="D8900" s="1129"/>
      <c r="E8900" s="1129"/>
      <c r="F8900" s="1129"/>
      <c r="G8900" s="1129"/>
      <c r="H8900" s="1129" t="str">
        <f>CONCATENATE("&lt;valeur&gt;",Cellule_1079_8,"&lt;/valeur&gt;")</f>
        <v>&lt;valeur&gt;103842,24&lt;/valeur&gt;</v>
      </c>
      <c r="I8900" s="1129"/>
      <c r="J8900" s="1127"/>
    </row>
    <row r="8901" spans="1:10" x14ac:dyDescent="0.2">
      <c r="A8901" s="997">
        <f t="shared" si="139"/>
        <v>8900</v>
      </c>
      <c r="B8901" s="1129" t="s">
        <v>2722</v>
      </c>
      <c r="C8901" s="1139"/>
      <c r="D8901" s="1129"/>
      <c r="E8901" s="1129"/>
      <c r="F8901" s="1129"/>
      <c r="G8901" s="1129"/>
      <c r="H8901" s="1129" t="s">
        <v>2781</v>
      </c>
      <c r="I8901" s="1129"/>
      <c r="J8901" s="1127"/>
    </row>
    <row r="8902" spans="1:10" x14ac:dyDescent="0.2">
      <c r="A8902" s="997">
        <f t="shared" si="139"/>
        <v>8901</v>
      </c>
      <c r="B8902" s="1129" t="s">
        <v>2722</v>
      </c>
      <c r="C8902" s="1138"/>
      <c r="D8902" s="1129"/>
      <c r="E8902" s="1129"/>
      <c r="F8902" s="1129"/>
      <c r="G8902" s="1129" t="s">
        <v>1109</v>
      </c>
      <c r="H8902" s="1129"/>
      <c r="I8902" s="1129"/>
      <c r="J8902" s="1127"/>
    </row>
    <row r="8903" spans="1:10" x14ac:dyDescent="0.2">
      <c r="A8903" s="997">
        <f t="shared" si="139"/>
        <v>8902</v>
      </c>
      <c r="B8903" s="1129" t="s">
        <v>2722</v>
      </c>
      <c r="C8903" s="1138"/>
      <c r="D8903" s="1129"/>
      <c r="E8903" s="1129"/>
      <c r="F8903" s="1129"/>
      <c r="G8903" s="1129" t="s">
        <v>1106</v>
      </c>
      <c r="H8903" s="1129"/>
      <c r="I8903" s="1129"/>
      <c r="J8903" s="1127"/>
    </row>
    <row r="8904" spans="1:10" x14ac:dyDescent="0.2">
      <c r="A8904" s="997">
        <f t="shared" si="139"/>
        <v>8903</v>
      </c>
      <c r="B8904" s="1129" t="s">
        <v>2722</v>
      </c>
      <c r="C8904" s="1139"/>
      <c r="D8904" s="1129"/>
      <c r="E8904" s="1129"/>
      <c r="F8904" s="1129"/>
      <c r="G8904" s="1129"/>
      <c r="H8904" s="1129" t="s">
        <v>2334</v>
      </c>
      <c r="I8904" s="1129"/>
      <c r="J8904" s="1127"/>
    </row>
    <row r="8905" spans="1:10" x14ac:dyDescent="0.2">
      <c r="A8905" s="997">
        <f t="shared" si="139"/>
        <v>8904</v>
      </c>
      <c r="B8905" s="1129" t="s">
        <v>2722</v>
      </c>
      <c r="C8905" s="1140"/>
      <c r="D8905" s="1129"/>
      <c r="E8905" s="1129"/>
      <c r="F8905" s="1129"/>
      <c r="G8905" s="1129"/>
      <c r="H8905" s="1129" t="str">
        <f>CONCATENATE("&lt;valeur&gt;",Cellule_1080_8,"&lt;/valeur&gt;")</f>
        <v>&lt;valeur&gt;&lt;/valeur&gt;</v>
      </c>
      <c r="I8905" s="1129"/>
      <c r="J8905" s="1127"/>
    </row>
    <row r="8906" spans="1:10" x14ac:dyDescent="0.2">
      <c r="A8906" s="997">
        <f t="shared" si="139"/>
        <v>8905</v>
      </c>
      <c r="B8906" s="1129" t="s">
        <v>2722</v>
      </c>
      <c r="C8906" s="1139"/>
      <c r="D8906" s="1129"/>
      <c r="E8906" s="1129"/>
      <c r="F8906" s="1129"/>
      <c r="G8906" s="1129"/>
      <c r="H8906" s="1129" t="s">
        <v>2781</v>
      </c>
      <c r="I8906" s="1129"/>
      <c r="J8906" s="1127"/>
    </row>
    <row r="8907" spans="1:10" x14ac:dyDescent="0.2">
      <c r="A8907" s="997">
        <f t="shared" si="139"/>
        <v>8906</v>
      </c>
      <c r="B8907" s="1129" t="s">
        <v>2722</v>
      </c>
      <c r="C8907" s="1139"/>
      <c r="D8907" s="1129"/>
      <c r="E8907" s="1129"/>
      <c r="F8907" s="1129"/>
      <c r="G8907" s="1129" t="s">
        <v>1109</v>
      </c>
      <c r="H8907" s="1129"/>
      <c r="I8907" s="1129"/>
      <c r="J8907" s="1127"/>
    </row>
    <row r="8908" spans="1:10" x14ac:dyDescent="0.2">
      <c r="A8908" s="997">
        <f t="shared" si="139"/>
        <v>8907</v>
      </c>
      <c r="B8908" s="1129" t="s">
        <v>2722</v>
      </c>
      <c r="C8908" s="1138"/>
      <c r="D8908" s="1129"/>
      <c r="E8908" s="1129"/>
      <c r="F8908" s="1129"/>
      <c r="G8908" s="1129" t="s">
        <v>1106</v>
      </c>
      <c r="H8908" s="1129"/>
      <c r="I8908" s="1129"/>
      <c r="J8908" s="1127"/>
    </row>
    <row r="8909" spans="1:10" x14ac:dyDescent="0.2">
      <c r="A8909" s="997">
        <f t="shared" si="139"/>
        <v>8908</v>
      </c>
      <c r="B8909" s="1129" t="s">
        <v>2722</v>
      </c>
      <c r="C8909" s="1138"/>
      <c r="D8909" s="1129"/>
      <c r="E8909" s="1129"/>
      <c r="F8909" s="1129"/>
      <c r="G8909" s="1129"/>
      <c r="H8909" s="1129" t="s">
        <v>2335</v>
      </c>
      <c r="I8909" s="1129"/>
      <c r="J8909" s="1127"/>
    </row>
    <row r="8910" spans="1:10" x14ac:dyDescent="0.2">
      <c r="A8910" s="997">
        <f t="shared" si="139"/>
        <v>8909</v>
      </c>
      <c r="B8910" s="1129" t="s">
        <v>2722</v>
      </c>
      <c r="C8910" s="1139"/>
      <c r="D8910" s="1129"/>
      <c r="E8910" s="1129"/>
      <c r="F8910" s="1129"/>
      <c r="G8910" s="1129"/>
      <c r="H8910" s="1129" t="str">
        <f>CONCATENATE("&lt;valeur&gt;",Cellule_1081_8,"&lt;/valeur&gt;")</f>
        <v>&lt;valeur&gt;0&lt;/valeur&gt;</v>
      </c>
      <c r="I8910" s="1129"/>
      <c r="J8910" s="1127"/>
    </row>
    <row r="8911" spans="1:10" x14ac:dyDescent="0.2">
      <c r="A8911" s="997">
        <f t="shared" si="139"/>
        <v>8910</v>
      </c>
      <c r="B8911" s="1129" t="s">
        <v>2722</v>
      </c>
      <c r="C8911" s="1140"/>
      <c r="D8911" s="1129"/>
      <c r="E8911" s="1129"/>
      <c r="F8911" s="1129"/>
      <c r="G8911" s="1129"/>
      <c r="H8911" s="1129" t="s">
        <v>2781</v>
      </c>
      <c r="I8911" s="1129"/>
      <c r="J8911" s="1127"/>
    </row>
    <row r="8912" spans="1:10" x14ac:dyDescent="0.2">
      <c r="A8912" s="997">
        <f t="shared" si="139"/>
        <v>8911</v>
      </c>
      <c r="B8912" s="1129" t="s">
        <v>2722</v>
      </c>
      <c r="C8912" s="1139"/>
      <c r="D8912" s="1129"/>
      <c r="E8912" s="1129"/>
      <c r="F8912" s="1129"/>
      <c r="G8912" s="1129" t="s">
        <v>1109</v>
      </c>
      <c r="H8912" s="1129"/>
      <c r="I8912" s="1129"/>
      <c r="J8912" s="1127"/>
    </row>
    <row r="8913" spans="1:10" x14ac:dyDescent="0.2">
      <c r="A8913" s="997">
        <f t="shared" si="139"/>
        <v>8912</v>
      </c>
      <c r="B8913" s="1129" t="s">
        <v>2722</v>
      </c>
      <c r="C8913" s="1139"/>
      <c r="D8913" s="1129"/>
      <c r="E8913" s="1129"/>
      <c r="F8913" s="1129"/>
      <c r="G8913" s="1129" t="s">
        <v>1106</v>
      </c>
      <c r="H8913" s="1129"/>
      <c r="I8913" s="1129"/>
      <c r="J8913" s="1127"/>
    </row>
    <row r="8914" spans="1:10" x14ac:dyDescent="0.2">
      <c r="A8914" s="997">
        <f t="shared" si="139"/>
        <v>8913</v>
      </c>
      <c r="B8914" s="1129" t="s">
        <v>2722</v>
      </c>
      <c r="C8914" s="1138"/>
      <c r="D8914" s="1129"/>
      <c r="E8914" s="1129"/>
      <c r="F8914" s="1129"/>
      <c r="G8914" s="1129"/>
      <c r="H8914" s="1129" t="s">
        <v>2336</v>
      </c>
      <c r="I8914" s="1129"/>
      <c r="J8914" s="1127"/>
    </row>
    <row r="8915" spans="1:10" x14ac:dyDescent="0.2">
      <c r="A8915" s="997">
        <f t="shared" si="139"/>
        <v>8914</v>
      </c>
      <c r="B8915" s="1129" t="s">
        <v>2722</v>
      </c>
      <c r="C8915" s="1138"/>
      <c r="D8915" s="1129"/>
      <c r="E8915" s="1129"/>
      <c r="F8915" s="1129"/>
      <c r="G8915" s="1129"/>
      <c r="H8915" s="1129" t="str">
        <f>CONCATENATE("&lt;valeur&gt;",Cellule_1082_8,"&lt;/valeur&gt;")</f>
        <v>&lt;valeur&gt;0,2&lt;/valeur&gt;</v>
      </c>
      <c r="I8915" s="1129"/>
      <c r="J8915" s="1127"/>
    </row>
    <row r="8916" spans="1:10" x14ac:dyDescent="0.2">
      <c r="A8916" s="997">
        <f t="shared" si="139"/>
        <v>8915</v>
      </c>
      <c r="B8916" s="1129" t="s">
        <v>2722</v>
      </c>
      <c r="C8916" s="1139"/>
      <c r="D8916" s="1129"/>
      <c r="E8916" s="1129"/>
      <c r="F8916" s="1129"/>
      <c r="G8916" s="1129"/>
      <c r="H8916" s="1129" t="s">
        <v>2781</v>
      </c>
      <c r="I8916" s="1129"/>
      <c r="J8916" s="1127"/>
    </row>
    <row r="8917" spans="1:10" x14ac:dyDescent="0.2">
      <c r="A8917" s="997">
        <f t="shared" si="139"/>
        <v>8916</v>
      </c>
      <c r="B8917" s="1129" t="s">
        <v>2722</v>
      </c>
      <c r="C8917" s="1140"/>
      <c r="D8917" s="1129"/>
      <c r="E8917" s="1129"/>
      <c r="F8917" s="1129"/>
      <c r="G8917" s="1129" t="s">
        <v>1109</v>
      </c>
      <c r="H8917" s="1129"/>
      <c r="I8917" s="1129"/>
      <c r="J8917" s="1127"/>
    </row>
    <row r="8918" spans="1:10" x14ac:dyDescent="0.2">
      <c r="A8918" s="997">
        <f t="shared" si="139"/>
        <v>8917</v>
      </c>
      <c r="B8918" s="1129" t="s">
        <v>2722</v>
      </c>
      <c r="C8918" s="1139"/>
      <c r="D8918" s="1129"/>
      <c r="E8918" s="1129"/>
      <c r="F8918" s="1129"/>
      <c r="G8918" s="1129" t="s">
        <v>1106</v>
      </c>
      <c r="H8918" s="1129"/>
      <c r="I8918" s="1129"/>
      <c r="J8918" s="1127"/>
    </row>
    <row r="8919" spans="1:10" x14ac:dyDescent="0.2">
      <c r="A8919" s="997">
        <f t="shared" si="139"/>
        <v>8918</v>
      </c>
      <c r="B8919" s="1129" t="s">
        <v>2722</v>
      </c>
      <c r="C8919" s="1139"/>
      <c r="D8919" s="1129"/>
      <c r="E8919" s="1129"/>
      <c r="F8919" s="1129"/>
      <c r="G8919" s="1129"/>
      <c r="H8919" s="1129" t="s">
        <v>2337</v>
      </c>
      <c r="I8919" s="1129"/>
      <c r="J8919" s="1127"/>
    </row>
    <row r="8920" spans="1:10" x14ac:dyDescent="0.2">
      <c r="A8920" s="997">
        <f t="shared" si="139"/>
        <v>8919</v>
      </c>
      <c r="B8920" s="1129" t="s">
        <v>2722</v>
      </c>
      <c r="C8920" s="1138"/>
      <c r="D8920" s="1129"/>
      <c r="E8920" s="1129"/>
      <c r="F8920" s="1129"/>
      <c r="G8920" s="1129"/>
      <c r="H8920" s="1129" t="str">
        <f>CONCATENATE("&lt;valeur&gt;",Cellule_1083_8,"&lt;/valeur&gt;")</f>
        <v>&lt;valeur&gt;5&lt;/valeur&gt;</v>
      </c>
      <c r="I8920" s="1129"/>
      <c r="J8920" s="1127"/>
    </row>
    <row r="8921" spans="1:10" x14ac:dyDescent="0.2">
      <c r="A8921" s="997">
        <f t="shared" si="139"/>
        <v>8920</v>
      </c>
      <c r="B8921" s="1129" t="s">
        <v>2722</v>
      </c>
      <c r="C8921" s="1138"/>
      <c r="D8921" s="1129"/>
      <c r="E8921" s="1129"/>
      <c r="F8921" s="1129"/>
      <c r="G8921" s="1129"/>
      <c r="H8921" s="1129" t="s">
        <v>2781</v>
      </c>
      <c r="I8921" s="1129"/>
      <c r="J8921" s="1127"/>
    </row>
    <row r="8922" spans="1:10" x14ac:dyDescent="0.2">
      <c r="A8922" s="997">
        <f t="shared" si="139"/>
        <v>8921</v>
      </c>
      <c r="B8922" s="1129" t="s">
        <v>2722</v>
      </c>
      <c r="C8922" s="1139"/>
      <c r="D8922" s="1129"/>
      <c r="E8922" s="1129"/>
      <c r="F8922" s="1129"/>
      <c r="G8922" s="1129" t="s">
        <v>1109</v>
      </c>
      <c r="H8922" s="1129"/>
      <c r="I8922" s="1129"/>
      <c r="J8922" s="1127"/>
    </row>
    <row r="8923" spans="1:10" x14ac:dyDescent="0.2">
      <c r="A8923" s="997">
        <f t="shared" si="139"/>
        <v>8922</v>
      </c>
      <c r="B8923" s="1129" t="s">
        <v>2722</v>
      </c>
      <c r="C8923" s="1140"/>
      <c r="D8923" s="1129"/>
      <c r="E8923" s="1129"/>
      <c r="F8923" s="1129"/>
      <c r="G8923" s="1129" t="s">
        <v>1106</v>
      </c>
      <c r="H8923" s="1129"/>
      <c r="I8923" s="1129"/>
      <c r="J8923" s="1127"/>
    </row>
    <row r="8924" spans="1:10" x14ac:dyDescent="0.2">
      <c r="A8924" s="997">
        <f t="shared" si="139"/>
        <v>8923</v>
      </c>
      <c r="B8924" s="1129" t="s">
        <v>2722</v>
      </c>
      <c r="C8924" s="1139"/>
      <c r="D8924" s="1129"/>
      <c r="E8924" s="1129"/>
      <c r="F8924" s="1129"/>
      <c r="G8924" s="1129"/>
      <c r="H8924" s="1129" t="s">
        <v>2338</v>
      </c>
      <c r="I8924" s="1129"/>
      <c r="J8924" s="1127"/>
    </row>
    <row r="8925" spans="1:10" x14ac:dyDescent="0.2">
      <c r="A8925" s="997">
        <f t="shared" si="139"/>
        <v>8924</v>
      </c>
      <c r="B8925" s="1129" t="s">
        <v>2722</v>
      </c>
      <c r="C8925" s="1139"/>
      <c r="D8925" s="1129"/>
      <c r="E8925" s="1129"/>
      <c r="F8925" s="1129"/>
      <c r="G8925" s="1129"/>
      <c r="H8925" s="1129" t="str">
        <f>CONCATENATE("&lt;valeur&gt;",Cellule_1084_8,"&lt;/valeur&gt;")</f>
        <v>&lt;valeur&gt;20768,448&lt;/valeur&gt;</v>
      </c>
      <c r="I8925" s="1129"/>
      <c r="J8925" s="1127"/>
    </row>
    <row r="8926" spans="1:10" x14ac:dyDescent="0.2">
      <c r="A8926" s="997">
        <f t="shared" si="139"/>
        <v>8925</v>
      </c>
      <c r="B8926" s="1129" t="s">
        <v>2722</v>
      </c>
      <c r="C8926" s="1138"/>
      <c r="D8926" s="1129"/>
      <c r="E8926" s="1129"/>
      <c r="F8926" s="1129"/>
      <c r="G8926" s="1129"/>
      <c r="H8926" s="1129" t="s">
        <v>2781</v>
      </c>
      <c r="I8926" s="1129"/>
      <c r="J8926" s="1127"/>
    </row>
    <row r="8927" spans="1:10" x14ac:dyDescent="0.2">
      <c r="A8927" s="997">
        <f t="shared" si="139"/>
        <v>8926</v>
      </c>
      <c r="B8927" s="1129" t="s">
        <v>2722</v>
      </c>
      <c r="C8927" s="1138"/>
      <c r="D8927" s="1129"/>
      <c r="E8927" s="1129"/>
      <c r="F8927" s="1129"/>
      <c r="G8927" s="1129" t="s">
        <v>1109</v>
      </c>
      <c r="H8927" s="1129"/>
      <c r="I8927" s="1129"/>
      <c r="J8927" s="1127"/>
    </row>
    <row r="8928" spans="1:10" x14ac:dyDescent="0.2">
      <c r="A8928" s="997">
        <f t="shared" si="139"/>
        <v>8927</v>
      </c>
      <c r="B8928" s="1129" t="s">
        <v>2722</v>
      </c>
      <c r="C8928" s="1139"/>
      <c r="D8928" s="1129"/>
      <c r="E8928" s="1129"/>
      <c r="F8928" s="1129"/>
      <c r="G8928" s="1129" t="s">
        <v>1106</v>
      </c>
      <c r="H8928" s="1129"/>
      <c r="I8928" s="1129"/>
      <c r="J8928" s="1127"/>
    </row>
    <row r="8929" spans="1:10" x14ac:dyDescent="0.2">
      <c r="A8929" s="997">
        <f t="shared" si="139"/>
        <v>8928</v>
      </c>
      <c r="B8929" s="1129" t="s">
        <v>2722</v>
      </c>
      <c r="C8929" s="1140"/>
      <c r="D8929" s="1129"/>
      <c r="E8929" s="1129"/>
      <c r="F8929" s="1129"/>
      <c r="G8929" s="1129"/>
      <c r="H8929" s="1129" t="s">
        <v>2339</v>
      </c>
      <c r="I8929" s="1129"/>
      <c r="J8929" s="1127"/>
    </row>
    <row r="8930" spans="1:10" x14ac:dyDescent="0.2">
      <c r="A8930" s="997">
        <f t="shared" si="139"/>
        <v>8929</v>
      </c>
      <c r="B8930" s="1129" t="s">
        <v>2722</v>
      </c>
      <c r="C8930" s="1139"/>
      <c r="D8930" s="1129"/>
      <c r="E8930" s="1129"/>
      <c r="F8930" s="1129"/>
      <c r="G8930" s="1129"/>
      <c r="H8930" s="1129" t="str">
        <f>CONCATENATE("&lt;valeur&gt;",Cellule_1085_8,"&lt;/valeur&gt;")</f>
        <v>&lt;valeur&gt;20768,448&lt;/valeur&gt;</v>
      </c>
      <c r="I8930" s="1129"/>
      <c r="J8930" s="1127"/>
    </row>
    <row r="8931" spans="1:10" x14ac:dyDescent="0.2">
      <c r="A8931" s="997">
        <f t="shared" si="139"/>
        <v>8930</v>
      </c>
      <c r="B8931" s="1129" t="s">
        <v>2722</v>
      </c>
      <c r="C8931" s="1139"/>
      <c r="D8931" s="1129"/>
      <c r="E8931" s="1129"/>
      <c r="F8931" s="1129"/>
      <c r="G8931" s="1129"/>
      <c r="H8931" s="1129" t="s">
        <v>2781</v>
      </c>
      <c r="I8931" s="1129"/>
      <c r="J8931" s="1127"/>
    </row>
    <row r="8932" spans="1:10" x14ac:dyDescent="0.2">
      <c r="A8932" s="997">
        <f t="shared" si="139"/>
        <v>8931</v>
      </c>
      <c r="B8932" s="1129" t="s">
        <v>2722</v>
      </c>
      <c r="C8932" s="1138"/>
      <c r="D8932" s="1129"/>
      <c r="E8932" s="1129"/>
      <c r="F8932" s="1129"/>
      <c r="G8932" s="1129" t="s">
        <v>1109</v>
      </c>
      <c r="H8932" s="1129"/>
      <c r="I8932" s="1129"/>
      <c r="J8932" s="1127"/>
    </row>
    <row r="8933" spans="1:10" x14ac:dyDescent="0.2">
      <c r="A8933" s="997">
        <f t="shared" si="139"/>
        <v>8932</v>
      </c>
      <c r="B8933" s="1129" t="s">
        <v>2722</v>
      </c>
      <c r="C8933" s="1138"/>
      <c r="D8933" s="1129"/>
      <c r="E8933" s="1129"/>
      <c r="F8933" s="1129"/>
      <c r="G8933" s="1129" t="s">
        <v>1106</v>
      </c>
      <c r="H8933" s="1129"/>
      <c r="I8933" s="1129"/>
      <c r="J8933" s="1127"/>
    </row>
    <row r="8934" spans="1:10" x14ac:dyDescent="0.2">
      <c r="A8934" s="997">
        <f t="shared" si="139"/>
        <v>8933</v>
      </c>
      <c r="B8934" s="1129" t="s">
        <v>2722</v>
      </c>
      <c r="C8934" s="1139"/>
      <c r="D8934" s="1129"/>
      <c r="E8934" s="1129"/>
      <c r="F8934" s="1129"/>
      <c r="G8934" s="1129"/>
      <c r="H8934" s="1129" t="s">
        <v>2340</v>
      </c>
      <c r="I8934" s="1129"/>
      <c r="J8934" s="1127"/>
    </row>
    <row r="8935" spans="1:10" x14ac:dyDescent="0.2">
      <c r="A8935" s="997">
        <f t="shared" si="139"/>
        <v>8934</v>
      </c>
      <c r="B8935" s="1129" t="s">
        <v>2722</v>
      </c>
      <c r="C8935" s="1140"/>
      <c r="D8935" s="1129"/>
      <c r="E8935" s="1129"/>
      <c r="F8935" s="1129"/>
      <c r="G8935" s="1129"/>
      <c r="H8935" s="1129" t="str">
        <f>CONCATENATE("&lt;valeur&gt;",Cellule_1086_8,"&lt;/valeur&gt;")</f>
        <v>&lt;valeur&gt;&lt;/valeur&gt;</v>
      </c>
      <c r="I8935" s="1129"/>
      <c r="J8935" s="1127"/>
    </row>
    <row r="8936" spans="1:10" x14ac:dyDescent="0.2">
      <c r="A8936" s="997">
        <f t="shared" si="139"/>
        <v>8935</v>
      </c>
      <c r="B8936" s="1129" t="s">
        <v>2722</v>
      </c>
      <c r="C8936" s="1139"/>
      <c r="D8936" s="1129"/>
      <c r="E8936" s="1129"/>
      <c r="F8936" s="1129"/>
      <c r="G8936" s="1129"/>
      <c r="H8936" s="1129" t="s">
        <v>2781</v>
      </c>
      <c r="I8936" s="1129"/>
      <c r="J8936" s="1127"/>
    </row>
    <row r="8937" spans="1:10" x14ac:dyDescent="0.2">
      <c r="A8937" s="997">
        <f t="shared" si="139"/>
        <v>8936</v>
      </c>
      <c r="B8937" s="1130" t="s">
        <v>2722</v>
      </c>
      <c r="C8937" s="1144"/>
      <c r="D8937" s="1130"/>
      <c r="E8937" s="1130"/>
      <c r="F8937" s="1130"/>
      <c r="G8937" s="1130" t="s">
        <v>1109</v>
      </c>
      <c r="H8937" s="1130"/>
      <c r="I8937" s="1130"/>
      <c r="J8937" s="1142"/>
    </row>
    <row r="8938" spans="1:10" x14ac:dyDescent="0.2">
      <c r="A8938" s="997">
        <f t="shared" si="139"/>
        <v>8937</v>
      </c>
      <c r="B8938" s="1128" t="s">
        <v>2722</v>
      </c>
      <c r="C8938" s="1143"/>
      <c r="D8938" s="1128"/>
      <c r="E8938" s="1128"/>
      <c r="F8938" s="1128"/>
      <c r="G8938" s="1128" t="s">
        <v>1106</v>
      </c>
      <c r="H8938" s="1128"/>
      <c r="I8938" s="1128"/>
      <c r="J8938" s="1124"/>
    </row>
    <row r="8939" spans="1:10" x14ac:dyDescent="0.2">
      <c r="A8939" s="997">
        <f t="shared" si="139"/>
        <v>8938</v>
      </c>
      <c r="B8939" s="1129" t="s">
        <v>2722</v>
      </c>
      <c r="C8939" s="1139"/>
      <c r="D8939" s="1129"/>
      <c r="E8939" s="1129"/>
      <c r="F8939" s="1129"/>
      <c r="G8939" s="1129"/>
      <c r="H8939" s="1129" t="s">
        <v>2331</v>
      </c>
      <c r="I8939" s="1129"/>
      <c r="J8939" s="1127"/>
    </row>
    <row r="8940" spans="1:10" x14ac:dyDescent="0.2">
      <c r="A8940" s="997">
        <f t="shared" si="139"/>
        <v>8939</v>
      </c>
      <c r="B8940" s="1129" t="s">
        <v>2722</v>
      </c>
      <c r="C8940" s="1138"/>
      <c r="D8940" s="1129"/>
      <c r="E8940" s="1129"/>
      <c r="F8940" s="1129"/>
      <c r="G8940" s="1129"/>
      <c r="H8940" s="1129" t="str">
        <f>CONCATENATE("&lt;valeur&gt;",Cellule_10061_9,"&lt;/valeur&gt;")</f>
        <v>&lt;valeur&gt;MAT DE TRANSPORST&lt;/valeur&gt;</v>
      </c>
      <c r="I8940" s="1129"/>
      <c r="J8940" s="1127"/>
    </row>
    <row r="8941" spans="1:10" x14ac:dyDescent="0.2">
      <c r="A8941" s="997">
        <f t="shared" si="139"/>
        <v>8940</v>
      </c>
      <c r="B8941" s="1129" t="s">
        <v>2722</v>
      </c>
      <c r="C8941" s="1138"/>
      <c r="D8941" s="1129"/>
      <c r="E8941" s="1129"/>
      <c r="F8941" s="1129"/>
      <c r="G8941" s="1129"/>
      <c r="H8941" s="1129" t="s">
        <v>2782</v>
      </c>
      <c r="I8941" s="1129"/>
      <c r="J8941" s="1127"/>
    </row>
    <row r="8942" spans="1:10" x14ac:dyDescent="0.2">
      <c r="A8942" s="997">
        <f t="shared" si="139"/>
        <v>8941</v>
      </c>
      <c r="B8942" s="1129" t="s">
        <v>2722</v>
      </c>
      <c r="C8942" s="1139"/>
      <c r="D8942" s="1129"/>
      <c r="E8942" s="1129"/>
      <c r="F8942" s="1129"/>
      <c r="G8942" s="1129" t="s">
        <v>1109</v>
      </c>
      <c r="H8942" s="1129"/>
      <c r="I8942" s="1129"/>
      <c r="J8942" s="1127"/>
    </row>
    <row r="8943" spans="1:10" x14ac:dyDescent="0.2">
      <c r="A8943" s="997">
        <f t="shared" si="139"/>
        <v>8942</v>
      </c>
      <c r="B8943" s="1129" t="s">
        <v>2722</v>
      </c>
      <c r="C8943" s="1140"/>
      <c r="D8943" s="1129"/>
      <c r="E8943" s="1129"/>
      <c r="F8943" s="1129"/>
      <c r="G8943" s="1129" t="s">
        <v>1106</v>
      </c>
      <c r="H8943" s="1129"/>
      <c r="I8943" s="1129"/>
      <c r="J8943" s="1127"/>
    </row>
    <row r="8944" spans="1:10" x14ac:dyDescent="0.2">
      <c r="A8944" s="997">
        <f t="shared" si="139"/>
        <v>8943</v>
      </c>
      <c r="B8944" s="1129" t="s">
        <v>2722</v>
      </c>
      <c r="C8944" s="1139"/>
      <c r="D8944" s="1129"/>
      <c r="E8944" s="1129"/>
      <c r="F8944" s="1129"/>
      <c r="G8944" s="1129"/>
      <c r="H8944" s="1129" t="s">
        <v>2332</v>
      </c>
      <c r="I8944" s="1129"/>
      <c r="J8944" s="1127"/>
    </row>
    <row r="8945" spans="1:10" x14ac:dyDescent="0.2">
      <c r="A8945" s="997">
        <f t="shared" si="139"/>
        <v>8944</v>
      </c>
      <c r="B8945" s="1129" t="s">
        <v>2722</v>
      </c>
      <c r="C8945" s="1139"/>
      <c r="D8945" s="1129"/>
      <c r="E8945" s="1129"/>
      <c r="F8945" s="1129"/>
      <c r="G8945" s="1129"/>
      <c r="H8945" s="1129" t="str">
        <f>CONCATENATE("&lt;valeur&gt;",Cellule_1078_9,"&lt;/valeur&gt;")</f>
        <v>&lt;valeur&gt;43106&lt;/valeur&gt;</v>
      </c>
      <c r="I8945" s="1129"/>
      <c r="J8945" s="1127"/>
    </row>
    <row r="8946" spans="1:10" x14ac:dyDescent="0.2">
      <c r="A8946" s="997">
        <f t="shared" si="139"/>
        <v>8945</v>
      </c>
      <c r="B8946" s="1129" t="s">
        <v>2722</v>
      </c>
      <c r="C8946" s="1138"/>
      <c r="D8946" s="1129"/>
      <c r="E8946" s="1129"/>
      <c r="F8946" s="1129"/>
      <c r="G8946" s="1129"/>
      <c r="H8946" s="1129" t="s">
        <v>2782</v>
      </c>
      <c r="I8946" s="1129"/>
      <c r="J8946" s="1127"/>
    </row>
    <row r="8947" spans="1:10" x14ac:dyDescent="0.2">
      <c r="A8947" s="997">
        <f t="shared" si="139"/>
        <v>8946</v>
      </c>
      <c r="B8947" s="1129" t="s">
        <v>2722</v>
      </c>
      <c r="C8947" s="1138"/>
      <c r="D8947" s="1129"/>
      <c r="E8947" s="1129"/>
      <c r="F8947" s="1129"/>
      <c r="G8947" s="1129" t="s">
        <v>1109</v>
      </c>
      <c r="H8947" s="1129"/>
      <c r="I8947" s="1129"/>
      <c r="J8947" s="1127"/>
    </row>
    <row r="8948" spans="1:10" x14ac:dyDescent="0.2">
      <c r="A8948" s="997">
        <f t="shared" si="139"/>
        <v>8947</v>
      </c>
      <c r="B8948" s="1129" t="s">
        <v>2722</v>
      </c>
      <c r="C8948" s="1139"/>
      <c r="D8948" s="1129"/>
      <c r="E8948" s="1129"/>
      <c r="F8948" s="1129"/>
      <c r="G8948" s="1129" t="s">
        <v>1106</v>
      </c>
      <c r="H8948" s="1129"/>
      <c r="I8948" s="1129"/>
      <c r="J8948" s="1127"/>
    </row>
    <row r="8949" spans="1:10" x14ac:dyDescent="0.2">
      <c r="A8949" s="997">
        <f t="shared" si="139"/>
        <v>8948</v>
      </c>
      <c r="B8949" s="1129" t="s">
        <v>2722</v>
      </c>
      <c r="C8949" s="1140"/>
      <c r="D8949" s="1129"/>
      <c r="E8949" s="1129"/>
      <c r="F8949" s="1129"/>
      <c r="G8949" s="1129"/>
      <c r="H8949" s="1129" t="s">
        <v>2333</v>
      </c>
      <c r="I8949" s="1129"/>
      <c r="J8949" s="1127"/>
    </row>
    <row r="8950" spans="1:10" x14ac:dyDescent="0.2">
      <c r="A8950" s="997">
        <f t="shared" si="139"/>
        <v>8949</v>
      </c>
      <c r="B8950" s="1129" t="s">
        <v>2722</v>
      </c>
      <c r="C8950" s="1139"/>
      <c r="D8950" s="1129"/>
      <c r="E8950" s="1129"/>
      <c r="F8950" s="1129"/>
      <c r="G8950" s="1129"/>
      <c r="H8950" s="1129" t="str">
        <f>CONCATENATE("&lt;valeur&gt;",Cellule_1079_9,"&lt;/valeur&gt;")</f>
        <v>&lt;valeur&gt;92500&lt;/valeur&gt;</v>
      </c>
      <c r="I8950" s="1129"/>
      <c r="J8950" s="1127"/>
    </row>
    <row r="8951" spans="1:10" x14ac:dyDescent="0.2">
      <c r="A8951" s="997">
        <f t="shared" si="139"/>
        <v>8950</v>
      </c>
      <c r="B8951" s="1129" t="s">
        <v>2722</v>
      </c>
      <c r="C8951" s="1139"/>
      <c r="D8951" s="1129"/>
      <c r="E8951" s="1129"/>
      <c r="F8951" s="1129"/>
      <c r="G8951" s="1129"/>
      <c r="H8951" s="1129" t="s">
        <v>2782</v>
      </c>
      <c r="I8951" s="1129"/>
      <c r="J8951" s="1127"/>
    </row>
    <row r="8952" spans="1:10" x14ac:dyDescent="0.2">
      <c r="A8952" s="997">
        <f t="shared" si="139"/>
        <v>8951</v>
      </c>
      <c r="B8952" s="1129" t="s">
        <v>2722</v>
      </c>
      <c r="C8952" s="1138"/>
      <c r="D8952" s="1129"/>
      <c r="E8952" s="1129"/>
      <c r="F8952" s="1129"/>
      <c r="G8952" s="1129" t="s">
        <v>1109</v>
      </c>
      <c r="H8952" s="1129"/>
      <c r="I8952" s="1129"/>
      <c r="J8952" s="1127"/>
    </row>
    <row r="8953" spans="1:10" x14ac:dyDescent="0.2">
      <c r="A8953" s="997">
        <f t="shared" si="139"/>
        <v>8952</v>
      </c>
      <c r="B8953" s="1129" t="s">
        <v>2722</v>
      </c>
      <c r="C8953" s="1138"/>
      <c r="D8953" s="1129"/>
      <c r="E8953" s="1129"/>
      <c r="F8953" s="1129"/>
      <c r="G8953" s="1129" t="s">
        <v>1106</v>
      </c>
      <c r="H8953" s="1129"/>
      <c r="I8953" s="1129"/>
      <c r="J8953" s="1127"/>
    </row>
    <row r="8954" spans="1:10" x14ac:dyDescent="0.2">
      <c r="A8954" s="997">
        <f t="shared" si="139"/>
        <v>8953</v>
      </c>
      <c r="B8954" s="1129" t="s">
        <v>2722</v>
      </c>
      <c r="C8954" s="1139"/>
      <c r="D8954" s="1129"/>
      <c r="E8954" s="1129"/>
      <c r="F8954" s="1129"/>
      <c r="G8954" s="1129"/>
      <c r="H8954" s="1129" t="s">
        <v>2334</v>
      </c>
      <c r="I8954" s="1129"/>
      <c r="J8954" s="1127"/>
    </row>
    <row r="8955" spans="1:10" x14ac:dyDescent="0.2">
      <c r="A8955" s="997">
        <f t="shared" si="139"/>
        <v>8954</v>
      </c>
      <c r="B8955" s="1129" t="s">
        <v>2722</v>
      </c>
      <c r="C8955" s="1140"/>
      <c r="D8955" s="1129"/>
      <c r="E8955" s="1129"/>
      <c r="F8955" s="1129"/>
      <c r="G8955" s="1129"/>
      <c r="H8955" s="1129" t="str">
        <f>CONCATENATE("&lt;valeur&gt;",Cellule_1080_9,"&lt;/valeur&gt;")</f>
        <v>&lt;valeur&gt;&lt;/valeur&gt;</v>
      </c>
      <c r="I8955" s="1129"/>
      <c r="J8955" s="1127"/>
    </row>
    <row r="8956" spans="1:10" x14ac:dyDescent="0.2">
      <c r="A8956" s="997">
        <f t="shared" si="139"/>
        <v>8955</v>
      </c>
      <c r="B8956" s="1129" t="s">
        <v>2722</v>
      </c>
      <c r="C8956" s="1139"/>
      <c r="D8956" s="1129"/>
      <c r="E8956" s="1129"/>
      <c r="F8956" s="1129"/>
      <c r="G8956" s="1129"/>
      <c r="H8956" s="1129" t="s">
        <v>2782</v>
      </c>
      <c r="I8956" s="1129"/>
      <c r="J8956" s="1127"/>
    </row>
    <row r="8957" spans="1:10" x14ac:dyDescent="0.2">
      <c r="A8957" s="997">
        <f t="shared" si="139"/>
        <v>8956</v>
      </c>
      <c r="B8957" s="1129" t="s">
        <v>2722</v>
      </c>
      <c r="C8957" s="1139"/>
      <c r="D8957" s="1129"/>
      <c r="E8957" s="1129"/>
      <c r="F8957" s="1129"/>
      <c r="G8957" s="1129" t="s">
        <v>1109</v>
      </c>
      <c r="H8957" s="1129"/>
      <c r="I8957" s="1129"/>
      <c r="J8957" s="1127"/>
    </row>
    <row r="8958" spans="1:10" x14ac:dyDescent="0.2">
      <c r="A8958" s="997">
        <f t="shared" si="139"/>
        <v>8957</v>
      </c>
      <c r="B8958" s="1129" t="s">
        <v>2722</v>
      </c>
      <c r="C8958" s="1138"/>
      <c r="D8958" s="1129"/>
      <c r="E8958" s="1129"/>
      <c r="F8958" s="1129"/>
      <c r="G8958" s="1129" t="s">
        <v>1106</v>
      </c>
      <c r="H8958" s="1129"/>
      <c r="I8958" s="1129"/>
      <c r="J8958" s="1127"/>
    </row>
    <row r="8959" spans="1:10" x14ac:dyDescent="0.2">
      <c r="A8959" s="997">
        <f t="shared" si="139"/>
        <v>8958</v>
      </c>
      <c r="B8959" s="1129" t="s">
        <v>2722</v>
      </c>
      <c r="C8959" s="1138"/>
      <c r="D8959" s="1129"/>
      <c r="E8959" s="1129"/>
      <c r="F8959" s="1129"/>
      <c r="G8959" s="1129"/>
      <c r="H8959" s="1129" t="s">
        <v>2335</v>
      </c>
      <c r="I8959" s="1129"/>
      <c r="J8959" s="1127"/>
    </row>
    <row r="8960" spans="1:10" x14ac:dyDescent="0.2">
      <c r="A8960" s="997">
        <f t="shared" si="139"/>
        <v>8959</v>
      </c>
      <c r="B8960" s="1129" t="s">
        <v>2722</v>
      </c>
      <c r="C8960" s="1139"/>
      <c r="D8960" s="1129"/>
      <c r="E8960" s="1129"/>
      <c r="F8960" s="1129"/>
      <c r="G8960" s="1129"/>
      <c r="H8960" s="1129" t="str">
        <f>CONCATENATE("&lt;valeur&gt;",Cellule_1081_9,"&lt;/valeur&gt;")</f>
        <v>&lt;valeur&gt;&lt;/valeur&gt;</v>
      </c>
      <c r="I8960" s="1129"/>
      <c r="J8960" s="1127"/>
    </row>
    <row r="8961" spans="1:10" x14ac:dyDescent="0.2">
      <c r="A8961" s="997">
        <f t="shared" si="139"/>
        <v>8960</v>
      </c>
      <c r="B8961" s="1129" t="s">
        <v>2722</v>
      </c>
      <c r="C8961" s="1140"/>
      <c r="D8961" s="1129"/>
      <c r="E8961" s="1129"/>
      <c r="F8961" s="1129"/>
      <c r="G8961" s="1129"/>
      <c r="H8961" s="1129" t="s">
        <v>2782</v>
      </c>
      <c r="I8961" s="1129"/>
      <c r="J8961" s="1127"/>
    </row>
    <row r="8962" spans="1:10" x14ac:dyDescent="0.2">
      <c r="A8962" s="997">
        <f t="shared" si="139"/>
        <v>8961</v>
      </c>
      <c r="B8962" s="1129" t="s">
        <v>2722</v>
      </c>
      <c r="C8962" s="1139"/>
      <c r="D8962" s="1129"/>
      <c r="E8962" s="1129"/>
      <c r="F8962" s="1129"/>
      <c r="G8962" s="1129" t="s">
        <v>1109</v>
      </c>
      <c r="H8962" s="1129"/>
      <c r="I8962" s="1129"/>
      <c r="J8962" s="1127"/>
    </row>
    <row r="8963" spans="1:10" x14ac:dyDescent="0.2">
      <c r="A8963" s="997">
        <f t="shared" si="139"/>
        <v>8962</v>
      </c>
      <c r="B8963" s="1129" t="s">
        <v>2722</v>
      </c>
      <c r="C8963" s="1139"/>
      <c r="D8963" s="1129"/>
      <c r="E8963" s="1129"/>
      <c r="F8963" s="1129"/>
      <c r="G8963" s="1129" t="s">
        <v>1106</v>
      </c>
      <c r="H8963" s="1129"/>
      <c r="I8963" s="1129"/>
      <c r="J8963" s="1127"/>
    </row>
    <row r="8964" spans="1:10" x14ac:dyDescent="0.2">
      <c r="A8964" s="997">
        <f t="shared" ref="A8964:A9027" si="140">+A8963+1</f>
        <v>8963</v>
      </c>
      <c r="B8964" s="1129" t="s">
        <v>2722</v>
      </c>
      <c r="C8964" s="1138"/>
      <c r="D8964" s="1129"/>
      <c r="E8964" s="1129"/>
      <c r="F8964" s="1129"/>
      <c r="G8964" s="1129"/>
      <c r="H8964" s="1129" t="s">
        <v>2336</v>
      </c>
      <c r="I8964" s="1129"/>
      <c r="J8964" s="1127"/>
    </row>
    <row r="8965" spans="1:10" x14ac:dyDescent="0.2">
      <c r="A8965" s="997">
        <f t="shared" si="140"/>
        <v>8964</v>
      </c>
      <c r="B8965" s="1129" t="s">
        <v>2722</v>
      </c>
      <c r="C8965" s="1138"/>
      <c r="D8965" s="1129"/>
      <c r="E8965" s="1129"/>
      <c r="F8965" s="1129"/>
      <c r="G8965" s="1129"/>
      <c r="H8965" s="1129" t="str">
        <f>CONCATENATE("&lt;valeur&gt;",Cellule_1082_9,"&lt;/valeur&gt;")</f>
        <v>&lt;valeur&gt;0,2&lt;/valeur&gt;</v>
      </c>
      <c r="I8965" s="1129"/>
      <c r="J8965" s="1127"/>
    </row>
    <row r="8966" spans="1:10" x14ac:dyDescent="0.2">
      <c r="A8966" s="997">
        <f t="shared" si="140"/>
        <v>8965</v>
      </c>
      <c r="B8966" s="1129" t="s">
        <v>2722</v>
      </c>
      <c r="C8966" s="1139"/>
      <c r="D8966" s="1129"/>
      <c r="E8966" s="1129"/>
      <c r="F8966" s="1129"/>
      <c r="G8966" s="1129"/>
      <c r="H8966" s="1129" t="s">
        <v>2782</v>
      </c>
      <c r="I8966" s="1129"/>
      <c r="J8966" s="1127"/>
    </row>
    <row r="8967" spans="1:10" x14ac:dyDescent="0.2">
      <c r="A8967" s="997">
        <f t="shared" si="140"/>
        <v>8966</v>
      </c>
      <c r="B8967" s="1129" t="s">
        <v>2722</v>
      </c>
      <c r="C8967" s="1140"/>
      <c r="D8967" s="1129"/>
      <c r="E8967" s="1129"/>
      <c r="F8967" s="1129"/>
      <c r="G8967" s="1129" t="s">
        <v>1109</v>
      </c>
      <c r="H8967" s="1129"/>
      <c r="I8967" s="1129"/>
      <c r="J8967" s="1127"/>
    </row>
    <row r="8968" spans="1:10" x14ac:dyDescent="0.2">
      <c r="A8968" s="997">
        <f t="shared" si="140"/>
        <v>8967</v>
      </c>
      <c r="B8968" s="1129" t="s">
        <v>2722</v>
      </c>
      <c r="C8968" s="1139"/>
      <c r="D8968" s="1129"/>
      <c r="E8968" s="1129"/>
      <c r="F8968" s="1129"/>
      <c r="G8968" s="1129" t="s">
        <v>1106</v>
      </c>
      <c r="H8968" s="1129"/>
      <c r="I8968" s="1129"/>
      <c r="J8968" s="1127"/>
    </row>
    <row r="8969" spans="1:10" x14ac:dyDescent="0.2">
      <c r="A8969" s="997">
        <f t="shared" si="140"/>
        <v>8968</v>
      </c>
      <c r="B8969" s="1129" t="s">
        <v>2722</v>
      </c>
      <c r="C8969" s="1139"/>
      <c r="D8969" s="1129"/>
      <c r="E8969" s="1129"/>
      <c r="F8969" s="1129"/>
      <c r="G8969" s="1129"/>
      <c r="H8969" s="1129" t="s">
        <v>2337</v>
      </c>
      <c r="I8969" s="1129"/>
      <c r="J8969" s="1127"/>
    </row>
    <row r="8970" spans="1:10" x14ac:dyDescent="0.2">
      <c r="A8970" s="997">
        <f t="shared" si="140"/>
        <v>8969</v>
      </c>
      <c r="B8970" s="1129" t="s">
        <v>2722</v>
      </c>
      <c r="C8970" s="1138"/>
      <c r="D8970" s="1129"/>
      <c r="E8970" s="1129"/>
      <c r="F8970" s="1129"/>
      <c r="G8970" s="1129"/>
      <c r="H8970" s="1129" t="str">
        <f>CONCATENATE("&lt;valeur&gt;",Cellule_1083_9,"&lt;/valeur&gt;")</f>
        <v>&lt;valeur&gt;5&lt;/valeur&gt;</v>
      </c>
      <c r="I8970" s="1129"/>
      <c r="J8970" s="1127"/>
    </row>
    <row r="8971" spans="1:10" x14ac:dyDescent="0.2">
      <c r="A8971" s="997">
        <f t="shared" si="140"/>
        <v>8970</v>
      </c>
      <c r="B8971" s="1129" t="s">
        <v>2722</v>
      </c>
      <c r="C8971" s="1138"/>
      <c r="D8971" s="1129"/>
      <c r="E8971" s="1129"/>
      <c r="F8971" s="1129"/>
      <c r="G8971" s="1129"/>
      <c r="H8971" s="1129" t="s">
        <v>2782</v>
      </c>
      <c r="I8971" s="1129"/>
      <c r="J8971" s="1127"/>
    </row>
    <row r="8972" spans="1:10" x14ac:dyDescent="0.2">
      <c r="A8972" s="997">
        <f t="shared" si="140"/>
        <v>8971</v>
      </c>
      <c r="B8972" s="1129" t="s">
        <v>2722</v>
      </c>
      <c r="C8972" s="1139"/>
      <c r="D8972" s="1129"/>
      <c r="E8972" s="1129"/>
      <c r="F8972" s="1129"/>
      <c r="G8972" s="1129" t="s">
        <v>1109</v>
      </c>
      <c r="H8972" s="1129"/>
      <c r="I8972" s="1129"/>
      <c r="J8972" s="1127"/>
    </row>
    <row r="8973" spans="1:10" x14ac:dyDescent="0.2">
      <c r="A8973" s="997">
        <f t="shared" si="140"/>
        <v>8972</v>
      </c>
      <c r="B8973" s="1129" t="s">
        <v>2722</v>
      </c>
      <c r="C8973" s="1140"/>
      <c r="D8973" s="1129"/>
      <c r="E8973" s="1129"/>
      <c r="F8973" s="1129"/>
      <c r="G8973" s="1129" t="s">
        <v>1106</v>
      </c>
      <c r="H8973" s="1129"/>
      <c r="I8973" s="1129"/>
      <c r="J8973" s="1127"/>
    </row>
    <row r="8974" spans="1:10" x14ac:dyDescent="0.2">
      <c r="A8974" s="997">
        <f t="shared" si="140"/>
        <v>8973</v>
      </c>
      <c r="B8974" s="1129" t="s">
        <v>2722</v>
      </c>
      <c r="C8974" s="1139"/>
      <c r="D8974" s="1129"/>
      <c r="E8974" s="1129"/>
      <c r="F8974" s="1129"/>
      <c r="G8974" s="1129"/>
      <c r="H8974" s="1129" t="s">
        <v>2338</v>
      </c>
      <c r="I8974" s="1129"/>
      <c r="J8974" s="1127"/>
    </row>
    <row r="8975" spans="1:10" x14ac:dyDescent="0.2">
      <c r="A8975" s="997">
        <f t="shared" si="140"/>
        <v>8974</v>
      </c>
      <c r="B8975" s="1129" t="s">
        <v>2722</v>
      </c>
      <c r="C8975" s="1139"/>
      <c r="D8975" s="1129"/>
      <c r="E8975" s="1129"/>
      <c r="F8975" s="1129"/>
      <c r="G8975" s="1129"/>
      <c r="H8975" s="1129" t="str">
        <f>CONCATENATE("&lt;valeur&gt;",Cellule_1084_9,"&lt;/valeur&gt;")</f>
        <v>&lt;valeur&gt;18500&lt;/valeur&gt;</v>
      </c>
      <c r="I8975" s="1129"/>
      <c r="J8975" s="1127"/>
    </row>
    <row r="8976" spans="1:10" x14ac:dyDescent="0.2">
      <c r="A8976" s="997">
        <f t="shared" si="140"/>
        <v>8975</v>
      </c>
      <c r="B8976" s="1129" t="s">
        <v>2722</v>
      </c>
      <c r="C8976" s="1138"/>
      <c r="D8976" s="1129"/>
      <c r="E8976" s="1129"/>
      <c r="F8976" s="1129"/>
      <c r="G8976" s="1129"/>
      <c r="H8976" s="1129" t="s">
        <v>2782</v>
      </c>
      <c r="I8976" s="1129"/>
      <c r="J8976" s="1127"/>
    </row>
    <row r="8977" spans="1:10" x14ac:dyDescent="0.2">
      <c r="A8977" s="997">
        <f t="shared" si="140"/>
        <v>8976</v>
      </c>
      <c r="B8977" s="1129" t="s">
        <v>2722</v>
      </c>
      <c r="C8977" s="1138"/>
      <c r="D8977" s="1129"/>
      <c r="E8977" s="1129"/>
      <c r="F8977" s="1129"/>
      <c r="G8977" s="1129" t="s">
        <v>1109</v>
      </c>
      <c r="H8977" s="1129"/>
      <c r="I8977" s="1129"/>
      <c r="J8977" s="1127"/>
    </row>
    <row r="8978" spans="1:10" x14ac:dyDescent="0.2">
      <c r="A8978" s="997">
        <f t="shared" si="140"/>
        <v>8977</v>
      </c>
      <c r="B8978" s="1129" t="s">
        <v>2722</v>
      </c>
      <c r="C8978" s="1139"/>
      <c r="D8978" s="1129"/>
      <c r="E8978" s="1129"/>
      <c r="F8978" s="1129"/>
      <c r="G8978" s="1129" t="s">
        <v>1106</v>
      </c>
      <c r="H8978" s="1129"/>
      <c r="I8978" s="1129"/>
      <c r="J8978" s="1127"/>
    </row>
    <row r="8979" spans="1:10" x14ac:dyDescent="0.2">
      <c r="A8979" s="997">
        <f t="shared" si="140"/>
        <v>8978</v>
      </c>
      <c r="B8979" s="1129" t="s">
        <v>2722</v>
      </c>
      <c r="C8979" s="1140"/>
      <c r="D8979" s="1129"/>
      <c r="E8979" s="1129"/>
      <c r="F8979" s="1129"/>
      <c r="G8979" s="1129"/>
      <c r="H8979" s="1129" t="s">
        <v>2339</v>
      </c>
      <c r="I8979" s="1129"/>
      <c r="J8979" s="1127"/>
    </row>
    <row r="8980" spans="1:10" x14ac:dyDescent="0.2">
      <c r="A8980" s="997">
        <f t="shared" si="140"/>
        <v>8979</v>
      </c>
      <c r="B8980" s="1129" t="s">
        <v>2722</v>
      </c>
      <c r="C8980" s="1139"/>
      <c r="D8980" s="1129"/>
      <c r="E8980" s="1129"/>
      <c r="F8980" s="1129"/>
      <c r="G8980" s="1129"/>
      <c r="H8980" s="1129" t="str">
        <f>CONCATENATE("&lt;valeur&gt;",Cellule_1085_9,"&lt;/valeur&gt;")</f>
        <v>&lt;valeur&gt;18500&lt;/valeur&gt;</v>
      </c>
      <c r="I8980" s="1129"/>
      <c r="J8980" s="1127"/>
    </row>
    <row r="8981" spans="1:10" x14ac:dyDescent="0.2">
      <c r="A8981" s="997">
        <f t="shared" si="140"/>
        <v>8980</v>
      </c>
      <c r="B8981" s="1129" t="s">
        <v>2722</v>
      </c>
      <c r="C8981" s="1139"/>
      <c r="D8981" s="1129"/>
      <c r="E8981" s="1129"/>
      <c r="F8981" s="1129"/>
      <c r="G8981" s="1129"/>
      <c r="H8981" s="1129" t="s">
        <v>2782</v>
      </c>
      <c r="I8981" s="1129"/>
      <c r="J8981" s="1127"/>
    </row>
    <row r="8982" spans="1:10" x14ac:dyDescent="0.2">
      <c r="A8982" s="997">
        <f t="shared" si="140"/>
        <v>8981</v>
      </c>
      <c r="B8982" s="1129" t="s">
        <v>2722</v>
      </c>
      <c r="C8982" s="1138"/>
      <c r="D8982" s="1129"/>
      <c r="E8982" s="1129"/>
      <c r="F8982" s="1129"/>
      <c r="G8982" s="1129" t="s">
        <v>1109</v>
      </c>
      <c r="H8982" s="1129"/>
      <c r="I8982" s="1129"/>
      <c r="J8982" s="1127"/>
    </row>
    <row r="8983" spans="1:10" x14ac:dyDescent="0.2">
      <c r="A8983" s="997">
        <f t="shared" si="140"/>
        <v>8982</v>
      </c>
      <c r="B8983" s="1129" t="s">
        <v>2722</v>
      </c>
      <c r="C8983" s="1138"/>
      <c r="D8983" s="1129"/>
      <c r="E8983" s="1129"/>
      <c r="F8983" s="1129"/>
      <c r="G8983" s="1129" t="s">
        <v>1106</v>
      </c>
      <c r="H8983" s="1129"/>
      <c r="I8983" s="1129"/>
      <c r="J8983" s="1127"/>
    </row>
    <row r="8984" spans="1:10" x14ac:dyDescent="0.2">
      <c r="A8984" s="997">
        <f t="shared" si="140"/>
        <v>8983</v>
      </c>
      <c r="B8984" s="1129" t="s">
        <v>2722</v>
      </c>
      <c r="C8984" s="1139"/>
      <c r="D8984" s="1129"/>
      <c r="E8984" s="1129"/>
      <c r="F8984" s="1129"/>
      <c r="G8984" s="1129"/>
      <c r="H8984" s="1129" t="s">
        <v>2340</v>
      </c>
      <c r="I8984" s="1129"/>
      <c r="J8984" s="1127"/>
    </row>
    <row r="8985" spans="1:10" x14ac:dyDescent="0.2">
      <c r="A8985" s="997">
        <f t="shared" si="140"/>
        <v>8984</v>
      </c>
      <c r="B8985" s="1129" t="s">
        <v>2722</v>
      </c>
      <c r="C8985" s="1140"/>
      <c r="D8985" s="1129"/>
      <c r="E8985" s="1129"/>
      <c r="F8985" s="1129"/>
      <c r="G8985" s="1129"/>
      <c r="H8985" s="1129" t="str">
        <f>CONCATENATE("&lt;valeur&gt;",Cellule_1086_9,"&lt;/valeur&gt;")</f>
        <v>&lt;valeur&gt;&lt;/valeur&gt;</v>
      </c>
      <c r="I8985" s="1129"/>
      <c r="J8985" s="1127"/>
    </row>
    <row r="8986" spans="1:10" x14ac:dyDescent="0.2">
      <c r="A8986" s="997">
        <f t="shared" si="140"/>
        <v>8985</v>
      </c>
      <c r="B8986" s="1129" t="s">
        <v>2722</v>
      </c>
      <c r="C8986" s="1139"/>
      <c r="D8986" s="1129"/>
      <c r="E8986" s="1129"/>
      <c r="F8986" s="1129"/>
      <c r="G8986" s="1129"/>
      <c r="H8986" s="1129" t="s">
        <v>2782</v>
      </c>
      <c r="I8986" s="1129"/>
      <c r="J8986" s="1127"/>
    </row>
    <row r="8987" spans="1:10" x14ac:dyDescent="0.2">
      <c r="A8987" s="997">
        <f t="shared" si="140"/>
        <v>8986</v>
      </c>
      <c r="B8987" s="1130" t="s">
        <v>2722</v>
      </c>
      <c r="C8987" s="1144"/>
      <c r="D8987" s="1130"/>
      <c r="E8987" s="1130"/>
      <c r="F8987" s="1130"/>
      <c r="G8987" s="1130" t="s">
        <v>1109</v>
      </c>
      <c r="H8987" s="1130"/>
      <c r="I8987" s="1130"/>
      <c r="J8987" s="1142"/>
    </row>
    <row r="8988" spans="1:10" x14ac:dyDescent="0.2">
      <c r="A8988" s="997">
        <f t="shared" si="140"/>
        <v>8987</v>
      </c>
      <c r="B8988" s="1128" t="s">
        <v>2722</v>
      </c>
      <c r="C8988" s="1143"/>
      <c r="D8988" s="1128"/>
      <c r="E8988" s="1128"/>
      <c r="F8988" s="1128"/>
      <c r="G8988" s="1128" t="s">
        <v>1106</v>
      </c>
      <c r="H8988" s="1128"/>
      <c r="I8988" s="1128"/>
      <c r="J8988" s="1124"/>
    </row>
    <row r="8989" spans="1:10" x14ac:dyDescent="0.2">
      <c r="A8989" s="997">
        <f t="shared" si="140"/>
        <v>8988</v>
      </c>
      <c r="B8989" s="1129" t="s">
        <v>2722</v>
      </c>
      <c r="C8989" s="1139"/>
      <c r="D8989" s="1129"/>
      <c r="E8989" s="1129"/>
      <c r="F8989" s="1129"/>
      <c r="G8989" s="1129"/>
      <c r="H8989" s="1129" t="s">
        <v>2331</v>
      </c>
      <c r="I8989" s="1129"/>
      <c r="J8989" s="1127"/>
    </row>
    <row r="8990" spans="1:10" x14ac:dyDescent="0.2">
      <c r="A8990" s="997">
        <f t="shared" si="140"/>
        <v>8989</v>
      </c>
      <c r="B8990" s="1129" t="s">
        <v>2722</v>
      </c>
      <c r="C8990" s="1138"/>
      <c r="D8990" s="1129"/>
      <c r="E8990" s="1129"/>
      <c r="F8990" s="1129"/>
      <c r="G8990" s="1129"/>
      <c r="H8990" s="1129" t="str">
        <f>CONCATENATE("&lt;valeur&gt;",Cellule_10061_10,"&lt;/valeur&gt;")</f>
        <v>&lt;valeur&gt;MATDE TRANSPORT&lt;/valeur&gt;</v>
      </c>
      <c r="I8990" s="1129"/>
      <c r="J8990" s="1127"/>
    </row>
    <row r="8991" spans="1:10" x14ac:dyDescent="0.2">
      <c r="A8991" s="997">
        <f t="shared" si="140"/>
        <v>8990</v>
      </c>
      <c r="B8991" s="1129" t="s">
        <v>2722</v>
      </c>
      <c r="C8991" s="1138"/>
      <c r="D8991" s="1129"/>
      <c r="E8991" s="1129"/>
      <c r="F8991" s="1129"/>
      <c r="G8991" s="1129"/>
      <c r="H8991" s="1129" t="s">
        <v>2783</v>
      </c>
      <c r="I8991" s="1129"/>
      <c r="J8991" s="1127"/>
    </row>
    <row r="8992" spans="1:10" x14ac:dyDescent="0.2">
      <c r="A8992" s="997">
        <f t="shared" si="140"/>
        <v>8991</v>
      </c>
      <c r="B8992" s="1129" t="s">
        <v>2722</v>
      </c>
      <c r="C8992" s="1139"/>
      <c r="D8992" s="1129"/>
      <c r="E8992" s="1129"/>
      <c r="F8992" s="1129"/>
      <c r="G8992" s="1129" t="s">
        <v>1109</v>
      </c>
      <c r="H8992" s="1129"/>
      <c r="I8992" s="1129"/>
      <c r="J8992" s="1127"/>
    </row>
    <row r="8993" spans="1:10" x14ac:dyDescent="0.2">
      <c r="A8993" s="997">
        <f t="shared" si="140"/>
        <v>8992</v>
      </c>
      <c r="B8993" s="1129" t="s">
        <v>2722</v>
      </c>
      <c r="C8993" s="1140"/>
      <c r="D8993" s="1129"/>
      <c r="E8993" s="1129"/>
      <c r="F8993" s="1129"/>
      <c r="G8993" s="1129" t="s">
        <v>1106</v>
      </c>
      <c r="H8993" s="1129"/>
      <c r="I8993" s="1129"/>
      <c r="J8993" s="1127"/>
    </row>
    <row r="8994" spans="1:10" x14ac:dyDescent="0.2">
      <c r="A8994" s="997">
        <f t="shared" si="140"/>
        <v>8993</v>
      </c>
      <c r="B8994" s="1129" t="s">
        <v>2722</v>
      </c>
      <c r="C8994" s="1139"/>
      <c r="D8994" s="1129"/>
      <c r="E8994" s="1129"/>
      <c r="F8994" s="1129"/>
      <c r="G8994" s="1129"/>
      <c r="H8994" s="1129" t="s">
        <v>2332</v>
      </c>
      <c r="I8994" s="1129"/>
      <c r="J8994" s="1127"/>
    </row>
    <row r="8995" spans="1:10" x14ac:dyDescent="0.2">
      <c r="A8995" s="997">
        <f t="shared" si="140"/>
        <v>8994</v>
      </c>
      <c r="B8995" s="1129" t="s">
        <v>2722</v>
      </c>
      <c r="C8995" s="1139"/>
      <c r="D8995" s="1129"/>
      <c r="E8995" s="1129"/>
      <c r="F8995" s="1129"/>
      <c r="G8995" s="1129"/>
      <c r="H8995" s="1129" t="str">
        <f>CONCATENATE("&lt;valeur&gt;",Cellule_1078_10,"&lt;/valeur&gt;")</f>
        <v>&lt;valeur&gt;43106&lt;/valeur&gt;</v>
      </c>
      <c r="I8995" s="1129"/>
      <c r="J8995" s="1127"/>
    </row>
    <row r="8996" spans="1:10" x14ac:dyDescent="0.2">
      <c r="A8996" s="997">
        <f t="shared" si="140"/>
        <v>8995</v>
      </c>
      <c r="B8996" s="1129" t="s">
        <v>2722</v>
      </c>
      <c r="C8996" s="1138"/>
      <c r="D8996" s="1129"/>
      <c r="E8996" s="1129"/>
      <c r="F8996" s="1129"/>
      <c r="G8996" s="1129"/>
      <c r="H8996" s="1129" t="s">
        <v>2783</v>
      </c>
      <c r="I8996" s="1129"/>
      <c r="J8996" s="1127"/>
    </row>
    <row r="8997" spans="1:10" x14ac:dyDescent="0.2">
      <c r="A8997" s="997">
        <f t="shared" si="140"/>
        <v>8996</v>
      </c>
      <c r="B8997" s="1129" t="s">
        <v>2722</v>
      </c>
      <c r="C8997" s="1138"/>
      <c r="D8997" s="1129"/>
      <c r="E8997" s="1129"/>
      <c r="F8997" s="1129"/>
      <c r="G8997" s="1129" t="s">
        <v>1109</v>
      </c>
      <c r="H8997" s="1129"/>
      <c r="I8997" s="1129"/>
      <c r="J8997" s="1127"/>
    </row>
    <row r="8998" spans="1:10" x14ac:dyDescent="0.2">
      <c r="A8998" s="997">
        <f t="shared" si="140"/>
        <v>8997</v>
      </c>
      <c r="B8998" s="1129" t="s">
        <v>2722</v>
      </c>
      <c r="C8998" s="1139"/>
      <c r="D8998" s="1129"/>
      <c r="E8998" s="1129"/>
      <c r="F8998" s="1129"/>
      <c r="G8998" s="1129" t="s">
        <v>1106</v>
      </c>
      <c r="H8998" s="1129"/>
      <c r="I8998" s="1129"/>
      <c r="J8998" s="1127"/>
    </row>
    <row r="8999" spans="1:10" x14ac:dyDescent="0.2">
      <c r="A8999" s="997">
        <f t="shared" si="140"/>
        <v>8998</v>
      </c>
      <c r="B8999" s="1129" t="s">
        <v>2722</v>
      </c>
      <c r="C8999" s="1140"/>
      <c r="D8999" s="1129"/>
      <c r="E8999" s="1129"/>
      <c r="F8999" s="1129"/>
      <c r="G8999" s="1129"/>
      <c r="H8999" s="1129" t="s">
        <v>2333</v>
      </c>
      <c r="I8999" s="1129"/>
      <c r="J8999" s="1127"/>
    </row>
    <row r="9000" spans="1:10" x14ac:dyDescent="0.2">
      <c r="A9000" s="997">
        <f t="shared" si="140"/>
        <v>8999</v>
      </c>
      <c r="B9000" s="1129" t="s">
        <v>2722</v>
      </c>
      <c r="C9000" s="1139"/>
      <c r="D9000" s="1129"/>
      <c r="E9000" s="1129"/>
      <c r="F9000" s="1129"/>
      <c r="G9000" s="1129"/>
      <c r="H9000" s="1129" t="str">
        <f>CONCATENATE("&lt;valeur&gt;",Cellule_1079_10,"&lt;/valeur&gt;")</f>
        <v>&lt;valeur&gt;92500&lt;/valeur&gt;</v>
      </c>
      <c r="I9000" s="1129"/>
      <c r="J9000" s="1127"/>
    </row>
    <row r="9001" spans="1:10" x14ac:dyDescent="0.2">
      <c r="A9001" s="997">
        <f t="shared" si="140"/>
        <v>9000</v>
      </c>
      <c r="B9001" s="1129" t="s">
        <v>2722</v>
      </c>
      <c r="C9001" s="1139"/>
      <c r="D9001" s="1129"/>
      <c r="E9001" s="1129"/>
      <c r="F9001" s="1129"/>
      <c r="G9001" s="1129"/>
      <c r="H9001" s="1129" t="s">
        <v>2783</v>
      </c>
      <c r="I9001" s="1129"/>
      <c r="J9001" s="1127"/>
    </row>
    <row r="9002" spans="1:10" x14ac:dyDescent="0.2">
      <c r="A9002" s="997">
        <f t="shared" si="140"/>
        <v>9001</v>
      </c>
      <c r="B9002" s="1129" t="s">
        <v>2722</v>
      </c>
      <c r="C9002" s="1138"/>
      <c r="D9002" s="1129"/>
      <c r="E9002" s="1129"/>
      <c r="F9002" s="1129"/>
      <c r="G9002" s="1129" t="s">
        <v>1109</v>
      </c>
      <c r="H9002" s="1129"/>
      <c r="I9002" s="1129"/>
      <c r="J9002" s="1127"/>
    </row>
    <row r="9003" spans="1:10" x14ac:dyDescent="0.2">
      <c r="A9003" s="997">
        <f t="shared" si="140"/>
        <v>9002</v>
      </c>
      <c r="B9003" s="1129" t="s">
        <v>2722</v>
      </c>
      <c r="C9003" s="1138"/>
      <c r="D9003" s="1129"/>
      <c r="E9003" s="1129"/>
      <c r="F9003" s="1129"/>
      <c r="G9003" s="1129" t="s">
        <v>1106</v>
      </c>
      <c r="H9003" s="1129"/>
      <c r="I9003" s="1129"/>
      <c r="J9003" s="1127"/>
    </row>
    <row r="9004" spans="1:10" x14ac:dyDescent="0.2">
      <c r="A9004" s="997">
        <f t="shared" si="140"/>
        <v>9003</v>
      </c>
      <c r="B9004" s="1129" t="s">
        <v>2722</v>
      </c>
      <c r="C9004" s="1139"/>
      <c r="D9004" s="1129"/>
      <c r="E9004" s="1129"/>
      <c r="F9004" s="1129"/>
      <c r="G9004" s="1129"/>
      <c r="H9004" s="1129" t="s">
        <v>2334</v>
      </c>
      <c r="I9004" s="1129"/>
      <c r="J9004" s="1127"/>
    </row>
    <row r="9005" spans="1:10" x14ac:dyDescent="0.2">
      <c r="A9005" s="997">
        <f t="shared" si="140"/>
        <v>9004</v>
      </c>
      <c r="B9005" s="1129" t="s">
        <v>2722</v>
      </c>
      <c r="C9005" s="1140"/>
      <c r="D9005" s="1129"/>
      <c r="E9005" s="1129"/>
      <c r="F9005" s="1129"/>
      <c r="G9005" s="1129"/>
      <c r="H9005" s="1129" t="str">
        <f>CONCATENATE("&lt;valeur&gt;",Cellule_1080_10,"&lt;/valeur&gt;")</f>
        <v>&lt;valeur&gt;&lt;/valeur&gt;</v>
      </c>
      <c r="I9005" s="1129"/>
      <c r="J9005" s="1127"/>
    </row>
    <row r="9006" spans="1:10" x14ac:dyDescent="0.2">
      <c r="A9006" s="997">
        <f t="shared" si="140"/>
        <v>9005</v>
      </c>
      <c r="B9006" s="1129" t="s">
        <v>2722</v>
      </c>
      <c r="C9006" s="1139"/>
      <c r="D9006" s="1129"/>
      <c r="E9006" s="1129"/>
      <c r="F9006" s="1129"/>
      <c r="G9006" s="1129"/>
      <c r="H9006" s="1129" t="s">
        <v>2783</v>
      </c>
      <c r="I9006" s="1129"/>
      <c r="J9006" s="1127"/>
    </row>
    <row r="9007" spans="1:10" x14ac:dyDescent="0.2">
      <c r="A9007" s="997">
        <f t="shared" si="140"/>
        <v>9006</v>
      </c>
      <c r="B9007" s="1129" t="s">
        <v>2722</v>
      </c>
      <c r="C9007" s="1139"/>
      <c r="D9007" s="1129"/>
      <c r="E9007" s="1129"/>
      <c r="F9007" s="1129"/>
      <c r="G9007" s="1129" t="s">
        <v>1109</v>
      </c>
      <c r="H9007" s="1129"/>
      <c r="I9007" s="1129"/>
      <c r="J9007" s="1127"/>
    </row>
    <row r="9008" spans="1:10" x14ac:dyDescent="0.2">
      <c r="A9008" s="997">
        <f t="shared" si="140"/>
        <v>9007</v>
      </c>
      <c r="B9008" s="1129" t="s">
        <v>2722</v>
      </c>
      <c r="C9008" s="1138"/>
      <c r="D9008" s="1129"/>
      <c r="E9008" s="1129"/>
      <c r="F9008" s="1129"/>
      <c r="G9008" s="1129" t="s">
        <v>1106</v>
      </c>
      <c r="H9008" s="1129"/>
      <c r="I9008" s="1129"/>
      <c r="J9008" s="1127"/>
    </row>
    <row r="9009" spans="1:10" x14ac:dyDescent="0.2">
      <c r="A9009" s="997">
        <f t="shared" si="140"/>
        <v>9008</v>
      </c>
      <c r="B9009" s="1129" t="s">
        <v>2722</v>
      </c>
      <c r="C9009" s="1138"/>
      <c r="D9009" s="1129"/>
      <c r="E9009" s="1129"/>
      <c r="F9009" s="1129"/>
      <c r="G9009" s="1129"/>
      <c r="H9009" s="1129" t="s">
        <v>2335</v>
      </c>
      <c r="I9009" s="1129"/>
      <c r="J9009" s="1127"/>
    </row>
    <row r="9010" spans="1:10" x14ac:dyDescent="0.2">
      <c r="A9010" s="997">
        <f t="shared" si="140"/>
        <v>9009</v>
      </c>
      <c r="B9010" s="1129" t="s">
        <v>2722</v>
      </c>
      <c r="C9010" s="1139"/>
      <c r="D9010" s="1129"/>
      <c r="E9010" s="1129"/>
      <c r="F9010" s="1129"/>
      <c r="G9010" s="1129"/>
      <c r="H9010" s="1129" t="str">
        <f>CONCATENATE("&lt;valeur&gt;",Cellule_1081_10,"&lt;/valeur&gt;")</f>
        <v>&lt;valeur&gt;&lt;/valeur&gt;</v>
      </c>
      <c r="I9010" s="1129"/>
      <c r="J9010" s="1127"/>
    </row>
    <row r="9011" spans="1:10" x14ac:dyDescent="0.2">
      <c r="A9011" s="997">
        <f t="shared" si="140"/>
        <v>9010</v>
      </c>
      <c r="B9011" s="1129" t="s">
        <v>2722</v>
      </c>
      <c r="C9011" s="1140"/>
      <c r="D9011" s="1129"/>
      <c r="E9011" s="1129"/>
      <c r="F9011" s="1129"/>
      <c r="G9011" s="1129"/>
      <c r="H9011" s="1129" t="s">
        <v>2783</v>
      </c>
      <c r="I9011" s="1129"/>
      <c r="J9011" s="1127"/>
    </row>
    <row r="9012" spans="1:10" x14ac:dyDescent="0.2">
      <c r="A9012" s="997">
        <f t="shared" si="140"/>
        <v>9011</v>
      </c>
      <c r="B9012" s="1129" t="s">
        <v>2722</v>
      </c>
      <c r="C9012" s="1139"/>
      <c r="D9012" s="1129"/>
      <c r="E9012" s="1129"/>
      <c r="F9012" s="1129"/>
      <c r="G9012" s="1129" t="s">
        <v>1109</v>
      </c>
      <c r="H9012" s="1129"/>
      <c r="I9012" s="1129"/>
      <c r="J9012" s="1127"/>
    </row>
    <row r="9013" spans="1:10" x14ac:dyDescent="0.2">
      <c r="A9013" s="997">
        <f t="shared" si="140"/>
        <v>9012</v>
      </c>
      <c r="B9013" s="1129" t="s">
        <v>2722</v>
      </c>
      <c r="C9013" s="1139"/>
      <c r="D9013" s="1129"/>
      <c r="E9013" s="1129"/>
      <c r="F9013" s="1129"/>
      <c r="G9013" s="1129" t="s">
        <v>1106</v>
      </c>
      <c r="H9013" s="1129"/>
      <c r="I9013" s="1129"/>
      <c r="J9013" s="1127"/>
    </row>
    <row r="9014" spans="1:10" x14ac:dyDescent="0.2">
      <c r="A9014" s="997">
        <f t="shared" si="140"/>
        <v>9013</v>
      </c>
      <c r="B9014" s="1129" t="s">
        <v>2722</v>
      </c>
      <c r="C9014" s="1138"/>
      <c r="D9014" s="1129"/>
      <c r="E9014" s="1129"/>
      <c r="F9014" s="1129"/>
      <c r="G9014" s="1129"/>
      <c r="H9014" s="1129" t="s">
        <v>2336</v>
      </c>
      <c r="I9014" s="1129"/>
      <c r="J9014" s="1127"/>
    </row>
    <row r="9015" spans="1:10" x14ac:dyDescent="0.2">
      <c r="A9015" s="997">
        <f t="shared" si="140"/>
        <v>9014</v>
      </c>
      <c r="B9015" s="1129" t="s">
        <v>2722</v>
      </c>
      <c r="C9015" s="1138"/>
      <c r="D9015" s="1129"/>
      <c r="E9015" s="1129"/>
      <c r="F9015" s="1129"/>
      <c r="G9015" s="1129"/>
      <c r="H9015" s="1129" t="str">
        <f>CONCATENATE("&lt;valeur&gt;",Cellule_1082_10,"&lt;/valeur&gt;")</f>
        <v>&lt;valeur&gt;0,2&lt;/valeur&gt;</v>
      </c>
      <c r="I9015" s="1129"/>
      <c r="J9015" s="1127"/>
    </row>
    <row r="9016" spans="1:10" x14ac:dyDescent="0.2">
      <c r="A9016" s="997">
        <f t="shared" si="140"/>
        <v>9015</v>
      </c>
      <c r="B9016" s="1129" t="s">
        <v>2722</v>
      </c>
      <c r="C9016" s="1139"/>
      <c r="D9016" s="1129"/>
      <c r="E9016" s="1129"/>
      <c r="F9016" s="1129"/>
      <c r="G9016" s="1129"/>
      <c r="H9016" s="1129" t="s">
        <v>2783</v>
      </c>
      <c r="I9016" s="1129"/>
      <c r="J9016" s="1127"/>
    </row>
    <row r="9017" spans="1:10" x14ac:dyDescent="0.2">
      <c r="A9017" s="997">
        <f t="shared" si="140"/>
        <v>9016</v>
      </c>
      <c r="B9017" s="1129" t="s">
        <v>2722</v>
      </c>
      <c r="C9017" s="1140"/>
      <c r="D9017" s="1129"/>
      <c r="E9017" s="1129"/>
      <c r="F9017" s="1129"/>
      <c r="G9017" s="1129" t="s">
        <v>1109</v>
      </c>
      <c r="H9017" s="1129"/>
      <c r="I9017" s="1129"/>
      <c r="J9017" s="1127"/>
    </row>
    <row r="9018" spans="1:10" x14ac:dyDescent="0.2">
      <c r="A9018" s="997">
        <f t="shared" si="140"/>
        <v>9017</v>
      </c>
      <c r="B9018" s="1129" t="s">
        <v>2722</v>
      </c>
      <c r="C9018" s="1139"/>
      <c r="D9018" s="1129"/>
      <c r="E9018" s="1129"/>
      <c r="F9018" s="1129"/>
      <c r="G9018" s="1129" t="s">
        <v>1106</v>
      </c>
      <c r="H9018" s="1129"/>
      <c r="I9018" s="1129"/>
      <c r="J9018" s="1127"/>
    </row>
    <row r="9019" spans="1:10" x14ac:dyDescent="0.2">
      <c r="A9019" s="997">
        <f t="shared" si="140"/>
        <v>9018</v>
      </c>
      <c r="B9019" s="1129" t="s">
        <v>2722</v>
      </c>
      <c r="C9019" s="1139"/>
      <c r="D9019" s="1129"/>
      <c r="E9019" s="1129"/>
      <c r="F9019" s="1129"/>
      <c r="G9019" s="1129"/>
      <c r="H9019" s="1129" t="s">
        <v>2337</v>
      </c>
      <c r="I9019" s="1129"/>
      <c r="J9019" s="1127"/>
    </row>
    <row r="9020" spans="1:10" x14ac:dyDescent="0.2">
      <c r="A9020" s="997">
        <f t="shared" si="140"/>
        <v>9019</v>
      </c>
      <c r="B9020" s="1129" t="s">
        <v>2722</v>
      </c>
      <c r="C9020" s="1138"/>
      <c r="D9020" s="1129"/>
      <c r="E9020" s="1129"/>
      <c r="F9020" s="1129"/>
      <c r="G9020" s="1129"/>
      <c r="H9020" s="1129" t="str">
        <f>CONCATENATE("&lt;valeur&gt;",Cellule_1083_10,"&lt;/valeur&gt;")</f>
        <v>&lt;valeur&gt;5&lt;/valeur&gt;</v>
      </c>
      <c r="I9020" s="1129"/>
      <c r="J9020" s="1127"/>
    </row>
    <row r="9021" spans="1:10" x14ac:dyDescent="0.2">
      <c r="A9021" s="997">
        <f t="shared" si="140"/>
        <v>9020</v>
      </c>
      <c r="B9021" s="1129" t="s">
        <v>2722</v>
      </c>
      <c r="C9021" s="1138"/>
      <c r="D9021" s="1129"/>
      <c r="E9021" s="1129"/>
      <c r="F9021" s="1129"/>
      <c r="G9021" s="1129"/>
      <c r="H9021" s="1129" t="s">
        <v>2783</v>
      </c>
      <c r="I9021" s="1129"/>
      <c r="J9021" s="1127"/>
    </row>
    <row r="9022" spans="1:10" x14ac:dyDescent="0.2">
      <c r="A9022" s="997">
        <f t="shared" si="140"/>
        <v>9021</v>
      </c>
      <c r="B9022" s="1129" t="s">
        <v>2722</v>
      </c>
      <c r="C9022" s="1139"/>
      <c r="D9022" s="1129"/>
      <c r="E9022" s="1129"/>
      <c r="F9022" s="1129"/>
      <c r="G9022" s="1129" t="s">
        <v>1109</v>
      </c>
      <c r="H9022" s="1129"/>
      <c r="I9022" s="1129"/>
      <c r="J9022" s="1127"/>
    </row>
    <row r="9023" spans="1:10" x14ac:dyDescent="0.2">
      <c r="A9023" s="997">
        <f t="shared" si="140"/>
        <v>9022</v>
      </c>
      <c r="B9023" s="1129" t="s">
        <v>2722</v>
      </c>
      <c r="C9023" s="1140"/>
      <c r="D9023" s="1129"/>
      <c r="E9023" s="1129"/>
      <c r="F9023" s="1129"/>
      <c r="G9023" s="1129" t="s">
        <v>1106</v>
      </c>
      <c r="H9023" s="1129"/>
      <c r="I9023" s="1129"/>
      <c r="J9023" s="1127"/>
    </row>
    <row r="9024" spans="1:10" x14ac:dyDescent="0.2">
      <c r="A9024" s="997">
        <f t="shared" si="140"/>
        <v>9023</v>
      </c>
      <c r="B9024" s="1129" t="s">
        <v>2722</v>
      </c>
      <c r="C9024" s="1139"/>
      <c r="D9024" s="1129"/>
      <c r="E9024" s="1129"/>
      <c r="F9024" s="1129"/>
      <c r="G9024" s="1129"/>
      <c r="H9024" s="1129" t="s">
        <v>2338</v>
      </c>
      <c r="I9024" s="1129"/>
      <c r="J9024" s="1127"/>
    </row>
    <row r="9025" spans="1:10" x14ac:dyDescent="0.2">
      <c r="A9025" s="997">
        <f t="shared" si="140"/>
        <v>9024</v>
      </c>
      <c r="B9025" s="1129" t="s">
        <v>2722</v>
      </c>
      <c r="C9025" s="1139"/>
      <c r="D9025" s="1129"/>
      <c r="E9025" s="1129"/>
      <c r="F9025" s="1129"/>
      <c r="G9025" s="1129"/>
      <c r="H9025" s="1129" t="str">
        <f>CONCATENATE("&lt;valeur&gt;",Cellule_1084_10,"&lt;/valeur&gt;")</f>
        <v>&lt;valeur&gt;18500&lt;/valeur&gt;</v>
      </c>
      <c r="I9025" s="1129"/>
      <c r="J9025" s="1127"/>
    </row>
    <row r="9026" spans="1:10" x14ac:dyDescent="0.2">
      <c r="A9026" s="997">
        <f t="shared" si="140"/>
        <v>9025</v>
      </c>
      <c r="B9026" s="1129" t="s">
        <v>2722</v>
      </c>
      <c r="C9026" s="1138"/>
      <c r="D9026" s="1129"/>
      <c r="E9026" s="1129"/>
      <c r="F9026" s="1129"/>
      <c r="G9026" s="1129"/>
      <c r="H9026" s="1129" t="s">
        <v>2783</v>
      </c>
      <c r="I9026" s="1129"/>
      <c r="J9026" s="1127"/>
    </row>
    <row r="9027" spans="1:10" x14ac:dyDescent="0.2">
      <c r="A9027" s="997">
        <f t="shared" si="140"/>
        <v>9026</v>
      </c>
      <c r="B9027" s="1129" t="s">
        <v>2722</v>
      </c>
      <c r="C9027" s="1138"/>
      <c r="D9027" s="1129"/>
      <c r="E9027" s="1129"/>
      <c r="F9027" s="1129"/>
      <c r="G9027" s="1129" t="s">
        <v>1109</v>
      </c>
      <c r="H9027" s="1129"/>
      <c r="I9027" s="1129"/>
      <c r="J9027" s="1127"/>
    </row>
    <row r="9028" spans="1:10" x14ac:dyDescent="0.2">
      <c r="A9028" s="997">
        <f t="shared" ref="A9028:A9091" si="141">+A9027+1</f>
        <v>9027</v>
      </c>
      <c r="B9028" s="1129" t="s">
        <v>2722</v>
      </c>
      <c r="C9028" s="1139"/>
      <c r="D9028" s="1129"/>
      <c r="E9028" s="1129"/>
      <c r="F9028" s="1129"/>
      <c r="G9028" s="1129" t="s">
        <v>1106</v>
      </c>
      <c r="H9028" s="1129"/>
      <c r="I9028" s="1129"/>
      <c r="J9028" s="1127"/>
    </row>
    <row r="9029" spans="1:10" x14ac:dyDescent="0.2">
      <c r="A9029" s="997">
        <f t="shared" si="141"/>
        <v>9028</v>
      </c>
      <c r="B9029" s="1129" t="s">
        <v>2722</v>
      </c>
      <c r="C9029" s="1140"/>
      <c r="D9029" s="1129"/>
      <c r="E9029" s="1129"/>
      <c r="F9029" s="1129"/>
      <c r="G9029" s="1129"/>
      <c r="H9029" s="1129" t="s">
        <v>2339</v>
      </c>
      <c r="I9029" s="1129"/>
      <c r="J9029" s="1127"/>
    </row>
    <row r="9030" spans="1:10" x14ac:dyDescent="0.2">
      <c r="A9030" s="997">
        <f t="shared" si="141"/>
        <v>9029</v>
      </c>
      <c r="B9030" s="1129" t="s">
        <v>2722</v>
      </c>
      <c r="C9030" s="1139"/>
      <c r="D9030" s="1129"/>
      <c r="E9030" s="1129"/>
      <c r="F9030" s="1129"/>
      <c r="G9030" s="1129"/>
      <c r="H9030" s="1129" t="str">
        <f>CONCATENATE("&lt;valeur&gt;",Cellule_1085_10,"&lt;/valeur&gt;")</f>
        <v>&lt;valeur&gt;18500&lt;/valeur&gt;</v>
      </c>
      <c r="I9030" s="1129"/>
      <c r="J9030" s="1127"/>
    </row>
    <row r="9031" spans="1:10" x14ac:dyDescent="0.2">
      <c r="A9031" s="997">
        <f t="shared" si="141"/>
        <v>9030</v>
      </c>
      <c r="B9031" s="1129" t="s">
        <v>2722</v>
      </c>
      <c r="C9031" s="1139"/>
      <c r="D9031" s="1129"/>
      <c r="E9031" s="1129"/>
      <c r="F9031" s="1129"/>
      <c r="G9031" s="1129"/>
      <c r="H9031" s="1129" t="s">
        <v>2783</v>
      </c>
      <c r="I9031" s="1129"/>
      <c r="J9031" s="1127"/>
    </row>
    <row r="9032" spans="1:10" x14ac:dyDescent="0.2">
      <c r="A9032" s="997">
        <f t="shared" si="141"/>
        <v>9031</v>
      </c>
      <c r="B9032" s="1129" t="s">
        <v>2722</v>
      </c>
      <c r="C9032" s="1138"/>
      <c r="D9032" s="1129"/>
      <c r="E9032" s="1129"/>
      <c r="F9032" s="1129"/>
      <c r="G9032" s="1129" t="s">
        <v>1109</v>
      </c>
      <c r="H9032" s="1129"/>
      <c r="I9032" s="1129"/>
      <c r="J9032" s="1127"/>
    </row>
    <row r="9033" spans="1:10" x14ac:dyDescent="0.2">
      <c r="A9033" s="997">
        <f t="shared" si="141"/>
        <v>9032</v>
      </c>
      <c r="B9033" s="1129" t="s">
        <v>2722</v>
      </c>
      <c r="C9033" s="1138"/>
      <c r="D9033" s="1129"/>
      <c r="E9033" s="1129"/>
      <c r="F9033" s="1129"/>
      <c r="G9033" s="1129" t="s">
        <v>1106</v>
      </c>
      <c r="H9033" s="1129"/>
      <c r="I9033" s="1129"/>
      <c r="J9033" s="1127"/>
    </row>
    <row r="9034" spans="1:10" x14ac:dyDescent="0.2">
      <c r="A9034" s="997">
        <f t="shared" si="141"/>
        <v>9033</v>
      </c>
      <c r="B9034" s="1129" t="s">
        <v>2722</v>
      </c>
      <c r="C9034" s="1139"/>
      <c r="D9034" s="1129"/>
      <c r="E9034" s="1129"/>
      <c r="F9034" s="1129"/>
      <c r="G9034" s="1129"/>
      <c r="H9034" s="1129" t="s">
        <v>2340</v>
      </c>
      <c r="I9034" s="1129"/>
      <c r="J9034" s="1127"/>
    </row>
    <row r="9035" spans="1:10" x14ac:dyDescent="0.2">
      <c r="A9035" s="997">
        <f t="shared" si="141"/>
        <v>9034</v>
      </c>
      <c r="B9035" s="1129" t="s">
        <v>2722</v>
      </c>
      <c r="C9035" s="1140"/>
      <c r="D9035" s="1129"/>
      <c r="E9035" s="1129"/>
      <c r="F9035" s="1129"/>
      <c r="G9035" s="1129"/>
      <c r="H9035" s="1129" t="str">
        <f>CONCATENATE("&lt;valeur&gt;",Cellule_1086_10,"&lt;/valeur&gt;")</f>
        <v>&lt;valeur&gt;&lt;/valeur&gt;</v>
      </c>
      <c r="I9035" s="1129"/>
      <c r="J9035" s="1127"/>
    </row>
    <row r="9036" spans="1:10" x14ac:dyDescent="0.2">
      <c r="A9036" s="997">
        <f t="shared" si="141"/>
        <v>9035</v>
      </c>
      <c r="B9036" s="1129" t="s">
        <v>2722</v>
      </c>
      <c r="C9036" s="1139"/>
      <c r="D9036" s="1129"/>
      <c r="E9036" s="1129"/>
      <c r="F9036" s="1129"/>
      <c r="G9036" s="1129"/>
      <c r="H9036" s="1129" t="s">
        <v>2783</v>
      </c>
      <c r="I9036" s="1129"/>
      <c r="J9036" s="1127"/>
    </row>
    <row r="9037" spans="1:10" x14ac:dyDescent="0.2">
      <c r="A9037" s="997">
        <f t="shared" si="141"/>
        <v>9036</v>
      </c>
      <c r="B9037" s="1130" t="s">
        <v>2722</v>
      </c>
      <c r="C9037" s="1144"/>
      <c r="D9037" s="1130"/>
      <c r="E9037" s="1130"/>
      <c r="F9037" s="1130"/>
      <c r="G9037" s="1130" t="s">
        <v>1109</v>
      </c>
      <c r="H9037" s="1130"/>
      <c r="I9037" s="1130"/>
      <c r="J9037" s="1142"/>
    </row>
    <row r="9038" spans="1:10" x14ac:dyDescent="0.2">
      <c r="A9038" s="997">
        <f t="shared" si="141"/>
        <v>9037</v>
      </c>
      <c r="B9038" s="983" t="s">
        <v>2722</v>
      </c>
      <c r="C9038" s="999"/>
      <c r="G9038" s="983" t="s">
        <v>1106</v>
      </c>
    </row>
    <row r="9039" spans="1:10" x14ac:dyDescent="0.2">
      <c r="A9039" s="997">
        <f t="shared" si="141"/>
        <v>9038</v>
      </c>
      <c r="B9039" s="983" t="s">
        <v>2722</v>
      </c>
      <c r="C9039" s="999"/>
      <c r="H9039" s="983" t="s">
        <v>1107</v>
      </c>
    </row>
    <row r="9040" spans="1:10" x14ac:dyDescent="0.2">
      <c r="A9040" s="997">
        <f t="shared" si="141"/>
        <v>9039</v>
      </c>
      <c r="B9040" s="983" t="s">
        <v>2722</v>
      </c>
      <c r="C9040" s="1000"/>
      <c r="I9040" s="983" t="s">
        <v>2341</v>
      </c>
    </row>
    <row r="9041" spans="1:9" x14ac:dyDescent="0.2">
      <c r="A9041" s="997">
        <f t="shared" si="141"/>
        <v>9040</v>
      </c>
      <c r="B9041" s="983" t="s">
        <v>2722</v>
      </c>
      <c r="C9041" s="1001"/>
      <c r="H9041" s="983" t="s">
        <v>1108</v>
      </c>
    </row>
    <row r="9042" spans="1:9" x14ac:dyDescent="0.2">
      <c r="A9042" s="997">
        <f t="shared" si="141"/>
        <v>9041</v>
      </c>
      <c r="B9042" s="983" t="s">
        <v>2722</v>
      </c>
      <c r="C9042" s="1000"/>
      <c r="H9042" s="983" t="str">
        <f>CONCATENATE("&lt;valeur&gt;",Cellule_1088,"&lt;/valeur&gt;")</f>
        <v>&lt;valeur&gt;1778527,58&lt;/valeur&gt;</v>
      </c>
    </row>
    <row r="9043" spans="1:9" x14ac:dyDescent="0.2">
      <c r="A9043" s="997">
        <f t="shared" si="141"/>
        <v>9042</v>
      </c>
      <c r="B9043" s="983" t="s">
        <v>2722</v>
      </c>
      <c r="C9043" s="1000"/>
      <c r="G9043" s="983" t="s">
        <v>1109</v>
      </c>
    </row>
    <row r="9044" spans="1:9" x14ac:dyDescent="0.2">
      <c r="A9044" s="997">
        <f t="shared" si="141"/>
        <v>9043</v>
      </c>
      <c r="B9044" s="983" t="s">
        <v>2722</v>
      </c>
      <c r="C9044" s="999"/>
      <c r="G9044" s="983" t="s">
        <v>1106</v>
      </c>
    </row>
    <row r="9045" spans="1:9" x14ac:dyDescent="0.2">
      <c r="A9045" s="997">
        <f t="shared" si="141"/>
        <v>9044</v>
      </c>
      <c r="B9045" s="983" t="s">
        <v>2722</v>
      </c>
      <c r="C9045" s="999"/>
      <c r="H9045" s="983" t="s">
        <v>1107</v>
      </c>
    </row>
    <row r="9046" spans="1:9" x14ac:dyDescent="0.2">
      <c r="A9046" s="997">
        <f t="shared" si="141"/>
        <v>9045</v>
      </c>
      <c r="B9046" s="983" t="s">
        <v>2722</v>
      </c>
      <c r="C9046" s="1000"/>
      <c r="I9046" s="983" t="s">
        <v>2342</v>
      </c>
    </row>
    <row r="9047" spans="1:9" x14ac:dyDescent="0.2">
      <c r="A9047" s="997">
        <f t="shared" si="141"/>
        <v>9046</v>
      </c>
      <c r="B9047" s="983" t="s">
        <v>2722</v>
      </c>
      <c r="C9047" s="1001"/>
      <c r="H9047" s="983" t="s">
        <v>1108</v>
      </c>
    </row>
    <row r="9048" spans="1:9" x14ac:dyDescent="0.2">
      <c r="A9048" s="997">
        <f t="shared" si="141"/>
        <v>9047</v>
      </c>
      <c r="B9048" s="983" t="s">
        <v>2722</v>
      </c>
      <c r="C9048" s="1000"/>
      <c r="H9048" s="983" t="str">
        <f>CONCATENATE("&lt;valeur&gt;",Cellule_1089,"&lt;/valeur&gt;")</f>
        <v>&lt;valeur&gt;0&lt;/valeur&gt;</v>
      </c>
    </row>
    <row r="9049" spans="1:9" x14ac:dyDescent="0.2">
      <c r="A9049" s="997">
        <f t="shared" si="141"/>
        <v>9048</v>
      </c>
      <c r="B9049" s="983" t="s">
        <v>2722</v>
      </c>
      <c r="C9049" s="1000"/>
      <c r="G9049" s="983" t="s">
        <v>1109</v>
      </c>
    </row>
    <row r="9050" spans="1:9" x14ac:dyDescent="0.2">
      <c r="A9050" s="997">
        <f t="shared" si="141"/>
        <v>9049</v>
      </c>
      <c r="B9050" s="983" t="s">
        <v>2722</v>
      </c>
      <c r="C9050" s="999"/>
      <c r="G9050" s="983" t="s">
        <v>1106</v>
      </c>
    </row>
    <row r="9051" spans="1:9" x14ac:dyDescent="0.2">
      <c r="A9051" s="997">
        <f t="shared" si="141"/>
        <v>9050</v>
      </c>
      <c r="B9051" s="983" t="s">
        <v>2722</v>
      </c>
      <c r="C9051" s="999"/>
      <c r="H9051" s="983" t="s">
        <v>1107</v>
      </c>
    </row>
    <row r="9052" spans="1:9" x14ac:dyDescent="0.2">
      <c r="A9052" s="997">
        <f t="shared" si="141"/>
        <v>9051</v>
      </c>
      <c r="B9052" s="983" t="s">
        <v>2722</v>
      </c>
      <c r="C9052" s="1000"/>
      <c r="I9052" s="983" t="s">
        <v>2343</v>
      </c>
    </row>
    <row r="9053" spans="1:9" x14ac:dyDescent="0.2">
      <c r="A9053" s="997">
        <f t="shared" si="141"/>
        <v>9052</v>
      </c>
      <c r="B9053" s="983" t="s">
        <v>2722</v>
      </c>
      <c r="C9053" s="1001"/>
      <c r="H9053" s="983" t="s">
        <v>1108</v>
      </c>
    </row>
    <row r="9054" spans="1:9" x14ac:dyDescent="0.2">
      <c r="A9054" s="997">
        <f t="shared" si="141"/>
        <v>9053</v>
      </c>
      <c r="B9054" s="983" t="s">
        <v>2722</v>
      </c>
      <c r="C9054" s="1000"/>
      <c r="H9054" s="983" t="str">
        <f>CONCATENATE("&lt;valeur&gt;",Cellule_1090,"&lt;/valeur&gt;")</f>
        <v>&lt;valeur&gt;171871,64&lt;/valeur&gt;</v>
      </c>
    </row>
    <row r="9055" spans="1:9" x14ac:dyDescent="0.2">
      <c r="A9055" s="997">
        <f t="shared" si="141"/>
        <v>9054</v>
      </c>
      <c r="B9055" s="983" t="s">
        <v>2722</v>
      </c>
      <c r="C9055" s="1000"/>
      <c r="G9055" s="983" t="s">
        <v>1109</v>
      </c>
    </row>
    <row r="9056" spans="1:9" x14ac:dyDescent="0.2">
      <c r="A9056" s="997">
        <f t="shared" si="141"/>
        <v>9055</v>
      </c>
      <c r="B9056" s="983" t="s">
        <v>2722</v>
      </c>
      <c r="C9056" s="999"/>
      <c r="G9056" s="983" t="s">
        <v>1106</v>
      </c>
    </row>
    <row r="9057" spans="1:9" x14ac:dyDescent="0.2">
      <c r="A9057" s="997">
        <f t="shared" si="141"/>
        <v>9056</v>
      </c>
      <c r="B9057" s="983" t="s">
        <v>2722</v>
      </c>
      <c r="C9057" s="999"/>
      <c r="H9057" s="983" t="s">
        <v>1107</v>
      </c>
    </row>
    <row r="9058" spans="1:9" x14ac:dyDescent="0.2">
      <c r="A9058" s="997">
        <f t="shared" si="141"/>
        <v>9057</v>
      </c>
      <c r="B9058" s="983" t="s">
        <v>2722</v>
      </c>
      <c r="C9058" s="1000"/>
      <c r="I9058" s="983" t="s">
        <v>2344</v>
      </c>
    </row>
    <row r="9059" spans="1:9" x14ac:dyDescent="0.2">
      <c r="A9059" s="997">
        <f t="shared" si="141"/>
        <v>9058</v>
      </c>
      <c r="B9059" s="983" t="s">
        <v>2722</v>
      </c>
      <c r="C9059" s="1001"/>
      <c r="H9059" s="983" t="s">
        <v>1108</v>
      </c>
    </row>
    <row r="9060" spans="1:9" x14ac:dyDescent="0.2">
      <c r="A9060" s="997">
        <f t="shared" si="141"/>
        <v>9059</v>
      </c>
      <c r="B9060" s="983" t="s">
        <v>2722</v>
      </c>
      <c r="C9060" s="1000"/>
      <c r="H9060" s="983" t="str">
        <f>CONCATENATE("&lt;valeur&gt;",Cellule_1091,"&lt;/valeur&gt;")</f>
        <v>&lt;valeur&gt;&lt;/valeur&gt;</v>
      </c>
    </row>
    <row r="9061" spans="1:9" x14ac:dyDescent="0.2">
      <c r="A9061" s="997">
        <f t="shared" si="141"/>
        <v>9060</v>
      </c>
      <c r="B9061" s="983" t="s">
        <v>2722</v>
      </c>
      <c r="C9061" s="1000"/>
      <c r="G9061" s="983" t="s">
        <v>1109</v>
      </c>
    </row>
    <row r="9062" spans="1:9" x14ac:dyDescent="0.2">
      <c r="A9062" s="997">
        <f t="shared" si="141"/>
        <v>9061</v>
      </c>
      <c r="B9062" s="983" t="s">
        <v>2722</v>
      </c>
      <c r="C9062" s="999"/>
      <c r="G9062" s="983" t="s">
        <v>1106</v>
      </c>
    </row>
    <row r="9063" spans="1:9" x14ac:dyDescent="0.2">
      <c r="A9063" s="997">
        <f t="shared" si="141"/>
        <v>9062</v>
      </c>
      <c r="B9063" s="983" t="s">
        <v>2722</v>
      </c>
      <c r="C9063" s="999"/>
      <c r="H9063" s="983" t="s">
        <v>1107</v>
      </c>
    </row>
    <row r="9064" spans="1:9" x14ac:dyDescent="0.2">
      <c r="A9064" s="997">
        <f t="shared" si="141"/>
        <v>9063</v>
      </c>
      <c r="B9064" s="983" t="s">
        <v>2722</v>
      </c>
      <c r="C9064" s="1000"/>
      <c r="I9064" s="983" t="s">
        <v>2345</v>
      </c>
    </row>
    <row r="9065" spans="1:9" x14ac:dyDescent="0.2">
      <c r="A9065" s="997">
        <f t="shared" si="141"/>
        <v>9064</v>
      </c>
      <c r="B9065" s="983" t="s">
        <v>2722</v>
      </c>
      <c r="C9065" s="1001"/>
      <c r="H9065" s="983" t="s">
        <v>1108</v>
      </c>
    </row>
    <row r="9066" spans="1:9" x14ac:dyDescent="0.2">
      <c r="A9066" s="997">
        <f t="shared" si="141"/>
        <v>9065</v>
      </c>
      <c r="B9066" s="983" t="s">
        <v>2722</v>
      </c>
      <c r="C9066" s="1000"/>
      <c r="H9066" s="983" t="str">
        <f>CONCATENATE("&lt;valeur&gt;",Cellule_1093,"&lt;/valeur&gt;")</f>
        <v>&lt;valeur&gt;356372,016&lt;/valeur&gt;</v>
      </c>
    </row>
    <row r="9067" spans="1:9" x14ac:dyDescent="0.2">
      <c r="A9067" s="997">
        <f t="shared" si="141"/>
        <v>9066</v>
      </c>
      <c r="B9067" s="983" t="s">
        <v>2722</v>
      </c>
      <c r="C9067" s="1000"/>
      <c r="G9067" s="983" t="s">
        <v>1109</v>
      </c>
    </row>
    <row r="9068" spans="1:9" x14ac:dyDescent="0.2">
      <c r="A9068" s="997">
        <f t="shared" si="141"/>
        <v>9067</v>
      </c>
      <c r="B9068" s="983" t="s">
        <v>2722</v>
      </c>
      <c r="C9068" s="999"/>
      <c r="G9068" s="983" t="s">
        <v>1106</v>
      </c>
    </row>
    <row r="9069" spans="1:9" x14ac:dyDescent="0.2">
      <c r="A9069" s="997">
        <f t="shared" si="141"/>
        <v>9068</v>
      </c>
      <c r="B9069" s="983" t="s">
        <v>2722</v>
      </c>
      <c r="C9069" s="999"/>
      <c r="H9069" s="983" t="s">
        <v>1107</v>
      </c>
    </row>
    <row r="9070" spans="1:9" x14ac:dyDescent="0.2">
      <c r="A9070" s="997">
        <f t="shared" si="141"/>
        <v>9069</v>
      </c>
      <c r="B9070" s="983" t="s">
        <v>2722</v>
      </c>
      <c r="C9070" s="1000"/>
      <c r="I9070" s="983" t="s">
        <v>2346</v>
      </c>
    </row>
    <row r="9071" spans="1:9" x14ac:dyDescent="0.2">
      <c r="A9071" s="997">
        <f t="shared" si="141"/>
        <v>9070</v>
      </c>
      <c r="B9071" s="983" t="s">
        <v>2722</v>
      </c>
      <c r="C9071" s="1001"/>
      <c r="H9071" s="983" t="s">
        <v>1108</v>
      </c>
    </row>
    <row r="9072" spans="1:9" x14ac:dyDescent="0.2">
      <c r="A9072" s="997">
        <f t="shared" si="141"/>
        <v>9071</v>
      </c>
      <c r="B9072" s="983" t="s">
        <v>2722</v>
      </c>
      <c r="C9072" s="1000"/>
      <c r="H9072" s="983" t="str">
        <f>CONCATENATE("&lt;valeur&gt;",Cellule_1094,"&lt;/valeur&gt;")</f>
        <v>&lt;valeur&gt;357426,386&lt;/valeur&gt;</v>
      </c>
    </row>
    <row r="9073" spans="1:9" x14ac:dyDescent="0.2">
      <c r="A9073" s="997">
        <f t="shared" si="141"/>
        <v>9072</v>
      </c>
      <c r="B9073" s="983" t="s">
        <v>2722</v>
      </c>
      <c r="C9073" s="1000"/>
      <c r="G9073" s="983" t="s">
        <v>1109</v>
      </c>
    </row>
    <row r="9074" spans="1:9" x14ac:dyDescent="0.2">
      <c r="A9074" s="997">
        <f t="shared" si="141"/>
        <v>9073</v>
      </c>
      <c r="B9074" s="983" t="s">
        <v>2722</v>
      </c>
      <c r="C9074" s="999"/>
      <c r="F9074" s="983" t="s">
        <v>1110</v>
      </c>
    </row>
    <row r="9075" spans="1:9" x14ac:dyDescent="0.2">
      <c r="A9075" s="997">
        <f t="shared" si="141"/>
        <v>9074</v>
      </c>
      <c r="B9075" s="983" t="s">
        <v>2722</v>
      </c>
      <c r="C9075" s="998"/>
      <c r="F9075" s="983" t="s">
        <v>1111</v>
      </c>
    </row>
    <row r="9076" spans="1:9" x14ac:dyDescent="0.2">
      <c r="A9076" s="997">
        <f t="shared" si="141"/>
        <v>9075</v>
      </c>
      <c r="B9076" s="983" t="s">
        <v>2722</v>
      </c>
      <c r="C9076" s="995"/>
      <c r="G9076" s="983" t="s">
        <v>1114</v>
      </c>
    </row>
    <row r="9077" spans="1:9" x14ac:dyDescent="0.2">
      <c r="A9077" s="997">
        <f t="shared" si="141"/>
        <v>9076</v>
      </c>
      <c r="B9077" s="983" t="s">
        <v>2722</v>
      </c>
      <c r="C9077" s="995"/>
      <c r="H9077" s="983" t="s">
        <v>1115</v>
      </c>
    </row>
    <row r="9078" spans="1:9" x14ac:dyDescent="0.2">
      <c r="A9078" s="997">
        <f t="shared" si="141"/>
        <v>9077</v>
      </c>
      <c r="B9078" s="983" t="s">
        <v>2722</v>
      </c>
      <c r="C9078" s="998"/>
      <c r="I9078" s="983" t="s">
        <v>2347</v>
      </c>
    </row>
    <row r="9079" spans="1:9" x14ac:dyDescent="0.2">
      <c r="A9079" s="997">
        <f t="shared" si="141"/>
        <v>9078</v>
      </c>
      <c r="B9079" s="983" t="s">
        <v>2722</v>
      </c>
      <c r="C9079" s="999"/>
      <c r="H9079" s="983" t="s">
        <v>1116</v>
      </c>
    </row>
    <row r="9080" spans="1:9" x14ac:dyDescent="0.2">
      <c r="A9080" s="997">
        <f t="shared" si="141"/>
        <v>9079</v>
      </c>
      <c r="B9080" s="983" t="s">
        <v>2722</v>
      </c>
      <c r="C9080" s="998"/>
      <c r="H9080" s="983" t="str">
        <f>CONCATENATE("&lt;valeur&gt;",Cellule_22,"&lt;/valeur&gt;")</f>
        <v>&lt;valeur&gt;356372,016&lt;/valeur&gt;</v>
      </c>
    </row>
    <row r="9081" spans="1:9" x14ac:dyDescent="0.2">
      <c r="A9081" s="997">
        <f t="shared" si="141"/>
        <v>9080</v>
      </c>
      <c r="B9081" s="983" t="s">
        <v>2722</v>
      </c>
      <c r="C9081" s="998"/>
      <c r="G9081" s="983" t="s">
        <v>1117</v>
      </c>
    </row>
    <row r="9082" spans="1:9" x14ac:dyDescent="0.2">
      <c r="A9082" s="997">
        <f t="shared" si="141"/>
        <v>9081</v>
      </c>
      <c r="B9082" s="983" t="s">
        <v>2722</v>
      </c>
      <c r="C9082" s="999"/>
      <c r="G9082" s="983" t="s">
        <v>1114</v>
      </c>
    </row>
    <row r="9083" spans="1:9" x14ac:dyDescent="0.2">
      <c r="A9083" s="997">
        <f t="shared" si="141"/>
        <v>9082</v>
      </c>
      <c r="B9083" s="983" t="s">
        <v>2722</v>
      </c>
      <c r="C9083" s="1000"/>
      <c r="H9083" s="983" t="s">
        <v>1115</v>
      </c>
    </row>
    <row r="9084" spans="1:9" x14ac:dyDescent="0.2">
      <c r="A9084" s="997">
        <f t="shared" si="141"/>
        <v>9083</v>
      </c>
      <c r="B9084" s="983" t="s">
        <v>2722</v>
      </c>
      <c r="C9084" s="1001"/>
      <c r="I9084" s="983" t="s">
        <v>2348</v>
      </c>
    </row>
    <row r="9085" spans="1:9" x14ac:dyDescent="0.2">
      <c r="A9085" s="997">
        <f t="shared" si="141"/>
        <v>9084</v>
      </c>
      <c r="B9085" s="983" t="s">
        <v>2722</v>
      </c>
      <c r="C9085" s="1000"/>
      <c r="H9085" s="983" t="s">
        <v>1116</v>
      </c>
    </row>
    <row r="9086" spans="1:9" x14ac:dyDescent="0.2">
      <c r="A9086" s="997">
        <f t="shared" si="141"/>
        <v>9085</v>
      </c>
      <c r="B9086" s="983" t="s">
        <v>2722</v>
      </c>
      <c r="C9086" s="1000"/>
      <c r="H9086" s="983" t="str">
        <f>CONCATENATE("&lt;valeur&gt;",Cellule_50,"&lt;/valeur&gt;")</f>
        <v>&lt;valeur&gt;31/12/2022&lt;/valeur&gt;</v>
      </c>
    </row>
    <row r="9087" spans="1:9" x14ac:dyDescent="0.2">
      <c r="A9087" s="997">
        <f t="shared" si="141"/>
        <v>9086</v>
      </c>
      <c r="B9087" s="983" t="s">
        <v>2722</v>
      </c>
      <c r="C9087" s="1000"/>
      <c r="G9087" s="983" t="s">
        <v>1117</v>
      </c>
    </row>
    <row r="9088" spans="1:9" x14ac:dyDescent="0.2">
      <c r="A9088" s="997">
        <f t="shared" si="141"/>
        <v>9087</v>
      </c>
      <c r="B9088" s="983" t="s">
        <v>2722</v>
      </c>
      <c r="C9088" s="999"/>
      <c r="G9088" s="983" t="s">
        <v>1114</v>
      </c>
    </row>
    <row r="9089" spans="1:9" x14ac:dyDescent="0.2">
      <c r="A9089" s="997">
        <f t="shared" si="141"/>
        <v>9088</v>
      </c>
      <c r="B9089" s="983" t="s">
        <v>2722</v>
      </c>
      <c r="C9089" s="999"/>
      <c r="H9089" s="983" t="s">
        <v>1115</v>
      </c>
    </row>
    <row r="9090" spans="1:9" x14ac:dyDescent="0.2">
      <c r="A9090" s="997">
        <f t="shared" si="141"/>
        <v>9089</v>
      </c>
      <c r="B9090" s="983" t="s">
        <v>2722</v>
      </c>
      <c r="C9090" s="1000"/>
      <c r="I9090" s="983" t="s">
        <v>2349</v>
      </c>
    </row>
    <row r="9091" spans="1:9" x14ac:dyDescent="0.2">
      <c r="A9091" s="997">
        <f t="shared" si="141"/>
        <v>9090</v>
      </c>
      <c r="B9091" s="983" t="s">
        <v>2722</v>
      </c>
      <c r="C9091" s="1001"/>
      <c r="H9091" s="983" t="s">
        <v>1116</v>
      </c>
    </row>
    <row r="9092" spans="1:9" x14ac:dyDescent="0.2">
      <c r="A9092" s="997">
        <f t="shared" ref="A9092:A9155" si="142">+A9091+1</f>
        <v>9091</v>
      </c>
      <c r="B9092" s="983" t="s">
        <v>2722</v>
      </c>
      <c r="C9092" s="1000"/>
      <c r="H9092" s="983" t="str">
        <f>CONCATENATE("&lt;valeur&gt;",Cellule_51,"&lt;/valeur&gt;")</f>
        <v>&lt;valeur&gt;44562&lt;/valeur&gt;</v>
      </c>
    </row>
    <row r="9093" spans="1:9" x14ac:dyDescent="0.2">
      <c r="A9093" s="997">
        <f t="shared" si="142"/>
        <v>9092</v>
      </c>
      <c r="B9093" s="983" t="s">
        <v>2722</v>
      </c>
      <c r="C9093" s="1062"/>
      <c r="G9093" s="983" t="s">
        <v>1117</v>
      </c>
    </row>
    <row r="9094" spans="1:9" x14ac:dyDescent="0.2">
      <c r="A9094" s="997">
        <f t="shared" si="142"/>
        <v>9093</v>
      </c>
      <c r="B9094" s="983" t="s">
        <v>2722</v>
      </c>
      <c r="C9094" s="1000"/>
      <c r="G9094" s="983" t="s">
        <v>1114</v>
      </c>
    </row>
    <row r="9095" spans="1:9" x14ac:dyDescent="0.2">
      <c r="A9095" s="997">
        <f t="shared" si="142"/>
        <v>9094</v>
      </c>
      <c r="B9095" s="983" t="s">
        <v>2722</v>
      </c>
      <c r="C9095" s="999"/>
      <c r="H9095" s="983" t="s">
        <v>1115</v>
      </c>
    </row>
    <row r="9096" spans="1:9" x14ac:dyDescent="0.2">
      <c r="A9096" s="997">
        <f t="shared" si="142"/>
        <v>9095</v>
      </c>
      <c r="B9096" s="983" t="s">
        <v>2722</v>
      </c>
      <c r="C9096" s="999"/>
      <c r="I9096" s="983" t="s">
        <v>2350</v>
      </c>
    </row>
    <row r="9097" spans="1:9" x14ac:dyDescent="0.2">
      <c r="A9097" s="997">
        <f t="shared" si="142"/>
        <v>9096</v>
      </c>
      <c r="B9097" s="983" t="s">
        <v>2722</v>
      </c>
      <c r="C9097" s="1000"/>
      <c r="H9097" s="983" t="s">
        <v>1116</v>
      </c>
    </row>
    <row r="9098" spans="1:9" x14ac:dyDescent="0.2">
      <c r="A9098" s="997">
        <f t="shared" si="142"/>
        <v>9097</v>
      </c>
      <c r="B9098" s="983" t="s">
        <v>2722</v>
      </c>
      <c r="C9098" s="1001"/>
      <c r="H9098" s="983" t="str">
        <f>CONCATENATE("&lt;valeur&gt;",Cellule_52,"&lt;/valeur&gt;")</f>
        <v>&lt;valeur&gt;31/12/2022&lt;/valeur&gt;</v>
      </c>
    </row>
    <row r="9099" spans="1:9" x14ac:dyDescent="0.2">
      <c r="A9099" s="997">
        <f t="shared" si="142"/>
        <v>9098</v>
      </c>
      <c r="B9099" s="983" t="s">
        <v>2722</v>
      </c>
      <c r="C9099" s="1000"/>
      <c r="G9099" s="983" t="s">
        <v>1117</v>
      </c>
    </row>
    <row r="9100" spans="1:9" x14ac:dyDescent="0.2">
      <c r="A9100" s="997">
        <f t="shared" si="142"/>
        <v>9099</v>
      </c>
      <c r="B9100" s="983" t="s">
        <v>2722</v>
      </c>
      <c r="C9100" s="1000"/>
      <c r="F9100" s="983" t="s">
        <v>1112</v>
      </c>
    </row>
    <row r="9101" spans="1:9" x14ac:dyDescent="0.2">
      <c r="A9101" s="997">
        <f t="shared" si="142"/>
        <v>9100</v>
      </c>
      <c r="B9101" s="983" t="s">
        <v>2722</v>
      </c>
      <c r="C9101" s="1000"/>
      <c r="E9101" s="983" t="s">
        <v>1113</v>
      </c>
    </row>
    <row r="9102" spans="1:9" x14ac:dyDescent="0.2">
      <c r="A9102" s="997">
        <f t="shared" si="142"/>
        <v>9101</v>
      </c>
      <c r="B9102" s="983" t="s">
        <v>2723</v>
      </c>
      <c r="C9102" s="999"/>
      <c r="E9102" s="983" t="s">
        <v>1104</v>
      </c>
    </row>
    <row r="9103" spans="1:9" x14ac:dyDescent="0.2">
      <c r="A9103" s="997">
        <f t="shared" si="142"/>
        <v>9102</v>
      </c>
      <c r="B9103" s="983" t="s">
        <v>2723</v>
      </c>
      <c r="C9103" s="999"/>
      <c r="F9103" s="983" t="s">
        <v>2351</v>
      </c>
    </row>
    <row r="9104" spans="1:9" x14ac:dyDescent="0.2">
      <c r="A9104" s="997">
        <f t="shared" si="142"/>
        <v>9103</v>
      </c>
      <c r="B9104" s="983" t="s">
        <v>2723</v>
      </c>
      <c r="C9104" s="1000"/>
      <c r="F9104" s="983" t="s">
        <v>1105</v>
      </c>
    </row>
    <row r="9105" spans="1:9" x14ac:dyDescent="0.2">
      <c r="A9105" s="997">
        <f t="shared" si="142"/>
        <v>9104</v>
      </c>
      <c r="B9105" s="983" t="s">
        <v>2723</v>
      </c>
      <c r="C9105" s="1001"/>
      <c r="G9105" s="983" t="s">
        <v>1106</v>
      </c>
    </row>
    <row r="9106" spans="1:9" x14ac:dyDescent="0.2">
      <c r="A9106" s="997">
        <f t="shared" si="142"/>
        <v>9105</v>
      </c>
      <c r="B9106" s="983" t="s">
        <v>2723</v>
      </c>
      <c r="C9106" s="1000"/>
      <c r="H9106" s="983" t="s">
        <v>1107</v>
      </c>
    </row>
    <row r="9107" spans="1:9" x14ac:dyDescent="0.2">
      <c r="A9107" s="997">
        <f t="shared" si="142"/>
        <v>9106</v>
      </c>
      <c r="B9107" s="983" t="s">
        <v>2723</v>
      </c>
      <c r="C9107" s="1000"/>
      <c r="I9107" s="983" t="s">
        <v>2352</v>
      </c>
    </row>
    <row r="9108" spans="1:9" x14ac:dyDescent="0.2">
      <c r="A9108" s="997">
        <f t="shared" si="142"/>
        <v>9107</v>
      </c>
      <c r="B9108" s="983" t="s">
        <v>2723</v>
      </c>
      <c r="C9108" s="1000"/>
      <c r="H9108" s="983" t="s">
        <v>1108</v>
      </c>
    </row>
    <row r="9109" spans="1:9" x14ac:dyDescent="0.2">
      <c r="A9109" s="997">
        <f t="shared" si="142"/>
        <v>9108</v>
      </c>
      <c r="B9109" s="983" t="s">
        <v>2723</v>
      </c>
      <c r="C9109" s="999"/>
      <c r="H9109" s="983" t="str">
        <f>CONCATENATE("&lt;valeur&gt;",Cellule_1110,"&lt;/valeur&gt;")</f>
        <v>&lt;valeur&gt;&lt;/valeur&gt;</v>
      </c>
    </row>
    <row r="9110" spans="1:9" x14ac:dyDescent="0.2">
      <c r="A9110" s="997">
        <f t="shared" si="142"/>
        <v>9109</v>
      </c>
      <c r="B9110" s="983" t="s">
        <v>2723</v>
      </c>
      <c r="C9110" s="999"/>
      <c r="G9110" s="983" t="s">
        <v>1109</v>
      </c>
    </row>
    <row r="9111" spans="1:9" x14ac:dyDescent="0.2">
      <c r="A9111" s="997">
        <f t="shared" si="142"/>
        <v>9110</v>
      </c>
      <c r="B9111" s="983" t="s">
        <v>2723</v>
      </c>
      <c r="C9111" s="1000"/>
      <c r="G9111" s="983" t="s">
        <v>1106</v>
      </c>
    </row>
    <row r="9112" spans="1:9" x14ac:dyDescent="0.2">
      <c r="A9112" s="997">
        <f t="shared" si="142"/>
        <v>9111</v>
      </c>
      <c r="B9112" s="983" t="s">
        <v>2723</v>
      </c>
      <c r="C9112" s="1001"/>
      <c r="H9112" s="983" t="s">
        <v>1107</v>
      </c>
    </row>
    <row r="9113" spans="1:9" x14ac:dyDescent="0.2">
      <c r="A9113" s="997">
        <f t="shared" si="142"/>
        <v>9112</v>
      </c>
      <c r="B9113" s="983" t="s">
        <v>2723</v>
      </c>
      <c r="C9113" s="1000"/>
      <c r="I9113" s="983" t="s">
        <v>2353</v>
      </c>
    </row>
    <row r="9114" spans="1:9" x14ac:dyDescent="0.2">
      <c r="A9114" s="997">
        <f t="shared" si="142"/>
        <v>9113</v>
      </c>
      <c r="B9114" s="983" t="s">
        <v>2723</v>
      </c>
      <c r="C9114" s="1000"/>
      <c r="H9114" s="983" t="s">
        <v>1108</v>
      </c>
    </row>
    <row r="9115" spans="1:9" x14ac:dyDescent="0.2">
      <c r="A9115" s="997">
        <f t="shared" si="142"/>
        <v>9114</v>
      </c>
      <c r="B9115" s="983" t="s">
        <v>2723</v>
      </c>
      <c r="C9115" s="1000"/>
      <c r="H9115" s="983" t="str">
        <f>CONCATENATE("&lt;valeur&gt;",Cellule_1119,"&lt;/valeur&gt;")</f>
        <v>&lt;valeur&gt;&lt;/valeur&gt;</v>
      </c>
    </row>
    <row r="9116" spans="1:9" x14ac:dyDescent="0.2">
      <c r="A9116" s="997">
        <f t="shared" si="142"/>
        <v>9115</v>
      </c>
      <c r="B9116" s="983" t="s">
        <v>2723</v>
      </c>
      <c r="C9116" s="999"/>
      <c r="G9116" s="983" t="s">
        <v>1109</v>
      </c>
    </row>
    <row r="9117" spans="1:9" x14ac:dyDescent="0.2">
      <c r="A9117" s="997">
        <f t="shared" si="142"/>
        <v>9116</v>
      </c>
      <c r="B9117" s="983" t="s">
        <v>2723</v>
      </c>
      <c r="C9117" s="999"/>
      <c r="G9117" s="983" t="s">
        <v>1106</v>
      </c>
    </row>
    <row r="9118" spans="1:9" x14ac:dyDescent="0.2">
      <c r="A9118" s="997">
        <f t="shared" si="142"/>
        <v>9117</v>
      </c>
      <c r="B9118" s="983" t="s">
        <v>2723</v>
      </c>
      <c r="C9118" s="1000"/>
      <c r="H9118" s="983" t="s">
        <v>1107</v>
      </c>
    </row>
    <row r="9119" spans="1:9" x14ac:dyDescent="0.2">
      <c r="A9119" s="997">
        <f t="shared" si="142"/>
        <v>9118</v>
      </c>
      <c r="B9119" s="983" t="s">
        <v>2723</v>
      </c>
      <c r="C9119" s="1001"/>
      <c r="I9119" s="983" t="s">
        <v>2354</v>
      </c>
    </row>
    <row r="9120" spans="1:9" x14ac:dyDescent="0.2">
      <c r="A9120" s="997">
        <f t="shared" si="142"/>
        <v>9119</v>
      </c>
      <c r="B9120" s="983" t="s">
        <v>2723</v>
      </c>
      <c r="C9120" s="1000"/>
      <c r="H9120" s="983" t="s">
        <v>1108</v>
      </c>
    </row>
    <row r="9121" spans="1:9" x14ac:dyDescent="0.2">
      <c r="A9121" s="997">
        <f t="shared" si="142"/>
        <v>9120</v>
      </c>
      <c r="B9121" s="983" t="s">
        <v>2723</v>
      </c>
      <c r="C9121" s="1000"/>
      <c r="H9121" s="983" t="str">
        <f>CONCATENATE("&lt;valeur&gt;",Cellule_1128,"&lt;/valeur&gt;")</f>
        <v>&lt;valeur&gt;&lt;/valeur&gt;</v>
      </c>
    </row>
    <row r="9122" spans="1:9" x14ac:dyDescent="0.2">
      <c r="A9122" s="997">
        <f t="shared" si="142"/>
        <v>9121</v>
      </c>
      <c r="B9122" s="983" t="s">
        <v>2723</v>
      </c>
      <c r="C9122" s="1000"/>
      <c r="G9122" s="983" t="s">
        <v>1109</v>
      </c>
    </row>
    <row r="9123" spans="1:9" x14ac:dyDescent="0.2">
      <c r="A9123" s="997">
        <f t="shared" si="142"/>
        <v>9122</v>
      </c>
      <c r="B9123" s="983" t="s">
        <v>2723</v>
      </c>
      <c r="C9123" s="999"/>
      <c r="G9123" s="983" t="s">
        <v>1106</v>
      </c>
    </row>
    <row r="9124" spans="1:9" x14ac:dyDescent="0.2">
      <c r="A9124" s="997">
        <f t="shared" si="142"/>
        <v>9123</v>
      </c>
      <c r="B9124" s="983" t="s">
        <v>2723</v>
      </c>
      <c r="C9124" s="999"/>
      <c r="H9124" s="983" t="s">
        <v>1107</v>
      </c>
    </row>
    <row r="9125" spans="1:9" x14ac:dyDescent="0.2">
      <c r="A9125" s="997">
        <f t="shared" si="142"/>
        <v>9124</v>
      </c>
      <c r="B9125" s="983" t="s">
        <v>2723</v>
      </c>
      <c r="C9125" s="1000"/>
      <c r="I9125" s="983" t="s">
        <v>2355</v>
      </c>
    </row>
    <row r="9126" spans="1:9" x14ac:dyDescent="0.2">
      <c r="A9126" s="997">
        <f t="shared" si="142"/>
        <v>9125</v>
      </c>
      <c r="B9126" s="983" t="s">
        <v>2723</v>
      </c>
      <c r="C9126" s="1001"/>
      <c r="H9126" s="983" t="s">
        <v>1108</v>
      </c>
    </row>
    <row r="9127" spans="1:9" x14ac:dyDescent="0.2">
      <c r="A9127" s="997">
        <f t="shared" si="142"/>
        <v>9126</v>
      </c>
      <c r="B9127" s="983" t="s">
        <v>2723</v>
      </c>
      <c r="C9127" s="1000"/>
      <c r="H9127" s="983" t="str">
        <f>CONCATENATE("&lt;valeur&gt;",Cellule_1137,"&lt;/valeur&gt;")</f>
        <v>&lt;valeur&gt;&lt;/valeur&gt;</v>
      </c>
    </row>
    <row r="9128" spans="1:9" x14ac:dyDescent="0.2">
      <c r="A9128" s="997">
        <f t="shared" si="142"/>
        <v>9127</v>
      </c>
      <c r="B9128" s="983" t="s">
        <v>2723</v>
      </c>
      <c r="C9128" s="1000"/>
      <c r="G9128" s="983" t="s">
        <v>1109</v>
      </c>
    </row>
    <row r="9129" spans="1:9" x14ac:dyDescent="0.2">
      <c r="A9129" s="997">
        <f t="shared" si="142"/>
        <v>9128</v>
      </c>
      <c r="B9129" s="983" t="s">
        <v>2723</v>
      </c>
      <c r="C9129" s="1000"/>
      <c r="G9129" s="983" t="s">
        <v>1106</v>
      </c>
    </row>
    <row r="9130" spans="1:9" x14ac:dyDescent="0.2">
      <c r="A9130" s="997">
        <f t="shared" si="142"/>
        <v>9129</v>
      </c>
      <c r="B9130" s="983" t="s">
        <v>2723</v>
      </c>
      <c r="C9130" s="999"/>
      <c r="H9130" s="983" t="s">
        <v>1107</v>
      </c>
    </row>
    <row r="9131" spans="1:9" x14ac:dyDescent="0.2">
      <c r="A9131" s="997">
        <f t="shared" si="142"/>
        <v>9130</v>
      </c>
      <c r="B9131" s="983" t="s">
        <v>2723</v>
      </c>
      <c r="C9131" s="999"/>
      <c r="I9131" s="983" t="s">
        <v>2356</v>
      </c>
    </row>
    <row r="9132" spans="1:9" x14ac:dyDescent="0.2">
      <c r="A9132" s="997">
        <f t="shared" si="142"/>
        <v>9131</v>
      </c>
      <c r="B9132" s="983" t="s">
        <v>2723</v>
      </c>
      <c r="C9132" s="1000"/>
      <c r="H9132" s="983" t="s">
        <v>1108</v>
      </c>
    </row>
    <row r="9133" spans="1:9" x14ac:dyDescent="0.2">
      <c r="A9133" s="997">
        <f t="shared" si="142"/>
        <v>9132</v>
      </c>
      <c r="B9133" s="983" t="s">
        <v>2723</v>
      </c>
      <c r="C9133" s="1001"/>
      <c r="H9133" s="983" t="str">
        <f>CONCATENATE("&lt;valeur&gt;",Cellule_1146,"&lt;/valeur&gt;")</f>
        <v>&lt;valeur&gt;&lt;/valeur&gt;</v>
      </c>
    </row>
    <row r="9134" spans="1:9" x14ac:dyDescent="0.2">
      <c r="A9134" s="997">
        <f t="shared" si="142"/>
        <v>9133</v>
      </c>
      <c r="B9134" s="983" t="s">
        <v>2723</v>
      </c>
      <c r="C9134" s="1000"/>
      <c r="G9134" s="983" t="s">
        <v>1109</v>
      </c>
    </row>
    <row r="9135" spans="1:9" x14ac:dyDescent="0.2">
      <c r="A9135" s="997">
        <f t="shared" si="142"/>
        <v>9134</v>
      </c>
      <c r="B9135" s="983" t="s">
        <v>2723</v>
      </c>
      <c r="C9135" s="1000"/>
      <c r="G9135" s="983" t="s">
        <v>1106</v>
      </c>
    </row>
    <row r="9136" spans="1:9" x14ac:dyDescent="0.2">
      <c r="A9136" s="997">
        <f t="shared" si="142"/>
        <v>9135</v>
      </c>
      <c r="B9136" s="983" t="s">
        <v>2723</v>
      </c>
      <c r="C9136" s="1000"/>
      <c r="H9136" s="983" t="s">
        <v>1107</v>
      </c>
    </row>
    <row r="9137" spans="1:9" x14ac:dyDescent="0.2">
      <c r="A9137" s="997">
        <f t="shared" si="142"/>
        <v>9136</v>
      </c>
      <c r="B9137" s="983" t="s">
        <v>2723</v>
      </c>
      <c r="C9137" s="999"/>
      <c r="I9137" s="983" t="s">
        <v>2357</v>
      </c>
    </row>
    <row r="9138" spans="1:9" x14ac:dyDescent="0.2">
      <c r="A9138" s="997">
        <f t="shared" si="142"/>
        <v>9137</v>
      </c>
      <c r="B9138" s="983" t="s">
        <v>2723</v>
      </c>
      <c r="C9138" s="999"/>
      <c r="H9138" s="983" t="s">
        <v>1108</v>
      </c>
    </row>
    <row r="9139" spans="1:9" x14ac:dyDescent="0.2">
      <c r="A9139" s="997">
        <f t="shared" si="142"/>
        <v>9138</v>
      </c>
      <c r="B9139" s="983" t="s">
        <v>2723</v>
      </c>
      <c r="C9139" s="1000"/>
      <c r="H9139" s="983" t="str">
        <f>CONCATENATE("&lt;valeur&gt;",Cellule_1155,"&lt;/valeur&gt;")</f>
        <v>&lt;valeur&gt;&lt;/valeur&gt;</v>
      </c>
    </row>
    <row r="9140" spans="1:9" x14ac:dyDescent="0.2">
      <c r="A9140" s="997">
        <f t="shared" si="142"/>
        <v>9139</v>
      </c>
      <c r="B9140" s="983" t="s">
        <v>2723</v>
      </c>
      <c r="C9140" s="1001"/>
      <c r="G9140" s="983" t="s">
        <v>1109</v>
      </c>
    </row>
    <row r="9141" spans="1:9" x14ac:dyDescent="0.2">
      <c r="A9141" s="997">
        <f t="shared" si="142"/>
        <v>9140</v>
      </c>
      <c r="B9141" s="983" t="s">
        <v>2723</v>
      </c>
      <c r="C9141" s="1000"/>
      <c r="G9141" s="983" t="s">
        <v>1106</v>
      </c>
    </row>
    <row r="9142" spans="1:9" x14ac:dyDescent="0.2">
      <c r="A9142" s="997">
        <f t="shared" si="142"/>
        <v>9141</v>
      </c>
      <c r="B9142" s="983" t="s">
        <v>2723</v>
      </c>
      <c r="C9142" s="1000"/>
      <c r="H9142" s="983" t="s">
        <v>1107</v>
      </c>
    </row>
    <row r="9143" spans="1:9" x14ac:dyDescent="0.2">
      <c r="A9143" s="997">
        <f t="shared" si="142"/>
        <v>9142</v>
      </c>
      <c r="B9143" s="983" t="s">
        <v>2723</v>
      </c>
      <c r="C9143" s="1000"/>
      <c r="I9143" s="983" t="s">
        <v>2358</v>
      </c>
    </row>
    <row r="9144" spans="1:9" x14ac:dyDescent="0.2">
      <c r="A9144" s="997">
        <f t="shared" si="142"/>
        <v>9143</v>
      </c>
      <c r="B9144" s="983" t="s">
        <v>2723</v>
      </c>
      <c r="C9144" s="999"/>
      <c r="H9144" s="983" t="s">
        <v>1108</v>
      </c>
    </row>
    <row r="9145" spans="1:9" x14ac:dyDescent="0.2">
      <c r="A9145" s="997">
        <f t="shared" si="142"/>
        <v>9144</v>
      </c>
      <c r="B9145" s="983" t="s">
        <v>2723</v>
      </c>
      <c r="C9145" s="999"/>
      <c r="H9145" s="983" t="str">
        <f>CONCATENATE("&lt;valeur&gt;",Cellule_1164,"&lt;/valeur&gt;")</f>
        <v>&lt;valeur&gt;&lt;/valeur&gt;</v>
      </c>
    </row>
    <row r="9146" spans="1:9" x14ac:dyDescent="0.2">
      <c r="A9146" s="997">
        <f t="shared" si="142"/>
        <v>9145</v>
      </c>
      <c r="B9146" s="983" t="s">
        <v>2723</v>
      </c>
      <c r="C9146" s="1000"/>
      <c r="G9146" s="983" t="s">
        <v>1109</v>
      </c>
    </row>
    <row r="9147" spans="1:9" x14ac:dyDescent="0.2">
      <c r="A9147" s="997">
        <f t="shared" si="142"/>
        <v>9146</v>
      </c>
      <c r="B9147" s="983" t="s">
        <v>2723</v>
      </c>
      <c r="C9147" s="1001"/>
      <c r="G9147" s="983" t="s">
        <v>1106</v>
      </c>
    </row>
    <row r="9148" spans="1:9" x14ac:dyDescent="0.2">
      <c r="A9148" s="997">
        <f t="shared" si="142"/>
        <v>9147</v>
      </c>
      <c r="B9148" s="983" t="s">
        <v>2723</v>
      </c>
      <c r="C9148" s="1000"/>
      <c r="H9148" s="983" t="s">
        <v>1107</v>
      </c>
    </row>
    <row r="9149" spans="1:9" x14ac:dyDescent="0.2">
      <c r="A9149" s="997">
        <f t="shared" si="142"/>
        <v>9148</v>
      </c>
      <c r="B9149" s="983" t="s">
        <v>2723</v>
      </c>
      <c r="C9149" s="1000"/>
      <c r="I9149" s="983" t="s">
        <v>2359</v>
      </c>
    </row>
    <row r="9150" spans="1:9" x14ac:dyDescent="0.2">
      <c r="A9150" s="997">
        <f t="shared" si="142"/>
        <v>9149</v>
      </c>
      <c r="B9150" s="983" t="s">
        <v>2723</v>
      </c>
      <c r="C9150" s="1000"/>
      <c r="H9150" s="983" t="s">
        <v>1108</v>
      </c>
    </row>
    <row r="9151" spans="1:9" x14ac:dyDescent="0.2">
      <c r="A9151" s="997">
        <f t="shared" si="142"/>
        <v>9150</v>
      </c>
      <c r="B9151" s="983" t="s">
        <v>2723</v>
      </c>
      <c r="C9151" s="999"/>
      <c r="H9151" s="983" t="str">
        <f>CONCATENATE("&lt;valeur&gt;",Cellule_1173,"&lt;/valeur&gt;")</f>
        <v>&lt;valeur&gt;&lt;/valeur&gt;</v>
      </c>
    </row>
    <row r="9152" spans="1:9" x14ac:dyDescent="0.2">
      <c r="A9152" s="997">
        <f t="shared" si="142"/>
        <v>9151</v>
      </c>
      <c r="B9152" s="983" t="s">
        <v>2723</v>
      </c>
      <c r="C9152" s="999"/>
      <c r="G9152" s="983" t="s">
        <v>1109</v>
      </c>
    </row>
    <row r="9153" spans="1:9" x14ac:dyDescent="0.2">
      <c r="A9153" s="997">
        <f t="shared" si="142"/>
        <v>9152</v>
      </c>
      <c r="B9153" s="983" t="s">
        <v>2723</v>
      </c>
      <c r="C9153" s="1000"/>
      <c r="G9153" s="983" t="s">
        <v>1106</v>
      </c>
    </row>
    <row r="9154" spans="1:9" x14ac:dyDescent="0.2">
      <c r="A9154" s="997">
        <f t="shared" si="142"/>
        <v>9153</v>
      </c>
      <c r="B9154" s="983" t="s">
        <v>2723</v>
      </c>
      <c r="C9154" s="1001"/>
      <c r="H9154" s="983" t="s">
        <v>1107</v>
      </c>
    </row>
    <row r="9155" spans="1:9" x14ac:dyDescent="0.2">
      <c r="A9155" s="997">
        <f t="shared" si="142"/>
        <v>9154</v>
      </c>
      <c r="B9155" s="983" t="s">
        <v>2723</v>
      </c>
      <c r="C9155" s="1000"/>
      <c r="I9155" s="983" t="s">
        <v>2360</v>
      </c>
    </row>
    <row r="9156" spans="1:9" x14ac:dyDescent="0.2">
      <c r="A9156" s="997">
        <f t="shared" ref="A9156:A9219" si="143">+A9155+1</f>
        <v>9155</v>
      </c>
      <c r="B9156" s="983" t="s">
        <v>2723</v>
      </c>
      <c r="C9156" s="1000"/>
      <c r="H9156" s="983" t="s">
        <v>1108</v>
      </c>
    </row>
    <row r="9157" spans="1:9" x14ac:dyDescent="0.2">
      <c r="A9157" s="997">
        <f t="shared" si="143"/>
        <v>9156</v>
      </c>
      <c r="B9157" s="983" t="s">
        <v>2723</v>
      </c>
      <c r="C9157" s="999"/>
      <c r="H9157" s="983" t="str">
        <f>CONCATENATE("&lt;valeur&gt;",Cellule_1182,"&lt;/valeur&gt;")</f>
        <v>&lt;valeur&gt;&lt;/valeur&gt;</v>
      </c>
    </row>
    <row r="9158" spans="1:9" x14ac:dyDescent="0.2">
      <c r="A9158" s="997">
        <f t="shared" si="143"/>
        <v>9157</v>
      </c>
      <c r="B9158" s="983" t="s">
        <v>2723</v>
      </c>
      <c r="C9158" s="999"/>
      <c r="G9158" s="983" t="s">
        <v>1109</v>
      </c>
    </row>
    <row r="9159" spans="1:9" x14ac:dyDescent="0.2">
      <c r="A9159" s="997">
        <f t="shared" si="143"/>
        <v>9158</v>
      </c>
      <c r="B9159" s="983" t="s">
        <v>2723</v>
      </c>
      <c r="C9159" s="1000"/>
      <c r="G9159" s="983" t="s">
        <v>1106</v>
      </c>
    </row>
    <row r="9160" spans="1:9" x14ac:dyDescent="0.2">
      <c r="A9160" s="997">
        <f t="shared" si="143"/>
        <v>9159</v>
      </c>
      <c r="B9160" s="983" t="s">
        <v>2723</v>
      </c>
      <c r="C9160" s="1001"/>
      <c r="H9160" s="983" t="s">
        <v>1107</v>
      </c>
    </row>
    <row r="9161" spans="1:9" x14ac:dyDescent="0.2">
      <c r="A9161" s="997">
        <f t="shared" si="143"/>
        <v>9160</v>
      </c>
      <c r="B9161" s="983" t="s">
        <v>2723</v>
      </c>
      <c r="C9161" s="1000"/>
      <c r="I9161" s="983" t="s">
        <v>2361</v>
      </c>
    </row>
    <row r="9162" spans="1:9" x14ac:dyDescent="0.2">
      <c r="A9162" s="997">
        <f t="shared" si="143"/>
        <v>9161</v>
      </c>
      <c r="B9162" s="983" t="s">
        <v>2723</v>
      </c>
      <c r="C9162" s="1000"/>
      <c r="H9162" s="983" t="s">
        <v>1108</v>
      </c>
    </row>
    <row r="9163" spans="1:9" x14ac:dyDescent="0.2">
      <c r="A9163" s="997">
        <f t="shared" si="143"/>
        <v>9162</v>
      </c>
      <c r="B9163" s="983" t="s">
        <v>2723</v>
      </c>
      <c r="C9163" s="999"/>
      <c r="H9163" s="983" t="str">
        <f>CONCATENATE("&lt;valeur&gt;",Cellule_1191,"&lt;/valeur&gt;")</f>
        <v>&lt;valeur&gt;&lt;/valeur&gt;</v>
      </c>
    </row>
    <row r="9164" spans="1:9" x14ac:dyDescent="0.2">
      <c r="A9164" s="997">
        <f t="shared" si="143"/>
        <v>9163</v>
      </c>
      <c r="B9164" s="983" t="s">
        <v>2723</v>
      </c>
      <c r="C9164" s="999"/>
      <c r="G9164" s="983" t="s">
        <v>1109</v>
      </c>
    </row>
    <row r="9165" spans="1:9" x14ac:dyDescent="0.2">
      <c r="A9165" s="997">
        <f t="shared" si="143"/>
        <v>9164</v>
      </c>
      <c r="B9165" s="983" t="s">
        <v>2723</v>
      </c>
      <c r="C9165" s="1000"/>
      <c r="G9165" s="983" t="s">
        <v>1106</v>
      </c>
    </row>
    <row r="9166" spans="1:9" x14ac:dyDescent="0.2">
      <c r="A9166" s="997">
        <f t="shared" si="143"/>
        <v>9165</v>
      </c>
      <c r="B9166" s="983" t="s">
        <v>2723</v>
      </c>
      <c r="C9166" s="1001"/>
      <c r="H9166" s="983" t="s">
        <v>1107</v>
      </c>
    </row>
    <row r="9167" spans="1:9" x14ac:dyDescent="0.2">
      <c r="A9167" s="997">
        <f t="shared" si="143"/>
        <v>9166</v>
      </c>
      <c r="B9167" s="983" t="s">
        <v>2723</v>
      </c>
      <c r="C9167" s="1000"/>
      <c r="I9167" s="983" t="s">
        <v>2362</v>
      </c>
    </row>
    <row r="9168" spans="1:9" x14ac:dyDescent="0.2">
      <c r="A9168" s="997">
        <f t="shared" si="143"/>
        <v>9167</v>
      </c>
      <c r="B9168" s="983" t="s">
        <v>2723</v>
      </c>
      <c r="C9168" s="1000"/>
      <c r="H9168" s="983" t="s">
        <v>1108</v>
      </c>
    </row>
    <row r="9169" spans="1:9" x14ac:dyDescent="0.2">
      <c r="A9169" s="997">
        <f t="shared" si="143"/>
        <v>9168</v>
      </c>
      <c r="B9169" s="983" t="s">
        <v>2723</v>
      </c>
      <c r="C9169" s="999"/>
      <c r="H9169" s="983" t="str">
        <f>CONCATENATE("&lt;valeur&gt;",Cellule_1200,"&lt;/valeur&gt;")</f>
        <v>&lt;valeur&gt;0&lt;/valeur&gt;</v>
      </c>
    </row>
    <row r="9170" spans="1:9" x14ac:dyDescent="0.2">
      <c r="A9170" s="997">
        <f t="shared" si="143"/>
        <v>9169</v>
      </c>
      <c r="B9170" s="983" t="s">
        <v>2723</v>
      </c>
      <c r="C9170" s="999"/>
      <c r="G9170" s="983" t="s">
        <v>1109</v>
      </c>
    </row>
    <row r="9171" spans="1:9" x14ac:dyDescent="0.2">
      <c r="A9171" s="997">
        <f t="shared" si="143"/>
        <v>9170</v>
      </c>
      <c r="B9171" s="983" t="s">
        <v>2723</v>
      </c>
      <c r="C9171" s="1000"/>
      <c r="G9171" s="983" t="s">
        <v>1106</v>
      </c>
    </row>
    <row r="9172" spans="1:9" x14ac:dyDescent="0.2">
      <c r="A9172" s="997">
        <f t="shared" si="143"/>
        <v>9171</v>
      </c>
      <c r="B9172" s="983" t="s">
        <v>2723</v>
      </c>
      <c r="C9172" s="1001"/>
      <c r="H9172" s="983" t="s">
        <v>1107</v>
      </c>
    </row>
    <row r="9173" spans="1:9" x14ac:dyDescent="0.2">
      <c r="A9173" s="997">
        <f t="shared" si="143"/>
        <v>9172</v>
      </c>
      <c r="B9173" s="983" t="s">
        <v>2723</v>
      </c>
      <c r="C9173" s="1000"/>
      <c r="I9173" s="983" t="s">
        <v>2363</v>
      </c>
    </row>
    <row r="9174" spans="1:9" x14ac:dyDescent="0.2">
      <c r="A9174" s="997">
        <f t="shared" si="143"/>
        <v>9173</v>
      </c>
      <c r="B9174" s="983" t="s">
        <v>2723</v>
      </c>
      <c r="C9174" s="1000"/>
      <c r="H9174" s="983" t="s">
        <v>1108</v>
      </c>
    </row>
    <row r="9175" spans="1:9" x14ac:dyDescent="0.2">
      <c r="A9175" s="997">
        <f t="shared" si="143"/>
        <v>9174</v>
      </c>
      <c r="B9175" s="983" t="s">
        <v>2723</v>
      </c>
      <c r="C9175" s="999"/>
      <c r="H9175" s="983" t="str">
        <f>CONCATENATE("&lt;valeur&gt;",Cellule_1111,"&lt;/valeur&gt;")</f>
        <v>&lt;valeur&gt;&lt;/valeur&gt;</v>
      </c>
    </row>
    <row r="9176" spans="1:9" x14ac:dyDescent="0.2">
      <c r="A9176" s="997">
        <f t="shared" si="143"/>
        <v>9175</v>
      </c>
      <c r="B9176" s="983" t="s">
        <v>2723</v>
      </c>
      <c r="C9176" s="999"/>
      <c r="G9176" s="983" t="s">
        <v>1109</v>
      </c>
    </row>
    <row r="9177" spans="1:9" x14ac:dyDescent="0.2">
      <c r="A9177" s="997">
        <f t="shared" si="143"/>
        <v>9176</v>
      </c>
      <c r="B9177" s="983" t="s">
        <v>2723</v>
      </c>
      <c r="C9177" s="1000"/>
      <c r="G9177" s="983" t="s">
        <v>1106</v>
      </c>
    </row>
    <row r="9178" spans="1:9" x14ac:dyDescent="0.2">
      <c r="A9178" s="997">
        <f t="shared" si="143"/>
        <v>9177</v>
      </c>
      <c r="B9178" s="983" t="s">
        <v>2723</v>
      </c>
      <c r="C9178" s="1001"/>
      <c r="H9178" s="983" t="s">
        <v>1107</v>
      </c>
    </row>
    <row r="9179" spans="1:9" x14ac:dyDescent="0.2">
      <c r="A9179" s="997">
        <f t="shared" si="143"/>
        <v>9178</v>
      </c>
      <c r="B9179" s="983" t="s">
        <v>2723</v>
      </c>
      <c r="C9179" s="1000"/>
      <c r="I9179" s="983" t="s">
        <v>2364</v>
      </c>
    </row>
    <row r="9180" spans="1:9" x14ac:dyDescent="0.2">
      <c r="A9180" s="997">
        <f t="shared" si="143"/>
        <v>9179</v>
      </c>
      <c r="B9180" s="983" t="s">
        <v>2723</v>
      </c>
      <c r="C9180" s="1000"/>
      <c r="H9180" s="983" t="s">
        <v>1108</v>
      </c>
    </row>
    <row r="9181" spans="1:9" x14ac:dyDescent="0.2">
      <c r="A9181" s="997">
        <f t="shared" si="143"/>
        <v>9180</v>
      </c>
      <c r="B9181" s="983" t="s">
        <v>2723</v>
      </c>
      <c r="C9181" s="999"/>
      <c r="H9181" s="983" t="str">
        <f>CONCATENATE("&lt;valeur&gt;",Cellule_1120,"&lt;/valeur&gt;")</f>
        <v>&lt;valeur&gt;&lt;/valeur&gt;</v>
      </c>
    </row>
    <row r="9182" spans="1:9" x14ac:dyDescent="0.2">
      <c r="A9182" s="997">
        <f t="shared" si="143"/>
        <v>9181</v>
      </c>
      <c r="B9182" s="983" t="s">
        <v>2723</v>
      </c>
      <c r="C9182" s="999"/>
      <c r="G9182" s="983" t="s">
        <v>1109</v>
      </c>
    </row>
    <row r="9183" spans="1:9" x14ac:dyDescent="0.2">
      <c r="A9183" s="997">
        <f t="shared" si="143"/>
        <v>9182</v>
      </c>
      <c r="B9183" s="983" t="s">
        <v>2723</v>
      </c>
      <c r="C9183" s="1000"/>
      <c r="G9183" s="983" t="s">
        <v>1106</v>
      </c>
    </row>
    <row r="9184" spans="1:9" x14ac:dyDescent="0.2">
      <c r="A9184" s="997">
        <f t="shared" si="143"/>
        <v>9183</v>
      </c>
      <c r="B9184" s="983" t="s">
        <v>2723</v>
      </c>
      <c r="C9184" s="1001"/>
      <c r="H9184" s="983" t="s">
        <v>1107</v>
      </c>
    </row>
    <row r="9185" spans="1:9" x14ac:dyDescent="0.2">
      <c r="A9185" s="997">
        <f t="shared" si="143"/>
        <v>9184</v>
      </c>
      <c r="B9185" s="983" t="s">
        <v>2723</v>
      </c>
      <c r="C9185" s="1000"/>
      <c r="I9185" s="983" t="s">
        <v>2365</v>
      </c>
    </row>
    <row r="9186" spans="1:9" x14ac:dyDescent="0.2">
      <c r="A9186" s="997">
        <f t="shared" si="143"/>
        <v>9185</v>
      </c>
      <c r="B9186" s="983" t="s">
        <v>2723</v>
      </c>
      <c r="C9186" s="1000"/>
      <c r="H9186" s="983" t="s">
        <v>1108</v>
      </c>
    </row>
    <row r="9187" spans="1:9" x14ac:dyDescent="0.2">
      <c r="A9187" s="997">
        <f t="shared" si="143"/>
        <v>9186</v>
      </c>
      <c r="B9187" s="983" t="s">
        <v>2723</v>
      </c>
      <c r="C9187" s="999"/>
      <c r="H9187" s="983" t="str">
        <f>CONCATENATE("&lt;valeur&gt;",Cellule_1129,"&lt;/valeur&gt;")</f>
        <v>&lt;valeur&gt;&lt;/valeur&gt;</v>
      </c>
    </row>
    <row r="9188" spans="1:9" x14ac:dyDescent="0.2">
      <c r="A9188" s="997">
        <f t="shared" si="143"/>
        <v>9187</v>
      </c>
      <c r="B9188" s="983" t="s">
        <v>2723</v>
      </c>
      <c r="C9188" s="998"/>
      <c r="G9188" s="983" t="s">
        <v>1109</v>
      </c>
    </row>
    <row r="9189" spans="1:9" x14ac:dyDescent="0.2">
      <c r="A9189" s="997">
        <f t="shared" si="143"/>
        <v>9188</v>
      </c>
      <c r="B9189" s="983" t="s">
        <v>2723</v>
      </c>
      <c r="C9189" s="998"/>
      <c r="G9189" s="983" t="s">
        <v>1106</v>
      </c>
    </row>
    <row r="9190" spans="1:9" x14ac:dyDescent="0.2">
      <c r="A9190" s="997">
        <f t="shared" si="143"/>
        <v>9189</v>
      </c>
      <c r="B9190" s="983" t="s">
        <v>2723</v>
      </c>
      <c r="C9190" s="999"/>
      <c r="H9190" s="983" t="s">
        <v>1107</v>
      </c>
    </row>
    <row r="9191" spans="1:9" x14ac:dyDescent="0.2">
      <c r="A9191" s="997">
        <f t="shared" si="143"/>
        <v>9190</v>
      </c>
      <c r="B9191" s="983" t="s">
        <v>2723</v>
      </c>
      <c r="C9191" s="1000"/>
      <c r="I9191" s="983" t="s">
        <v>2366</v>
      </c>
    </row>
    <row r="9192" spans="1:9" x14ac:dyDescent="0.2">
      <c r="A9192" s="997">
        <f t="shared" si="143"/>
        <v>9191</v>
      </c>
      <c r="B9192" s="983" t="s">
        <v>2723</v>
      </c>
      <c r="C9192" s="1001"/>
      <c r="H9192" s="983" t="s">
        <v>1108</v>
      </c>
    </row>
    <row r="9193" spans="1:9" x14ac:dyDescent="0.2">
      <c r="A9193" s="997">
        <f t="shared" si="143"/>
        <v>9192</v>
      </c>
      <c r="B9193" s="983" t="s">
        <v>2723</v>
      </c>
      <c r="C9193" s="1000"/>
      <c r="H9193" s="983" t="str">
        <f>CONCATENATE("&lt;valeur&gt;",Cellule_1138,"&lt;/valeur&gt;")</f>
        <v>&lt;valeur&gt;&lt;/valeur&gt;</v>
      </c>
    </row>
    <row r="9194" spans="1:9" x14ac:dyDescent="0.2">
      <c r="A9194" s="997">
        <f t="shared" si="143"/>
        <v>9193</v>
      </c>
      <c r="B9194" s="983" t="s">
        <v>2723</v>
      </c>
      <c r="C9194" s="1000"/>
      <c r="G9194" s="983" t="s">
        <v>1109</v>
      </c>
    </row>
    <row r="9195" spans="1:9" x14ac:dyDescent="0.2">
      <c r="A9195" s="997">
        <f t="shared" si="143"/>
        <v>9194</v>
      </c>
      <c r="B9195" s="983" t="s">
        <v>2723</v>
      </c>
      <c r="C9195" s="999"/>
      <c r="G9195" s="983" t="s">
        <v>1106</v>
      </c>
    </row>
    <row r="9196" spans="1:9" x14ac:dyDescent="0.2">
      <c r="A9196" s="997">
        <f t="shared" si="143"/>
        <v>9195</v>
      </c>
      <c r="B9196" s="983" t="s">
        <v>2723</v>
      </c>
      <c r="C9196" s="999"/>
      <c r="H9196" s="983" t="s">
        <v>1107</v>
      </c>
    </row>
    <row r="9197" spans="1:9" x14ac:dyDescent="0.2">
      <c r="A9197" s="997">
        <f t="shared" si="143"/>
        <v>9196</v>
      </c>
      <c r="B9197" s="983" t="s">
        <v>2723</v>
      </c>
      <c r="C9197" s="1000"/>
      <c r="I9197" s="983" t="s">
        <v>2367</v>
      </c>
    </row>
    <row r="9198" spans="1:9" x14ac:dyDescent="0.2">
      <c r="A9198" s="997">
        <f t="shared" si="143"/>
        <v>9197</v>
      </c>
      <c r="B9198" s="983" t="s">
        <v>2723</v>
      </c>
      <c r="C9198" s="1001"/>
      <c r="H9198" s="983" t="s">
        <v>1108</v>
      </c>
    </row>
    <row r="9199" spans="1:9" x14ac:dyDescent="0.2">
      <c r="A9199" s="997">
        <f t="shared" si="143"/>
        <v>9198</v>
      </c>
      <c r="B9199" s="983" t="s">
        <v>2723</v>
      </c>
      <c r="C9199" s="1000"/>
      <c r="H9199" s="983" t="str">
        <f>CONCATENATE("&lt;valeur&gt;",Cellule_1147,"&lt;/valeur&gt;")</f>
        <v>&lt;valeur&gt;&lt;/valeur&gt;</v>
      </c>
    </row>
    <row r="9200" spans="1:9" x14ac:dyDescent="0.2">
      <c r="A9200" s="997">
        <f t="shared" si="143"/>
        <v>9199</v>
      </c>
      <c r="B9200" s="983" t="s">
        <v>2723</v>
      </c>
      <c r="C9200" s="1000"/>
      <c r="G9200" s="983" t="s">
        <v>1109</v>
      </c>
    </row>
    <row r="9201" spans="1:9" x14ac:dyDescent="0.2">
      <c r="A9201" s="997">
        <f t="shared" si="143"/>
        <v>9200</v>
      </c>
      <c r="B9201" s="983" t="s">
        <v>2723</v>
      </c>
      <c r="C9201" s="999"/>
      <c r="G9201" s="983" t="s">
        <v>1106</v>
      </c>
    </row>
    <row r="9202" spans="1:9" x14ac:dyDescent="0.2">
      <c r="A9202" s="997">
        <f t="shared" si="143"/>
        <v>9201</v>
      </c>
      <c r="B9202" s="983" t="s">
        <v>2723</v>
      </c>
      <c r="C9202" s="999"/>
      <c r="H9202" s="983" t="s">
        <v>1107</v>
      </c>
    </row>
    <row r="9203" spans="1:9" x14ac:dyDescent="0.2">
      <c r="A9203" s="997">
        <f t="shared" si="143"/>
        <v>9202</v>
      </c>
      <c r="B9203" s="983" t="s">
        <v>2723</v>
      </c>
      <c r="C9203" s="1000"/>
      <c r="I9203" s="983" t="s">
        <v>2368</v>
      </c>
    </row>
    <row r="9204" spans="1:9" x14ac:dyDescent="0.2">
      <c r="A9204" s="997">
        <f t="shared" si="143"/>
        <v>9203</v>
      </c>
      <c r="B9204" s="983" t="s">
        <v>2723</v>
      </c>
      <c r="C9204" s="1001"/>
      <c r="H9204" s="983" t="s">
        <v>1108</v>
      </c>
    </row>
    <row r="9205" spans="1:9" x14ac:dyDescent="0.2">
      <c r="A9205" s="997">
        <f t="shared" si="143"/>
        <v>9204</v>
      </c>
      <c r="B9205" s="983" t="s">
        <v>2723</v>
      </c>
      <c r="C9205" s="1000"/>
      <c r="H9205" s="983" t="str">
        <f>CONCATENATE("&lt;valeur&gt;",Cellule_1156,"&lt;/valeur&gt;")</f>
        <v>&lt;valeur&gt;&lt;/valeur&gt;</v>
      </c>
    </row>
    <row r="9206" spans="1:9" x14ac:dyDescent="0.2">
      <c r="A9206" s="997">
        <f t="shared" si="143"/>
        <v>9205</v>
      </c>
      <c r="B9206" s="983" t="s">
        <v>2723</v>
      </c>
      <c r="C9206" s="1000"/>
      <c r="G9206" s="983" t="s">
        <v>1109</v>
      </c>
    </row>
    <row r="9207" spans="1:9" x14ac:dyDescent="0.2">
      <c r="A9207" s="997">
        <f t="shared" si="143"/>
        <v>9206</v>
      </c>
      <c r="B9207" s="983" t="s">
        <v>2723</v>
      </c>
      <c r="C9207" s="999"/>
      <c r="G9207" s="983" t="s">
        <v>1106</v>
      </c>
    </row>
    <row r="9208" spans="1:9" x14ac:dyDescent="0.2">
      <c r="A9208" s="997">
        <f t="shared" si="143"/>
        <v>9207</v>
      </c>
      <c r="B9208" s="983" t="s">
        <v>2723</v>
      </c>
      <c r="C9208" s="999"/>
      <c r="H9208" s="983" t="s">
        <v>1107</v>
      </c>
    </row>
    <row r="9209" spans="1:9" x14ac:dyDescent="0.2">
      <c r="A9209" s="997">
        <f t="shared" si="143"/>
        <v>9208</v>
      </c>
      <c r="B9209" s="983" t="s">
        <v>2723</v>
      </c>
      <c r="C9209" s="1000"/>
      <c r="I9209" s="983" t="s">
        <v>2369</v>
      </c>
    </row>
    <row r="9210" spans="1:9" x14ac:dyDescent="0.2">
      <c r="A9210" s="997">
        <f t="shared" si="143"/>
        <v>9209</v>
      </c>
      <c r="B9210" s="983" t="s">
        <v>2723</v>
      </c>
      <c r="C9210" s="1001"/>
      <c r="H9210" s="983" t="s">
        <v>1108</v>
      </c>
    </row>
    <row r="9211" spans="1:9" x14ac:dyDescent="0.2">
      <c r="A9211" s="997">
        <f t="shared" si="143"/>
        <v>9210</v>
      </c>
      <c r="B9211" s="983" t="s">
        <v>2723</v>
      </c>
      <c r="C9211" s="1000"/>
      <c r="H9211" s="983" t="str">
        <f>CONCATENATE("&lt;valeur&gt;",Cellule_1165,"&lt;/valeur&gt;")</f>
        <v>&lt;valeur&gt;&lt;/valeur&gt;</v>
      </c>
    </row>
    <row r="9212" spans="1:9" x14ac:dyDescent="0.2">
      <c r="A9212" s="997">
        <f t="shared" si="143"/>
        <v>9211</v>
      </c>
      <c r="B9212" s="983" t="s">
        <v>2723</v>
      </c>
      <c r="C9212" s="1000"/>
      <c r="G9212" s="983" t="s">
        <v>1109</v>
      </c>
    </row>
    <row r="9213" spans="1:9" x14ac:dyDescent="0.2">
      <c r="A9213" s="997">
        <f t="shared" si="143"/>
        <v>9212</v>
      </c>
      <c r="B9213" s="983" t="s">
        <v>2723</v>
      </c>
      <c r="C9213" s="999"/>
      <c r="G9213" s="983" t="s">
        <v>1106</v>
      </c>
    </row>
    <row r="9214" spans="1:9" x14ac:dyDescent="0.2">
      <c r="A9214" s="997">
        <f t="shared" si="143"/>
        <v>9213</v>
      </c>
      <c r="B9214" s="983" t="s">
        <v>2723</v>
      </c>
      <c r="C9214" s="998"/>
      <c r="H9214" s="983" t="s">
        <v>1107</v>
      </c>
    </row>
    <row r="9215" spans="1:9" x14ac:dyDescent="0.2">
      <c r="A9215" s="997">
        <f t="shared" si="143"/>
        <v>9214</v>
      </c>
      <c r="B9215" s="983" t="s">
        <v>2723</v>
      </c>
      <c r="C9215" s="995"/>
      <c r="I9215" s="983" t="s">
        <v>2370</v>
      </c>
    </row>
    <row r="9216" spans="1:9" x14ac:dyDescent="0.2">
      <c r="A9216" s="997">
        <f t="shared" si="143"/>
        <v>9215</v>
      </c>
      <c r="B9216" s="983" t="s">
        <v>2723</v>
      </c>
      <c r="C9216" s="995"/>
      <c r="H9216" s="983" t="s">
        <v>1108</v>
      </c>
    </row>
    <row r="9217" spans="1:9" x14ac:dyDescent="0.2">
      <c r="A9217" s="997">
        <f t="shared" si="143"/>
        <v>9216</v>
      </c>
      <c r="B9217" s="983" t="s">
        <v>2723</v>
      </c>
      <c r="C9217" s="998"/>
      <c r="H9217" s="983" t="str">
        <f>CONCATENATE("&lt;valeur&gt;",Cellule_1174,"&lt;/valeur&gt;")</f>
        <v>&lt;valeur&gt;&lt;/valeur&gt;</v>
      </c>
    </row>
    <row r="9218" spans="1:9" x14ac:dyDescent="0.2">
      <c r="A9218" s="997">
        <f t="shared" si="143"/>
        <v>9217</v>
      </c>
      <c r="B9218" s="983" t="s">
        <v>2723</v>
      </c>
      <c r="C9218" s="999"/>
      <c r="G9218" s="983" t="s">
        <v>1109</v>
      </c>
    </row>
    <row r="9219" spans="1:9" x14ac:dyDescent="0.2">
      <c r="A9219" s="997">
        <f t="shared" si="143"/>
        <v>9218</v>
      </c>
      <c r="B9219" s="983" t="s">
        <v>2723</v>
      </c>
      <c r="C9219" s="998"/>
      <c r="G9219" s="983" t="s">
        <v>1106</v>
      </c>
    </row>
    <row r="9220" spans="1:9" x14ac:dyDescent="0.2">
      <c r="A9220" s="997">
        <f t="shared" ref="A9220:A9283" si="144">+A9219+1</f>
        <v>9219</v>
      </c>
      <c r="B9220" s="983" t="s">
        <v>2723</v>
      </c>
      <c r="C9220" s="998"/>
      <c r="H9220" s="983" t="s">
        <v>1107</v>
      </c>
    </row>
    <row r="9221" spans="1:9" x14ac:dyDescent="0.2">
      <c r="A9221" s="997">
        <f t="shared" si="144"/>
        <v>9220</v>
      </c>
      <c r="B9221" s="983" t="s">
        <v>2723</v>
      </c>
      <c r="C9221" s="999"/>
      <c r="I9221" s="983" t="s">
        <v>2371</v>
      </c>
    </row>
    <row r="9222" spans="1:9" x14ac:dyDescent="0.2">
      <c r="A9222" s="997">
        <f t="shared" si="144"/>
        <v>9221</v>
      </c>
      <c r="B9222" s="983" t="s">
        <v>2723</v>
      </c>
      <c r="C9222" s="1000"/>
      <c r="H9222" s="983" t="s">
        <v>1108</v>
      </c>
    </row>
    <row r="9223" spans="1:9" x14ac:dyDescent="0.2">
      <c r="A9223" s="997">
        <f t="shared" si="144"/>
        <v>9222</v>
      </c>
      <c r="B9223" s="983" t="s">
        <v>2723</v>
      </c>
      <c r="C9223" s="1001"/>
      <c r="H9223" s="983" t="str">
        <f>CONCATENATE("&lt;valeur&gt;",Cellule_1183,"&lt;/valeur&gt;")</f>
        <v>&lt;valeur&gt;&lt;/valeur&gt;</v>
      </c>
    </row>
    <row r="9224" spans="1:9" x14ac:dyDescent="0.2">
      <c r="A9224" s="997">
        <f t="shared" si="144"/>
        <v>9223</v>
      </c>
      <c r="B9224" s="983" t="s">
        <v>2723</v>
      </c>
      <c r="C9224" s="1000"/>
      <c r="G9224" s="983" t="s">
        <v>1109</v>
      </c>
    </row>
    <row r="9225" spans="1:9" x14ac:dyDescent="0.2">
      <c r="A9225" s="997">
        <f t="shared" si="144"/>
        <v>9224</v>
      </c>
      <c r="B9225" s="983" t="s">
        <v>2723</v>
      </c>
      <c r="C9225" s="1000"/>
      <c r="G9225" s="983" t="s">
        <v>1106</v>
      </c>
    </row>
    <row r="9226" spans="1:9" x14ac:dyDescent="0.2">
      <c r="A9226" s="997">
        <f t="shared" si="144"/>
        <v>9225</v>
      </c>
      <c r="B9226" s="983" t="s">
        <v>2723</v>
      </c>
      <c r="C9226" s="999"/>
      <c r="H9226" s="983" t="s">
        <v>1107</v>
      </c>
    </row>
    <row r="9227" spans="1:9" x14ac:dyDescent="0.2">
      <c r="A9227" s="997">
        <f t="shared" si="144"/>
        <v>9226</v>
      </c>
      <c r="B9227" s="983" t="s">
        <v>2723</v>
      </c>
      <c r="C9227" s="999"/>
      <c r="I9227" s="983" t="s">
        <v>2372</v>
      </c>
    </row>
    <row r="9228" spans="1:9" x14ac:dyDescent="0.2">
      <c r="A9228" s="997">
        <f t="shared" si="144"/>
        <v>9227</v>
      </c>
      <c r="B9228" s="983" t="s">
        <v>2723</v>
      </c>
      <c r="C9228" s="1000"/>
      <c r="H9228" s="983" t="s">
        <v>1108</v>
      </c>
    </row>
    <row r="9229" spans="1:9" x14ac:dyDescent="0.2">
      <c r="A9229" s="997">
        <f t="shared" si="144"/>
        <v>9228</v>
      </c>
      <c r="B9229" s="983" t="s">
        <v>2723</v>
      </c>
      <c r="C9229" s="1001"/>
      <c r="H9229" s="983" t="str">
        <f>CONCATENATE("&lt;valeur&gt;",Cellule_1192,"&lt;/valeur&gt;")</f>
        <v>&lt;valeur&gt;&lt;/valeur&gt;</v>
      </c>
    </row>
    <row r="9230" spans="1:9" x14ac:dyDescent="0.2">
      <c r="A9230" s="997">
        <f t="shared" si="144"/>
        <v>9229</v>
      </c>
      <c r="B9230" s="983" t="s">
        <v>2723</v>
      </c>
      <c r="C9230" s="1000"/>
      <c r="G9230" s="983" t="s">
        <v>1109</v>
      </c>
    </row>
    <row r="9231" spans="1:9" x14ac:dyDescent="0.2">
      <c r="A9231" s="997">
        <f t="shared" si="144"/>
        <v>9230</v>
      </c>
      <c r="B9231" s="983" t="s">
        <v>2723</v>
      </c>
      <c r="C9231" s="1000"/>
      <c r="G9231" s="983" t="s">
        <v>1106</v>
      </c>
    </row>
    <row r="9232" spans="1:9" x14ac:dyDescent="0.2">
      <c r="A9232" s="997">
        <f t="shared" si="144"/>
        <v>9231</v>
      </c>
      <c r="B9232" s="983" t="s">
        <v>2723</v>
      </c>
      <c r="C9232" s="999"/>
      <c r="H9232" s="983" t="s">
        <v>1107</v>
      </c>
    </row>
    <row r="9233" spans="1:9" x14ac:dyDescent="0.2">
      <c r="A9233" s="997">
        <f t="shared" si="144"/>
        <v>9232</v>
      </c>
      <c r="B9233" s="983" t="s">
        <v>2723</v>
      </c>
      <c r="C9233" s="999"/>
      <c r="I9233" s="983" t="s">
        <v>2373</v>
      </c>
    </row>
    <row r="9234" spans="1:9" x14ac:dyDescent="0.2">
      <c r="A9234" s="997">
        <f t="shared" si="144"/>
        <v>9233</v>
      </c>
      <c r="B9234" s="983" t="s">
        <v>2723</v>
      </c>
      <c r="C9234" s="1000"/>
      <c r="H9234" s="983" t="s">
        <v>1108</v>
      </c>
    </row>
    <row r="9235" spans="1:9" x14ac:dyDescent="0.2">
      <c r="A9235" s="997">
        <f t="shared" si="144"/>
        <v>9234</v>
      </c>
      <c r="B9235" s="983" t="s">
        <v>2723</v>
      </c>
      <c r="C9235" s="1001"/>
      <c r="H9235" s="983" t="str">
        <f>CONCATENATE("&lt;valeur&gt;",Cellule_1201,"&lt;/valeur&gt;")</f>
        <v>&lt;valeur&gt;0&lt;/valeur&gt;</v>
      </c>
    </row>
    <row r="9236" spans="1:9" x14ac:dyDescent="0.2">
      <c r="A9236" s="997">
        <f t="shared" si="144"/>
        <v>9235</v>
      </c>
      <c r="B9236" s="983" t="s">
        <v>2723</v>
      </c>
      <c r="C9236" s="1000"/>
      <c r="G9236" s="983" t="s">
        <v>1109</v>
      </c>
    </row>
    <row r="9237" spans="1:9" x14ac:dyDescent="0.2">
      <c r="A9237" s="997">
        <f t="shared" si="144"/>
        <v>9236</v>
      </c>
      <c r="B9237" s="983" t="s">
        <v>2723</v>
      </c>
      <c r="C9237" s="1000"/>
      <c r="G9237" s="983" t="s">
        <v>1106</v>
      </c>
    </row>
    <row r="9238" spans="1:9" x14ac:dyDescent="0.2">
      <c r="A9238" s="997">
        <f t="shared" si="144"/>
        <v>9237</v>
      </c>
      <c r="B9238" s="983" t="s">
        <v>2723</v>
      </c>
      <c r="C9238" s="999"/>
      <c r="H9238" s="983" t="s">
        <v>1107</v>
      </c>
    </row>
    <row r="9239" spans="1:9" x14ac:dyDescent="0.2">
      <c r="A9239" s="997">
        <f t="shared" si="144"/>
        <v>9238</v>
      </c>
      <c r="B9239" s="983" t="s">
        <v>2723</v>
      </c>
      <c r="C9239" s="999"/>
      <c r="I9239" s="983" t="s">
        <v>2374</v>
      </c>
    </row>
    <row r="9240" spans="1:9" x14ac:dyDescent="0.2">
      <c r="A9240" s="997">
        <f t="shared" si="144"/>
        <v>9239</v>
      </c>
      <c r="B9240" s="983" t="s">
        <v>2723</v>
      </c>
      <c r="C9240" s="1000"/>
      <c r="H9240" s="983" t="s">
        <v>1108</v>
      </c>
    </row>
    <row r="9241" spans="1:9" x14ac:dyDescent="0.2">
      <c r="A9241" s="997">
        <f t="shared" si="144"/>
        <v>9240</v>
      </c>
      <c r="B9241" s="983" t="s">
        <v>2723</v>
      </c>
      <c r="C9241" s="1001"/>
      <c r="H9241" s="983" t="str">
        <f>CONCATENATE("&lt;valeur&gt;",Cellule_1112,"&lt;/valeur&gt;")</f>
        <v>&lt;valeur&gt;&lt;/valeur&gt;</v>
      </c>
    </row>
    <row r="9242" spans="1:9" x14ac:dyDescent="0.2">
      <c r="A9242" s="997">
        <f t="shared" si="144"/>
        <v>9241</v>
      </c>
      <c r="B9242" s="983" t="s">
        <v>2723</v>
      </c>
      <c r="C9242" s="1000"/>
      <c r="G9242" s="983" t="s">
        <v>1109</v>
      </c>
    </row>
    <row r="9243" spans="1:9" x14ac:dyDescent="0.2">
      <c r="A9243" s="997">
        <f t="shared" si="144"/>
        <v>9242</v>
      </c>
      <c r="B9243" s="983" t="s">
        <v>2723</v>
      </c>
      <c r="C9243" s="1000"/>
      <c r="G9243" s="983" t="s">
        <v>1106</v>
      </c>
    </row>
    <row r="9244" spans="1:9" x14ac:dyDescent="0.2">
      <c r="A9244" s="997">
        <f t="shared" si="144"/>
        <v>9243</v>
      </c>
      <c r="B9244" s="983" t="s">
        <v>2723</v>
      </c>
      <c r="C9244" s="999"/>
      <c r="H9244" s="983" t="s">
        <v>1107</v>
      </c>
    </row>
    <row r="9245" spans="1:9" x14ac:dyDescent="0.2">
      <c r="A9245" s="997">
        <f t="shared" si="144"/>
        <v>9244</v>
      </c>
      <c r="B9245" s="983" t="s">
        <v>2723</v>
      </c>
      <c r="C9245" s="999"/>
      <c r="I9245" s="983" t="s">
        <v>2375</v>
      </c>
    </row>
    <row r="9246" spans="1:9" x14ac:dyDescent="0.2">
      <c r="A9246" s="997">
        <f t="shared" si="144"/>
        <v>9245</v>
      </c>
      <c r="B9246" s="983" t="s">
        <v>2723</v>
      </c>
      <c r="C9246" s="1000"/>
      <c r="H9246" s="983" t="s">
        <v>1108</v>
      </c>
    </row>
    <row r="9247" spans="1:9" x14ac:dyDescent="0.2">
      <c r="A9247" s="997">
        <f t="shared" si="144"/>
        <v>9246</v>
      </c>
      <c r="B9247" s="983" t="s">
        <v>2723</v>
      </c>
      <c r="C9247" s="1001"/>
      <c r="H9247" s="983" t="str">
        <f>CONCATENATE("&lt;valeur&gt;",Cellule_1121,"&lt;/valeur&gt;")</f>
        <v>&lt;valeur&gt;&lt;/valeur&gt;</v>
      </c>
    </row>
    <row r="9248" spans="1:9" x14ac:dyDescent="0.2">
      <c r="A9248" s="997">
        <f t="shared" si="144"/>
        <v>9247</v>
      </c>
      <c r="B9248" s="983" t="s">
        <v>2723</v>
      </c>
      <c r="C9248" s="1000"/>
      <c r="G9248" s="983" t="s">
        <v>1109</v>
      </c>
    </row>
    <row r="9249" spans="1:9" x14ac:dyDescent="0.2">
      <c r="A9249" s="997">
        <f t="shared" si="144"/>
        <v>9248</v>
      </c>
      <c r="B9249" s="983" t="s">
        <v>2723</v>
      </c>
      <c r="C9249" s="1000"/>
      <c r="G9249" s="983" t="s">
        <v>1106</v>
      </c>
    </row>
    <row r="9250" spans="1:9" x14ac:dyDescent="0.2">
      <c r="A9250" s="997">
        <f t="shared" si="144"/>
        <v>9249</v>
      </c>
      <c r="B9250" s="983" t="s">
        <v>2723</v>
      </c>
      <c r="C9250" s="999"/>
      <c r="H9250" s="983" t="s">
        <v>1107</v>
      </c>
    </row>
    <row r="9251" spans="1:9" x14ac:dyDescent="0.2">
      <c r="A9251" s="997">
        <f t="shared" si="144"/>
        <v>9250</v>
      </c>
      <c r="B9251" s="983" t="s">
        <v>2723</v>
      </c>
      <c r="C9251" s="999"/>
      <c r="I9251" s="983" t="s">
        <v>2376</v>
      </c>
    </row>
    <row r="9252" spans="1:9" x14ac:dyDescent="0.2">
      <c r="A9252" s="997">
        <f t="shared" si="144"/>
        <v>9251</v>
      </c>
      <c r="B9252" s="983" t="s">
        <v>2723</v>
      </c>
      <c r="C9252" s="1000"/>
      <c r="H9252" s="983" t="s">
        <v>1108</v>
      </c>
    </row>
    <row r="9253" spans="1:9" x14ac:dyDescent="0.2">
      <c r="A9253" s="997">
        <f t="shared" si="144"/>
        <v>9252</v>
      </c>
      <c r="B9253" s="983" t="s">
        <v>2723</v>
      </c>
      <c r="C9253" s="1001"/>
      <c r="H9253" s="983" t="str">
        <f>CONCATENATE("&lt;valeur&gt;",Cellule_1130,"&lt;/valeur&gt;")</f>
        <v>&lt;valeur&gt;&lt;/valeur&gt;</v>
      </c>
    </row>
    <row r="9254" spans="1:9" x14ac:dyDescent="0.2">
      <c r="A9254" s="997">
        <f t="shared" si="144"/>
        <v>9253</v>
      </c>
      <c r="B9254" s="983" t="s">
        <v>2723</v>
      </c>
      <c r="C9254" s="1000"/>
      <c r="G9254" s="983" t="s">
        <v>1109</v>
      </c>
    </row>
    <row r="9255" spans="1:9" x14ac:dyDescent="0.2">
      <c r="A9255" s="997">
        <f t="shared" si="144"/>
        <v>9254</v>
      </c>
      <c r="B9255" s="983" t="s">
        <v>2723</v>
      </c>
      <c r="C9255" s="1000"/>
      <c r="G9255" s="983" t="s">
        <v>1106</v>
      </c>
    </row>
    <row r="9256" spans="1:9" x14ac:dyDescent="0.2">
      <c r="A9256" s="997">
        <f t="shared" si="144"/>
        <v>9255</v>
      </c>
      <c r="B9256" s="983" t="s">
        <v>2723</v>
      </c>
      <c r="C9256" s="999"/>
      <c r="H9256" s="983" t="s">
        <v>1107</v>
      </c>
    </row>
    <row r="9257" spans="1:9" x14ac:dyDescent="0.2">
      <c r="A9257" s="997">
        <f t="shared" si="144"/>
        <v>9256</v>
      </c>
      <c r="B9257" s="983" t="s">
        <v>2723</v>
      </c>
      <c r="C9257" s="999"/>
      <c r="I9257" s="983" t="s">
        <v>2377</v>
      </c>
    </row>
    <row r="9258" spans="1:9" x14ac:dyDescent="0.2">
      <c r="A9258" s="997">
        <f t="shared" si="144"/>
        <v>9257</v>
      </c>
      <c r="B9258" s="983" t="s">
        <v>2723</v>
      </c>
      <c r="C9258" s="1000"/>
      <c r="H9258" s="983" t="s">
        <v>1108</v>
      </c>
    </row>
    <row r="9259" spans="1:9" x14ac:dyDescent="0.2">
      <c r="A9259" s="997">
        <f t="shared" si="144"/>
        <v>9258</v>
      </c>
      <c r="B9259" s="983" t="s">
        <v>2723</v>
      </c>
      <c r="C9259" s="1001"/>
      <c r="H9259" s="983" t="str">
        <f>CONCATENATE("&lt;valeur&gt;",Cellule_1139,"&lt;/valeur&gt;")</f>
        <v>&lt;valeur&gt;&lt;/valeur&gt;</v>
      </c>
    </row>
    <row r="9260" spans="1:9" x14ac:dyDescent="0.2">
      <c r="A9260" s="997">
        <f t="shared" si="144"/>
        <v>9259</v>
      </c>
      <c r="B9260" s="983" t="s">
        <v>2723</v>
      </c>
      <c r="C9260" s="1000"/>
      <c r="G9260" s="983" t="s">
        <v>1109</v>
      </c>
    </row>
    <row r="9261" spans="1:9" x14ac:dyDescent="0.2">
      <c r="A9261" s="997">
        <f t="shared" si="144"/>
        <v>9260</v>
      </c>
      <c r="B9261" s="983" t="s">
        <v>2723</v>
      </c>
      <c r="C9261" s="1000"/>
      <c r="G9261" s="983" t="s">
        <v>1106</v>
      </c>
    </row>
    <row r="9262" spans="1:9" x14ac:dyDescent="0.2">
      <c r="A9262" s="997">
        <f t="shared" si="144"/>
        <v>9261</v>
      </c>
      <c r="B9262" s="983" t="s">
        <v>2723</v>
      </c>
      <c r="C9262" s="999"/>
      <c r="H9262" s="983" t="s">
        <v>1107</v>
      </c>
    </row>
    <row r="9263" spans="1:9" x14ac:dyDescent="0.2">
      <c r="A9263" s="997">
        <f t="shared" si="144"/>
        <v>9262</v>
      </c>
      <c r="B9263" s="983" t="s">
        <v>2723</v>
      </c>
      <c r="C9263" s="999"/>
      <c r="I9263" s="983" t="s">
        <v>2378</v>
      </c>
    </row>
    <row r="9264" spans="1:9" x14ac:dyDescent="0.2">
      <c r="A9264" s="997">
        <f t="shared" si="144"/>
        <v>9263</v>
      </c>
      <c r="B9264" s="983" t="s">
        <v>2723</v>
      </c>
      <c r="C9264" s="1000"/>
      <c r="H9264" s="983" t="s">
        <v>1108</v>
      </c>
    </row>
    <row r="9265" spans="1:9" x14ac:dyDescent="0.2">
      <c r="A9265" s="997">
        <f t="shared" si="144"/>
        <v>9264</v>
      </c>
      <c r="B9265" s="983" t="s">
        <v>2723</v>
      </c>
      <c r="C9265" s="1001"/>
      <c r="H9265" s="983" t="str">
        <f>CONCATENATE("&lt;valeur&gt;",Cellule_1148,"&lt;/valeur&gt;")</f>
        <v>&lt;valeur&gt;&lt;/valeur&gt;</v>
      </c>
    </row>
    <row r="9266" spans="1:9" x14ac:dyDescent="0.2">
      <c r="A9266" s="997">
        <f t="shared" si="144"/>
        <v>9265</v>
      </c>
      <c r="B9266" s="983" t="s">
        <v>2723</v>
      </c>
      <c r="C9266" s="1000"/>
      <c r="G9266" s="983" t="s">
        <v>1109</v>
      </c>
    </row>
    <row r="9267" spans="1:9" x14ac:dyDescent="0.2">
      <c r="A9267" s="997">
        <f t="shared" si="144"/>
        <v>9266</v>
      </c>
      <c r="B9267" s="983" t="s">
        <v>2723</v>
      </c>
      <c r="C9267" s="1000"/>
      <c r="G9267" s="983" t="s">
        <v>1106</v>
      </c>
    </row>
    <row r="9268" spans="1:9" x14ac:dyDescent="0.2">
      <c r="A9268" s="997">
        <f t="shared" si="144"/>
        <v>9267</v>
      </c>
      <c r="B9268" s="983" t="s">
        <v>2723</v>
      </c>
      <c r="C9268" s="999"/>
      <c r="H9268" s="983" t="s">
        <v>1107</v>
      </c>
    </row>
    <row r="9269" spans="1:9" x14ac:dyDescent="0.2">
      <c r="A9269" s="997">
        <f t="shared" si="144"/>
        <v>9268</v>
      </c>
      <c r="B9269" s="983" t="s">
        <v>2723</v>
      </c>
      <c r="C9269" s="999"/>
      <c r="I9269" s="983" t="s">
        <v>2379</v>
      </c>
    </row>
    <row r="9270" spans="1:9" x14ac:dyDescent="0.2">
      <c r="A9270" s="997">
        <f t="shared" si="144"/>
        <v>9269</v>
      </c>
      <c r="B9270" s="983" t="s">
        <v>2723</v>
      </c>
      <c r="C9270" s="1000"/>
      <c r="H9270" s="983" t="s">
        <v>1108</v>
      </c>
    </row>
    <row r="9271" spans="1:9" x14ac:dyDescent="0.2">
      <c r="A9271" s="997">
        <f t="shared" si="144"/>
        <v>9270</v>
      </c>
      <c r="B9271" s="983" t="s">
        <v>2723</v>
      </c>
      <c r="C9271" s="1001"/>
      <c r="H9271" s="983" t="str">
        <f>CONCATENATE("&lt;valeur&gt;",Cellule_1157,"&lt;/valeur&gt;")</f>
        <v>&lt;valeur&gt;&lt;/valeur&gt;</v>
      </c>
    </row>
    <row r="9272" spans="1:9" x14ac:dyDescent="0.2">
      <c r="A9272" s="997">
        <f t="shared" si="144"/>
        <v>9271</v>
      </c>
      <c r="B9272" s="983" t="s">
        <v>2723</v>
      </c>
      <c r="C9272" s="1000"/>
      <c r="G9272" s="983" t="s">
        <v>1109</v>
      </c>
    </row>
    <row r="9273" spans="1:9" x14ac:dyDescent="0.2">
      <c r="A9273" s="997">
        <f t="shared" si="144"/>
        <v>9272</v>
      </c>
      <c r="B9273" s="983" t="s">
        <v>2723</v>
      </c>
      <c r="C9273" s="1000"/>
      <c r="G9273" s="983" t="s">
        <v>1106</v>
      </c>
    </row>
    <row r="9274" spans="1:9" x14ac:dyDescent="0.2">
      <c r="A9274" s="997">
        <f t="shared" si="144"/>
        <v>9273</v>
      </c>
      <c r="B9274" s="983" t="s">
        <v>2723</v>
      </c>
      <c r="C9274" s="999"/>
      <c r="H9274" s="983" t="s">
        <v>1107</v>
      </c>
    </row>
    <row r="9275" spans="1:9" x14ac:dyDescent="0.2">
      <c r="A9275" s="997">
        <f t="shared" si="144"/>
        <v>9274</v>
      </c>
      <c r="B9275" s="983" t="s">
        <v>2723</v>
      </c>
      <c r="C9275" s="999"/>
      <c r="I9275" s="983" t="s">
        <v>2380</v>
      </c>
    </row>
    <row r="9276" spans="1:9" x14ac:dyDescent="0.2">
      <c r="A9276" s="997">
        <f t="shared" si="144"/>
        <v>9275</v>
      </c>
      <c r="B9276" s="983" t="s">
        <v>2723</v>
      </c>
      <c r="C9276" s="1000"/>
      <c r="H9276" s="983" t="s">
        <v>1108</v>
      </c>
    </row>
    <row r="9277" spans="1:9" x14ac:dyDescent="0.2">
      <c r="A9277" s="997">
        <f t="shared" si="144"/>
        <v>9276</v>
      </c>
      <c r="B9277" s="983" t="s">
        <v>2723</v>
      </c>
      <c r="C9277" s="1001"/>
      <c r="H9277" s="983" t="str">
        <f>CONCATENATE("&lt;valeur&gt;",Cellule_1166,"&lt;/valeur&gt;")</f>
        <v>&lt;valeur&gt;&lt;/valeur&gt;</v>
      </c>
    </row>
    <row r="9278" spans="1:9" x14ac:dyDescent="0.2">
      <c r="A9278" s="997">
        <f t="shared" si="144"/>
        <v>9277</v>
      </c>
      <c r="B9278" s="983" t="s">
        <v>2723</v>
      </c>
      <c r="C9278" s="1000"/>
      <c r="G9278" s="983" t="s">
        <v>1109</v>
      </c>
    </row>
    <row r="9279" spans="1:9" x14ac:dyDescent="0.2">
      <c r="A9279" s="997">
        <f t="shared" si="144"/>
        <v>9278</v>
      </c>
      <c r="B9279" s="983" t="s">
        <v>2723</v>
      </c>
      <c r="C9279" s="1000"/>
      <c r="G9279" s="983" t="s">
        <v>1106</v>
      </c>
    </row>
    <row r="9280" spans="1:9" x14ac:dyDescent="0.2">
      <c r="A9280" s="997">
        <f t="shared" si="144"/>
        <v>9279</v>
      </c>
      <c r="B9280" s="983" t="s">
        <v>2723</v>
      </c>
      <c r="C9280" s="999"/>
      <c r="H9280" s="983" t="s">
        <v>1107</v>
      </c>
    </row>
    <row r="9281" spans="1:9" x14ac:dyDescent="0.2">
      <c r="A9281" s="997">
        <f t="shared" si="144"/>
        <v>9280</v>
      </c>
      <c r="B9281" s="983" t="s">
        <v>2723</v>
      </c>
      <c r="C9281" s="999"/>
      <c r="I9281" s="983" t="s">
        <v>2381</v>
      </c>
    </row>
    <row r="9282" spans="1:9" x14ac:dyDescent="0.2">
      <c r="A9282" s="997">
        <f t="shared" si="144"/>
        <v>9281</v>
      </c>
      <c r="B9282" s="983" t="s">
        <v>2723</v>
      </c>
      <c r="C9282" s="1000"/>
      <c r="H9282" s="983" t="s">
        <v>1108</v>
      </c>
    </row>
    <row r="9283" spans="1:9" x14ac:dyDescent="0.2">
      <c r="A9283" s="997">
        <f t="shared" si="144"/>
        <v>9282</v>
      </c>
      <c r="B9283" s="983" t="s">
        <v>2723</v>
      </c>
      <c r="C9283" s="1001"/>
      <c r="H9283" s="983" t="str">
        <f>CONCATENATE("&lt;valeur&gt;",Cellule_1184,"&lt;/valeur&gt;")</f>
        <v>&lt;valeur&gt;&lt;/valeur&gt;</v>
      </c>
    </row>
    <row r="9284" spans="1:9" x14ac:dyDescent="0.2">
      <c r="A9284" s="997">
        <f t="shared" ref="A9284:A9347" si="145">+A9283+1</f>
        <v>9283</v>
      </c>
      <c r="B9284" s="983" t="s">
        <v>2723</v>
      </c>
      <c r="C9284" s="1000"/>
      <c r="G9284" s="983" t="s">
        <v>1109</v>
      </c>
    </row>
    <row r="9285" spans="1:9" x14ac:dyDescent="0.2">
      <c r="A9285" s="997">
        <f t="shared" si="145"/>
        <v>9284</v>
      </c>
      <c r="B9285" s="983" t="s">
        <v>2723</v>
      </c>
      <c r="C9285" s="1000"/>
      <c r="G9285" s="983" t="s">
        <v>1106</v>
      </c>
    </row>
    <row r="9286" spans="1:9" x14ac:dyDescent="0.2">
      <c r="A9286" s="997">
        <f t="shared" si="145"/>
        <v>9285</v>
      </c>
      <c r="B9286" s="983" t="s">
        <v>2723</v>
      </c>
      <c r="C9286" s="999"/>
      <c r="H9286" s="983" t="s">
        <v>1107</v>
      </c>
    </row>
    <row r="9287" spans="1:9" x14ac:dyDescent="0.2">
      <c r="A9287" s="997">
        <f t="shared" si="145"/>
        <v>9286</v>
      </c>
      <c r="B9287" s="983" t="s">
        <v>2723</v>
      </c>
      <c r="C9287" s="999"/>
      <c r="I9287" s="983" t="s">
        <v>2382</v>
      </c>
    </row>
    <row r="9288" spans="1:9" x14ac:dyDescent="0.2">
      <c r="A9288" s="997">
        <f t="shared" si="145"/>
        <v>9287</v>
      </c>
      <c r="B9288" s="983" t="s">
        <v>2723</v>
      </c>
      <c r="C9288" s="1000"/>
      <c r="H9288" s="983" t="s">
        <v>1108</v>
      </c>
    </row>
    <row r="9289" spans="1:9" x14ac:dyDescent="0.2">
      <c r="A9289" s="997">
        <f t="shared" si="145"/>
        <v>9288</v>
      </c>
      <c r="B9289" s="983" t="s">
        <v>2723</v>
      </c>
      <c r="C9289" s="1001"/>
      <c r="H9289" s="983" t="str">
        <f>CONCATENATE("&lt;valeur&gt;",Cellule_1193,"&lt;/valeur&gt;")</f>
        <v>&lt;valeur&gt;&lt;/valeur&gt;</v>
      </c>
    </row>
    <row r="9290" spans="1:9" x14ac:dyDescent="0.2">
      <c r="A9290" s="997">
        <f t="shared" si="145"/>
        <v>9289</v>
      </c>
      <c r="B9290" s="983" t="s">
        <v>2723</v>
      </c>
      <c r="C9290" s="1000"/>
      <c r="G9290" s="983" t="s">
        <v>1109</v>
      </c>
    </row>
    <row r="9291" spans="1:9" x14ac:dyDescent="0.2">
      <c r="A9291" s="997">
        <f t="shared" si="145"/>
        <v>9290</v>
      </c>
      <c r="B9291" s="983" t="s">
        <v>2723</v>
      </c>
      <c r="C9291" s="1000"/>
      <c r="G9291" s="983" t="s">
        <v>1106</v>
      </c>
    </row>
    <row r="9292" spans="1:9" x14ac:dyDescent="0.2">
      <c r="A9292" s="997">
        <f t="shared" si="145"/>
        <v>9291</v>
      </c>
      <c r="B9292" s="983" t="s">
        <v>2723</v>
      </c>
      <c r="C9292" s="999"/>
      <c r="H9292" s="983" t="s">
        <v>1107</v>
      </c>
    </row>
    <row r="9293" spans="1:9" x14ac:dyDescent="0.2">
      <c r="A9293" s="997">
        <f t="shared" si="145"/>
        <v>9292</v>
      </c>
      <c r="B9293" s="983" t="s">
        <v>2723</v>
      </c>
      <c r="C9293" s="999"/>
      <c r="I9293" s="983" t="s">
        <v>2383</v>
      </c>
    </row>
    <row r="9294" spans="1:9" x14ac:dyDescent="0.2">
      <c r="A9294" s="997">
        <f t="shared" si="145"/>
        <v>9293</v>
      </c>
      <c r="B9294" s="983" t="s">
        <v>2723</v>
      </c>
      <c r="C9294" s="1000"/>
      <c r="H9294" s="983" t="s">
        <v>1108</v>
      </c>
    </row>
    <row r="9295" spans="1:9" x14ac:dyDescent="0.2">
      <c r="A9295" s="997">
        <f t="shared" si="145"/>
        <v>9294</v>
      </c>
      <c r="B9295" s="983" t="s">
        <v>2723</v>
      </c>
      <c r="C9295" s="1001"/>
      <c r="H9295" s="983" t="str">
        <f>CONCATENATE("&lt;valeur&gt;",Cellule_1202,"&lt;/valeur&gt;")</f>
        <v>&lt;valeur&gt;0&lt;/valeur&gt;</v>
      </c>
    </row>
    <row r="9296" spans="1:9" x14ac:dyDescent="0.2">
      <c r="A9296" s="997">
        <f t="shared" si="145"/>
        <v>9295</v>
      </c>
      <c r="B9296" s="983" t="s">
        <v>2723</v>
      </c>
      <c r="C9296" s="1000"/>
      <c r="G9296" s="983" t="s">
        <v>1109</v>
      </c>
    </row>
    <row r="9297" spans="1:9" x14ac:dyDescent="0.2">
      <c r="A9297" s="997">
        <f t="shared" si="145"/>
        <v>9296</v>
      </c>
      <c r="B9297" s="983" t="s">
        <v>2723</v>
      </c>
      <c r="C9297" s="1000"/>
      <c r="G9297" s="983" t="s">
        <v>1106</v>
      </c>
    </row>
    <row r="9298" spans="1:9" x14ac:dyDescent="0.2">
      <c r="A9298" s="997">
        <f t="shared" si="145"/>
        <v>9297</v>
      </c>
      <c r="B9298" s="983" t="s">
        <v>2723</v>
      </c>
      <c r="C9298" s="999"/>
      <c r="H9298" s="983" t="s">
        <v>1107</v>
      </c>
    </row>
    <row r="9299" spans="1:9" x14ac:dyDescent="0.2">
      <c r="A9299" s="997">
        <f t="shared" si="145"/>
        <v>9298</v>
      </c>
      <c r="B9299" s="983" t="s">
        <v>2723</v>
      </c>
      <c r="C9299" s="999"/>
      <c r="I9299" s="983" t="s">
        <v>2384</v>
      </c>
    </row>
    <row r="9300" spans="1:9" x14ac:dyDescent="0.2">
      <c r="A9300" s="997">
        <f t="shared" si="145"/>
        <v>9299</v>
      </c>
      <c r="B9300" s="983" t="s">
        <v>2723</v>
      </c>
      <c r="C9300" s="1000"/>
      <c r="H9300" s="983" t="s">
        <v>1108</v>
      </c>
    </row>
    <row r="9301" spans="1:9" x14ac:dyDescent="0.2">
      <c r="A9301" s="997">
        <f t="shared" si="145"/>
        <v>9300</v>
      </c>
      <c r="B9301" s="983" t="s">
        <v>2723</v>
      </c>
      <c r="C9301" s="1001"/>
      <c r="H9301" s="983" t="str">
        <f>CONCATENATE("&lt;valeur&gt;",Cellule_1175,"&lt;/valeur&gt;")</f>
        <v>&lt;valeur&gt;&lt;/valeur&gt;</v>
      </c>
    </row>
    <row r="9302" spans="1:9" x14ac:dyDescent="0.2">
      <c r="A9302" s="997">
        <f t="shared" si="145"/>
        <v>9301</v>
      </c>
      <c r="B9302" s="983" t="s">
        <v>2723</v>
      </c>
      <c r="C9302" s="1000"/>
      <c r="G9302" s="983" t="s">
        <v>1109</v>
      </c>
    </row>
    <row r="9303" spans="1:9" x14ac:dyDescent="0.2">
      <c r="A9303" s="997">
        <f t="shared" si="145"/>
        <v>9302</v>
      </c>
      <c r="B9303" s="983" t="s">
        <v>2723</v>
      </c>
      <c r="C9303" s="1000"/>
      <c r="G9303" s="983" t="s">
        <v>1106</v>
      </c>
    </row>
    <row r="9304" spans="1:9" x14ac:dyDescent="0.2">
      <c r="A9304" s="997">
        <f t="shared" si="145"/>
        <v>9303</v>
      </c>
      <c r="B9304" s="983" t="s">
        <v>2723</v>
      </c>
      <c r="C9304" s="999"/>
      <c r="H9304" s="983" t="s">
        <v>1107</v>
      </c>
    </row>
    <row r="9305" spans="1:9" x14ac:dyDescent="0.2">
      <c r="A9305" s="997">
        <f t="shared" si="145"/>
        <v>9304</v>
      </c>
      <c r="B9305" s="983" t="s">
        <v>2723</v>
      </c>
      <c r="C9305" s="999"/>
      <c r="I9305" s="983" t="s">
        <v>2385</v>
      </c>
    </row>
    <row r="9306" spans="1:9" x14ac:dyDescent="0.2">
      <c r="A9306" s="997">
        <f t="shared" si="145"/>
        <v>9305</v>
      </c>
      <c r="B9306" s="983" t="s">
        <v>2723</v>
      </c>
      <c r="C9306" s="1000"/>
      <c r="H9306" s="983" t="s">
        <v>1108</v>
      </c>
    </row>
    <row r="9307" spans="1:9" x14ac:dyDescent="0.2">
      <c r="A9307" s="997">
        <f t="shared" si="145"/>
        <v>9306</v>
      </c>
      <c r="B9307" s="983" t="s">
        <v>2723</v>
      </c>
      <c r="C9307" s="1001"/>
      <c r="H9307" s="983" t="str">
        <f>CONCATENATE("&lt;valeur&gt;",Cellule_1113,"&lt;/valeur&gt;")</f>
        <v>&lt;valeur&gt;&lt;/valeur&gt;</v>
      </c>
    </row>
    <row r="9308" spans="1:9" x14ac:dyDescent="0.2">
      <c r="A9308" s="997">
        <f t="shared" si="145"/>
        <v>9307</v>
      </c>
      <c r="B9308" s="983" t="s">
        <v>2723</v>
      </c>
      <c r="C9308" s="1000"/>
      <c r="G9308" s="983" t="s">
        <v>1109</v>
      </c>
    </row>
    <row r="9309" spans="1:9" x14ac:dyDescent="0.2">
      <c r="A9309" s="997">
        <f t="shared" si="145"/>
        <v>9308</v>
      </c>
      <c r="B9309" s="983" t="s">
        <v>2723</v>
      </c>
      <c r="C9309" s="1000"/>
      <c r="G9309" s="983" t="s">
        <v>1106</v>
      </c>
    </row>
    <row r="9310" spans="1:9" x14ac:dyDescent="0.2">
      <c r="A9310" s="997">
        <f t="shared" si="145"/>
        <v>9309</v>
      </c>
      <c r="B9310" s="983" t="s">
        <v>2723</v>
      </c>
      <c r="C9310" s="999"/>
      <c r="H9310" s="983" t="s">
        <v>1107</v>
      </c>
    </row>
    <row r="9311" spans="1:9" x14ac:dyDescent="0.2">
      <c r="A9311" s="997">
        <f t="shared" si="145"/>
        <v>9310</v>
      </c>
      <c r="B9311" s="983" t="s">
        <v>2723</v>
      </c>
      <c r="C9311" s="999"/>
      <c r="I9311" s="983" t="s">
        <v>2386</v>
      </c>
    </row>
    <row r="9312" spans="1:9" x14ac:dyDescent="0.2">
      <c r="A9312" s="997">
        <f t="shared" si="145"/>
        <v>9311</v>
      </c>
      <c r="B9312" s="983" t="s">
        <v>2723</v>
      </c>
      <c r="C9312" s="1000"/>
      <c r="H9312" s="983" t="s">
        <v>1108</v>
      </c>
    </row>
    <row r="9313" spans="1:9" x14ac:dyDescent="0.2">
      <c r="A9313" s="997">
        <f t="shared" si="145"/>
        <v>9312</v>
      </c>
      <c r="B9313" s="983" t="s">
        <v>2723</v>
      </c>
      <c r="C9313" s="1001"/>
      <c r="H9313" s="983" t="str">
        <f>CONCATENATE("&lt;valeur&gt;",Cellule_1122,"&lt;/valeur&gt;")</f>
        <v>&lt;valeur&gt;&lt;/valeur&gt;</v>
      </c>
    </row>
    <row r="9314" spans="1:9" x14ac:dyDescent="0.2">
      <c r="A9314" s="997">
        <f t="shared" si="145"/>
        <v>9313</v>
      </c>
      <c r="B9314" s="983" t="s">
        <v>2723</v>
      </c>
      <c r="C9314" s="1000"/>
      <c r="G9314" s="983" t="s">
        <v>1109</v>
      </c>
    </row>
    <row r="9315" spans="1:9" x14ac:dyDescent="0.2">
      <c r="A9315" s="997">
        <f t="shared" si="145"/>
        <v>9314</v>
      </c>
      <c r="B9315" s="983" t="s">
        <v>2723</v>
      </c>
      <c r="C9315" s="1000"/>
      <c r="G9315" s="983" t="s">
        <v>1106</v>
      </c>
    </row>
    <row r="9316" spans="1:9" x14ac:dyDescent="0.2">
      <c r="A9316" s="997">
        <f t="shared" si="145"/>
        <v>9315</v>
      </c>
      <c r="B9316" s="983" t="s">
        <v>2723</v>
      </c>
      <c r="C9316" s="999"/>
      <c r="H9316" s="983" t="s">
        <v>1107</v>
      </c>
    </row>
    <row r="9317" spans="1:9" x14ac:dyDescent="0.2">
      <c r="A9317" s="997">
        <f t="shared" si="145"/>
        <v>9316</v>
      </c>
      <c r="B9317" s="983" t="s">
        <v>2723</v>
      </c>
      <c r="C9317" s="999"/>
      <c r="I9317" s="983" t="s">
        <v>2387</v>
      </c>
    </row>
    <row r="9318" spans="1:9" x14ac:dyDescent="0.2">
      <c r="A9318" s="997">
        <f t="shared" si="145"/>
        <v>9317</v>
      </c>
      <c r="B9318" s="983" t="s">
        <v>2723</v>
      </c>
      <c r="C9318" s="1000"/>
      <c r="H9318" s="983" t="s">
        <v>1108</v>
      </c>
    </row>
    <row r="9319" spans="1:9" x14ac:dyDescent="0.2">
      <c r="A9319" s="997">
        <f t="shared" si="145"/>
        <v>9318</v>
      </c>
      <c r="B9319" s="983" t="s">
        <v>2723</v>
      </c>
      <c r="C9319" s="1001"/>
      <c r="H9319" s="983" t="str">
        <f>CONCATENATE("&lt;valeur&gt;",Cellule_1131,"&lt;/valeur&gt;")</f>
        <v>&lt;valeur&gt;&lt;/valeur&gt;</v>
      </c>
    </row>
    <row r="9320" spans="1:9" x14ac:dyDescent="0.2">
      <c r="A9320" s="997">
        <f t="shared" si="145"/>
        <v>9319</v>
      </c>
      <c r="B9320" s="983" t="s">
        <v>2723</v>
      </c>
      <c r="C9320" s="1000"/>
      <c r="G9320" s="983" t="s">
        <v>1109</v>
      </c>
    </row>
    <row r="9321" spans="1:9" x14ac:dyDescent="0.2">
      <c r="A9321" s="997">
        <f t="shared" si="145"/>
        <v>9320</v>
      </c>
      <c r="B9321" s="983" t="s">
        <v>2723</v>
      </c>
      <c r="C9321" s="1000"/>
      <c r="G9321" s="983" t="s">
        <v>1106</v>
      </c>
    </row>
    <row r="9322" spans="1:9" x14ac:dyDescent="0.2">
      <c r="A9322" s="997">
        <f t="shared" si="145"/>
        <v>9321</v>
      </c>
      <c r="B9322" s="983" t="s">
        <v>2723</v>
      </c>
      <c r="C9322" s="999"/>
      <c r="H9322" s="983" t="s">
        <v>1107</v>
      </c>
    </row>
    <row r="9323" spans="1:9" x14ac:dyDescent="0.2">
      <c r="A9323" s="997">
        <f t="shared" si="145"/>
        <v>9322</v>
      </c>
      <c r="B9323" s="983" t="s">
        <v>2723</v>
      </c>
      <c r="C9323" s="999"/>
      <c r="I9323" s="983" t="s">
        <v>2388</v>
      </c>
    </row>
    <row r="9324" spans="1:9" x14ac:dyDescent="0.2">
      <c r="A9324" s="997">
        <f t="shared" si="145"/>
        <v>9323</v>
      </c>
      <c r="B9324" s="983" t="s">
        <v>2723</v>
      </c>
      <c r="C9324" s="1000"/>
      <c r="H9324" s="983" t="s">
        <v>1108</v>
      </c>
    </row>
    <row r="9325" spans="1:9" x14ac:dyDescent="0.2">
      <c r="A9325" s="997">
        <f t="shared" si="145"/>
        <v>9324</v>
      </c>
      <c r="B9325" s="983" t="s">
        <v>2723</v>
      </c>
      <c r="C9325" s="1001"/>
      <c r="H9325" s="983" t="str">
        <f>CONCATENATE("&lt;valeur&gt;",Cellule_1140,"&lt;/valeur&gt;")</f>
        <v>&lt;valeur&gt;&lt;/valeur&gt;</v>
      </c>
    </row>
    <row r="9326" spans="1:9" x14ac:dyDescent="0.2">
      <c r="A9326" s="997">
        <f t="shared" si="145"/>
        <v>9325</v>
      </c>
      <c r="B9326" s="983" t="s">
        <v>2723</v>
      </c>
      <c r="C9326" s="1000"/>
      <c r="G9326" s="983" t="s">
        <v>1109</v>
      </c>
    </row>
    <row r="9327" spans="1:9" x14ac:dyDescent="0.2">
      <c r="A9327" s="997">
        <f t="shared" si="145"/>
        <v>9326</v>
      </c>
      <c r="B9327" s="983" t="s">
        <v>2723</v>
      </c>
      <c r="C9327" s="1000"/>
      <c r="G9327" s="983" t="s">
        <v>1106</v>
      </c>
    </row>
    <row r="9328" spans="1:9" x14ac:dyDescent="0.2">
      <c r="A9328" s="997">
        <f t="shared" si="145"/>
        <v>9327</v>
      </c>
      <c r="B9328" s="983" t="s">
        <v>2723</v>
      </c>
      <c r="C9328" s="999"/>
      <c r="H9328" s="983" t="s">
        <v>1107</v>
      </c>
    </row>
    <row r="9329" spans="1:9" x14ac:dyDescent="0.2">
      <c r="A9329" s="997">
        <f t="shared" si="145"/>
        <v>9328</v>
      </c>
      <c r="B9329" s="983" t="s">
        <v>2723</v>
      </c>
      <c r="C9329" s="999"/>
      <c r="I9329" s="983" t="s">
        <v>2389</v>
      </c>
    </row>
    <row r="9330" spans="1:9" x14ac:dyDescent="0.2">
      <c r="A9330" s="997">
        <f t="shared" si="145"/>
        <v>9329</v>
      </c>
      <c r="B9330" s="983" t="s">
        <v>2723</v>
      </c>
      <c r="C9330" s="1000"/>
      <c r="H9330" s="983" t="s">
        <v>1108</v>
      </c>
    </row>
    <row r="9331" spans="1:9" x14ac:dyDescent="0.2">
      <c r="A9331" s="997">
        <f t="shared" si="145"/>
        <v>9330</v>
      </c>
      <c r="B9331" s="983" t="s">
        <v>2723</v>
      </c>
      <c r="C9331" s="1001"/>
      <c r="H9331" s="983" t="str">
        <f>CONCATENATE("&lt;valeur&gt;",Cellule_1149,"&lt;/valeur&gt;")</f>
        <v>&lt;valeur&gt;&lt;/valeur&gt;</v>
      </c>
    </row>
    <row r="9332" spans="1:9" x14ac:dyDescent="0.2">
      <c r="A9332" s="997">
        <f t="shared" si="145"/>
        <v>9331</v>
      </c>
      <c r="B9332" s="983" t="s">
        <v>2723</v>
      </c>
      <c r="C9332" s="1000"/>
      <c r="G9332" s="983" t="s">
        <v>1109</v>
      </c>
    </row>
    <row r="9333" spans="1:9" x14ac:dyDescent="0.2">
      <c r="A9333" s="997">
        <f t="shared" si="145"/>
        <v>9332</v>
      </c>
      <c r="B9333" s="983" t="s">
        <v>2723</v>
      </c>
      <c r="C9333" s="1000"/>
      <c r="G9333" s="983" t="s">
        <v>1106</v>
      </c>
    </row>
    <row r="9334" spans="1:9" x14ac:dyDescent="0.2">
      <c r="A9334" s="997">
        <f t="shared" si="145"/>
        <v>9333</v>
      </c>
      <c r="B9334" s="983" t="s">
        <v>2723</v>
      </c>
      <c r="C9334" s="999"/>
      <c r="H9334" s="983" t="s">
        <v>1107</v>
      </c>
    </row>
    <row r="9335" spans="1:9" x14ac:dyDescent="0.2">
      <c r="A9335" s="997">
        <f t="shared" si="145"/>
        <v>9334</v>
      </c>
      <c r="B9335" s="983" t="s">
        <v>2723</v>
      </c>
      <c r="C9335" s="999"/>
      <c r="I9335" s="983" t="s">
        <v>2390</v>
      </c>
    </row>
    <row r="9336" spans="1:9" x14ac:dyDescent="0.2">
      <c r="A9336" s="997">
        <f t="shared" si="145"/>
        <v>9335</v>
      </c>
      <c r="B9336" s="983" t="s">
        <v>2723</v>
      </c>
      <c r="C9336" s="1000"/>
      <c r="H9336" s="983" t="s">
        <v>1108</v>
      </c>
    </row>
    <row r="9337" spans="1:9" x14ac:dyDescent="0.2">
      <c r="A9337" s="997">
        <f t="shared" si="145"/>
        <v>9336</v>
      </c>
      <c r="B9337" s="983" t="s">
        <v>2723</v>
      </c>
      <c r="C9337" s="1001"/>
      <c r="H9337" s="983" t="str">
        <f>CONCATENATE("&lt;valeur&gt;",Cellule_1158,"&lt;/valeur&gt;")</f>
        <v>&lt;valeur&gt;&lt;/valeur&gt;</v>
      </c>
    </row>
    <row r="9338" spans="1:9" x14ac:dyDescent="0.2">
      <c r="A9338" s="997">
        <f t="shared" si="145"/>
        <v>9337</v>
      </c>
      <c r="B9338" s="983" t="s">
        <v>2723</v>
      </c>
      <c r="C9338" s="1000"/>
      <c r="G9338" s="983" t="s">
        <v>1109</v>
      </c>
    </row>
    <row r="9339" spans="1:9" x14ac:dyDescent="0.2">
      <c r="A9339" s="997">
        <f t="shared" si="145"/>
        <v>9338</v>
      </c>
      <c r="B9339" s="983" t="s">
        <v>2723</v>
      </c>
      <c r="C9339" s="1000"/>
      <c r="G9339" s="983" t="s">
        <v>1106</v>
      </c>
    </row>
    <row r="9340" spans="1:9" x14ac:dyDescent="0.2">
      <c r="A9340" s="997">
        <f t="shared" si="145"/>
        <v>9339</v>
      </c>
      <c r="B9340" s="983" t="s">
        <v>2723</v>
      </c>
      <c r="C9340" s="999"/>
      <c r="H9340" s="983" t="s">
        <v>1107</v>
      </c>
    </row>
    <row r="9341" spans="1:9" x14ac:dyDescent="0.2">
      <c r="A9341" s="997">
        <f t="shared" si="145"/>
        <v>9340</v>
      </c>
      <c r="B9341" s="983" t="s">
        <v>2723</v>
      </c>
      <c r="C9341" s="999"/>
      <c r="I9341" s="983" t="s">
        <v>2391</v>
      </c>
    </row>
    <row r="9342" spans="1:9" x14ac:dyDescent="0.2">
      <c r="A9342" s="997">
        <f t="shared" si="145"/>
        <v>9341</v>
      </c>
      <c r="B9342" s="983" t="s">
        <v>2723</v>
      </c>
      <c r="C9342" s="1000"/>
      <c r="H9342" s="983" t="s">
        <v>1108</v>
      </c>
    </row>
    <row r="9343" spans="1:9" x14ac:dyDescent="0.2">
      <c r="A9343" s="997">
        <f t="shared" si="145"/>
        <v>9342</v>
      </c>
      <c r="B9343" s="983" t="s">
        <v>2723</v>
      </c>
      <c r="C9343" s="1001"/>
      <c r="H9343" s="983" t="str">
        <f>CONCATENATE("&lt;valeur&gt;",Cellule_1167,"&lt;/valeur&gt;")</f>
        <v>&lt;valeur&gt;&lt;/valeur&gt;</v>
      </c>
    </row>
    <row r="9344" spans="1:9" x14ac:dyDescent="0.2">
      <c r="A9344" s="997">
        <f t="shared" si="145"/>
        <v>9343</v>
      </c>
      <c r="B9344" s="983" t="s">
        <v>2723</v>
      </c>
      <c r="C9344" s="1000"/>
      <c r="G9344" s="983" t="s">
        <v>1109</v>
      </c>
    </row>
    <row r="9345" spans="1:9" x14ac:dyDescent="0.2">
      <c r="A9345" s="997">
        <f t="shared" si="145"/>
        <v>9344</v>
      </c>
      <c r="B9345" s="983" t="s">
        <v>2723</v>
      </c>
      <c r="C9345" s="1000"/>
      <c r="G9345" s="983" t="s">
        <v>1106</v>
      </c>
    </row>
    <row r="9346" spans="1:9" x14ac:dyDescent="0.2">
      <c r="A9346" s="997">
        <f t="shared" si="145"/>
        <v>9345</v>
      </c>
      <c r="B9346" s="983" t="s">
        <v>2723</v>
      </c>
      <c r="C9346" s="999"/>
      <c r="H9346" s="983" t="s">
        <v>1107</v>
      </c>
    </row>
    <row r="9347" spans="1:9" x14ac:dyDescent="0.2">
      <c r="A9347" s="997">
        <f t="shared" si="145"/>
        <v>9346</v>
      </c>
      <c r="B9347" s="983" t="s">
        <v>2723</v>
      </c>
      <c r="C9347" s="999"/>
      <c r="I9347" s="983" t="s">
        <v>2392</v>
      </c>
    </row>
    <row r="9348" spans="1:9" x14ac:dyDescent="0.2">
      <c r="A9348" s="997">
        <f t="shared" ref="A9348:A9411" si="146">+A9347+1</f>
        <v>9347</v>
      </c>
      <c r="B9348" s="983" t="s">
        <v>2723</v>
      </c>
      <c r="C9348" s="1000"/>
      <c r="H9348" s="983" t="s">
        <v>1108</v>
      </c>
    </row>
    <row r="9349" spans="1:9" x14ac:dyDescent="0.2">
      <c r="A9349" s="997">
        <f t="shared" si="146"/>
        <v>9348</v>
      </c>
      <c r="B9349" s="983" t="s">
        <v>2723</v>
      </c>
      <c r="C9349" s="1001"/>
      <c r="H9349" s="983" t="str">
        <f>CONCATENATE("&lt;valeur&gt;",Cellule_1185,"&lt;/valeur&gt;")</f>
        <v>&lt;valeur&gt;&lt;/valeur&gt;</v>
      </c>
    </row>
    <row r="9350" spans="1:9" x14ac:dyDescent="0.2">
      <c r="A9350" s="997">
        <f t="shared" si="146"/>
        <v>9349</v>
      </c>
      <c r="B9350" s="983" t="s">
        <v>2723</v>
      </c>
      <c r="C9350" s="1000"/>
      <c r="G9350" s="983" t="s">
        <v>1109</v>
      </c>
    </row>
    <row r="9351" spans="1:9" x14ac:dyDescent="0.2">
      <c r="A9351" s="997">
        <f t="shared" si="146"/>
        <v>9350</v>
      </c>
      <c r="B9351" s="983" t="s">
        <v>2723</v>
      </c>
      <c r="C9351" s="1000"/>
      <c r="G9351" s="983" t="s">
        <v>1106</v>
      </c>
    </row>
    <row r="9352" spans="1:9" x14ac:dyDescent="0.2">
      <c r="A9352" s="997">
        <f t="shared" si="146"/>
        <v>9351</v>
      </c>
      <c r="B9352" s="983" t="s">
        <v>2723</v>
      </c>
      <c r="C9352" s="999"/>
      <c r="H9352" s="983" t="s">
        <v>1107</v>
      </c>
    </row>
    <row r="9353" spans="1:9" x14ac:dyDescent="0.2">
      <c r="A9353" s="997">
        <f t="shared" si="146"/>
        <v>9352</v>
      </c>
      <c r="B9353" s="983" t="s">
        <v>2723</v>
      </c>
      <c r="C9353" s="999"/>
      <c r="I9353" s="983" t="s">
        <v>2393</v>
      </c>
    </row>
    <row r="9354" spans="1:9" x14ac:dyDescent="0.2">
      <c r="A9354" s="997">
        <f t="shared" si="146"/>
        <v>9353</v>
      </c>
      <c r="B9354" s="983" t="s">
        <v>2723</v>
      </c>
      <c r="C9354" s="1000"/>
      <c r="H9354" s="983" t="s">
        <v>1108</v>
      </c>
    </row>
    <row r="9355" spans="1:9" x14ac:dyDescent="0.2">
      <c r="A9355" s="997">
        <f t="shared" si="146"/>
        <v>9354</v>
      </c>
      <c r="B9355" s="983" t="s">
        <v>2723</v>
      </c>
      <c r="C9355" s="1001"/>
      <c r="H9355" s="983" t="str">
        <f>CONCATENATE("&lt;valeur&gt;",Cellule_1194,"&lt;/valeur&gt;")</f>
        <v>&lt;valeur&gt;&lt;/valeur&gt;</v>
      </c>
    </row>
    <row r="9356" spans="1:9" x14ac:dyDescent="0.2">
      <c r="A9356" s="997">
        <f t="shared" si="146"/>
        <v>9355</v>
      </c>
      <c r="B9356" s="983" t="s">
        <v>2723</v>
      </c>
      <c r="C9356" s="1000"/>
      <c r="G9356" s="983" t="s">
        <v>1109</v>
      </c>
    </row>
    <row r="9357" spans="1:9" x14ac:dyDescent="0.2">
      <c r="A9357" s="997">
        <f t="shared" si="146"/>
        <v>9356</v>
      </c>
      <c r="B9357" s="983" t="s">
        <v>2723</v>
      </c>
      <c r="C9357" s="1000"/>
      <c r="G9357" s="983" t="s">
        <v>1106</v>
      </c>
    </row>
    <row r="9358" spans="1:9" x14ac:dyDescent="0.2">
      <c r="A9358" s="997">
        <f t="shared" si="146"/>
        <v>9357</v>
      </c>
      <c r="B9358" s="983" t="s">
        <v>2723</v>
      </c>
      <c r="C9358" s="999"/>
      <c r="H9358" s="983" t="s">
        <v>1107</v>
      </c>
    </row>
    <row r="9359" spans="1:9" x14ac:dyDescent="0.2">
      <c r="A9359" s="997">
        <f t="shared" si="146"/>
        <v>9358</v>
      </c>
      <c r="B9359" s="983" t="s">
        <v>2723</v>
      </c>
      <c r="C9359" s="999"/>
      <c r="I9359" s="983" t="s">
        <v>2394</v>
      </c>
    </row>
    <row r="9360" spans="1:9" x14ac:dyDescent="0.2">
      <c r="A9360" s="997">
        <f t="shared" si="146"/>
        <v>9359</v>
      </c>
      <c r="B9360" s="983" t="s">
        <v>2723</v>
      </c>
      <c r="C9360" s="1000"/>
      <c r="H9360" s="983" t="s">
        <v>1108</v>
      </c>
    </row>
    <row r="9361" spans="1:9" x14ac:dyDescent="0.2">
      <c r="A9361" s="997">
        <f t="shared" si="146"/>
        <v>9360</v>
      </c>
      <c r="B9361" s="983" t="s">
        <v>2723</v>
      </c>
      <c r="C9361" s="1001"/>
      <c r="H9361" s="983" t="str">
        <f>CONCATENATE("&lt;valeur&gt;",Cellule_1203,"&lt;/valeur&gt;")</f>
        <v>&lt;valeur&gt;0&lt;/valeur&gt;</v>
      </c>
    </row>
    <row r="9362" spans="1:9" x14ac:dyDescent="0.2">
      <c r="A9362" s="997">
        <f t="shared" si="146"/>
        <v>9361</v>
      </c>
      <c r="B9362" s="983" t="s">
        <v>2723</v>
      </c>
      <c r="C9362" s="1000"/>
      <c r="G9362" s="983" t="s">
        <v>1109</v>
      </c>
    </row>
    <row r="9363" spans="1:9" x14ac:dyDescent="0.2">
      <c r="A9363" s="997">
        <f t="shared" si="146"/>
        <v>9362</v>
      </c>
      <c r="B9363" s="983" t="s">
        <v>2723</v>
      </c>
      <c r="C9363" s="1000"/>
      <c r="G9363" s="983" t="s">
        <v>1106</v>
      </c>
    </row>
    <row r="9364" spans="1:9" x14ac:dyDescent="0.2">
      <c r="A9364" s="997">
        <f t="shared" si="146"/>
        <v>9363</v>
      </c>
      <c r="B9364" s="983" t="s">
        <v>2723</v>
      </c>
      <c r="C9364" s="999"/>
      <c r="H9364" s="983" t="s">
        <v>1107</v>
      </c>
    </row>
    <row r="9365" spans="1:9" x14ac:dyDescent="0.2">
      <c r="A9365" s="997">
        <f t="shared" si="146"/>
        <v>9364</v>
      </c>
      <c r="B9365" s="983" t="s">
        <v>2723</v>
      </c>
      <c r="C9365" s="999"/>
      <c r="I9365" s="983" t="s">
        <v>2395</v>
      </c>
    </row>
    <row r="9366" spans="1:9" x14ac:dyDescent="0.2">
      <c r="A9366" s="997">
        <f t="shared" si="146"/>
        <v>9365</v>
      </c>
      <c r="B9366" s="983" t="s">
        <v>2723</v>
      </c>
      <c r="C9366" s="1000"/>
      <c r="H9366" s="983" t="s">
        <v>1108</v>
      </c>
    </row>
    <row r="9367" spans="1:9" x14ac:dyDescent="0.2">
      <c r="A9367" s="997">
        <f t="shared" si="146"/>
        <v>9366</v>
      </c>
      <c r="B9367" s="983" t="s">
        <v>2723</v>
      </c>
      <c r="C9367" s="1001"/>
      <c r="H9367" s="983" t="str">
        <f>CONCATENATE("&lt;valeur&gt;",Cellule_1176,"&lt;/valeur&gt;")</f>
        <v>&lt;valeur&gt;&lt;/valeur&gt;</v>
      </c>
    </row>
    <row r="9368" spans="1:9" x14ac:dyDescent="0.2">
      <c r="A9368" s="997">
        <f t="shared" si="146"/>
        <v>9367</v>
      </c>
      <c r="B9368" s="983" t="s">
        <v>2723</v>
      </c>
      <c r="C9368" s="1000"/>
      <c r="G9368" s="983" t="s">
        <v>1109</v>
      </c>
    </row>
    <row r="9369" spans="1:9" x14ac:dyDescent="0.2">
      <c r="A9369" s="997">
        <f t="shared" si="146"/>
        <v>9368</v>
      </c>
      <c r="B9369" s="983" t="s">
        <v>2723</v>
      </c>
      <c r="C9369" s="1000"/>
      <c r="G9369" s="983" t="s">
        <v>1106</v>
      </c>
    </row>
    <row r="9370" spans="1:9" x14ac:dyDescent="0.2">
      <c r="A9370" s="997">
        <f t="shared" si="146"/>
        <v>9369</v>
      </c>
      <c r="B9370" s="983" t="s">
        <v>2723</v>
      </c>
      <c r="C9370" s="999"/>
      <c r="H9370" s="983" t="s">
        <v>1107</v>
      </c>
    </row>
    <row r="9371" spans="1:9" x14ac:dyDescent="0.2">
      <c r="A9371" s="997">
        <f t="shared" si="146"/>
        <v>9370</v>
      </c>
      <c r="B9371" s="983" t="s">
        <v>2723</v>
      </c>
      <c r="C9371" s="999"/>
      <c r="I9371" s="983" t="s">
        <v>2396</v>
      </c>
    </row>
    <row r="9372" spans="1:9" x14ac:dyDescent="0.2">
      <c r="A9372" s="997">
        <f t="shared" si="146"/>
        <v>9371</v>
      </c>
      <c r="B9372" s="983" t="s">
        <v>2723</v>
      </c>
      <c r="C9372" s="1000"/>
      <c r="H9372" s="983" t="s">
        <v>1108</v>
      </c>
    </row>
    <row r="9373" spans="1:9" x14ac:dyDescent="0.2">
      <c r="A9373" s="997">
        <f t="shared" si="146"/>
        <v>9372</v>
      </c>
      <c r="B9373" s="983" t="s">
        <v>2723</v>
      </c>
      <c r="C9373" s="1001"/>
      <c r="H9373" s="983" t="str">
        <f>CONCATENATE("&lt;valeur&gt;",Cellule_1114,"&lt;/valeur&gt;")</f>
        <v>&lt;valeur&gt;&lt;/valeur&gt;</v>
      </c>
    </row>
    <row r="9374" spans="1:9" x14ac:dyDescent="0.2">
      <c r="A9374" s="997">
        <f t="shared" si="146"/>
        <v>9373</v>
      </c>
      <c r="B9374" s="983" t="s">
        <v>2723</v>
      </c>
      <c r="C9374" s="1000"/>
      <c r="G9374" s="983" t="s">
        <v>1109</v>
      </c>
    </row>
    <row r="9375" spans="1:9" x14ac:dyDescent="0.2">
      <c r="A9375" s="997">
        <f t="shared" si="146"/>
        <v>9374</v>
      </c>
      <c r="B9375" s="983" t="s">
        <v>2723</v>
      </c>
      <c r="C9375" s="1000"/>
      <c r="G9375" s="983" t="s">
        <v>1106</v>
      </c>
    </row>
    <row r="9376" spans="1:9" x14ac:dyDescent="0.2">
      <c r="A9376" s="997">
        <f t="shared" si="146"/>
        <v>9375</v>
      </c>
      <c r="B9376" s="983" t="s">
        <v>2723</v>
      </c>
      <c r="C9376" s="999"/>
      <c r="H9376" s="983" t="s">
        <v>1107</v>
      </c>
    </row>
    <row r="9377" spans="1:9" x14ac:dyDescent="0.2">
      <c r="A9377" s="997">
        <f t="shared" si="146"/>
        <v>9376</v>
      </c>
      <c r="B9377" s="983" t="s">
        <v>2723</v>
      </c>
      <c r="C9377" s="999"/>
      <c r="I9377" s="983" t="s">
        <v>2397</v>
      </c>
    </row>
    <row r="9378" spans="1:9" x14ac:dyDescent="0.2">
      <c r="A9378" s="997">
        <f t="shared" si="146"/>
        <v>9377</v>
      </c>
      <c r="B9378" s="983" t="s">
        <v>2723</v>
      </c>
      <c r="C9378" s="1000"/>
      <c r="H9378" s="983" t="s">
        <v>1108</v>
      </c>
    </row>
    <row r="9379" spans="1:9" x14ac:dyDescent="0.2">
      <c r="A9379" s="997">
        <f t="shared" si="146"/>
        <v>9378</v>
      </c>
      <c r="B9379" s="983" t="s">
        <v>2723</v>
      </c>
      <c r="C9379" s="1001"/>
      <c r="H9379" s="983" t="str">
        <f>CONCATENATE("&lt;valeur&gt;",Cellule_1123,"&lt;/valeur&gt;")</f>
        <v>&lt;valeur&gt;&lt;/valeur&gt;</v>
      </c>
    </row>
    <row r="9380" spans="1:9" x14ac:dyDescent="0.2">
      <c r="A9380" s="997">
        <f t="shared" si="146"/>
        <v>9379</v>
      </c>
      <c r="B9380" s="983" t="s">
        <v>2723</v>
      </c>
      <c r="C9380" s="1000"/>
      <c r="G9380" s="983" t="s">
        <v>1109</v>
      </c>
    </row>
    <row r="9381" spans="1:9" x14ac:dyDescent="0.2">
      <c r="A9381" s="997">
        <f t="shared" si="146"/>
        <v>9380</v>
      </c>
      <c r="B9381" s="983" t="s">
        <v>2723</v>
      </c>
      <c r="C9381" s="1000"/>
      <c r="G9381" s="983" t="s">
        <v>1106</v>
      </c>
    </row>
    <row r="9382" spans="1:9" x14ac:dyDescent="0.2">
      <c r="A9382" s="997">
        <f t="shared" si="146"/>
        <v>9381</v>
      </c>
      <c r="B9382" s="983" t="s">
        <v>2723</v>
      </c>
      <c r="C9382" s="999"/>
      <c r="H9382" s="983" t="s">
        <v>1107</v>
      </c>
    </row>
    <row r="9383" spans="1:9" x14ac:dyDescent="0.2">
      <c r="A9383" s="997">
        <f t="shared" si="146"/>
        <v>9382</v>
      </c>
      <c r="B9383" s="983" t="s">
        <v>2723</v>
      </c>
      <c r="C9383" s="999"/>
      <c r="I9383" s="983" t="s">
        <v>2398</v>
      </c>
    </row>
    <row r="9384" spans="1:9" x14ac:dyDescent="0.2">
      <c r="A9384" s="997">
        <f t="shared" si="146"/>
        <v>9383</v>
      </c>
      <c r="B9384" s="983" t="s">
        <v>2723</v>
      </c>
      <c r="C9384" s="1000"/>
      <c r="H9384" s="983" t="s">
        <v>1108</v>
      </c>
    </row>
    <row r="9385" spans="1:9" x14ac:dyDescent="0.2">
      <c r="A9385" s="997">
        <f t="shared" si="146"/>
        <v>9384</v>
      </c>
      <c r="B9385" s="983" t="s">
        <v>2723</v>
      </c>
      <c r="C9385" s="1001"/>
      <c r="H9385" s="983" t="str">
        <f>CONCATENATE("&lt;valeur&gt;",Cellule_1132,"&lt;/valeur&gt;")</f>
        <v>&lt;valeur&gt;&lt;/valeur&gt;</v>
      </c>
    </row>
    <row r="9386" spans="1:9" x14ac:dyDescent="0.2">
      <c r="A9386" s="997">
        <f t="shared" si="146"/>
        <v>9385</v>
      </c>
      <c r="B9386" s="983" t="s">
        <v>2723</v>
      </c>
      <c r="C9386" s="1000"/>
      <c r="G9386" s="983" t="s">
        <v>1109</v>
      </c>
    </row>
    <row r="9387" spans="1:9" x14ac:dyDescent="0.2">
      <c r="A9387" s="997">
        <f t="shared" si="146"/>
        <v>9386</v>
      </c>
      <c r="B9387" s="983" t="s">
        <v>2723</v>
      </c>
      <c r="C9387" s="1000"/>
      <c r="G9387" s="983" t="s">
        <v>1106</v>
      </c>
    </row>
    <row r="9388" spans="1:9" x14ac:dyDescent="0.2">
      <c r="A9388" s="997">
        <f t="shared" si="146"/>
        <v>9387</v>
      </c>
      <c r="B9388" s="983" t="s">
        <v>2723</v>
      </c>
      <c r="C9388" s="999"/>
      <c r="H9388" s="983" t="s">
        <v>1107</v>
      </c>
    </row>
    <row r="9389" spans="1:9" x14ac:dyDescent="0.2">
      <c r="A9389" s="997">
        <f t="shared" si="146"/>
        <v>9388</v>
      </c>
      <c r="B9389" s="983" t="s">
        <v>2723</v>
      </c>
      <c r="C9389" s="999"/>
      <c r="I9389" s="983" t="s">
        <v>2399</v>
      </c>
    </row>
    <row r="9390" spans="1:9" x14ac:dyDescent="0.2">
      <c r="A9390" s="997">
        <f t="shared" si="146"/>
        <v>9389</v>
      </c>
      <c r="B9390" s="983" t="s">
        <v>2723</v>
      </c>
      <c r="C9390" s="1000"/>
      <c r="H9390" s="983" t="s">
        <v>1108</v>
      </c>
    </row>
    <row r="9391" spans="1:9" x14ac:dyDescent="0.2">
      <c r="A9391" s="997">
        <f t="shared" si="146"/>
        <v>9390</v>
      </c>
      <c r="B9391" s="983" t="s">
        <v>2723</v>
      </c>
      <c r="C9391" s="1001"/>
      <c r="H9391" s="983" t="str">
        <f>CONCATENATE("&lt;valeur&gt;",Cellule_1141,"&lt;/valeur&gt;")</f>
        <v>&lt;valeur&gt;&lt;/valeur&gt;</v>
      </c>
    </row>
    <row r="9392" spans="1:9" x14ac:dyDescent="0.2">
      <c r="A9392" s="997">
        <f t="shared" si="146"/>
        <v>9391</v>
      </c>
      <c r="B9392" s="983" t="s">
        <v>2723</v>
      </c>
      <c r="C9392" s="1000"/>
      <c r="G9392" s="983" t="s">
        <v>1109</v>
      </c>
    </row>
    <row r="9393" spans="1:9" x14ac:dyDescent="0.2">
      <c r="A9393" s="997">
        <f t="shared" si="146"/>
        <v>9392</v>
      </c>
      <c r="B9393" s="983" t="s">
        <v>2723</v>
      </c>
      <c r="C9393" s="1000"/>
      <c r="G9393" s="983" t="s">
        <v>1106</v>
      </c>
    </row>
    <row r="9394" spans="1:9" x14ac:dyDescent="0.2">
      <c r="A9394" s="997">
        <f t="shared" si="146"/>
        <v>9393</v>
      </c>
      <c r="B9394" s="983" t="s">
        <v>2723</v>
      </c>
      <c r="C9394" s="999"/>
      <c r="H9394" s="983" t="s">
        <v>1107</v>
      </c>
    </row>
    <row r="9395" spans="1:9" x14ac:dyDescent="0.2">
      <c r="A9395" s="997">
        <f t="shared" si="146"/>
        <v>9394</v>
      </c>
      <c r="B9395" s="983" t="s">
        <v>2723</v>
      </c>
      <c r="C9395" s="999"/>
      <c r="I9395" s="983" t="s">
        <v>2400</v>
      </c>
    </row>
    <row r="9396" spans="1:9" x14ac:dyDescent="0.2">
      <c r="A9396" s="997">
        <f t="shared" si="146"/>
        <v>9395</v>
      </c>
      <c r="B9396" s="983" t="s">
        <v>2723</v>
      </c>
      <c r="C9396" s="1000"/>
      <c r="H9396" s="983" t="s">
        <v>1108</v>
      </c>
    </row>
    <row r="9397" spans="1:9" x14ac:dyDescent="0.2">
      <c r="A9397" s="997">
        <f t="shared" si="146"/>
        <v>9396</v>
      </c>
      <c r="B9397" s="983" t="s">
        <v>2723</v>
      </c>
      <c r="C9397" s="1001"/>
      <c r="H9397" s="983" t="str">
        <f>CONCATENATE("&lt;valeur&gt;",Cellule_1150,"&lt;/valeur&gt;")</f>
        <v>&lt;valeur&gt;&lt;/valeur&gt;</v>
      </c>
    </row>
    <row r="9398" spans="1:9" x14ac:dyDescent="0.2">
      <c r="A9398" s="997">
        <f t="shared" si="146"/>
        <v>9397</v>
      </c>
      <c r="B9398" s="983" t="s">
        <v>2723</v>
      </c>
      <c r="C9398" s="1000"/>
      <c r="G9398" s="983" t="s">
        <v>1109</v>
      </c>
    </row>
    <row r="9399" spans="1:9" x14ac:dyDescent="0.2">
      <c r="A9399" s="997">
        <f t="shared" si="146"/>
        <v>9398</v>
      </c>
      <c r="B9399" s="983" t="s">
        <v>2723</v>
      </c>
      <c r="C9399" s="1000"/>
      <c r="G9399" s="983" t="s">
        <v>1106</v>
      </c>
    </row>
    <row r="9400" spans="1:9" x14ac:dyDescent="0.2">
      <c r="A9400" s="997">
        <f t="shared" si="146"/>
        <v>9399</v>
      </c>
      <c r="B9400" s="983" t="s">
        <v>2723</v>
      </c>
      <c r="C9400" s="999"/>
      <c r="H9400" s="983" t="s">
        <v>1107</v>
      </c>
    </row>
    <row r="9401" spans="1:9" x14ac:dyDescent="0.2">
      <c r="A9401" s="997">
        <f t="shared" si="146"/>
        <v>9400</v>
      </c>
      <c r="B9401" s="983" t="s">
        <v>2723</v>
      </c>
      <c r="C9401" s="999"/>
      <c r="I9401" s="983" t="s">
        <v>2401</v>
      </c>
    </row>
    <row r="9402" spans="1:9" x14ac:dyDescent="0.2">
      <c r="A9402" s="997">
        <f t="shared" si="146"/>
        <v>9401</v>
      </c>
      <c r="B9402" s="983" t="s">
        <v>2723</v>
      </c>
      <c r="C9402" s="1000"/>
      <c r="H9402" s="983" t="s">
        <v>1108</v>
      </c>
    </row>
    <row r="9403" spans="1:9" x14ac:dyDescent="0.2">
      <c r="A9403" s="997">
        <f t="shared" si="146"/>
        <v>9402</v>
      </c>
      <c r="B9403" s="983" t="s">
        <v>2723</v>
      </c>
      <c r="C9403" s="1001"/>
      <c r="H9403" s="983" t="str">
        <f>CONCATENATE("&lt;valeur&gt;",Cellule_1159,"&lt;/valeur&gt;")</f>
        <v>&lt;valeur&gt;&lt;/valeur&gt;</v>
      </c>
    </row>
    <row r="9404" spans="1:9" x14ac:dyDescent="0.2">
      <c r="A9404" s="997">
        <f t="shared" si="146"/>
        <v>9403</v>
      </c>
      <c r="B9404" s="983" t="s">
        <v>2723</v>
      </c>
      <c r="C9404" s="1000"/>
      <c r="G9404" s="983" t="s">
        <v>1109</v>
      </c>
    </row>
    <row r="9405" spans="1:9" x14ac:dyDescent="0.2">
      <c r="A9405" s="997">
        <f t="shared" si="146"/>
        <v>9404</v>
      </c>
      <c r="B9405" s="983" t="s">
        <v>2723</v>
      </c>
      <c r="C9405" s="1000"/>
      <c r="G9405" s="983" t="s">
        <v>1106</v>
      </c>
    </row>
    <row r="9406" spans="1:9" x14ac:dyDescent="0.2">
      <c r="A9406" s="997">
        <f t="shared" si="146"/>
        <v>9405</v>
      </c>
      <c r="B9406" s="983" t="s">
        <v>2723</v>
      </c>
      <c r="C9406" s="999"/>
      <c r="H9406" s="983" t="s">
        <v>1107</v>
      </c>
    </row>
    <row r="9407" spans="1:9" x14ac:dyDescent="0.2">
      <c r="A9407" s="997">
        <f t="shared" si="146"/>
        <v>9406</v>
      </c>
      <c r="B9407" s="983" t="s">
        <v>2723</v>
      </c>
      <c r="C9407" s="999"/>
      <c r="I9407" s="983" t="s">
        <v>2402</v>
      </c>
    </row>
    <row r="9408" spans="1:9" x14ac:dyDescent="0.2">
      <c r="A9408" s="997">
        <f t="shared" si="146"/>
        <v>9407</v>
      </c>
      <c r="B9408" s="983" t="s">
        <v>2723</v>
      </c>
      <c r="C9408" s="1000"/>
      <c r="H9408" s="983" t="s">
        <v>1108</v>
      </c>
    </row>
    <row r="9409" spans="1:9" x14ac:dyDescent="0.2">
      <c r="A9409" s="997">
        <f t="shared" si="146"/>
        <v>9408</v>
      </c>
      <c r="B9409" s="983" t="s">
        <v>2723</v>
      </c>
      <c r="C9409" s="1001"/>
      <c r="H9409" s="983" t="str">
        <f>CONCATENATE("&lt;valeur&gt;",Cellule_1168,"&lt;/valeur&gt;")</f>
        <v>&lt;valeur&gt;&lt;/valeur&gt;</v>
      </c>
    </row>
    <row r="9410" spans="1:9" x14ac:dyDescent="0.2">
      <c r="A9410" s="997">
        <f t="shared" si="146"/>
        <v>9409</v>
      </c>
      <c r="B9410" s="983" t="s">
        <v>2723</v>
      </c>
      <c r="C9410" s="1000"/>
      <c r="G9410" s="983" t="s">
        <v>1109</v>
      </c>
    </row>
    <row r="9411" spans="1:9" x14ac:dyDescent="0.2">
      <c r="A9411" s="997">
        <f t="shared" si="146"/>
        <v>9410</v>
      </c>
      <c r="B9411" s="983" t="s">
        <v>2723</v>
      </c>
      <c r="C9411" s="1000"/>
      <c r="G9411" s="983" t="s">
        <v>1106</v>
      </c>
    </row>
    <row r="9412" spans="1:9" x14ac:dyDescent="0.2">
      <c r="A9412" s="997">
        <f t="shared" ref="A9412:A9475" si="147">+A9411+1</f>
        <v>9411</v>
      </c>
      <c r="B9412" s="983" t="s">
        <v>2723</v>
      </c>
      <c r="C9412" s="999"/>
      <c r="H9412" s="983" t="s">
        <v>1107</v>
      </c>
    </row>
    <row r="9413" spans="1:9" x14ac:dyDescent="0.2">
      <c r="A9413" s="997">
        <f t="shared" si="147"/>
        <v>9412</v>
      </c>
      <c r="B9413" s="983" t="s">
        <v>2723</v>
      </c>
      <c r="C9413" s="999"/>
      <c r="I9413" s="983" t="s">
        <v>2403</v>
      </c>
    </row>
    <row r="9414" spans="1:9" x14ac:dyDescent="0.2">
      <c r="A9414" s="997">
        <f t="shared" si="147"/>
        <v>9413</v>
      </c>
      <c r="B9414" s="983" t="s">
        <v>2723</v>
      </c>
      <c r="C9414" s="1000"/>
      <c r="H9414" s="983" t="s">
        <v>1108</v>
      </c>
    </row>
    <row r="9415" spans="1:9" x14ac:dyDescent="0.2">
      <c r="A9415" s="997">
        <f t="shared" si="147"/>
        <v>9414</v>
      </c>
      <c r="B9415" s="983" t="s">
        <v>2723</v>
      </c>
      <c r="C9415" s="1001"/>
      <c r="H9415" s="983" t="str">
        <f>CONCATENATE("&lt;valeur&gt;",Cellule_1177,"&lt;/valeur&gt;")</f>
        <v>&lt;valeur&gt;&lt;/valeur&gt;</v>
      </c>
    </row>
    <row r="9416" spans="1:9" x14ac:dyDescent="0.2">
      <c r="A9416" s="997">
        <f t="shared" si="147"/>
        <v>9415</v>
      </c>
      <c r="B9416" s="983" t="s">
        <v>2723</v>
      </c>
      <c r="C9416" s="1000"/>
      <c r="G9416" s="983" t="s">
        <v>1109</v>
      </c>
    </row>
    <row r="9417" spans="1:9" x14ac:dyDescent="0.2">
      <c r="A9417" s="997">
        <f t="shared" si="147"/>
        <v>9416</v>
      </c>
      <c r="B9417" s="983" t="s">
        <v>2723</v>
      </c>
      <c r="C9417" s="1000"/>
      <c r="G9417" s="983" t="s">
        <v>1106</v>
      </c>
    </row>
    <row r="9418" spans="1:9" x14ac:dyDescent="0.2">
      <c r="A9418" s="997">
        <f t="shared" si="147"/>
        <v>9417</v>
      </c>
      <c r="B9418" s="983" t="s">
        <v>2723</v>
      </c>
      <c r="C9418" s="999"/>
      <c r="H9418" s="983" t="s">
        <v>1107</v>
      </c>
    </row>
    <row r="9419" spans="1:9" x14ac:dyDescent="0.2">
      <c r="A9419" s="997">
        <f t="shared" si="147"/>
        <v>9418</v>
      </c>
      <c r="B9419" s="983" t="s">
        <v>2723</v>
      </c>
      <c r="C9419" s="999"/>
      <c r="I9419" s="983" t="s">
        <v>2404</v>
      </c>
    </row>
    <row r="9420" spans="1:9" x14ac:dyDescent="0.2">
      <c r="A9420" s="997">
        <f t="shared" si="147"/>
        <v>9419</v>
      </c>
      <c r="B9420" s="983" t="s">
        <v>2723</v>
      </c>
      <c r="C9420" s="1000"/>
      <c r="H9420" s="983" t="s">
        <v>1108</v>
      </c>
    </row>
    <row r="9421" spans="1:9" x14ac:dyDescent="0.2">
      <c r="A9421" s="997">
        <f t="shared" si="147"/>
        <v>9420</v>
      </c>
      <c r="B9421" s="983" t="s">
        <v>2723</v>
      </c>
      <c r="C9421" s="1001"/>
      <c r="H9421" s="983" t="str">
        <f>CONCATENATE("&lt;valeur&gt;",Cellule_1186,"&lt;/valeur&gt;")</f>
        <v>&lt;valeur&gt;&lt;/valeur&gt;</v>
      </c>
    </row>
    <row r="9422" spans="1:9" x14ac:dyDescent="0.2">
      <c r="A9422" s="997">
        <f t="shared" si="147"/>
        <v>9421</v>
      </c>
      <c r="B9422" s="983" t="s">
        <v>2723</v>
      </c>
      <c r="C9422" s="1000"/>
      <c r="G9422" s="983" t="s">
        <v>1109</v>
      </c>
    </row>
    <row r="9423" spans="1:9" x14ac:dyDescent="0.2">
      <c r="A9423" s="997">
        <f t="shared" si="147"/>
        <v>9422</v>
      </c>
      <c r="B9423" s="983" t="s">
        <v>2723</v>
      </c>
      <c r="C9423" s="1000"/>
      <c r="G9423" s="983" t="s">
        <v>1106</v>
      </c>
    </row>
    <row r="9424" spans="1:9" x14ac:dyDescent="0.2">
      <c r="A9424" s="997">
        <f t="shared" si="147"/>
        <v>9423</v>
      </c>
      <c r="B9424" s="983" t="s">
        <v>2723</v>
      </c>
      <c r="C9424" s="999"/>
      <c r="H9424" s="983" t="s">
        <v>1107</v>
      </c>
    </row>
    <row r="9425" spans="1:9" x14ac:dyDescent="0.2">
      <c r="A9425" s="997">
        <f t="shared" si="147"/>
        <v>9424</v>
      </c>
      <c r="B9425" s="983" t="s">
        <v>2723</v>
      </c>
      <c r="C9425" s="999"/>
      <c r="I9425" s="983" t="s">
        <v>2405</v>
      </c>
    </row>
    <row r="9426" spans="1:9" x14ac:dyDescent="0.2">
      <c r="A9426" s="997">
        <f t="shared" si="147"/>
        <v>9425</v>
      </c>
      <c r="B9426" s="983" t="s">
        <v>2723</v>
      </c>
      <c r="C9426" s="1000"/>
      <c r="H9426" s="983" t="s">
        <v>1108</v>
      </c>
    </row>
    <row r="9427" spans="1:9" x14ac:dyDescent="0.2">
      <c r="A9427" s="997">
        <f t="shared" si="147"/>
        <v>9426</v>
      </c>
      <c r="B9427" s="983" t="s">
        <v>2723</v>
      </c>
      <c r="C9427" s="1001"/>
      <c r="H9427" s="983" t="str">
        <f>CONCATENATE("&lt;valeur&gt;",Cellule_1195,"&lt;/valeur&gt;")</f>
        <v>&lt;valeur&gt;&lt;/valeur&gt;</v>
      </c>
    </row>
    <row r="9428" spans="1:9" x14ac:dyDescent="0.2">
      <c r="A9428" s="997">
        <f t="shared" si="147"/>
        <v>9427</v>
      </c>
      <c r="B9428" s="983" t="s">
        <v>2723</v>
      </c>
      <c r="C9428" s="1000"/>
      <c r="G9428" s="983" t="s">
        <v>1109</v>
      </c>
    </row>
    <row r="9429" spans="1:9" x14ac:dyDescent="0.2">
      <c r="A9429" s="997">
        <f t="shared" si="147"/>
        <v>9428</v>
      </c>
      <c r="B9429" s="983" t="s">
        <v>2723</v>
      </c>
      <c r="C9429" s="1000"/>
      <c r="G9429" s="983" t="s">
        <v>1106</v>
      </c>
    </row>
    <row r="9430" spans="1:9" x14ac:dyDescent="0.2">
      <c r="A9430" s="997">
        <f t="shared" si="147"/>
        <v>9429</v>
      </c>
      <c r="B9430" s="983" t="s">
        <v>2723</v>
      </c>
      <c r="C9430" s="999"/>
      <c r="H9430" s="983" t="s">
        <v>1107</v>
      </c>
    </row>
    <row r="9431" spans="1:9" x14ac:dyDescent="0.2">
      <c r="A9431" s="997">
        <f t="shared" si="147"/>
        <v>9430</v>
      </c>
      <c r="B9431" s="983" t="s">
        <v>2723</v>
      </c>
      <c r="C9431" s="999"/>
      <c r="I9431" s="983" t="s">
        <v>2406</v>
      </c>
    </row>
    <row r="9432" spans="1:9" x14ac:dyDescent="0.2">
      <c r="A9432" s="997">
        <f t="shared" si="147"/>
        <v>9431</v>
      </c>
      <c r="B9432" s="983" t="s">
        <v>2723</v>
      </c>
      <c r="C9432" s="1000"/>
      <c r="H9432" s="983" t="s">
        <v>1108</v>
      </c>
    </row>
    <row r="9433" spans="1:9" x14ac:dyDescent="0.2">
      <c r="A9433" s="997">
        <f t="shared" si="147"/>
        <v>9432</v>
      </c>
      <c r="B9433" s="983" t="s">
        <v>2723</v>
      </c>
      <c r="C9433" s="1001"/>
      <c r="H9433" s="983" t="str">
        <f>CONCATENATE("&lt;valeur&gt;",Cellule_1204,"&lt;/valeur&gt;")</f>
        <v>&lt;valeur&gt;0&lt;/valeur&gt;</v>
      </c>
    </row>
    <row r="9434" spans="1:9" x14ac:dyDescent="0.2">
      <c r="A9434" s="997">
        <f t="shared" si="147"/>
        <v>9433</v>
      </c>
      <c r="B9434" s="983" t="s">
        <v>2723</v>
      </c>
      <c r="C9434" s="1000"/>
      <c r="G9434" s="983" t="s">
        <v>1109</v>
      </c>
    </row>
    <row r="9435" spans="1:9" x14ac:dyDescent="0.2">
      <c r="A9435" s="997">
        <f t="shared" si="147"/>
        <v>9434</v>
      </c>
      <c r="B9435" s="983" t="s">
        <v>2723</v>
      </c>
      <c r="C9435" s="1000"/>
      <c r="G9435" s="983" t="s">
        <v>1106</v>
      </c>
    </row>
    <row r="9436" spans="1:9" x14ac:dyDescent="0.2">
      <c r="A9436" s="997">
        <f t="shared" si="147"/>
        <v>9435</v>
      </c>
      <c r="B9436" s="983" t="s">
        <v>2723</v>
      </c>
      <c r="C9436" s="999"/>
      <c r="H9436" s="983" t="s">
        <v>1107</v>
      </c>
    </row>
    <row r="9437" spans="1:9" x14ac:dyDescent="0.2">
      <c r="A9437" s="997">
        <f t="shared" si="147"/>
        <v>9436</v>
      </c>
      <c r="B9437" s="983" t="s">
        <v>2723</v>
      </c>
      <c r="C9437" s="999"/>
      <c r="I9437" s="983" t="s">
        <v>2407</v>
      </c>
    </row>
    <row r="9438" spans="1:9" x14ac:dyDescent="0.2">
      <c r="A9438" s="997">
        <f t="shared" si="147"/>
        <v>9437</v>
      </c>
      <c r="B9438" s="983" t="s">
        <v>2723</v>
      </c>
      <c r="C9438" s="1000"/>
      <c r="H9438" s="983" t="s">
        <v>1108</v>
      </c>
    </row>
    <row r="9439" spans="1:9" x14ac:dyDescent="0.2">
      <c r="A9439" s="997">
        <f t="shared" si="147"/>
        <v>9438</v>
      </c>
      <c r="B9439" s="983" t="s">
        <v>2723</v>
      </c>
      <c r="C9439" s="1001"/>
      <c r="H9439" s="983" t="str">
        <f>CONCATENATE("&lt;valeur&gt;",Cellule_1115,"&lt;/valeur&gt;")</f>
        <v>&lt;valeur&gt;&lt;/valeur&gt;</v>
      </c>
    </row>
    <row r="9440" spans="1:9" x14ac:dyDescent="0.2">
      <c r="A9440" s="997">
        <f t="shared" si="147"/>
        <v>9439</v>
      </c>
      <c r="B9440" s="983" t="s">
        <v>2723</v>
      </c>
      <c r="C9440" s="1000"/>
      <c r="G9440" s="983" t="s">
        <v>1109</v>
      </c>
    </row>
    <row r="9441" spans="1:9" x14ac:dyDescent="0.2">
      <c r="A9441" s="997">
        <f t="shared" si="147"/>
        <v>9440</v>
      </c>
      <c r="B9441" s="983" t="s">
        <v>2723</v>
      </c>
      <c r="C9441" s="1000"/>
      <c r="G9441" s="983" t="s">
        <v>1106</v>
      </c>
    </row>
    <row r="9442" spans="1:9" x14ac:dyDescent="0.2">
      <c r="A9442" s="997">
        <f t="shared" si="147"/>
        <v>9441</v>
      </c>
      <c r="B9442" s="983" t="s">
        <v>2723</v>
      </c>
      <c r="C9442" s="999"/>
      <c r="H9442" s="983" t="s">
        <v>1107</v>
      </c>
    </row>
    <row r="9443" spans="1:9" x14ac:dyDescent="0.2">
      <c r="A9443" s="997">
        <f t="shared" si="147"/>
        <v>9442</v>
      </c>
      <c r="B9443" s="983" t="s">
        <v>2723</v>
      </c>
      <c r="C9443" s="999"/>
      <c r="I9443" s="983" t="s">
        <v>2408</v>
      </c>
    </row>
    <row r="9444" spans="1:9" x14ac:dyDescent="0.2">
      <c r="A9444" s="997">
        <f t="shared" si="147"/>
        <v>9443</v>
      </c>
      <c r="B9444" s="983" t="s">
        <v>2723</v>
      </c>
      <c r="C9444" s="1000"/>
      <c r="H9444" s="983" t="s">
        <v>1108</v>
      </c>
    </row>
    <row r="9445" spans="1:9" x14ac:dyDescent="0.2">
      <c r="A9445" s="997">
        <f t="shared" si="147"/>
        <v>9444</v>
      </c>
      <c r="B9445" s="983" t="s">
        <v>2723</v>
      </c>
      <c r="C9445" s="1001"/>
      <c r="H9445" s="983" t="str">
        <f>CONCATENATE("&lt;valeur&gt;",Cellule_1124,"&lt;/valeur&gt;")</f>
        <v>&lt;valeur&gt;&lt;/valeur&gt;</v>
      </c>
    </row>
    <row r="9446" spans="1:9" x14ac:dyDescent="0.2">
      <c r="A9446" s="997">
        <f t="shared" si="147"/>
        <v>9445</v>
      </c>
      <c r="B9446" s="983" t="s">
        <v>2723</v>
      </c>
      <c r="C9446" s="1000"/>
      <c r="G9446" s="983" t="s">
        <v>1109</v>
      </c>
    </row>
    <row r="9447" spans="1:9" x14ac:dyDescent="0.2">
      <c r="A9447" s="997">
        <f t="shared" si="147"/>
        <v>9446</v>
      </c>
      <c r="B9447" s="983" t="s">
        <v>2723</v>
      </c>
      <c r="C9447" s="1000"/>
      <c r="G9447" s="983" t="s">
        <v>1106</v>
      </c>
    </row>
    <row r="9448" spans="1:9" x14ac:dyDescent="0.2">
      <c r="A9448" s="997">
        <f t="shared" si="147"/>
        <v>9447</v>
      </c>
      <c r="B9448" s="983" t="s">
        <v>2723</v>
      </c>
      <c r="C9448" s="999"/>
      <c r="H9448" s="983" t="s">
        <v>1107</v>
      </c>
    </row>
    <row r="9449" spans="1:9" x14ac:dyDescent="0.2">
      <c r="A9449" s="997">
        <f t="shared" si="147"/>
        <v>9448</v>
      </c>
      <c r="B9449" s="983" t="s">
        <v>2723</v>
      </c>
      <c r="C9449" s="999"/>
      <c r="I9449" s="983" t="s">
        <v>2409</v>
      </c>
    </row>
    <row r="9450" spans="1:9" x14ac:dyDescent="0.2">
      <c r="A9450" s="997">
        <f t="shared" si="147"/>
        <v>9449</v>
      </c>
      <c r="B9450" s="983" t="s">
        <v>2723</v>
      </c>
      <c r="C9450" s="1000"/>
      <c r="H9450" s="983" t="s">
        <v>1108</v>
      </c>
    </row>
    <row r="9451" spans="1:9" x14ac:dyDescent="0.2">
      <c r="A9451" s="997">
        <f t="shared" si="147"/>
        <v>9450</v>
      </c>
      <c r="B9451" s="983" t="s">
        <v>2723</v>
      </c>
      <c r="C9451" s="1001"/>
      <c r="H9451" s="983" t="str">
        <f>CONCATENATE("&lt;valeur&gt;",Cellule_1133,"&lt;/valeur&gt;")</f>
        <v>&lt;valeur&gt;&lt;/valeur&gt;</v>
      </c>
    </row>
    <row r="9452" spans="1:9" x14ac:dyDescent="0.2">
      <c r="A9452" s="997">
        <f t="shared" si="147"/>
        <v>9451</v>
      </c>
      <c r="B9452" s="983" t="s">
        <v>2723</v>
      </c>
      <c r="C9452" s="1000"/>
      <c r="G9452" s="983" t="s">
        <v>1109</v>
      </c>
    </row>
    <row r="9453" spans="1:9" x14ac:dyDescent="0.2">
      <c r="A9453" s="997">
        <f t="shared" si="147"/>
        <v>9452</v>
      </c>
      <c r="B9453" s="983" t="s">
        <v>2723</v>
      </c>
      <c r="C9453" s="1000"/>
      <c r="G9453" s="983" t="s">
        <v>1106</v>
      </c>
    </row>
    <row r="9454" spans="1:9" x14ac:dyDescent="0.2">
      <c r="A9454" s="997">
        <f t="shared" si="147"/>
        <v>9453</v>
      </c>
      <c r="B9454" s="983" t="s">
        <v>2723</v>
      </c>
      <c r="C9454" s="999"/>
      <c r="H9454" s="983" t="s">
        <v>1107</v>
      </c>
    </row>
    <row r="9455" spans="1:9" x14ac:dyDescent="0.2">
      <c r="A9455" s="997">
        <f t="shared" si="147"/>
        <v>9454</v>
      </c>
      <c r="B9455" s="983" t="s">
        <v>2723</v>
      </c>
      <c r="C9455" s="999"/>
      <c r="I9455" s="983" t="s">
        <v>2410</v>
      </c>
    </row>
    <row r="9456" spans="1:9" x14ac:dyDescent="0.2">
      <c r="A9456" s="997">
        <f t="shared" si="147"/>
        <v>9455</v>
      </c>
      <c r="B9456" s="983" t="s">
        <v>2723</v>
      </c>
      <c r="C9456" s="1000"/>
      <c r="H9456" s="983" t="s">
        <v>1108</v>
      </c>
    </row>
    <row r="9457" spans="1:9" x14ac:dyDescent="0.2">
      <c r="A9457" s="997">
        <f t="shared" si="147"/>
        <v>9456</v>
      </c>
      <c r="B9457" s="983" t="s">
        <v>2723</v>
      </c>
      <c r="C9457" s="1001"/>
      <c r="H9457" s="983" t="str">
        <f>CONCATENATE("&lt;valeur&gt;",Cellule_1142,"&lt;/valeur&gt;")</f>
        <v>&lt;valeur&gt;&lt;/valeur&gt;</v>
      </c>
    </row>
    <row r="9458" spans="1:9" x14ac:dyDescent="0.2">
      <c r="A9458" s="997">
        <f t="shared" si="147"/>
        <v>9457</v>
      </c>
      <c r="B9458" s="983" t="s">
        <v>2723</v>
      </c>
      <c r="C9458" s="1000"/>
      <c r="G9458" s="983" t="s">
        <v>1109</v>
      </c>
    </row>
    <row r="9459" spans="1:9" x14ac:dyDescent="0.2">
      <c r="A9459" s="997">
        <f t="shared" si="147"/>
        <v>9458</v>
      </c>
      <c r="B9459" s="983" t="s">
        <v>2723</v>
      </c>
      <c r="C9459" s="1000"/>
      <c r="G9459" s="983" t="s">
        <v>1106</v>
      </c>
    </row>
    <row r="9460" spans="1:9" x14ac:dyDescent="0.2">
      <c r="A9460" s="997">
        <f t="shared" si="147"/>
        <v>9459</v>
      </c>
      <c r="B9460" s="983" t="s">
        <v>2723</v>
      </c>
      <c r="C9460" s="999"/>
      <c r="H9460" s="983" t="s">
        <v>1107</v>
      </c>
    </row>
    <row r="9461" spans="1:9" x14ac:dyDescent="0.2">
      <c r="A9461" s="997">
        <f t="shared" si="147"/>
        <v>9460</v>
      </c>
      <c r="B9461" s="983" t="s">
        <v>2723</v>
      </c>
      <c r="C9461" s="999"/>
      <c r="I9461" s="983" t="s">
        <v>2411</v>
      </c>
    </row>
    <row r="9462" spans="1:9" x14ac:dyDescent="0.2">
      <c r="A9462" s="997">
        <f t="shared" si="147"/>
        <v>9461</v>
      </c>
      <c r="B9462" s="983" t="s">
        <v>2723</v>
      </c>
      <c r="C9462" s="1000"/>
      <c r="H9462" s="983" t="s">
        <v>1108</v>
      </c>
    </row>
    <row r="9463" spans="1:9" x14ac:dyDescent="0.2">
      <c r="A9463" s="997">
        <f t="shared" si="147"/>
        <v>9462</v>
      </c>
      <c r="B9463" s="983" t="s">
        <v>2723</v>
      </c>
      <c r="C9463" s="1001"/>
      <c r="H9463" s="983" t="str">
        <f>CONCATENATE("&lt;valeur&gt;",Cellule_1151,"&lt;/valeur&gt;")</f>
        <v>&lt;valeur&gt;&lt;/valeur&gt;</v>
      </c>
    </row>
    <row r="9464" spans="1:9" x14ac:dyDescent="0.2">
      <c r="A9464" s="997">
        <f t="shared" si="147"/>
        <v>9463</v>
      </c>
      <c r="B9464" s="983" t="s">
        <v>2723</v>
      </c>
      <c r="C9464" s="1000"/>
      <c r="G9464" s="983" t="s">
        <v>1109</v>
      </c>
    </row>
    <row r="9465" spans="1:9" x14ac:dyDescent="0.2">
      <c r="A9465" s="997">
        <f t="shared" si="147"/>
        <v>9464</v>
      </c>
      <c r="B9465" s="983" t="s">
        <v>2723</v>
      </c>
      <c r="C9465" s="1000"/>
      <c r="G9465" s="983" t="s">
        <v>1106</v>
      </c>
    </row>
    <row r="9466" spans="1:9" x14ac:dyDescent="0.2">
      <c r="A9466" s="997">
        <f t="shared" si="147"/>
        <v>9465</v>
      </c>
      <c r="B9466" s="983" t="s">
        <v>2723</v>
      </c>
      <c r="C9466" s="999"/>
      <c r="H9466" s="983" t="s">
        <v>1107</v>
      </c>
    </row>
    <row r="9467" spans="1:9" x14ac:dyDescent="0.2">
      <c r="A9467" s="997">
        <f t="shared" si="147"/>
        <v>9466</v>
      </c>
      <c r="B9467" s="983" t="s">
        <v>2723</v>
      </c>
      <c r="C9467" s="999"/>
      <c r="I9467" s="983" t="s">
        <v>2412</v>
      </c>
    </row>
    <row r="9468" spans="1:9" x14ac:dyDescent="0.2">
      <c r="A9468" s="997">
        <f t="shared" si="147"/>
        <v>9467</v>
      </c>
      <c r="B9468" s="983" t="s">
        <v>2723</v>
      </c>
      <c r="C9468" s="1000"/>
      <c r="H9468" s="983" t="s">
        <v>1108</v>
      </c>
    </row>
    <row r="9469" spans="1:9" x14ac:dyDescent="0.2">
      <c r="A9469" s="997">
        <f t="shared" si="147"/>
        <v>9468</v>
      </c>
      <c r="B9469" s="983" t="s">
        <v>2723</v>
      </c>
      <c r="C9469" s="1001"/>
      <c r="H9469" s="983" t="str">
        <f>CONCATENATE("&lt;valeur&gt;",Cellule_1160,"&lt;/valeur&gt;")</f>
        <v>&lt;valeur&gt;&lt;/valeur&gt;</v>
      </c>
    </row>
    <row r="9470" spans="1:9" x14ac:dyDescent="0.2">
      <c r="A9470" s="997">
        <f t="shared" si="147"/>
        <v>9469</v>
      </c>
      <c r="B9470" s="983" t="s">
        <v>2723</v>
      </c>
      <c r="C9470" s="1000"/>
      <c r="G9470" s="983" t="s">
        <v>1109</v>
      </c>
    </row>
    <row r="9471" spans="1:9" x14ac:dyDescent="0.2">
      <c r="A9471" s="997">
        <f t="shared" si="147"/>
        <v>9470</v>
      </c>
      <c r="B9471" s="983" t="s">
        <v>2723</v>
      </c>
      <c r="C9471" s="1000"/>
      <c r="G9471" s="983" t="s">
        <v>1106</v>
      </c>
    </row>
    <row r="9472" spans="1:9" x14ac:dyDescent="0.2">
      <c r="A9472" s="997">
        <f t="shared" si="147"/>
        <v>9471</v>
      </c>
      <c r="B9472" s="983" t="s">
        <v>2723</v>
      </c>
      <c r="C9472" s="999"/>
      <c r="H9472" s="983" t="s">
        <v>1107</v>
      </c>
    </row>
    <row r="9473" spans="1:9" x14ac:dyDescent="0.2">
      <c r="A9473" s="997">
        <f t="shared" si="147"/>
        <v>9472</v>
      </c>
      <c r="B9473" s="983" t="s">
        <v>2723</v>
      </c>
      <c r="C9473" s="999"/>
      <c r="I9473" s="983" t="s">
        <v>2413</v>
      </c>
    </row>
    <row r="9474" spans="1:9" x14ac:dyDescent="0.2">
      <c r="A9474" s="997">
        <f t="shared" si="147"/>
        <v>9473</v>
      </c>
      <c r="B9474" s="983" t="s">
        <v>2723</v>
      </c>
      <c r="C9474" s="1000"/>
      <c r="H9474" s="983" t="s">
        <v>1108</v>
      </c>
    </row>
    <row r="9475" spans="1:9" x14ac:dyDescent="0.2">
      <c r="A9475" s="997">
        <f t="shared" si="147"/>
        <v>9474</v>
      </c>
      <c r="B9475" s="983" t="s">
        <v>2723</v>
      </c>
      <c r="C9475" s="1001"/>
      <c r="H9475" s="983" t="str">
        <f>CONCATENATE("&lt;valeur&gt;",Cellule_1169,"&lt;/valeur&gt;")</f>
        <v>&lt;valeur&gt;&lt;/valeur&gt;</v>
      </c>
    </row>
    <row r="9476" spans="1:9" x14ac:dyDescent="0.2">
      <c r="A9476" s="997">
        <f t="shared" ref="A9476:A9539" si="148">+A9475+1</f>
        <v>9475</v>
      </c>
      <c r="B9476" s="983" t="s">
        <v>2723</v>
      </c>
      <c r="C9476" s="1000"/>
      <c r="G9476" s="983" t="s">
        <v>1109</v>
      </c>
    </row>
    <row r="9477" spans="1:9" x14ac:dyDescent="0.2">
      <c r="A9477" s="997">
        <f t="shared" si="148"/>
        <v>9476</v>
      </c>
      <c r="B9477" s="983" t="s">
        <v>2723</v>
      </c>
      <c r="C9477" s="1000"/>
      <c r="G9477" s="983" t="s">
        <v>1106</v>
      </c>
    </row>
    <row r="9478" spans="1:9" x14ac:dyDescent="0.2">
      <c r="A9478" s="997">
        <f t="shared" si="148"/>
        <v>9477</v>
      </c>
      <c r="B9478" s="983" t="s">
        <v>2723</v>
      </c>
      <c r="C9478" s="999"/>
      <c r="H9478" s="983" t="s">
        <v>1107</v>
      </c>
    </row>
    <row r="9479" spans="1:9" x14ac:dyDescent="0.2">
      <c r="A9479" s="997">
        <f t="shared" si="148"/>
        <v>9478</v>
      </c>
      <c r="B9479" s="983" t="s">
        <v>2723</v>
      </c>
      <c r="C9479" s="999"/>
      <c r="I9479" s="983" t="s">
        <v>2414</v>
      </c>
    </row>
    <row r="9480" spans="1:9" x14ac:dyDescent="0.2">
      <c r="A9480" s="997">
        <f t="shared" si="148"/>
        <v>9479</v>
      </c>
      <c r="B9480" s="983" t="s">
        <v>2723</v>
      </c>
      <c r="C9480" s="1000"/>
      <c r="H9480" s="983" t="s">
        <v>1108</v>
      </c>
    </row>
    <row r="9481" spans="1:9" x14ac:dyDescent="0.2">
      <c r="A9481" s="997">
        <f t="shared" si="148"/>
        <v>9480</v>
      </c>
      <c r="B9481" s="983" t="s">
        <v>2723</v>
      </c>
      <c r="C9481" s="1001"/>
      <c r="H9481" s="983" t="str">
        <f>CONCATENATE("&lt;valeur&gt;",Cellule_1178,"&lt;/valeur&gt;")</f>
        <v>&lt;valeur&gt;&lt;/valeur&gt;</v>
      </c>
    </row>
    <row r="9482" spans="1:9" x14ac:dyDescent="0.2">
      <c r="A9482" s="997">
        <f t="shared" si="148"/>
        <v>9481</v>
      </c>
      <c r="B9482" s="983" t="s">
        <v>2723</v>
      </c>
      <c r="C9482" s="1000"/>
      <c r="G9482" s="983" t="s">
        <v>1109</v>
      </c>
    </row>
    <row r="9483" spans="1:9" x14ac:dyDescent="0.2">
      <c r="A9483" s="997">
        <f t="shared" si="148"/>
        <v>9482</v>
      </c>
      <c r="B9483" s="983" t="s">
        <v>2723</v>
      </c>
      <c r="C9483" s="1000"/>
      <c r="G9483" s="983" t="s">
        <v>1106</v>
      </c>
    </row>
    <row r="9484" spans="1:9" x14ac:dyDescent="0.2">
      <c r="A9484" s="997">
        <f t="shared" si="148"/>
        <v>9483</v>
      </c>
      <c r="B9484" s="983" t="s">
        <v>2723</v>
      </c>
      <c r="C9484" s="999"/>
      <c r="H9484" s="983" t="s">
        <v>1107</v>
      </c>
    </row>
    <row r="9485" spans="1:9" x14ac:dyDescent="0.2">
      <c r="A9485" s="997">
        <f t="shared" si="148"/>
        <v>9484</v>
      </c>
      <c r="B9485" s="983" t="s">
        <v>2723</v>
      </c>
      <c r="C9485" s="999"/>
      <c r="I9485" s="983" t="s">
        <v>2415</v>
      </c>
    </row>
    <row r="9486" spans="1:9" x14ac:dyDescent="0.2">
      <c r="A9486" s="997">
        <f t="shared" si="148"/>
        <v>9485</v>
      </c>
      <c r="B9486" s="983" t="s">
        <v>2723</v>
      </c>
      <c r="C9486" s="1000"/>
      <c r="H9486" s="983" t="s">
        <v>1108</v>
      </c>
    </row>
    <row r="9487" spans="1:9" x14ac:dyDescent="0.2">
      <c r="A9487" s="997">
        <f t="shared" si="148"/>
        <v>9486</v>
      </c>
      <c r="B9487" s="983" t="s">
        <v>2723</v>
      </c>
      <c r="C9487" s="1001"/>
      <c r="H9487" s="983" t="str">
        <f>CONCATENATE("&lt;valeur&gt;",Cellule_1187,"&lt;/valeur&gt;")</f>
        <v>&lt;valeur&gt;&lt;/valeur&gt;</v>
      </c>
    </row>
    <row r="9488" spans="1:9" x14ac:dyDescent="0.2">
      <c r="A9488" s="997">
        <f t="shared" si="148"/>
        <v>9487</v>
      </c>
      <c r="B9488" s="983" t="s">
        <v>2723</v>
      </c>
      <c r="C9488" s="1000"/>
      <c r="G9488" s="983" t="s">
        <v>1109</v>
      </c>
    </row>
    <row r="9489" spans="1:9" x14ac:dyDescent="0.2">
      <c r="A9489" s="997">
        <f t="shared" si="148"/>
        <v>9488</v>
      </c>
      <c r="B9489" s="983" t="s">
        <v>2723</v>
      </c>
      <c r="C9489" s="1000"/>
      <c r="G9489" s="983" t="s">
        <v>1106</v>
      </c>
    </row>
    <row r="9490" spans="1:9" x14ac:dyDescent="0.2">
      <c r="A9490" s="997">
        <f t="shared" si="148"/>
        <v>9489</v>
      </c>
      <c r="B9490" s="983" t="s">
        <v>2723</v>
      </c>
      <c r="C9490" s="999"/>
      <c r="H9490" s="983" t="s">
        <v>1107</v>
      </c>
    </row>
    <row r="9491" spans="1:9" x14ac:dyDescent="0.2">
      <c r="A9491" s="997">
        <f t="shared" si="148"/>
        <v>9490</v>
      </c>
      <c r="B9491" s="983" t="s">
        <v>2723</v>
      </c>
      <c r="C9491" s="999"/>
      <c r="I9491" s="983" t="s">
        <v>2416</v>
      </c>
    </row>
    <row r="9492" spans="1:9" x14ac:dyDescent="0.2">
      <c r="A9492" s="997">
        <f t="shared" si="148"/>
        <v>9491</v>
      </c>
      <c r="B9492" s="983" t="s">
        <v>2723</v>
      </c>
      <c r="C9492" s="1000"/>
      <c r="H9492" s="983" t="s">
        <v>1108</v>
      </c>
    </row>
    <row r="9493" spans="1:9" x14ac:dyDescent="0.2">
      <c r="A9493" s="997">
        <f t="shared" si="148"/>
        <v>9492</v>
      </c>
      <c r="B9493" s="983" t="s">
        <v>2723</v>
      </c>
      <c r="C9493" s="1001"/>
      <c r="H9493" s="983" t="str">
        <f>CONCATENATE("&lt;valeur&gt;",Cellule_1196,"&lt;/valeur&gt;")</f>
        <v>&lt;valeur&gt;&lt;/valeur&gt;</v>
      </c>
    </row>
    <row r="9494" spans="1:9" x14ac:dyDescent="0.2">
      <c r="A9494" s="997">
        <f t="shared" si="148"/>
        <v>9493</v>
      </c>
      <c r="B9494" s="983" t="s">
        <v>2723</v>
      </c>
      <c r="C9494" s="1000"/>
      <c r="G9494" s="983" t="s">
        <v>1109</v>
      </c>
    </row>
    <row r="9495" spans="1:9" x14ac:dyDescent="0.2">
      <c r="A9495" s="997">
        <f t="shared" si="148"/>
        <v>9494</v>
      </c>
      <c r="B9495" s="983" t="s">
        <v>2723</v>
      </c>
      <c r="C9495" s="1000"/>
      <c r="G9495" s="983" t="s">
        <v>1106</v>
      </c>
    </row>
    <row r="9496" spans="1:9" x14ac:dyDescent="0.2">
      <c r="A9496" s="997">
        <f t="shared" si="148"/>
        <v>9495</v>
      </c>
      <c r="B9496" s="983" t="s">
        <v>2723</v>
      </c>
      <c r="C9496" s="999"/>
      <c r="H9496" s="983" t="s">
        <v>1107</v>
      </c>
    </row>
    <row r="9497" spans="1:9" x14ac:dyDescent="0.2">
      <c r="A9497" s="997">
        <f t="shared" si="148"/>
        <v>9496</v>
      </c>
      <c r="B9497" s="983" t="s">
        <v>2723</v>
      </c>
      <c r="C9497" s="999"/>
      <c r="I9497" s="983" t="s">
        <v>2417</v>
      </c>
    </row>
    <row r="9498" spans="1:9" x14ac:dyDescent="0.2">
      <c r="A9498" s="997">
        <f t="shared" si="148"/>
        <v>9497</v>
      </c>
      <c r="B9498" s="983" t="s">
        <v>2723</v>
      </c>
      <c r="C9498" s="1000"/>
      <c r="H9498" s="983" t="s">
        <v>1108</v>
      </c>
    </row>
    <row r="9499" spans="1:9" x14ac:dyDescent="0.2">
      <c r="A9499" s="997">
        <f t="shared" si="148"/>
        <v>9498</v>
      </c>
      <c r="B9499" s="983" t="s">
        <v>2723</v>
      </c>
      <c r="C9499" s="1001"/>
      <c r="H9499" s="983" t="str">
        <f>CONCATENATE("&lt;valeur&gt;",Cellule_1205,"&lt;/valeur&gt;")</f>
        <v>&lt;valeur&gt;0&lt;/valeur&gt;</v>
      </c>
    </row>
    <row r="9500" spans="1:9" x14ac:dyDescent="0.2">
      <c r="A9500" s="997">
        <f t="shared" si="148"/>
        <v>9499</v>
      </c>
      <c r="B9500" s="983" t="s">
        <v>2723</v>
      </c>
      <c r="C9500" s="1000"/>
      <c r="G9500" s="983" t="s">
        <v>1109</v>
      </c>
    </row>
    <row r="9501" spans="1:9" x14ac:dyDescent="0.2">
      <c r="A9501" s="997">
        <f t="shared" si="148"/>
        <v>9500</v>
      </c>
      <c r="B9501" s="983" t="s">
        <v>2723</v>
      </c>
      <c r="C9501" s="1000"/>
      <c r="G9501" s="983" t="s">
        <v>1106</v>
      </c>
    </row>
    <row r="9502" spans="1:9" x14ac:dyDescent="0.2">
      <c r="A9502" s="997">
        <f t="shared" si="148"/>
        <v>9501</v>
      </c>
      <c r="B9502" s="983" t="s">
        <v>2723</v>
      </c>
      <c r="C9502" s="999"/>
      <c r="H9502" s="983" t="s">
        <v>1107</v>
      </c>
    </row>
    <row r="9503" spans="1:9" x14ac:dyDescent="0.2">
      <c r="A9503" s="997">
        <f t="shared" si="148"/>
        <v>9502</v>
      </c>
      <c r="B9503" s="983" t="s">
        <v>2723</v>
      </c>
      <c r="C9503" s="999"/>
      <c r="I9503" s="983" t="s">
        <v>2418</v>
      </c>
    </row>
    <row r="9504" spans="1:9" x14ac:dyDescent="0.2">
      <c r="A9504" s="997">
        <f t="shared" si="148"/>
        <v>9503</v>
      </c>
      <c r="B9504" s="983" t="s">
        <v>2723</v>
      </c>
      <c r="C9504" s="1000"/>
      <c r="H9504" s="983" t="s">
        <v>1108</v>
      </c>
    </row>
    <row r="9505" spans="1:9" x14ac:dyDescent="0.2">
      <c r="A9505" s="997">
        <f t="shared" si="148"/>
        <v>9504</v>
      </c>
      <c r="B9505" s="983" t="s">
        <v>2723</v>
      </c>
      <c r="C9505" s="1001"/>
      <c r="H9505" s="983" t="str">
        <f>CONCATENATE("&lt;valeur&gt;",Cellule_1116,"&lt;/valeur&gt;")</f>
        <v>&lt;valeur&gt;&lt;/valeur&gt;</v>
      </c>
    </row>
    <row r="9506" spans="1:9" x14ac:dyDescent="0.2">
      <c r="A9506" s="997">
        <f t="shared" si="148"/>
        <v>9505</v>
      </c>
      <c r="B9506" s="983" t="s">
        <v>2723</v>
      </c>
      <c r="C9506" s="1000"/>
      <c r="G9506" s="983" t="s">
        <v>1109</v>
      </c>
    </row>
    <row r="9507" spans="1:9" x14ac:dyDescent="0.2">
      <c r="A9507" s="997">
        <f t="shared" si="148"/>
        <v>9506</v>
      </c>
      <c r="B9507" s="983" t="s">
        <v>2723</v>
      </c>
      <c r="C9507" s="1000"/>
      <c r="G9507" s="983" t="s">
        <v>1106</v>
      </c>
    </row>
    <row r="9508" spans="1:9" x14ac:dyDescent="0.2">
      <c r="A9508" s="997">
        <f t="shared" si="148"/>
        <v>9507</v>
      </c>
      <c r="B9508" s="983" t="s">
        <v>2723</v>
      </c>
      <c r="C9508" s="999"/>
      <c r="H9508" s="983" t="s">
        <v>1107</v>
      </c>
    </row>
    <row r="9509" spans="1:9" x14ac:dyDescent="0.2">
      <c r="A9509" s="997">
        <f t="shared" si="148"/>
        <v>9508</v>
      </c>
      <c r="B9509" s="983" t="s">
        <v>2723</v>
      </c>
      <c r="C9509" s="999"/>
      <c r="I9509" s="983" t="s">
        <v>2419</v>
      </c>
    </row>
    <row r="9510" spans="1:9" x14ac:dyDescent="0.2">
      <c r="A9510" s="997">
        <f t="shared" si="148"/>
        <v>9509</v>
      </c>
      <c r="B9510" s="983" t="s">
        <v>2723</v>
      </c>
      <c r="C9510" s="1000"/>
      <c r="H9510" s="983" t="s">
        <v>1108</v>
      </c>
    </row>
    <row r="9511" spans="1:9" x14ac:dyDescent="0.2">
      <c r="A9511" s="997">
        <f t="shared" si="148"/>
        <v>9510</v>
      </c>
      <c r="B9511" s="983" t="s">
        <v>2723</v>
      </c>
      <c r="C9511" s="1001"/>
      <c r="H9511" s="983" t="str">
        <f>CONCATENATE("&lt;valeur&gt;",Cellule_1125,"&lt;/valeur&gt;")</f>
        <v>&lt;valeur&gt;&lt;/valeur&gt;</v>
      </c>
    </row>
    <row r="9512" spans="1:9" x14ac:dyDescent="0.2">
      <c r="A9512" s="997">
        <f t="shared" si="148"/>
        <v>9511</v>
      </c>
      <c r="B9512" s="983" t="s">
        <v>2723</v>
      </c>
      <c r="C9512" s="1000"/>
      <c r="G9512" s="983" t="s">
        <v>1109</v>
      </c>
    </row>
    <row r="9513" spans="1:9" x14ac:dyDescent="0.2">
      <c r="A9513" s="997">
        <f t="shared" si="148"/>
        <v>9512</v>
      </c>
      <c r="B9513" s="983" t="s">
        <v>2723</v>
      </c>
      <c r="C9513" s="1000"/>
      <c r="G9513" s="983" t="s">
        <v>1106</v>
      </c>
    </row>
    <row r="9514" spans="1:9" x14ac:dyDescent="0.2">
      <c r="A9514" s="997">
        <f t="shared" si="148"/>
        <v>9513</v>
      </c>
      <c r="B9514" s="983" t="s">
        <v>2723</v>
      </c>
      <c r="C9514" s="999"/>
      <c r="H9514" s="983" t="s">
        <v>1107</v>
      </c>
    </row>
    <row r="9515" spans="1:9" x14ac:dyDescent="0.2">
      <c r="A9515" s="997">
        <f t="shared" si="148"/>
        <v>9514</v>
      </c>
      <c r="B9515" s="983" t="s">
        <v>2723</v>
      </c>
      <c r="C9515" s="999"/>
      <c r="I9515" s="983" t="s">
        <v>2420</v>
      </c>
    </row>
    <row r="9516" spans="1:9" x14ac:dyDescent="0.2">
      <c r="A9516" s="997">
        <f t="shared" si="148"/>
        <v>9515</v>
      </c>
      <c r="B9516" s="983" t="s">
        <v>2723</v>
      </c>
      <c r="C9516" s="1000"/>
      <c r="H9516" s="983" t="s">
        <v>1108</v>
      </c>
    </row>
    <row r="9517" spans="1:9" x14ac:dyDescent="0.2">
      <c r="A9517" s="997">
        <f t="shared" si="148"/>
        <v>9516</v>
      </c>
      <c r="B9517" s="983" t="s">
        <v>2723</v>
      </c>
      <c r="C9517" s="1001"/>
      <c r="H9517" s="983" t="str">
        <f>CONCATENATE("&lt;valeur&gt;",Cellule_1134,"&lt;/valeur&gt;")</f>
        <v>&lt;valeur&gt;&lt;/valeur&gt;</v>
      </c>
    </row>
    <row r="9518" spans="1:9" x14ac:dyDescent="0.2">
      <c r="A9518" s="997">
        <f t="shared" si="148"/>
        <v>9517</v>
      </c>
      <c r="B9518" s="983" t="s">
        <v>2723</v>
      </c>
      <c r="C9518" s="1000"/>
      <c r="G9518" s="983" t="s">
        <v>1109</v>
      </c>
    </row>
    <row r="9519" spans="1:9" x14ac:dyDescent="0.2">
      <c r="A9519" s="997">
        <f t="shared" si="148"/>
        <v>9518</v>
      </c>
      <c r="B9519" s="983" t="s">
        <v>2723</v>
      </c>
      <c r="C9519" s="1000"/>
      <c r="G9519" s="983" t="s">
        <v>1106</v>
      </c>
    </row>
    <row r="9520" spans="1:9" x14ac:dyDescent="0.2">
      <c r="A9520" s="997">
        <f t="shared" si="148"/>
        <v>9519</v>
      </c>
      <c r="B9520" s="983" t="s">
        <v>2723</v>
      </c>
      <c r="C9520" s="999"/>
      <c r="H9520" s="983" t="s">
        <v>1107</v>
      </c>
    </row>
    <row r="9521" spans="1:9" x14ac:dyDescent="0.2">
      <c r="A9521" s="997">
        <f t="shared" si="148"/>
        <v>9520</v>
      </c>
      <c r="B9521" s="983" t="s">
        <v>2723</v>
      </c>
      <c r="C9521" s="999"/>
      <c r="I9521" s="983" t="s">
        <v>2421</v>
      </c>
    </row>
    <row r="9522" spans="1:9" x14ac:dyDescent="0.2">
      <c r="A9522" s="997">
        <f t="shared" si="148"/>
        <v>9521</v>
      </c>
      <c r="B9522" s="983" t="s">
        <v>2723</v>
      </c>
      <c r="C9522" s="1000"/>
      <c r="H9522" s="983" t="s">
        <v>1108</v>
      </c>
    </row>
    <row r="9523" spans="1:9" x14ac:dyDescent="0.2">
      <c r="A9523" s="997">
        <f t="shared" si="148"/>
        <v>9522</v>
      </c>
      <c r="B9523" s="983" t="s">
        <v>2723</v>
      </c>
      <c r="C9523" s="1001"/>
      <c r="H9523" s="983" t="str">
        <f>CONCATENATE("&lt;valeur&gt;",Cellule_1143,"&lt;/valeur&gt;")</f>
        <v>&lt;valeur&gt;&lt;/valeur&gt;</v>
      </c>
    </row>
    <row r="9524" spans="1:9" x14ac:dyDescent="0.2">
      <c r="A9524" s="997">
        <f t="shared" si="148"/>
        <v>9523</v>
      </c>
      <c r="B9524" s="983" t="s">
        <v>2723</v>
      </c>
      <c r="C9524" s="1000"/>
      <c r="G9524" s="983" t="s">
        <v>1109</v>
      </c>
    </row>
    <row r="9525" spans="1:9" x14ac:dyDescent="0.2">
      <c r="A9525" s="997">
        <f t="shared" si="148"/>
        <v>9524</v>
      </c>
      <c r="B9525" s="983" t="s">
        <v>2723</v>
      </c>
      <c r="C9525" s="1000"/>
      <c r="G9525" s="983" t="s">
        <v>1106</v>
      </c>
    </row>
    <row r="9526" spans="1:9" x14ac:dyDescent="0.2">
      <c r="A9526" s="997">
        <f t="shared" si="148"/>
        <v>9525</v>
      </c>
      <c r="B9526" s="983" t="s">
        <v>2723</v>
      </c>
      <c r="C9526" s="999"/>
      <c r="H9526" s="983" t="s">
        <v>1107</v>
      </c>
    </row>
    <row r="9527" spans="1:9" x14ac:dyDescent="0.2">
      <c r="A9527" s="997">
        <f t="shared" si="148"/>
        <v>9526</v>
      </c>
      <c r="B9527" s="983" t="s">
        <v>2723</v>
      </c>
      <c r="C9527" s="999"/>
      <c r="I9527" s="983" t="s">
        <v>2422</v>
      </c>
    </row>
    <row r="9528" spans="1:9" x14ac:dyDescent="0.2">
      <c r="A9528" s="997">
        <f t="shared" si="148"/>
        <v>9527</v>
      </c>
      <c r="B9528" s="983" t="s">
        <v>2723</v>
      </c>
      <c r="C9528" s="1000"/>
      <c r="H9528" s="983" t="s">
        <v>1108</v>
      </c>
    </row>
    <row r="9529" spans="1:9" x14ac:dyDescent="0.2">
      <c r="A9529" s="997">
        <f t="shared" si="148"/>
        <v>9528</v>
      </c>
      <c r="B9529" s="983" t="s">
        <v>2723</v>
      </c>
      <c r="C9529" s="1001"/>
      <c r="H9529" s="983" t="str">
        <f>CONCATENATE("&lt;valeur&gt;",Cellule_1152,"&lt;/valeur&gt;")</f>
        <v>&lt;valeur&gt;&lt;/valeur&gt;</v>
      </c>
    </row>
    <row r="9530" spans="1:9" x14ac:dyDescent="0.2">
      <c r="A9530" s="997">
        <f t="shared" si="148"/>
        <v>9529</v>
      </c>
      <c r="B9530" s="983" t="s">
        <v>2723</v>
      </c>
      <c r="C9530" s="1000"/>
      <c r="G9530" s="983" t="s">
        <v>1109</v>
      </c>
    </row>
    <row r="9531" spans="1:9" x14ac:dyDescent="0.2">
      <c r="A9531" s="997">
        <f t="shared" si="148"/>
        <v>9530</v>
      </c>
      <c r="B9531" s="983" t="s">
        <v>2723</v>
      </c>
      <c r="C9531" s="1000"/>
      <c r="G9531" s="983" t="s">
        <v>1106</v>
      </c>
    </row>
    <row r="9532" spans="1:9" x14ac:dyDescent="0.2">
      <c r="A9532" s="997">
        <f t="shared" si="148"/>
        <v>9531</v>
      </c>
      <c r="B9532" s="983" t="s">
        <v>2723</v>
      </c>
      <c r="C9532" s="999"/>
      <c r="H9532" s="983" t="s">
        <v>1107</v>
      </c>
    </row>
    <row r="9533" spans="1:9" x14ac:dyDescent="0.2">
      <c r="A9533" s="997">
        <f t="shared" si="148"/>
        <v>9532</v>
      </c>
      <c r="B9533" s="983" t="s">
        <v>2723</v>
      </c>
      <c r="C9533" s="999"/>
      <c r="I9533" s="983" t="s">
        <v>2423</v>
      </c>
    </row>
    <row r="9534" spans="1:9" x14ac:dyDescent="0.2">
      <c r="A9534" s="997">
        <f t="shared" si="148"/>
        <v>9533</v>
      </c>
      <c r="B9534" s="983" t="s">
        <v>2723</v>
      </c>
      <c r="C9534" s="1000"/>
      <c r="H9534" s="983" t="s">
        <v>1108</v>
      </c>
    </row>
    <row r="9535" spans="1:9" x14ac:dyDescent="0.2">
      <c r="A9535" s="997">
        <f t="shared" si="148"/>
        <v>9534</v>
      </c>
      <c r="B9535" s="983" t="s">
        <v>2723</v>
      </c>
      <c r="C9535" s="1001"/>
      <c r="H9535" s="983" t="str">
        <f>CONCATENATE("&lt;valeur&gt;",Cellule_1161,"&lt;/valeur&gt;")</f>
        <v>&lt;valeur&gt;&lt;/valeur&gt;</v>
      </c>
    </row>
    <row r="9536" spans="1:9" x14ac:dyDescent="0.2">
      <c r="A9536" s="997">
        <f t="shared" si="148"/>
        <v>9535</v>
      </c>
      <c r="B9536" s="983" t="s">
        <v>2723</v>
      </c>
      <c r="C9536" s="1000"/>
      <c r="G9536" s="983" t="s">
        <v>1109</v>
      </c>
    </row>
    <row r="9537" spans="1:9" x14ac:dyDescent="0.2">
      <c r="A9537" s="997">
        <f t="shared" si="148"/>
        <v>9536</v>
      </c>
      <c r="B9537" s="983" t="s">
        <v>2723</v>
      </c>
      <c r="C9537" s="1000"/>
      <c r="G9537" s="983" t="s">
        <v>1106</v>
      </c>
    </row>
    <row r="9538" spans="1:9" x14ac:dyDescent="0.2">
      <c r="A9538" s="997">
        <f t="shared" si="148"/>
        <v>9537</v>
      </c>
      <c r="B9538" s="983" t="s">
        <v>2723</v>
      </c>
      <c r="C9538" s="999"/>
      <c r="H9538" s="983" t="s">
        <v>1107</v>
      </c>
    </row>
    <row r="9539" spans="1:9" x14ac:dyDescent="0.2">
      <c r="A9539" s="997">
        <f t="shared" si="148"/>
        <v>9538</v>
      </c>
      <c r="B9539" s="983" t="s">
        <v>2723</v>
      </c>
      <c r="C9539" s="999"/>
      <c r="I9539" s="983" t="s">
        <v>2424</v>
      </c>
    </row>
    <row r="9540" spans="1:9" x14ac:dyDescent="0.2">
      <c r="A9540" s="997">
        <f t="shared" ref="A9540:A9603" si="149">+A9539+1</f>
        <v>9539</v>
      </c>
      <c r="B9540" s="983" t="s">
        <v>2723</v>
      </c>
      <c r="C9540" s="1000"/>
      <c r="H9540" s="983" t="s">
        <v>1108</v>
      </c>
    </row>
    <row r="9541" spans="1:9" x14ac:dyDescent="0.2">
      <c r="A9541" s="997">
        <f t="shared" si="149"/>
        <v>9540</v>
      </c>
      <c r="B9541" s="983" t="s">
        <v>2723</v>
      </c>
      <c r="C9541" s="1001"/>
      <c r="H9541" s="983" t="str">
        <f>CONCATENATE("&lt;valeur&gt;",Cellule_1170,"&lt;/valeur&gt;")</f>
        <v>&lt;valeur&gt;&lt;/valeur&gt;</v>
      </c>
    </row>
    <row r="9542" spans="1:9" x14ac:dyDescent="0.2">
      <c r="A9542" s="997">
        <f t="shared" si="149"/>
        <v>9541</v>
      </c>
      <c r="B9542" s="983" t="s">
        <v>2723</v>
      </c>
      <c r="C9542" s="1000"/>
      <c r="G9542" s="983" t="s">
        <v>1109</v>
      </c>
    </row>
    <row r="9543" spans="1:9" x14ac:dyDescent="0.2">
      <c r="A9543" s="997">
        <f t="shared" si="149"/>
        <v>9542</v>
      </c>
      <c r="B9543" s="983" t="s">
        <v>2723</v>
      </c>
      <c r="C9543" s="1000"/>
      <c r="G9543" s="983" t="s">
        <v>1106</v>
      </c>
    </row>
    <row r="9544" spans="1:9" x14ac:dyDescent="0.2">
      <c r="A9544" s="997">
        <f t="shared" si="149"/>
        <v>9543</v>
      </c>
      <c r="B9544" s="983" t="s">
        <v>2723</v>
      </c>
      <c r="C9544" s="999"/>
      <c r="H9544" s="983" t="s">
        <v>1107</v>
      </c>
    </row>
    <row r="9545" spans="1:9" x14ac:dyDescent="0.2">
      <c r="A9545" s="997">
        <f t="shared" si="149"/>
        <v>9544</v>
      </c>
      <c r="B9545" s="983" t="s">
        <v>2723</v>
      </c>
      <c r="C9545" s="999"/>
      <c r="I9545" s="983" t="s">
        <v>2425</v>
      </c>
    </row>
    <row r="9546" spans="1:9" x14ac:dyDescent="0.2">
      <c r="A9546" s="997">
        <f t="shared" si="149"/>
        <v>9545</v>
      </c>
      <c r="B9546" s="983" t="s">
        <v>2723</v>
      </c>
      <c r="C9546" s="1000"/>
      <c r="H9546" s="983" t="s">
        <v>1108</v>
      </c>
    </row>
    <row r="9547" spans="1:9" x14ac:dyDescent="0.2">
      <c r="A9547" s="997">
        <f t="shared" si="149"/>
        <v>9546</v>
      </c>
      <c r="B9547" s="983" t="s">
        <v>2723</v>
      </c>
      <c r="C9547" s="1001"/>
      <c r="H9547" s="983" t="str">
        <f>CONCATENATE("&lt;valeur&gt;",Cellule_1179,"&lt;/valeur&gt;")</f>
        <v>&lt;valeur&gt;&lt;/valeur&gt;</v>
      </c>
    </row>
    <row r="9548" spans="1:9" x14ac:dyDescent="0.2">
      <c r="A9548" s="997">
        <f t="shared" si="149"/>
        <v>9547</v>
      </c>
      <c r="B9548" s="983" t="s">
        <v>2723</v>
      </c>
      <c r="C9548" s="1000"/>
      <c r="G9548" s="983" t="s">
        <v>1109</v>
      </c>
    </row>
    <row r="9549" spans="1:9" x14ac:dyDescent="0.2">
      <c r="A9549" s="997">
        <f t="shared" si="149"/>
        <v>9548</v>
      </c>
      <c r="B9549" s="983" t="s">
        <v>2723</v>
      </c>
      <c r="C9549" s="1000"/>
      <c r="G9549" s="983" t="s">
        <v>1106</v>
      </c>
    </row>
    <row r="9550" spans="1:9" x14ac:dyDescent="0.2">
      <c r="A9550" s="997">
        <f t="shared" si="149"/>
        <v>9549</v>
      </c>
      <c r="B9550" s="983" t="s">
        <v>2723</v>
      </c>
      <c r="C9550" s="999"/>
      <c r="H9550" s="983" t="s">
        <v>1107</v>
      </c>
    </row>
    <row r="9551" spans="1:9" x14ac:dyDescent="0.2">
      <c r="A9551" s="997">
        <f t="shared" si="149"/>
        <v>9550</v>
      </c>
      <c r="B9551" s="983" t="s">
        <v>2723</v>
      </c>
      <c r="C9551" s="999"/>
      <c r="I9551" s="983" t="s">
        <v>2426</v>
      </c>
    </row>
    <row r="9552" spans="1:9" x14ac:dyDescent="0.2">
      <c r="A9552" s="997">
        <f t="shared" si="149"/>
        <v>9551</v>
      </c>
      <c r="B9552" s="983" t="s">
        <v>2723</v>
      </c>
      <c r="C9552" s="1000"/>
      <c r="H9552" s="983" t="s">
        <v>1108</v>
      </c>
    </row>
    <row r="9553" spans="1:9" x14ac:dyDescent="0.2">
      <c r="A9553" s="997">
        <f t="shared" si="149"/>
        <v>9552</v>
      </c>
      <c r="B9553" s="983" t="s">
        <v>2723</v>
      </c>
      <c r="C9553" s="1001"/>
      <c r="H9553" s="983" t="str">
        <f>CONCATENATE("&lt;valeur&gt;",Cellule_1188,"&lt;/valeur&gt;")</f>
        <v>&lt;valeur&gt;&lt;/valeur&gt;</v>
      </c>
    </row>
    <row r="9554" spans="1:9" x14ac:dyDescent="0.2">
      <c r="A9554" s="997">
        <f t="shared" si="149"/>
        <v>9553</v>
      </c>
      <c r="B9554" s="983" t="s">
        <v>2723</v>
      </c>
      <c r="C9554" s="1000"/>
      <c r="G9554" s="983" t="s">
        <v>1109</v>
      </c>
    </row>
    <row r="9555" spans="1:9" x14ac:dyDescent="0.2">
      <c r="A9555" s="997">
        <f t="shared" si="149"/>
        <v>9554</v>
      </c>
      <c r="B9555" s="983" t="s">
        <v>2723</v>
      </c>
      <c r="C9555" s="1000"/>
      <c r="G9555" s="983" t="s">
        <v>1106</v>
      </c>
    </row>
    <row r="9556" spans="1:9" x14ac:dyDescent="0.2">
      <c r="A9556" s="997">
        <f t="shared" si="149"/>
        <v>9555</v>
      </c>
      <c r="B9556" s="983" t="s">
        <v>2723</v>
      </c>
      <c r="C9556" s="999"/>
      <c r="H9556" s="983" t="s">
        <v>1107</v>
      </c>
    </row>
    <row r="9557" spans="1:9" x14ac:dyDescent="0.2">
      <c r="A9557" s="997">
        <f t="shared" si="149"/>
        <v>9556</v>
      </c>
      <c r="B9557" s="983" t="s">
        <v>2723</v>
      </c>
      <c r="C9557" s="999"/>
      <c r="I9557" s="983" t="s">
        <v>2427</v>
      </c>
    </row>
    <row r="9558" spans="1:9" x14ac:dyDescent="0.2">
      <c r="A9558" s="997">
        <f t="shared" si="149"/>
        <v>9557</v>
      </c>
      <c r="B9558" s="983" t="s">
        <v>2723</v>
      </c>
      <c r="C9558" s="1000"/>
      <c r="H9558" s="983" t="s">
        <v>1108</v>
      </c>
    </row>
    <row r="9559" spans="1:9" x14ac:dyDescent="0.2">
      <c r="A9559" s="997">
        <f t="shared" si="149"/>
        <v>9558</v>
      </c>
      <c r="B9559" s="983" t="s">
        <v>2723</v>
      </c>
      <c r="C9559" s="1001"/>
      <c r="H9559" s="983" t="str">
        <f>CONCATENATE("&lt;valeur&gt;",Cellule_1197,"&lt;/valeur&gt;")</f>
        <v>&lt;valeur&gt;&lt;/valeur&gt;</v>
      </c>
    </row>
    <row r="9560" spans="1:9" x14ac:dyDescent="0.2">
      <c r="A9560" s="997">
        <f t="shared" si="149"/>
        <v>9559</v>
      </c>
      <c r="B9560" s="983" t="s">
        <v>2723</v>
      </c>
      <c r="C9560" s="1000"/>
      <c r="G9560" s="983" t="s">
        <v>1109</v>
      </c>
    </row>
    <row r="9561" spans="1:9" x14ac:dyDescent="0.2">
      <c r="A9561" s="997">
        <f t="shared" si="149"/>
        <v>9560</v>
      </c>
      <c r="B9561" s="983" t="s">
        <v>2723</v>
      </c>
      <c r="C9561" s="1000"/>
      <c r="G9561" s="983" t="s">
        <v>1106</v>
      </c>
    </row>
    <row r="9562" spans="1:9" x14ac:dyDescent="0.2">
      <c r="A9562" s="997">
        <f t="shared" si="149"/>
        <v>9561</v>
      </c>
      <c r="B9562" s="983" t="s">
        <v>2723</v>
      </c>
      <c r="C9562" s="999"/>
      <c r="H9562" s="983" t="s">
        <v>1107</v>
      </c>
    </row>
    <row r="9563" spans="1:9" x14ac:dyDescent="0.2">
      <c r="A9563" s="997">
        <f t="shared" si="149"/>
        <v>9562</v>
      </c>
      <c r="B9563" s="983" t="s">
        <v>2723</v>
      </c>
      <c r="C9563" s="999"/>
      <c r="I9563" s="983" t="s">
        <v>2428</v>
      </c>
    </row>
    <row r="9564" spans="1:9" x14ac:dyDescent="0.2">
      <c r="A9564" s="997">
        <f t="shared" si="149"/>
        <v>9563</v>
      </c>
      <c r="B9564" s="983" t="s">
        <v>2723</v>
      </c>
      <c r="C9564" s="1000"/>
      <c r="H9564" s="983" t="s">
        <v>1108</v>
      </c>
    </row>
    <row r="9565" spans="1:9" x14ac:dyDescent="0.2">
      <c r="A9565" s="997">
        <f t="shared" si="149"/>
        <v>9564</v>
      </c>
      <c r="B9565" s="983" t="s">
        <v>2723</v>
      </c>
      <c r="C9565" s="1001"/>
      <c r="H9565" s="983" t="str">
        <f>CONCATENATE("&lt;valeur&gt;",Cellule_1206,"&lt;/valeur&gt;")</f>
        <v>&lt;valeur&gt;0&lt;/valeur&gt;</v>
      </c>
    </row>
    <row r="9566" spans="1:9" x14ac:dyDescent="0.2">
      <c r="A9566" s="997">
        <f t="shared" si="149"/>
        <v>9565</v>
      </c>
      <c r="B9566" s="983" t="s">
        <v>2723</v>
      </c>
      <c r="C9566" s="1000"/>
      <c r="G9566" s="983" t="s">
        <v>1109</v>
      </c>
    </row>
    <row r="9567" spans="1:9" x14ac:dyDescent="0.2">
      <c r="A9567" s="997">
        <f t="shared" si="149"/>
        <v>9566</v>
      </c>
      <c r="B9567" s="983" t="s">
        <v>2723</v>
      </c>
      <c r="C9567" s="1000"/>
      <c r="G9567" s="983" t="s">
        <v>1106</v>
      </c>
    </row>
    <row r="9568" spans="1:9" x14ac:dyDescent="0.2">
      <c r="A9568" s="997">
        <f t="shared" si="149"/>
        <v>9567</v>
      </c>
      <c r="B9568" s="983" t="s">
        <v>2723</v>
      </c>
      <c r="C9568" s="999"/>
      <c r="H9568" s="983" t="s">
        <v>1107</v>
      </c>
    </row>
    <row r="9569" spans="1:9" x14ac:dyDescent="0.2">
      <c r="A9569" s="997">
        <f t="shared" si="149"/>
        <v>9568</v>
      </c>
      <c r="B9569" s="983" t="s">
        <v>2723</v>
      </c>
      <c r="C9569" s="999"/>
      <c r="I9569" s="983" t="s">
        <v>2429</v>
      </c>
    </row>
    <row r="9570" spans="1:9" x14ac:dyDescent="0.2">
      <c r="A9570" s="997">
        <f t="shared" si="149"/>
        <v>9569</v>
      </c>
      <c r="B9570" s="983" t="s">
        <v>2723</v>
      </c>
      <c r="C9570" s="1000"/>
      <c r="H9570" s="983" t="s">
        <v>1108</v>
      </c>
    </row>
    <row r="9571" spans="1:9" x14ac:dyDescent="0.2">
      <c r="A9571" s="997">
        <f t="shared" si="149"/>
        <v>9570</v>
      </c>
      <c r="B9571" s="983" t="s">
        <v>2723</v>
      </c>
      <c r="C9571" s="1001"/>
      <c r="H9571" s="983" t="str">
        <f>CONCATENATE("&lt;valeur&gt;",Cellule_1117,"&lt;/valeur&gt;")</f>
        <v>&lt;valeur&gt;&lt;/valeur&gt;</v>
      </c>
    </row>
    <row r="9572" spans="1:9" x14ac:dyDescent="0.2">
      <c r="A9572" s="997">
        <f t="shared" si="149"/>
        <v>9571</v>
      </c>
      <c r="B9572" s="983" t="s">
        <v>2723</v>
      </c>
      <c r="C9572" s="1000"/>
      <c r="G9572" s="983" t="s">
        <v>1109</v>
      </c>
    </row>
    <row r="9573" spans="1:9" x14ac:dyDescent="0.2">
      <c r="A9573" s="997">
        <f t="shared" si="149"/>
        <v>9572</v>
      </c>
      <c r="B9573" s="983" t="s">
        <v>2723</v>
      </c>
      <c r="C9573" s="1000"/>
      <c r="G9573" s="983" t="s">
        <v>1106</v>
      </c>
    </row>
    <row r="9574" spans="1:9" x14ac:dyDescent="0.2">
      <c r="A9574" s="997">
        <f t="shared" si="149"/>
        <v>9573</v>
      </c>
      <c r="B9574" s="983" t="s">
        <v>2723</v>
      </c>
      <c r="C9574" s="999"/>
      <c r="H9574" s="983" t="s">
        <v>1107</v>
      </c>
    </row>
    <row r="9575" spans="1:9" x14ac:dyDescent="0.2">
      <c r="A9575" s="997">
        <f t="shared" si="149"/>
        <v>9574</v>
      </c>
      <c r="B9575" s="983" t="s">
        <v>2723</v>
      </c>
      <c r="C9575" s="999"/>
      <c r="I9575" s="983" t="s">
        <v>2430</v>
      </c>
    </row>
    <row r="9576" spans="1:9" x14ac:dyDescent="0.2">
      <c r="A9576" s="997">
        <f t="shared" si="149"/>
        <v>9575</v>
      </c>
      <c r="B9576" s="983" t="s">
        <v>2723</v>
      </c>
      <c r="C9576" s="1000"/>
      <c r="H9576" s="983" t="s">
        <v>1108</v>
      </c>
    </row>
    <row r="9577" spans="1:9" x14ac:dyDescent="0.2">
      <c r="A9577" s="997">
        <f t="shared" si="149"/>
        <v>9576</v>
      </c>
      <c r="B9577" s="983" t="s">
        <v>2723</v>
      </c>
      <c r="C9577" s="1001"/>
      <c r="H9577" s="983" t="str">
        <f>CONCATENATE("&lt;valeur&gt;",Cellule_1126,"&lt;/valeur&gt;")</f>
        <v>&lt;valeur&gt;&lt;/valeur&gt;</v>
      </c>
    </row>
    <row r="9578" spans="1:9" x14ac:dyDescent="0.2">
      <c r="A9578" s="997">
        <f t="shared" si="149"/>
        <v>9577</v>
      </c>
      <c r="B9578" s="983" t="s">
        <v>2723</v>
      </c>
      <c r="C9578" s="1000"/>
      <c r="G9578" s="983" t="s">
        <v>1109</v>
      </c>
    </row>
    <row r="9579" spans="1:9" x14ac:dyDescent="0.2">
      <c r="A9579" s="997">
        <f t="shared" si="149"/>
        <v>9578</v>
      </c>
      <c r="B9579" s="983" t="s">
        <v>2723</v>
      </c>
      <c r="C9579" s="1000"/>
      <c r="G9579" s="983" t="s">
        <v>1106</v>
      </c>
    </row>
    <row r="9580" spans="1:9" x14ac:dyDescent="0.2">
      <c r="A9580" s="997">
        <f t="shared" si="149"/>
        <v>9579</v>
      </c>
      <c r="B9580" s="983" t="s">
        <v>2723</v>
      </c>
      <c r="C9580" s="999"/>
      <c r="H9580" s="983" t="s">
        <v>1107</v>
      </c>
    </row>
    <row r="9581" spans="1:9" x14ac:dyDescent="0.2">
      <c r="A9581" s="997">
        <f t="shared" si="149"/>
        <v>9580</v>
      </c>
      <c r="B9581" s="983" t="s">
        <v>2723</v>
      </c>
      <c r="C9581" s="999"/>
      <c r="I9581" s="983" t="s">
        <v>2431</v>
      </c>
    </row>
    <row r="9582" spans="1:9" x14ac:dyDescent="0.2">
      <c r="A9582" s="997">
        <f t="shared" si="149"/>
        <v>9581</v>
      </c>
      <c r="B9582" s="983" t="s">
        <v>2723</v>
      </c>
      <c r="C9582" s="1000"/>
      <c r="H9582" s="983" t="s">
        <v>1108</v>
      </c>
    </row>
    <row r="9583" spans="1:9" x14ac:dyDescent="0.2">
      <c r="A9583" s="997">
        <f t="shared" si="149"/>
        <v>9582</v>
      </c>
      <c r="B9583" s="983" t="s">
        <v>2723</v>
      </c>
      <c r="C9583" s="1001"/>
      <c r="H9583" s="983" t="str">
        <f>CONCATENATE("&lt;valeur&gt;",Cellule_1135,"&lt;/valeur&gt;")</f>
        <v>&lt;valeur&gt;&lt;/valeur&gt;</v>
      </c>
    </row>
    <row r="9584" spans="1:9" x14ac:dyDescent="0.2">
      <c r="A9584" s="997">
        <f t="shared" si="149"/>
        <v>9583</v>
      </c>
      <c r="B9584" s="983" t="s">
        <v>2723</v>
      </c>
      <c r="C9584" s="1000"/>
      <c r="G9584" s="983" t="s">
        <v>1109</v>
      </c>
    </row>
    <row r="9585" spans="1:9" x14ac:dyDescent="0.2">
      <c r="A9585" s="997">
        <f t="shared" si="149"/>
        <v>9584</v>
      </c>
      <c r="B9585" s="983" t="s">
        <v>2723</v>
      </c>
      <c r="C9585" s="1000"/>
      <c r="G9585" s="983" t="s">
        <v>1106</v>
      </c>
    </row>
    <row r="9586" spans="1:9" x14ac:dyDescent="0.2">
      <c r="A9586" s="997">
        <f t="shared" si="149"/>
        <v>9585</v>
      </c>
      <c r="B9586" s="983" t="s">
        <v>2723</v>
      </c>
      <c r="C9586" s="999"/>
      <c r="H9586" s="983" t="s">
        <v>1107</v>
      </c>
    </row>
    <row r="9587" spans="1:9" x14ac:dyDescent="0.2">
      <c r="A9587" s="997">
        <f t="shared" si="149"/>
        <v>9586</v>
      </c>
      <c r="B9587" s="983" t="s">
        <v>2723</v>
      </c>
      <c r="C9587" s="999"/>
      <c r="I9587" s="983" t="s">
        <v>2432</v>
      </c>
    </row>
    <row r="9588" spans="1:9" x14ac:dyDescent="0.2">
      <c r="A9588" s="997">
        <f t="shared" si="149"/>
        <v>9587</v>
      </c>
      <c r="B9588" s="983" t="s">
        <v>2723</v>
      </c>
      <c r="C9588" s="1000"/>
      <c r="H9588" s="983" t="s">
        <v>1108</v>
      </c>
    </row>
    <row r="9589" spans="1:9" x14ac:dyDescent="0.2">
      <c r="A9589" s="997">
        <f t="shared" si="149"/>
        <v>9588</v>
      </c>
      <c r="B9589" s="983" t="s">
        <v>2723</v>
      </c>
      <c r="C9589" s="1001"/>
      <c r="H9589" s="983" t="str">
        <f>CONCATENATE("&lt;valeur&gt;",Cellule_1144,"&lt;/valeur&gt;")</f>
        <v>&lt;valeur&gt;&lt;/valeur&gt;</v>
      </c>
    </row>
    <row r="9590" spans="1:9" x14ac:dyDescent="0.2">
      <c r="A9590" s="997">
        <f t="shared" si="149"/>
        <v>9589</v>
      </c>
      <c r="B9590" s="983" t="s">
        <v>2723</v>
      </c>
      <c r="C9590" s="1000"/>
      <c r="G9590" s="983" t="s">
        <v>1109</v>
      </c>
    </row>
    <row r="9591" spans="1:9" x14ac:dyDescent="0.2">
      <c r="A9591" s="997">
        <f t="shared" si="149"/>
        <v>9590</v>
      </c>
      <c r="B9591" s="983" t="s">
        <v>2723</v>
      </c>
      <c r="C9591" s="1000"/>
      <c r="G9591" s="983" t="s">
        <v>1106</v>
      </c>
    </row>
    <row r="9592" spans="1:9" x14ac:dyDescent="0.2">
      <c r="A9592" s="997">
        <f t="shared" si="149"/>
        <v>9591</v>
      </c>
      <c r="B9592" s="983" t="s">
        <v>2723</v>
      </c>
      <c r="C9592" s="999"/>
      <c r="H9592" s="983" t="s">
        <v>1107</v>
      </c>
    </row>
    <row r="9593" spans="1:9" x14ac:dyDescent="0.2">
      <c r="A9593" s="997">
        <f t="shared" si="149"/>
        <v>9592</v>
      </c>
      <c r="B9593" s="983" t="s">
        <v>2723</v>
      </c>
      <c r="C9593" s="999"/>
      <c r="I9593" s="983" t="s">
        <v>2433</v>
      </c>
    </row>
    <row r="9594" spans="1:9" x14ac:dyDescent="0.2">
      <c r="A9594" s="997">
        <f t="shared" si="149"/>
        <v>9593</v>
      </c>
      <c r="B9594" s="983" t="s">
        <v>2723</v>
      </c>
      <c r="C9594" s="1000"/>
      <c r="H9594" s="983" t="s">
        <v>1108</v>
      </c>
    </row>
    <row r="9595" spans="1:9" x14ac:dyDescent="0.2">
      <c r="A9595" s="997">
        <f t="shared" si="149"/>
        <v>9594</v>
      </c>
      <c r="B9595" s="983" t="s">
        <v>2723</v>
      </c>
      <c r="C9595" s="1001"/>
      <c r="H9595" s="983" t="str">
        <f>CONCATENATE("&lt;valeur&gt;",Cellule_1153,"&lt;/valeur&gt;")</f>
        <v>&lt;valeur&gt;&lt;/valeur&gt;</v>
      </c>
    </row>
    <row r="9596" spans="1:9" x14ac:dyDescent="0.2">
      <c r="A9596" s="997">
        <f t="shared" si="149"/>
        <v>9595</v>
      </c>
      <c r="B9596" s="983" t="s">
        <v>2723</v>
      </c>
      <c r="C9596" s="1000"/>
      <c r="G9596" s="983" t="s">
        <v>1109</v>
      </c>
    </row>
    <row r="9597" spans="1:9" x14ac:dyDescent="0.2">
      <c r="A9597" s="997">
        <f t="shared" si="149"/>
        <v>9596</v>
      </c>
      <c r="B9597" s="983" t="s">
        <v>2723</v>
      </c>
      <c r="C9597" s="1000"/>
      <c r="G9597" s="983" t="s">
        <v>1106</v>
      </c>
    </row>
    <row r="9598" spans="1:9" x14ac:dyDescent="0.2">
      <c r="A9598" s="997">
        <f t="shared" si="149"/>
        <v>9597</v>
      </c>
      <c r="B9598" s="983" t="s">
        <v>2723</v>
      </c>
      <c r="C9598" s="999"/>
      <c r="H9598" s="983" t="s">
        <v>1107</v>
      </c>
    </row>
    <row r="9599" spans="1:9" x14ac:dyDescent="0.2">
      <c r="A9599" s="997">
        <f t="shared" si="149"/>
        <v>9598</v>
      </c>
      <c r="B9599" s="983" t="s">
        <v>2723</v>
      </c>
      <c r="C9599" s="999"/>
      <c r="I9599" s="983" t="s">
        <v>2434</v>
      </c>
    </row>
    <row r="9600" spans="1:9" x14ac:dyDescent="0.2">
      <c r="A9600" s="997">
        <f t="shared" si="149"/>
        <v>9599</v>
      </c>
      <c r="B9600" s="983" t="s">
        <v>2723</v>
      </c>
      <c r="C9600" s="1000"/>
      <c r="H9600" s="983" t="s">
        <v>1108</v>
      </c>
    </row>
    <row r="9601" spans="1:9" x14ac:dyDescent="0.2">
      <c r="A9601" s="997">
        <f t="shared" si="149"/>
        <v>9600</v>
      </c>
      <c r="B9601" s="983" t="s">
        <v>2723</v>
      </c>
      <c r="C9601" s="1001"/>
      <c r="H9601" s="983" t="str">
        <f>CONCATENATE("&lt;valeur&gt;",Cellule_1162,"&lt;/valeur&gt;")</f>
        <v>&lt;valeur&gt;&lt;/valeur&gt;</v>
      </c>
    </row>
    <row r="9602" spans="1:9" x14ac:dyDescent="0.2">
      <c r="A9602" s="997">
        <f t="shared" si="149"/>
        <v>9601</v>
      </c>
      <c r="B9602" s="983" t="s">
        <v>2723</v>
      </c>
      <c r="C9602" s="1000"/>
      <c r="G9602" s="983" t="s">
        <v>1109</v>
      </c>
    </row>
    <row r="9603" spans="1:9" x14ac:dyDescent="0.2">
      <c r="A9603" s="997">
        <f t="shared" si="149"/>
        <v>9602</v>
      </c>
      <c r="B9603" s="983" t="s">
        <v>2723</v>
      </c>
      <c r="C9603" s="1000"/>
      <c r="G9603" s="983" t="s">
        <v>1106</v>
      </c>
    </row>
    <row r="9604" spans="1:9" x14ac:dyDescent="0.2">
      <c r="A9604" s="997">
        <f t="shared" ref="A9604:A9667" si="150">+A9603+1</f>
        <v>9603</v>
      </c>
      <c r="B9604" s="983" t="s">
        <v>2723</v>
      </c>
      <c r="C9604" s="999"/>
      <c r="H9604" s="983" t="s">
        <v>1107</v>
      </c>
    </row>
    <row r="9605" spans="1:9" x14ac:dyDescent="0.2">
      <c r="A9605" s="997">
        <f t="shared" si="150"/>
        <v>9604</v>
      </c>
      <c r="B9605" s="983" t="s">
        <v>2723</v>
      </c>
      <c r="C9605" s="999"/>
      <c r="I9605" s="983" t="s">
        <v>2435</v>
      </c>
    </row>
    <row r="9606" spans="1:9" x14ac:dyDescent="0.2">
      <c r="A9606" s="997">
        <f t="shared" si="150"/>
        <v>9605</v>
      </c>
      <c r="B9606" s="983" t="s">
        <v>2723</v>
      </c>
      <c r="C9606" s="1000"/>
      <c r="H9606" s="983" t="s">
        <v>1108</v>
      </c>
    </row>
    <row r="9607" spans="1:9" x14ac:dyDescent="0.2">
      <c r="A9607" s="997">
        <f t="shared" si="150"/>
        <v>9606</v>
      </c>
      <c r="B9607" s="983" t="s">
        <v>2723</v>
      </c>
      <c r="C9607" s="1001"/>
      <c r="H9607" s="983" t="str">
        <f>CONCATENATE("&lt;valeur&gt;",Cellule_1171,"&lt;/valeur&gt;")</f>
        <v>&lt;valeur&gt;&lt;/valeur&gt;</v>
      </c>
    </row>
    <row r="9608" spans="1:9" x14ac:dyDescent="0.2">
      <c r="A9608" s="997">
        <f t="shared" si="150"/>
        <v>9607</v>
      </c>
      <c r="B9608" s="983" t="s">
        <v>2723</v>
      </c>
      <c r="C9608" s="1000"/>
      <c r="G9608" s="983" t="s">
        <v>1109</v>
      </c>
    </row>
    <row r="9609" spans="1:9" x14ac:dyDescent="0.2">
      <c r="A9609" s="997">
        <f t="shared" si="150"/>
        <v>9608</v>
      </c>
      <c r="B9609" s="983" t="s">
        <v>2723</v>
      </c>
      <c r="C9609" s="1000"/>
      <c r="G9609" s="983" t="s">
        <v>1106</v>
      </c>
    </row>
    <row r="9610" spans="1:9" x14ac:dyDescent="0.2">
      <c r="A9610" s="997">
        <f t="shared" si="150"/>
        <v>9609</v>
      </c>
      <c r="B9610" s="983" t="s">
        <v>2723</v>
      </c>
      <c r="C9610" s="999"/>
      <c r="H9610" s="983" t="s">
        <v>1107</v>
      </c>
    </row>
    <row r="9611" spans="1:9" x14ac:dyDescent="0.2">
      <c r="A9611" s="997">
        <f t="shared" si="150"/>
        <v>9610</v>
      </c>
      <c r="B9611" s="983" t="s">
        <v>2723</v>
      </c>
      <c r="C9611" s="999"/>
      <c r="I9611" s="983" t="s">
        <v>2436</v>
      </c>
    </row>
    <row r="9612" spans="1:9" x14ac:dyDescent="0.2">
      <c r="A9612" s="997">
        <f t="shared" si="150"/>
        <v>9611</v>
      </c>
      <c r="B9612" s="983" t="s">
        <v>2723</v>
      </c>
      <c r="C9612" s="1000"/>
      <c r="H9612" s="983" t="s">
        <v>1108</v>
      </c>
    </row>
    <row r="9613" spans="1:9" x14ac:dyDescent="0.2">
      <c r="A9613" s="997">
        <f t="shared" si="150"/>
        <v>9612</v>
      </c>
      <c r="B9613" s="983" t="s">
        <v>2723</v>
      </c>
      <c r="C9613" s="1001"/>
      <c r="H9613" s="983" t="str">
        <f>CONCATENATE("&lt;valeur&gt;",Cellule_1180,"&lt;/valeur&gt;")</f>
        <v>&lt;valeur&gt;&lt;/valeur&gt;</v>
      </c>
    </row>
    <row r="9614" spans="1:9" x14ac:dyDescent="0.2">
      <c r="A9614" s="997">
        <f t="shared" si="150"/>
        <v>9613</v>
      </c>
      <c r="B9614" s="983" t="s">
        <v>2723</v>
      </c>
      <c r="C9614" s="1000"/>
      <c r="G9614" s="983" t="s">
        <v>1109</v>
      </c>
    </row>
    <row r="9615" spans="1:9" x14ac:dyDescent="0.2">
      <c r="A9615" s="997">
        <f t="shared" si="150"/>
        <v>9614</v>
      </c>
      <c r="B9615" s="983" t="s">
        <v>2723</v>
      </c>
      <c r="C9615" s="1000"/>
      <c r="G9615" s="983" t="s">
        <v>1106</v>
      </c>
    </row>
    <row r="9616" spans="1:9" x14ac:dyDescent="0.2">
      <c r="A9616" s="997">
        <f t="shared" si="150"/>
        <v>9615</v>
      </c>
      <c r="B9616" s="983" t="s">
        <v>2723</v>
      </c>
      <c r="C9616" s="999"/>
      <c r="H9616" s="983" t="s">
        <v>1107</v>
      </c>
    </row>
    <row r="9617" spans="1:9" x14ac:dyDescent="0.2">
      <c r="A9617" s="997">
        <f t="shared" si="150"/>
        <v>9616</v>
      </c>
      <c r="B9617" s="983" t="s">
        <v>2723</v>
      </c>
      <c r="C9617" s="999"/>
      <c r="I9617" s="983" t="s">
        <v>2437</v>
      </c>
    </row>
    <row r="9618" spans="1:9" x14ac:dyDescent="0.2">
      <c r="A9618" s="997">
        <f t="shared" si="150"/>
        <v>9617</v>
      </c>
      <c r="B9618" s="983" t="s">
        <v>2723</v>
      </c>
      <c r="C9618" s="1000"/>
      <c r="H9618" s="983" t="s">
        <v>1108</v>
      </c>
    </row>
    <row r="9619" spans="1:9" x14ac:dyDescent="0.2">
      <c r="A9619" s="997">
        <f t="shared" si="150"/>
        <v>9618</v>
      </c>
      <c r="B9619" s="983" t="s">
        <v>2723</v>
      </c>
      <c r="C9619" s="1001"/>
      <c r="H9619" s="983" t="str">
        <f>CONCATENATE("&lt;valeur&gt;",Cellule_1189,"&lt;/valeur&gt;")</f>
        <v>&lt;valeur&gt;&lt;/valeur&gt;</v>
      </c>
    </row>
    <row r="9620" spans="1:9" x14ac:dyDescent="0.2">
      <c r="A9620" s="997">
        <f t="shared" si="150"/>
        <v>9619</v>
      </c>
      <c r="B9620" s="983" t="s">
        <v>2723</v>
      </c>
      <c r="C9620" s="1000"/>
      <c r="G9620" s="983" t="s">
        <v>1109</v>
      </c>
    </row>
    <row r="9621" spans="1:9" x14ac:dyDescent="0.2">
      <c r="A9621" s="997">
        <f t="shared" si="150"/>
        <v>9620</v>
      </c>
      <c r="B9621" s="983" t="s">
        <v>2723</v>
      </c>
      <c r="C9621" s="1000"/>
      <c r="G9621" s="983" t="s">
        <v>1106</v>
      </c>
    </row>
    <row r="9622" spans="1:9" x14ac:dyDescent="0.2">
      <c r="A9622" s="997">
        <f t="shared" si="150"/>
        <v>9621</v>
      </c>
      <c r="B9622" s="983" t="s">
        <v>2723</v>
      </c>
      <c r="C9622" s="999"/>
      <c r="H9622" s="983" t="s">
        <v>1107</v>
      </c>
    </row>
    <row r="9623" spans="1:9" x14ac:dyDescent="0.2">
      <c r="A9623" s="997">
        <f t="shared" si="150"/>
        <v>9622</v>
      </c>
      <c r="B9623" s="983" t="s">
        <v>2723</v>
      </c>
      <c r="C9623" s="999"/>
      <c r="I9623" s="983" t="s">
        <v>2438</v>
      </c>
    </row>
    <row r="9624" spans="1:9" x14ac:dyDescent="0.2">
      <c r="A9624" s="997">
        <f t="shared" si="150"/>
        <v>9623</v>
      </c>
      <c r="B9624" s="983" t="s">
        <v>2723</v>
      </c>
      <c r="C9624" s="1000"/>
      <c r="H9624" s="983" t="s">
        <v>1108</v>
      </c>
    </row>
    <row r="9625" spans="1:9" x14ac:dyDescent="0.2">
      <c r="A9625" s="997">
        <f t="shared" si="150"/>
        <v>9624</v>
      </c>
      <c r="B9625" s="983" t="s">
        <v>2723</v>
      </c>
      <c r="C9625" s="1001"/>
      <c r="H9625" s="983" t="str">
        <f>CONCATENATE("&lt;valeur&gt;",Cellule_1198,"&lt;/valeur&gt;")</f>
        <v>&lt;valeur&gt;&lt;/valeur&gt;</v>
      </c>
    </row>
    <row r="9626" spans="1:9" x14ac:dyDescent="0.2">
      <c r="A9626" s="997">
        <f t="shared" si="150"/>
        <v>9625</v>
      </c>
      <c r="B9626" s="983" t="s">
        <v>2723</v>
      </c>
      <c r="C9626" s="1000"/>
      <c r="G9626" s="983" t="s">
        <v>1109</v>
      </c>
    </row>
    <row r="9627" spans="1:9" x14ac:dyDescent="0.2">
      <c r="A9627" s="997">
        <f t="shared" si="150"/>
        <v>9626</v>
      </c>
      <c r="B9627" s="983" t="s">
        <v>2723</v>
      </c>
      <c r="C9627" s="1000"/>
      <c r="G9627" s="983" t="s">
        <v>1106</v>
      </c>
    </row>
    <row r="9628" spans="1:9" x14ac:dyDescent="0.2">
      <c r="A9628" s="997">
        <f t="shared" si="150"/>
        <v>9627</v>
      </c>
      <c r="B9628" s="983" t="s">
        <v>2723</v>
      </c>
      <c r="C9628" s="999"/>
      <c r="H9628" s="983" t="s">
        <v>1107</v>
      </c>
    </row>
    <row r="9629" spans="1:9" x14ac:dyDescent="0.2">
      <c r="A9629" s="997">
        <f t="shared" si="150"/>
        <v>9628</v>
      </c>
      <c r="B9629" s="983" t="s">
        <v>2723</v>
      </c>
      <c r="C9629" s="999"/>
      <c r="I9629" s="983" t="s">
        <v>2439</v>
      </c>
    </row>
    <row r="9630" spans="1:9" x14ac:dyDescent="0.2">
      <c r="A9630" s="997">
        <f t="shared" si="150"/>
        <v>9629</v>
      </c>
      <c r="B9630" s="983" t="s">
        <v>2723</v>
      </c>
      <c r="C9630" s="1000"/>
      <c r="H9630" s="983" t="s">
        <v>1108</v>
      </c>
    </row>
    <row r="9631" spans="1:9" x14ac:dyDescent="0.2">
      <c r="A9631" s="997">
        <f t="shared" si="150"/>
        <v>9630</v>
      </c>
      <c r="B9631" s="983" t="s">
        <v>2723</v>
      </c>
      <c r="C9631" s="1001"/>
      <c r="H9631" s="983" t="str">
        <f>CONCATENATE("&lt;valeur&gt;",Cellule_1207,"&lt;/valeur&gt;")</f>
        <v>&lt;valeur&gt;&lt;/valeur&gt;</v>
      </c>
    </row>
    <row r="9632" spans="1:9" x14ac:dyDescent="0.2">
      <c r="A9632" s="997">
        <f t="shared" si="150"/>
        <v>9631</v>
      </c>
      <c r="B9632" s="983" t="s">
        <v>2723</v>
      </c>
      <c r="C9632" s="1000"/>
      <c r="G9632" s="983" t="s">
        <v>1109</v>
      </c>
    </row>
    <row r="9633" spans="1:10" x14ac:dyDescent="0.2">
      <c r="A9633" s="997">
        <f t="shared" si="150"/>
        <v>9632</v>
      </c>
      <c r="B9633" s="983" t="s">
        <v>2723</v>
      </c>
      <c r="C9633" s="1000"/>
      <c r="F9633" s="983" t="s">
        <v>1110</v>
      </c>
    </row>
    <row r="9634" spans="1:10" x14ac:dyDescent="0.2">
      <c r="A9634" s="997">
        <f t="shared" si="150"/>
        <v>9633</v>
      </c>
      <c r="B9634" s="983" t="s">
        <v>2723</v>
      </c>
      <c r="C9634" s="999"/>
      <c r="F9634" s="983" t="s">
        <v>1111</v>
      </c>
    </row>
    <row r="9635" spans="1:10" x14ac:dyDescent="0.2">
      <c r="A9635" s="997">
        <f t="shared" si="150"/>
        <v>9634</v>
      </c>
      <c r="B9635" s="983" t="s">
        <v>2723</v>
      </c>
      <c r="C9635" s="1000"/>
      <c r="G9635" s="983" t="s">
        <v>1114</v>
      </c>
    </row>
    <row r="9636" spans="1:10" x14ac:dyDescent="0.2">
      <c r="A9636" s="997">
        <f t="shared" si="150"/>
        <v>9635</v>
      </c>
      <c r="B9636" s="983" t="s">
        <v>2723</v>
      </c>
      <c r="C9636" s="1001"/>
      <c r="H9636" s="983" t="s">
        <v>1115</v>
      </c>
    </row>
    <row r="9637" spans="1:10" x14ac:dyDescent="0.2">
      <c r="A9637" s="997">
        <f t="shared" si="150"/>
        <v>9636</v>
      </c>
      <c r="B9637" s="983" t="s">
        <v>2723</v>
      </c>
      <c r="C9637" s="1000"/>
      <c r="I9637" s="983" t="s">
        <v>2440</v>
      </c>
    </row>
    <row r="9638" spans="1:10" x14ac:dyDescent="0.2">
      <c r="A9638" s="997">
        <f t="shared" si="150"/>
        <v>9637</v>
      </c>
      <c r="B9638" s="983" t="s">
        <v>2723</v>
      </c>
      <c r="C9638" s="1000"/>
      <c r="H9638" s="983" t="s">
        <v>1116</v>
      </c>
    </row>
    <row r="9639" spans="1:10" x14ac:dyDescent="0.2">
      <c r="A9639" s="997">
        <f t="shared" si="150"/>
        <v>9638</v>
      </c>
      <c r="B9639" s="983" t="s">
        <v>2723</v>
      </c>
      <c r="C9639" s="999"/>
      <c r="H9639" s="983" t="str">
        <f>CONCATENATE("&lt;valeur&gt;",Cellule_54,"&lt;/valeur&gt;")</f>
        <v>&lt;valeur&gt;31/12/2022&lt;/valeur&gt;</v>
      </c>
    </row>
    <row r="9640" spans="1:10" x14ac:dyDescent="0.2">
      <c r="A9640" s="997">
        <f t="shared" si="150"/>
        <v>9639</v>
      </c>
      <c r="B9640" s="983" t="s">
        <v>2723</v>
      </c>
      <c r="C9640" s="999"/>
      <c r="G9640" s="983" t="s">
        <v>1117</v>
      </c>
    </row>
    <row r="9641" spans="1:10" x14ac:dyDescent="0.2">
      <c r="A9641" s="997">
        <f t="shared" si="150"/>
        <v>9640</v>
      </c>
      <c r="B9641" s="983" t="s">
        <v>2723</v>
      </c>
      <c r="C9641" s="1000"/>
      <c r="F9641" s="983" t="s">
        <v>1112</v>
      </c>
    </row>
    <row r="9642" spans="1:10" x14ac:dyDescent="0.2">
      <c r="A9642" s="997">
        <f t="shared" si="150"/>
        <v>9641</v>
      </c>
      <c r="B9642" s="983" t="s">
        <v>2723</v>
      </c>
      <c r="C9642" s="1001"/>
      <c r="E9642" s="983" t="s">
        <v>1113</v>
      </c>
    </row>
    <row r="9643" spans="1:10" x14ac:dyDescent="0.2">
      <c r="A9643" s="997">
        <f t="shared" si="150"/>
        <v>9642</v>
      </c>
      <c r="B9643" s="983" t="s">
        <v>2724</v>
      </c>
      <c r="C9643" s="1000"/>
      <c r="E9643" s="983" t="s">
        <v>1104</v>
      </c>
    </row>
    <row r="9644" spans="1:10" x14ac:dyDescent="0.2">
      <c r="A9644" s="997">
        <f t="shared" si="150"/>
        <v>9643</v>
      </c>
      <c r="B9644" s="983" t="s">
        <v>2724</v>
      </c>
      <c r="C9644" s="1000"/>
      <c r="F9644" s="983" t="s">
        <v>2441</v>
      </c>
    </row>
    <row r="9645" spans="1:10" x14ac:dyDescent="0.2">
      <c r="A9645" s="997">
        <f t="shared" si="150"/>
        <v>9644</v>
      </c>
      <c r="B9645" s="983" t="s">
        <v>2724</v>
      </c>
      <c r="C9645" s="999"/>
      <c r="F9645" s="983" t="s">
        <v>1105</v>
      </c>
    </row>
    <row r="9646" spans="1:10" x14ac:dyDescent="0.2">
      <c r="A9646" s="997">
        <f t="shared" si="150"/>
        <v>9645</v>
      </c>
      <c r="B9646" s="1128" t="s">
        <v>2724</v>
      </c>
      <c r="C9646" s="1137"/>
      <c r="D9646" s="1128"/>
      <c r="E9646" s="1128"/>
      <c r="F9646" s="1128"/>
      <c r="G9646" s="1128" t="s">
        <v>1106</v>
      </c>
      <c r="H9646" s="1128"/>
      <c r="I9646" s="1128"/>
      <c r="J9646" s="1124"/>
    </row>
    <row r="9647" spans="1:10" x14ac:dyDescent="0.2">
      <c r="A9647" s="997">
        <f t="shared" si="150"/>
        <v>9646</v>
      </c>
      <c r="B9647" s="1129" t="s">
        <v>2724</v>
      </c>
      <c r="C9647" s="1139"/>
      <c r="D9647" s="1129"/>
      <c r="E9647" s="1129"/>
      <c r="F9647" s="1129"/>
      <c r="G9647" s="1129"/>
      <c r="H9647" s="1129" t="s">
        <v>2442</v>
      </c>
      <c r="I9647" s="1129"/>
      <c r="J9647" s="1127"/>
    </row>
    <row r="9648" spans="1:10" x14ac:dyDescent="0.2">
      <c r="A9648" s="997">
        <f t="shared" si="150"/>
        <v>9647</v>
      </c>
      <c r="B9648" s="1129" t="s">
        <v>2724</v>
      </c>
      <c r="C9648" s="1140"/>
      <c r="D9648" s="1129"/>
      <c r="E9648" s="1129"/>
      <c r="F9648" s="1129"/>
      <c r="G9648" s="1129"/>
      <c r="H9648" s="1129" t="str">
        <f>CONCATENATE("&lt;valeur&gt;",Cellule_1208_1,"&lt;/valeur&gt;")</f>
        <v>&lt;valeur&gt;&lt;/valeur&gt;</v>
      </c>
      <c r="I9648" s="1129"/>
      <c r="J9648" s="1127"/>
    </row>
    <row r="9649" spans="1:10" x14ac:dyDescent="0.2">
      <c r="A9649" s="997">
        <f t="shared" si="150"/>
        <v>9648</v>
      </c>
      <c r="B9649" s="1129" t="s">
        <v>2724</v>
      </c>
      <c r="C9649" s="1139"/>
      <c r="D9649" s="1129"/>
      <c r="E9649" s="1129"/>
      <c r="F9649" s="1129"/>
      <c r="G9649" s="1129"/>
      <c r="H9649" s="1129" t="s">
        <v>1348</v>
      </c>
      <c r="I9649" s="1129"/>
      <c r="J9649" s="1127"/>
    </row>
    <row r="9650" spans="1:10" x14ac:dyDescent="0.2">
      <c r="A9650" s="997">
        <f t="shared" si="150"/>
        <v>9649</v>
      </c>
      <c r="B9650" s="1129" t="s">
        <v>2724</v>
      </c>
      <c r="C9650" s="1139"/>
      <c r="D9650" s="1129"/>
      <c r="E9650" s="1129"/>
      <c r="F9650" s="1129"/>
      <c r="G9650" s="1129" t="s">
        <v>1109</v>
      </c>
      <c r="H9650" s="1129"/>
      <c r="I9650" s="1129"/>
      <c r="J9650" s="1127"/>
    </row>
    <row r="9651" spans="1:10" x14ac:dyDescent="0.2">
      <c r="A9651" s="997">
        <f t="shared" si="150"/>
        <v>9650</v>
      </c>
      <c r="B9651" s="1129" t="s">
        <v>2724</v>
      </c>
      <c r="C9651" s="1138"/>
      <c r="D9651" s="1129"/>
      <c r="E9651" s="1129"/>
      <c r="F9651" s="1129"/>
      <c r="G9651" s="1129" t="s">
        <v>1106</v>
      </c>
      <c r="H9651" s="1129"/>
      <c r="I9651" s="1129"/>
      <c r="J9651" s="1127"/>
    </row>
    <row r="9652" spans="1:10" x14ac:dyDescent="0.2">
      <c r="A9652" s="997">
        <f t="shared" si="150"/>
        <v>9651</v>
      </c>
      <c r="B9652" s="1129" t="s">
        <v>2724</v>
      </c>
      <c r="C9652" s="1138"/>
      <c r="D9652" s="1129"/>
      <c r="E9652" s="1129"/>
      <c r="F9652" s="1129"/>
      <c r="G9652" s="1129"/>
      <c r="H9652" s="1129" t="s">
        <v>2443</v>
      </c>
      <c r="I9652" s="1129"/>
      <c r="J9652" s="1127"/>
    </row>
    <row r="9653" spans="1:10" x14ac:dyDescent="0.2">
      <c r="A9653" s="997">
        <f t="shared" si="150"/>
        <v>9652</v>
      </c>
      <c r="B9653" s="1129" t="s">
        <v>2724</v>
      </c>
      <c r="C9653" s="1139"/>
      <c r="D9653" s="1129"/>
      <c r="E9653" s="1129"/>
      <c r="F9653" s="1129"/>
      <c r="G9653" s="1129"/>
      <c r="H9653" s="1129" t="str">
        <f>CONCATENATE("&lt;valeur&gt;",Cellule_1209_1,"&lt;/valeur&gt;")</f>
        <v>&lt;valeur&gt;&lt;/valeur&gt;</v>
      </c>
      <c r="I9653" s="1129"/>
      <c r="J9653" s="1127"/>
    </row>
    <row r="9654" spans="1:10" x14ac:dyDescent="0.2">
      <c r="A9654" s="997">
        <f t="shared" si="150"/>
        <v>9653</v>
      </c>
      <c r="B9654" s="1129" t="s">
        <v>2724</v>
      </c>
      <c r="C9654" s="1140"/>
      <c r="D9654" s="1129"/>
      <c r="E9654" s="1129"/>
      <c r="F9654" s="1129"/>
      <c r="G9654" s="1129"/>
      <c r="H9654" s="1129" t="s">
        <v>1348</v>
      </c>
      <c r="I9654" s="1129"/>
      <c r="J9654" s="1127"/>
    </row>
    <row r="9655" spans="1:10" x14ac:dyDescent="0.2">
      <c r="A9655" s="997">
        <f t="shared" si="150"/>
        <v>9654</v>
      </c>
      <c r="B9655" s="1129" t="s">
        <v>2724</v>
      </c>
      <c r="C9655" s="1139"/>
      <c r="D9655" s="1129"/>
      <c r="E9655" s="1129"/>
      <c r="F9655" s="1129"/>
      <c r="G9655" s="1129" t="s">
        <v>1109</v>
      </c>
      <c r="H9655" s="1129"/>
      <c r="I9655" s="1129"/>
      <c r="J9655" s="1127"/>
    </row>
    <row r="9656" spans="1:10" x14ac:dyDescent="0.2">
      <c r="A9656" s="997">
        <f t="shared" si="150"/>
        <v>9655</v>
      </c>
      <c r="B9656" s="1129" t="s">
        <v>2724</v>
      </c>
      <c r="C9656" s="1139"/>
      <c r="D9656" s="1129"/>
      <c r="E9656" s="1129"/>
      <c r="F9656" s="1129"/>
      <c r="G9656" s="1129" t="s">
        <v>1106</v>
      </c>
      <c r="H9656" s="1129"/>
      <c r="I9656" s="1129"/>
      <c r="J9656" s="1127"/>
    </row>
    <row r="9657" spans="1:10" x14ac:dyDescent="0.2">
      <c r="A9657" s="997">
        <f t="shared" si="150"/>
        <v>9656</v>
      </c>
      <c r="B9657" s="1129" t="s">
        <v>2724</v>
      </c>
      <c r="C9657" s="1138"/>
      <c r="D9657" s="1129"/>
      <c r="E9657" s="1129"/>
      <c r="F9657" s="1129"/>
      <c r="G9657" s="1129"/>
      <c r="H9657" s="1129" t="s">
        <v>2444</v>
      </c>
      <c r="I9657" s="1129"/>
      <c r="J9657" s="1127"/>
    </row>
    <row r="9658" spans="1:10" x14ac:dyDescent="0.2">
      <c r="A9658" s="997">
        <f t="shared" si="150"/>
        <v>9657</v>
      </c>
      <c r="B9658" s="1129" t="s">
        <v>2724</v>
      </c>
      <c r="C9658" s="1138"/>
      <c r="D9658" s="1129"/>
      <c r="E9658" s="1129"/>
      <c r="F9658" s="1129"/>
      <c r="G9658" s="1129"/>
      <c r="H9658" s="1129" t="str">
        <f>CONCATENATE("&lt;valeur&gt;",Cellule_1210_1,"&lt;/valeur&gt;")</f>
        <v>&lt;valeur&gt;&lt;/valeur&gt;</v>
      </c>
      <c r="I9658" s="1129"/>
      <c r="J9658" s="1127"/>
    </row>
    <row r="9659" spans="1:10" x14ac:dyDescent="0.2">
      <c r="A9659" s="997">
        <f t="shared" si="150"/>
        <v>9658</v>
      </c>
      <c r="B9659" s="1129" t="s">
        <v>2724</v>
      </c>
      <c r="C9659" s="1139"/>
      <c r="D9659" s="1129"/>
      <c r="E9659" s="1129"/>
      <c r="F9659" s="1129"/>
      <c r="G9659" s="1129"/>
      <c r="H9659" s="1129" t="s">
        <v>1348</v>
      </c>
      <c r="I9659" s="1129"/>
      <c r="J9659" s="1127"/>
    </row>
    <row r="9660" spans="1:10" x14ac:dyDescent="0.2">
      <c r="A9660" s="997">
        <f t="shared" si="150"/>
        <v>9659</v>
      </c>
      <c r="B9660" s="1129" t="s">
        <v>2724</v>
      </c>
      <c r="C9660" s="1140"/>
      <c r="D9660" s="1129"/>
      <c r="E9660" s="1129"/>
      <c r="F9660" s="1129"/>
      <c r="G9660" s="1129" t="s">
        <v>1109</v>
      </c>
      <c r="H9660" s="1129"/>
      <c r="I9660" s="1129"/>
      <c r="J9660" s="1127"/>
    </row>
    <row r="9661" spans="1:10" x14ac:dyDescent="0.2">
      <c r="A9661" s="997">
        <f t="shared" si="150"/>
        <v>9660</v>
      </c>
      <c r="B9661" s="1129" t="s">
        <v>2724</v>
      </c>
      <c r="C9661" s="1139"/>
      <c r="D9661" s="1129"/>
      <c r="E9661" s="1129"/>
      <c r="F9661" s="1129"/>
      <c r="G9661" s="1129" t="s">
        <v>1106</v>
      </c>
      <c r="H9661" s="1129"/>
      <c r="I9661" s="1129"/>
      <c r="J9661" s="1127"/>
    </row>
    <row r="9662" spans="1:10" x14ac:dyDescent="0.2">
      <c r="A9662" s="997">
        <f t="shared" si="150"/>
        <v>9661</v>
      </c>
      <c r="B9662" s="1129" t="s">
        <v>2724</v>
      </c>
      <c r="C9662" s="1139"/>
      <c r="D9662" s="1129"/>
      <c r="E9662" s="1129"/>
      <c r="F9662" s="1129"/>
      <c r="G9662" s="1129"/>
      <c r="H9662" s="1129" t="s">
        <v>2445</v>
      </c>
      <c r="I9662" s="1129"/>
      <c r="J9662" s="1127"/>
    </row>
    <row r="9663" spans="1:10" x14ac:dyDescent="0.2">
      <c r="A9663" s="997">
        <f t="shared" si="150"/>
        <v>9662</v>
      </c>
      <c r="B9663" s="1129" t="s">
        <v>2724</v>
      </c>
      <c r="C9663" s="1138"/>
      <c r="D9663" s="1129"/>
      <c r="E9663" s="1129"/>
      <c r="F9663" s="1129"/>
      <c r="G9663" s="1129"/>
      <c r="H9663" s="1129" t="str">
        <f>CONCATENATE("&lt;valeur&gt;",Cellule_1211_1,"&lt;/valeur&gt;")</f>
        <v>&lt;valeur&gt;&lt;/valeur&gt;</v>
      </c>
      <c r="I9663" s="1129"/>
      <c r="J9663" s="1127"/>
    </row>
    <row r="9664" spans="1:10" x14ac:dyDescent="0.2">
      <c r="A9664" s="997">
        <f t="shared" si="150"/>
        <v>9663</v>
      </c>
      <c r="B9664" s="1129" t="s">
        <v>2724</v>
      </c>
      <c r="C9664" s="1138"/>
      <c r="D9664" s="1129"/>
      <c r="E9664" s="1129"/>
      <c r="F9664" s="1129"/>
      <c r="G9664" s="1129"/>
      <c r="H9664" s="1129" t="s">
        <v>1348</v>
      </c>
      <c r="I9664" s="1129"/>
      <c r="J9664" s="1127"/>
    </row>
    <row r="9665" spans="1:10" x14ac:dyDescent="0.2">
      <c r="A9665" s="997">
        <f t="shared" si="150"/>
        <v>9664</v>
      </c>
      <c r="B9665" s="1129" t="s">
        <v>2724</v>
      </c>
      <c r="C9665" s="1139"/>
      <c r="D9665" s="1129"/>
      <c r="E9665" s="1129"/>
      <c r="F9665" s="1129"/>
      <c r="G9665" s="1129" t="s">
        <v>1109</v>
      </c>
      <c r="H9665" s="1129"/>
      <c r="I9665" s="1129"/>
      <c r="J9665" s="1127"/>
    </row>
    <row r="9666" spans="1:10" x14ac:dyDescent="0.2">
      <c r="A9666" s="997">
        <f t="shared" si="150"/>
        <v>9665</v>
      </c>
      <c r="B9666" s="1129" t="s">
        <v>2724</v>
      </c>
      <c r="C9666" s="1140"/>
      <c r="D9666" s="1129"/>
      <c r="E9666" s="1129"/>
      <c r="F9666" s="1129"/>
      <c r="G9666" s="1129" t="s">
        <v>1106</v>
      </c>
      <c r="H9666" s="1129"/>
      <c r="I9666" s="1129"/>
      <c r="J9666" s="1127"/>
    </row>
    <row r="9667" spans="1:10" x14ac:dyDescent="0.2">
      <c r="A9667" s="997">
        <f t="shared" si="150"/>
        <v>9666</v>
      </c>
      <c r="B9667" s="1129" t="s">
        <v>2724</v>
      </c>
      <c r="C9667" s="1139"/>
      <c r="D9667" s="1129"/>
      <c r="E9667" s="1129"/>
      <c r="F9667" s="1129"/>
      <c r="G9667" s="1129"/>
      <c r="H9667" s="1129" t="s">
        <v>2446</v>
      </c>
      <c r="I9667" s="1129"/>
      <c r="J9667" s="1127"/>
    </row>
    <row r="9668" spans="1:10" x14ac:dyDescent="0.2">
      <c r="A9668" s="997">
        <f t="shared" ref="A9668:A9731" si="151">+A9667+1</f>
        <v>9667</v>
      </c>
      <c r="B9668" s="1129" t="s">
        <v>2724</v>
      </c>
      <c r="C9668" s="1139"/>
      <c r="D9668" s="1129"/>
      <c r="E9668" s="1129"/>
      <c r="F9668" s="1129"/>
      <c r="G9668" s="1129"/>
      <c r="H9668" s="1129" t="str">
        <f>CONCATENATE("&lt;valeur&gt;",Cellule_1212_1,"&lt;/valeur&gt;")</f>
        <v>&lt;valeur&gt;&lt;/valeur&gt;</v>
      </c>
      <c r="I9668" s="1129"/>
      <c r="J9668" s="1127"/>
    </row>
    <row r="9669" spans="1:10" x14ac:dyDescent="0.2">
      <c r="A9669" s="997">
        <f t="shared" si="151"/>
        <v>9668</v>
      </c>
      <c r="B9669" s="1129" t="s">
        <v>2724</v>
      </c>
      <c r="C9669" s="1138"/>
      <c r="D9669" s="1129"/>
      <c r="E9669" s="1129"/>
      <c r="F9669" s="1129"/>
      <c r="G9669" s="1129"/>
      <c r="H9669" s="1129" t="s">
        <v>1348</v>
      </c>
      <c r="I9669" s="1129"/>
      <c r="J9669" s="1127"/>
    </row>
    <row r="9670" spans="1:10" x14ac:dyDescent="0.2">
      <c r="A9670" s="997">
        <f t="shared" si="151"/>
        <v>9669</v>
      </c>
      <c r="B9670" s="1129" t="s">
        <v>2724</v>
      </c>
      <c r="C9670" s="1138"/>
      <c r="D9670" s="1129"/>
      <c r="E9670" s="1129"/>
      <c r="F9670" s="1129"/>
      <c r="G9670" s="1129" t="s">
        <v>1109</v>
      </c>
      <c r="H9670" s="1129"/>
      <c r="I9670" s="1129"/>
      <c r="J9670" s="1127"/>
    </row>
    <row r="9671" spans="1:10" x14ac:dyDescent="0.2">
      <c r="A9671" s="997">
        <f t="shared" si="151"/>
        <v>9670</v>
      </c>
      <c r="B9671" s="1129" t="s">
        <v>2724</v>
      </c>
      <c r="C9671" s="1139"/>
      <c r="D9671" s="1129"/>
      <c r="E9671" s="1129"/>
      <c r="F9671" s="1129"/>
      <c r="G9671" s="1129" t="s">
        <v>1106</v>
      </c>
      <c r="H9671" s="1129"/>
      <c r="I9671" s="1129"/>
      <c r="J9671" s="1127"/>
    </row>
    <row r="9672" spans="1:10" x14ac:dyDescent="0.2">
      <c r="A9672" s="997">
        <f t="shared" si="151"/>
        <v>9671</v>
      </c>
      <c r="B9672" s="1129" t="s">
        <v>2724</v>
      </c>
      <c r="C9672" s="1140"/>
      <c r="D9672" s="1129"/>
      <c r="E9672" s="1129"/>
      <c r="F9672" s="1129"/>
      <c r="G9672" s="1129"/>
      <c r="H9672" s="1129" t="s">
        <v>2447</v>
      </c>
      <c r="I9672" s="1129"/>
      <c r="J9672" s="1127"/>
    </row>
    <row r="9673" spans="1:10" x14ac:dyDescent="0.2">
      <c r="A9673" s="997">
        <f t="shared" si="151"/>
        <v>9672</v>
      </c>
      <c r="B9673" s="1129" t="s">
        <v>2724</v>
      </c>
      <c r="C9673" s="1139"/>
      <c r="D9673" s="1129"/>
      <c r="E9673" s="1129"/>
      <c r="F9673" s="1129"/>
      <c r="G9673" s="1129"/>
      <c r="H9673" s="1129" t="str">
        <f>CONCATENATE("&lt;valeur&gt;",Cellule_1213_1,"&lt;/valeur&gt;")</f>
        <v>&lt;valeur&gt;&lt;/valeur&gt;</v>
      </c>
      <c r="I9673" s="1129"/>
      <c r="J9673" s="1127"/>
    </row>
    <row r="9674" spans="1:10" x14ac:dyDescent="0.2">
      <c r="A9674" s="997">
        <f t="shared" si="151"/>
        <v>9673</v>
      </c>
      <c r="B9674" s="1129" t="s">
        <v>2724</v>
      </c>
      <c r="C9674" s="1139"/>
      <c r="D9674" s="1129"/>
      <c r="E9674" s="1129"/>
      <c r="F9674" s="1129"/>
      <c r="G9674" s="1129"/>
      <c r="H9674" s="1129" t="s">
        <v>1348</v>
      </c>
      <c r="I9674" s="1129"/>
      <c r="J9674" s="1127"/>
    </row>
    <row r="9675" spans="1:10" x14ac:dyDescent="0.2">
      <c r="A9675" s="997">
        <f t="shared" si="151"/>
        <v>9674</v>
      </c>
      <c r="B9675" s="1129" t="s">
        <v>2724</v>
      </c>
      <c r="C9675" s="1138"/>
      <c r="D9675" s="1129"/>
      <c r="E9675" s="1129"/>
      <c r="F9675" s="1129"/>
      <c r="G9675" s="1129" t="s">
        <v>1109</v>
      </c>
      <c r="H9675" s="1129"/>
      <c r="I9675" s="1129"/>
      <c r="J9675" s="1127"/>
    </row>
    <row r="9676" spans="1:10" x14ac:dyDescent="0.2">
      <c r="A9676" s="997">
        <f t="shared" si="151"/>
        <v>9675</v>
      </c>
      <c r="B9676" s="1129" t="s">
        <v>2724</v>
      </c>
      <c r="C9676" s="1138"/>
      <c r="D9676" s="1129"/>
      <c r="E9676" s="1129"/>
      <c r="F9676" s="1129"/>
      <c r="G9676" s="1129" t="s">
        <v>1106</v>
      </c>
      <c r="H9676" s="1129"/>
      <c r="I9676" s="1129"/>
      <c r="J9676" s="1127"/>
    </row>
    <row r="9677" spans="1:10" x14ac:dyDescent="0.2">
      <c r="A9677" s="997">
        <f t="shared" si="151"/>
        <v>9676</v>
      </c>
      <c r="B9677" s="1129" t="s">
        <v>2724</v>
      </c>
      <c r="C9677" s="1139"/>
      <c r="D9677" s="1129"/>
      <c r="E9677" s="1129"/>
      <c r="F9677" s="1129"/>
      <c r="G9677" s="1129"/>
      <c r="H9677" s="1129" t="s">
        <v>2448</v>
      </c>
      <c r="I9677" s="1129"/>
      <c r="J9677" s="1127"/>
    </row>
    <row r="9678" spans="1:10" x14ac:dyDescent="0.2">
      <c r="A9678" s="997">
        <f t="shared" si="151"/>
        <v>9677</v>
      </c>
      <c r="B9678" s="1129" t="s">
        <v>2724</v>
      </c>
      <c r="C9678" s="1140"/>
      <c r="D9678" s="1129"/>
      <c r="E9678" s="1129"/>
      <c r="F9678" s="1129"/>
      <c r="G9678" s="1129"/>
      <c r="H9678" s="1129" t="str">
        <f>CONCATENATE("&lt;valeur&gt;",Cellule_1214_1,"&lt;/valeur&gt;")</f>
        <v>&lt;valeur&gt;&lt;/valeur&gt;</v>
      </c>
      <c r="I9678" s="1129"/>
      <c r="J9678" s="1127"/>
    </row>
    <row r="9679" spans="1:10" x14ac:dyDescent="0.2">
      <c r="A9679" s="997">
        <f t="shared" si="151"/>
        <v>9678</v>
      </c>
      <c r="B9679" s="1129" t="s">
        <v>2724</v>
      </c>
      <c r="C9679" s="1139"/>
      <c r="D9679" s="1129"/>
      <c r="E9679" s="1129"/>
      <c r="F9679" s="1129"/>
      <c r="G9679" s="1129"/>
      <c r="H9679" s="1129" t="s">
        <v>1348</v>
      </c>
      <c r="I9679" s="1129"/>
      <c r="J9679" s="1127"/>
    </row>
    <row r="9680" spans="1:10" x14ac:dyDescent="0.2">
      <c r="A9680" s="997">
        <f t="shared" si="151"/>
        <v>9679</v>
      </c>
      <c r="B9680" s="1129" t="s">
        <v>2724</v>
      </c>
      <c r="C9680" s="1139"/>
      <c r="D9680" s="1129"/>
      <c r="E9680" s="1129"/>
      <c r="F9680" s="1129"/>
      <c r="G9680" s="1129" t="s">
        <v>1109</v>
      </c>
      <c r="H9680" s="1129"/>
      <c r="I9680" s="1129"/>
      <c r="J9680" s="1127"/>
    </row>
    <row r="9681" spans="1:10" x14ac:dyDescent="0.2">
      <c r="A9681" s="997">
        <f t="shared" si="151"/>
        <v>9680</v>
      </c>
      <c r="B9681" s="1129" t="s">
        <v>2724</v>
      </c>
      <c r="C9681" s="1138"/>
      <c r="D9681" s="1129"/>
      <c r="E9681" s="1129"/>
      <c r="F9681" s="1129"/>
      <c r="G9681" s="1129" t="s">
        <v>1106</v>
      </c>
      <c r="H9681" s="1129"/>
      <c r="I9681" s="1129"/>
      <c r="J9681" s="1127"/>
    </row>
    <row r="9682" spans="1:10" x14ac:dyDescent="0.2">
      <c r="A9682" s="997">
        <f t="shared" si="151"/>
        <v>9681</v>
      </c>
      <c r="B9682" s="1129" t="s">
        <v>2724</v>
      </c>
      <c r="C9682" s="1138"/>
      <c r="D9682" s="1129"/>
      <c r="E9682" s="1129"/>
      <c r="F9682" s="1129"/>
      <c r="G9682" s="1129"/>
      <c r="H9682" s="1129" t="s">
        <v>2449</v>
      </c>
      <c r="I9682" s="1129"/>
      <c r="J9682" s="1127"/>
    </row>
    <row r="9683" spans="1:10" x14ac:dyDescent="0.2">
      <c r="A9683" s="997">
        <f t="shared" si="151"/>
        <v>9682</v>
      </c>
      <c r="B9683" s="1129" t="s">
        <v>2724</v>
      </c>
      <c r="C9683" s="1139"/>
      <c r="D9683" s="1129"/>
      <c r="E9683" s="1129"/>
      <c r="F9683" s="1129"/>
      <c r="G9683" s="1129"/>
      <c r="H9683" s="1129" t="str">
        <f>CONCATENATE("&lt;valeur&gt;",Cellule_1215_1,"&lt;/valeur&gt;")</f>
        <v>&lt;valeur&gt;&lt;/valeur&gt;</v>
      </c>
      <c r="I9683" s="1129"/>
      <c r="J9683" s="1127"/>
    </row>
    <row r="9684" spans="1:10" x14ac:dyDescent="0.2">
      <c r="A9684" s="997">
        <f t="shared" si="151"/>
        <v>9683</v>
      </c>
      <c r="B9684" s="1129" t="s">
        <v>2724</v>
      </c>
      <c r="C9684" s="1140"/>
      <c r="D9684" s="1129"/>
      <c r="E9684" s="1129"/>
      <c r="F9684" s="1129"/>
      <c r="G9684" s="1129"/>
      <c r="H9684" s="1129" t="s">
        <v>1348</v>
      </c>
      <c r="I9684" s="1129"/>
      <c r="J9684" s="1127"/>
    </row>
    <row r="9685" spans="1:10" x14ac:dyDescent="0.2">
      <c r="A9685" s="997">
        <f t="shared" si="151"/>
        <v>9684</v>
      </c>
      <c r="B9685" s="1129" t="s">
        <v>2724</v>
      </c>
      <c r="C9685" s="1139"/>
      <c r="D9685" s="1129"/>
      <c r="E9685" s="1129"/>
      <c r="F9685" s="1129"/>
      <c r="G9685" s="1129" t="s">
        <v>1109</v>
      </c>
      <c r="H9685" s="1129"/>
      <c r="I9685" s="1129"/>
      <c r="J9685" s="1127"/>
    </row>
    <row r="9686" spans="1:10" x14ac:dyDescent="0.2">
      <c r="A9686" s="997">
        <f t="shared" si="151"/>
        <v>9685</v>
      </c>
      <c r="B9686" s="1129" t="s">
        <v>2724</v>
      </c>
      <c r="C9686" s="1139"/>
      <c r="D9686" s="1129"/>
      <c r="E9686" s="1129"/>
      <c r="F9686" s="1129"/>
      <c r="G9686" s="1129" t="s">
        <v>1106</v>
      </c>
      <c r="H9686" s="1129"/>
      <c r="I9686" s="1129"/>
      <c r="J9686" s="1127"/>
    </row>
    <row r="9687" spans="1:10" x14ac:dyDescent="0.2">
      <c r="A9687" s="997">
        <f t="shared" si="151"/>
        <v>9686</v>
      </c>
      <c r="B9687" s="1129" t="s">
        <v>2724</v>
      </c>
      <c r="C9687" s="1138"/>
      <c r="D9687" s="1129"/>
      <c r="E9687" s="1129"/>
      <c r="F9687" s="1129"/>
      <c r="G9687" s="1129"/>
      <c r="H9687" s="1129" t="s">
        <v>2450</v>
      </c>
      <c r="I9687" s="1129"/>
      <c r="J9687" s="1127"/>
    </row>
    <row r="9688" spans="1:10" x14ac:dyDescent="0.2">
      <c r="A9688" s="997">
        <f t="shared" si="151"/>
        <v>9687</v>
      </c>
      <c r="B9688" s="1129" t="s">
        <v>2724</v>
      </c>
      <c r="C9688" s="1138"/>
      <c r="D9688" s="1129"/>
      <c r="E9688" s="1129"/>
      <c r="F9688" s="1129"/>
      <c r="G9688" s="1129"/>
      <c r="H9688" s="1129" t="str">
        <f>CONCATENATE("&lt;valeur&gt;",Cellule_1216_1,"&lt;/valeur&gt;")</f>
        <v>&lt;valeur&gt;&lt;/valeur&gt;</v>
      </c>
      <c r="I9688" s="1129"/>
      <c r="J9688" s="1127"/>
    </row>
    <row r="9689" spans="1:10" x14ac:dyDescent="0.2">
      <c r="A9689" s="997">
        <f t="shared" si="151"/>
        <v>9688</v>
      </c>
      <c r="B9689" s="1129" t="s">
        <v>2724</v>
      </c>
      <c r="C9689" s="1139"/>
      <c r="D9689" s="1129"/>
      <c r="E9689" s="1129"/>
      <c r="F9689" s="1129"/>
      <c r="G9689" s="1129"/>
      <c r="H9689" s="1129" t="s">
        <v>1348</v>
      </c>
      <c r="I9689" s="1129"/>
      <c r="J9689" s="1127"/>
    </row>
    <row r="9690" spans="1:10" x14ac:dyDescent="0.2">
      <c r="A9690" s="997">
        <f t="shared" si="151"/>
        <v>9689</v>
      </c>
      <c r="B9690" s="1129" t="s">
        <v>2724</v>
      </c>
      <c r="C9690" s="1140"/>
      <c r="D9690" s="1129"/>
      <c r="E9690" s="1129"/>
      <c r="F9690" s="1129"/>
      <c r="G9690" s="1129" t="s">
        <v>1109</v>
      </c>
      <c r="H9690" s="1129"/>
      <c r="I9690" s="1129"/>
      <c r="J9690" s="1127"/>
    </row>
    <row r="9691" spans="1:10" x14ac:dyDescent="0.2">
      <c r="A9691" s="997">
        <f t="shared" si="151"/>
        <v>9690</v>
      </c>
      <c r="B9691" s="1129" t="s">
        <v>2724</v>
      </c>
      <c r="C9691" s="1139"/>
      <c r="D9691" s="1129"/>
      <c r="E9691" s="1129"/>
      <c r="F9691" s="1129"/>
      <c r="G9691" s="1129" t="s">
        <v>1106</v>
      </c>
      <c r="H9691" s="1129"/>
      <c r="I9691" s="1129"/>
      <c r="J9691" s="1127"/>
    </row>
    <row r="9692" spans="1:10" x14ac:dyDescent="0.2">
      <c r="A9692" s="997">
        <f t="shared" si="151"/>
        <v>9691</v>
      </c>
      <c r="B9692" s="1129" t="s">
        <v>2724</v>
      </c>
      <c r="C9692" s="1139"/>
      <c r="D9692" s="1129"/>
      <c r="E9692" s="1129"/>
      <c r="F9692" s="1129"/>
      <c r="G9692" s="1129"/>
      <c r="H9692" s="1129" t="s">
        <v>2451</v>
      </c>
      <c r="I9692" s="1129"/>
      <c r="J9692" s="1127"/>
    </row>
    <row r="9693" spans="1:10" x14ac:dyDescent="0.2">
      <c r="A9693" s="997">
        <f t="shared" si="151"/>
        <v>9692</v>
      </c>
      <c r="B9693" s="1129" t="s">
        <v>2724</v>
      </c>
      <c r="C9693" s="1138"/>
      <c r="D9693" s="1129"/>
      <c r="E9693" s="1129"/>
      <c r="F9693" s="1129"/>
      <c r="G9693" s="1129"/>
      <c r="H9693" s="1129" t="str">
        <f>CONCATENATE("&lt;valeur&gt;",Cellule_1217_1,"&lt;/valeur&gt;")</f>
        <v>&lt;valeur&gt;&lt;/valeur&gt;</v>
      </c>
      <c r="I9693" s="1129"/>
      <c r="J9693" s="1127"/>
    </row>
    <row r="9694" spans="1:10" x14ac:dyDescent="0.2">
      <c r="A9694" s="997">
        <f t="shared" si="151"/>
        <v>9693</v>
      </c>
      <c r="B9694" s="1129" t="s">
        <v>2724</v>
      </c>
      <c r="C9694" s="1138"/>
      <c r="D9694" s="1129"/>
      <c r="E9694" s="1129"/>
      <c r="F9694" s="1129"/>
      <c r="G9694" s="1129"/>
      <c r="H9694" s="1129" t="s">
        <v>1348</v>
      </c>
      <c r="I9694" s="1129"/>
      <c r="J9694" s="1127"/>
    </row>
    <row r="9695" spans="1:10" x14ac:dyDescent="0.2">
      <c r="A9695" s="997">
        <f t="shared" si="151"/>
        <v>9694</v>
      </c>
      <c r="B9695" s="1129" t="s">
        <v>2724</v>
      </c>
      <c r="C9695" s="1139"/>
      <c r="D9695" s="1129"/>
      <c r="E9695" s="1129"/>
      <c r="F9695" s="1129"/>
      <c r="G9695" s="1129" t="s">
        <v>1109</v>
      </c>
      <c r="H9695" s="1129"/>
      <c r="I9695" s="1129"/>
      <c r="J9695" s="1127"/>
    </row>
    <row r="9696" spans="1:10" x14ac:dyDescent="0.2">
      <c r="A9696" s="997">
        <f t="shared" si="151"/>
        <v>9695</v>
      </c>
      <c r="B9696" s="1129" t="s">
        <v>2724</v>
      </c>
      <c r="C9696" s="1140"/>
      <c r="D9696" s="1129"/>
      <c r="E9696" s="1129"/>
      <c r="F9696" s="1129"/>
      <c r="G9696" s="1129" t="s">
        <v>1106</v>
      </c>
      <c r="H9696" s="1129"/>
      <c r="I9696" s="1129"/>
      <c r="J9696" s="1127"/>
    </row>
    <row r="9697" spans="1:10" x14ac:dyDescent="0.2">
      <c r="A9697" s="997">
        <f t="shared" si="151"/>
        <v>9696</v>
      </c>
      <c r="B9697" s="1129" t="s">
        <v>2724</v>
      </c>
      <c r="C9697" s="1139"/>
      <c r="D9697" s="1129"/>
      <c r="E9697" s="1129"/>
      <c r="F9697" s="1129"/>
      <c r="G9697" s="1129"/>
      <c r="H9697" s="1129" t="s">
        <v>2452</v>
      </c>
      <c r="I9697" s="1129"/>
      <c r="J9697" s="1127"/>
    </row>
    <row r="9698" spans="1:10" x14ac:dyDescent="0.2">
      <c r="A9698" s="997">
        <f t="shared" si="151"/>
        <v>9697</v>
      </c>
      <c r="B9698" s="1129" t="s">
        <v>2724</v>
      </c>
      <c r="C9698" s="1139"/>
      <c r="D9698" s="1129"/>
      <c r="E9698" s="1129"/>
      <c r="F9698" s="1129"/>
      <c r="G9698" s="1129"/>
      <c r="H9698" s="1129" t="str">
        <f>CONCATENATE("&lt;valeur&gt;",Cellule_1218_1,"&lt;/valeur&gt;")</f>
        <v>&lt;valeur&gt;&lt;/valeur&gt;</v>
      </c>
      <c r="I9698" s="1129"/>
      <c r="J9698" s="1127"/>
    </row>
    <row r="9699" spans="1:10" x14ac:dyDescent="0.2">
      <c r="A9699" s="997">
        <f t="shared" si="151"/>
        <v>9698</v>
      </c>
      <c r="B9699" s="1129" t="s">
        <v>2724</v>
      </c>
      <c r="C9699" s="1138"/>
      <c r="D9699" s="1129"/>
      <c r="E9699" s="1129"/>
      <c r="F9699" s="1129"/>
      <c r="G9699" s="1129"/>
      <c r="H9699" s="1129" t="s">
        <v>1348</v>
      </c>
      <c r="I9699" s="1129"/>
      <c r="J9699" s="1127"/>
    </row>
    <row r="9700" spans="1:10" x14ac:dyDescent="0.2">
      <c r="A9700" s="997">
        <f t="shared" si="151"/>
        <v>9699</v>
      </c>
      <c r="B9700" s="1129" t="s">
        <v>2724</v>
      </c>
      <c r="C9700" s="1138"/>
      <c r="D9700" s="1129"/>
      <c r="E9700" s="1129"/>
      <c r="F9700" s="1129"/>
      <c r="G9700" s="1129" t="s">
        <v>1109</v>
      </c>
      <c r="H9700" s="1129"/>
      <c r="I9700" s="1129"/>
      <c r="J9700" s="1127"/>
    </row>
    <row r="9701" spans="1:10" x14ac:dyDescent="0.2">
      <c r="A9701" s="997">
        <f t="shared" si="151"/>
        <v>9700</v>
      </c>
      <c r="B9701" s="1129" t="s">
        <v>2724</v>
      </c>
      <c r="C9701" s="1139"/>
      <c r="D9701" s="1129"/>
      <c r="E9701" s="1129"/>
      <c r="F9701" s="1129"/>
      <c r="G9701" s="1129" t="s">
        <v>1106</v>
      </c>
      <c r="H9701" s="1129"/>
      <c r="I9701" s="1129"/>
      <c r="J9701" s="1127"/>
    </row>
    <row r="9702" spans="1:10" x14ac:dyDescent="0.2">
      <c r="A9702" s="997">
        <f t="shared" si="151"/>
        <v>9701</v>
      </c>
      <c r="B9702" s="1129" t="s">
        <v>2724</v>
      </c>
      <c r="C9702" s="1140"/>
      <c r="D9702" s="1129"/>
      <c r="E9702" s="1129"/>
      <c r="F9702" s="1129"/>
      <c r="G9702" s="1129"/>
      <c r="H9702" s="1129" t="s">
        <v>2453</v>
      </c>
      <c r="I9702" s="1129"/>
      <c r="J9702" s="1127"/>
    </row>
    <row r="9703" spans="1:10" x14ac:dyDescent="0.2">
      <c r="A9703" s="997">
        <f t="shared" si="151"/>
        <v>9702</v>
      </c>
      <c r="B9703" s="1129" t="s">
        <v>2724</v>
      </c>
      <c r="C9703" s="1139"/>
      <c r="D9703" s="1129"/>
      <c r="E9703" s="1129"/>
      <c r="F9703" s="1129"/>
      <c r="G9703" s="1129"/>
      <c r="H9703" s="1129" t="str">
        <f>CONCATENATE("&lt;valeur&gt;",Cellule_1219_1,"&lt;/valeur&gt;")</f>
        <v>&lt;valeur&gt;&lt;/valeur&gt;</v>
      </c>
      <c r="I9703" s="1129"/>
      <c r="J9703" s="1127"/>
    </row>
    <row r="9704" spans="1:10" x14ac:dyDescent="0.2">
      <c r="A9704" s="997">
        <f t="shared" si="151"/>
        <v>9703</v>
      </c>
      <c r="B9704" s="1129" t="s">
        <v>2724</v>
      </c>
      <c r="C9704" s="1139"/>
      <c r="D9704" s="1129"/>
      <c r="E9704" s="1129"/>
      <c r="F9704" s="1129"/>
      <c r="G9704" s="1129"/>
      <c r="H9704" s="1129" t="s">
        <v>1348</v>
      </c>
      <c r="I9704" s="1129"/>
      <c r="J9704" s="1127"/>
    </row>
    <row r="9705" spans="1:10" x14ac:dyDescent="0.2">
      <c r="A9705" s="997">
        <f t="shared" si="151"/>
        <v>9704</v>
      </c>
      <c r="B9705" s="1129" t="s">
        <v>2724</v>
      </c>
      <c r="C9705" s="1138"/>
      <c r="D9705" s="1129"/>
      <c r="E9705" s="1129"/>
      <c r="F9705" s="1129"/>
      <c r="G9705" s="1129" t="s">
        <v>1109</v>
      </c>
      <c r="H9705" s="1129"/>
      <c r="I9705" s="1129"/>
      <c r="J9705" s="1127"/>
    </row>
    <row r="9706" spans="1:10" x14ac:dyDescent="0.2">
      <c r="A9706" s="997">
        <f t="shared" si="151"/>
        <v>9705</v>
      </c>
      <c r="B9706" s="1129" t="s">
        <v>2724</v>
      </c>
      <c r="C9706" s="1138"/>
      <c r="D9706" s="1129"/>
      <c r="E9706" s="1129"/>
      <c r="F9706" s="1129"/>
      <c r="G9706" s="1129" t="s">
        <v>1106</v>
      </c>
      <c r="H9706" s="1129"/>
      <c r="I9706" s="1129"/>
      <c r="J9706" s="1127"/>
    </row>
    <row r="9707" spans="1:10" x14ac:dyDescent="0.2">
      <c r="A9707" s="997">
        <f t="shared" si="151"/>
        <v>9706</v>
      </c>
      <c r="B9707" s="1129" t="s">
        <v>2724</v>
      </c>
      <c r="C9707" s="1139"/>
      <c r="D9707" s="1129"/>
      <c r="E9707" s="1129"/>
      <c r="F9707" s="1129"/>
      <c r="G9707" s="1129"/>
      <c r="H9707" s="1129" t="s">
        <v>2454</v>
      </c>
      <c r="I9707" s="1129"/>
      <c r="J9707" s="1127"/>
    </row>
    <row r="9708" spans="1:10" x14ac:dyDescent="0.2">
      <c r="A9708" s="997">
        <f t="shared" si="151"/>
        <v>9707</v>
      </c>
      <c r="B9708" s="1129" t="s">
        <v>2724</v>
      </c>
      <c r="C9708" s="1140"/>
      <c r="D9708" s="1129"/>
      <c r="E9708" s="1129"/>
      <c r="F9708" s="1129"/>
      <c r="G9708" s="1129"/>
      <c r="H9708" s="1129" t="str">
        <f>CONCATENATE("&lt;valeur&gt;",Cellule_1220_1,"&lt;/valeur&gt;")</f>
        <v>&lt;valeur&gt;&lt;/valeur&gt;</v>
      </c>
      <c r="I9708" s="1129"/>
      <c r="J9708" s="1127"/>
    </row>
    <row r="9709" spans="1:10" x14ac:dyDescent="0.2">
      <c r="A9709" s="997">
        <f t="shared" si="151"/>
        <v>9708</v>
      </c>
      <c r="B9709" s="1129" t="s">
        <v>2724</v>
      </c>
      <c r="C9709" s="1139"/>
      <c r="D9709" s="1129"/>
      <c r="E9709" s="1129"/>
      <c r="F9709" s="1129"/>
      <c r="G9709" s="1129"/>
      <c r="H9709" s="1129" t="s">
        <v>1348</v>
      </c>
      <c r="I9709" s="1129"/>
      <c r="J9709" s="1127"/>
    </row>
    <row r="9710" spans="1:10" x14ac:dyDescent="0.2">
      <c r="A9710" s="997">
        <f t="shared" si="151"/>
        <v>9709</v>
      </c>
      <c r="B9710" s="1130" t="s">
        <v>2724</v>
      </c>
      <c r="C9710" s="1144"/>
      <c r="D9710" s="1130"/>
      <c r="E9710" s="1130"/>
      <c r="F9710" s="1130"/>
      <c r="G9710" s="1130" t="s">
        <v>1109</v>
      </c>
      <c r="H9710" s="1130"/>
      <c r="I9710" s="1130"/>
      <c r="J9710" s="1142"/>
    </row>
    <row r="9711" spans="1:10" x14ac:dyDescent="0.2">
      <c r="A9711" s="997">
        <f t="shared" si="151"/>
        <v>9710</v>
      </c>
      <c r="B9711" s="1128" t="s">
        <v>2724</v>
      </c>
      <c r="C9711" s="1137"/>
      <c r="D9711" s="1128"/>
      <c r="E9711" s="1128"/>
      <c r="F9711" s="1128"/>
      <c r="G9711" s="1128" t="s">
        <v>1106</v>
      </c>
      <c r="H9711" s="1128"/>
      <c r="I9711" s="1128"/>
      <c r="J9711" s="1124"/>
    </row>
    <row r="9712" spans="1:10" x14ac:dyDescent="0.2">
      <c r="A9712" s="997">
        <f t="shared" si="151"/>
        <v>9711</v>
      </c>
      <c r="B9712" s="1129" t="s">
        <v>2724</v>
      </c>
      <c r="C9712" s="1139"/>
      <c r="D9712" s="1129"/>
      <c r="E9712" s="1129"/>
      <c r="F9712" s="1129"/>
      <c r="G9712" s="1129"/>
      <c r="H9712" s="1129" t="s">
        <v>2442</v>
      </c>
      <c r="I9712" s="1129"/>
      <c r="J9712" s="1127"/>
    </row>
    <row r="9713" spans="1:10" x14ac:dyDescent="0.2">
      <c r="A9713" s="997">
        <f t="shared" si="151"/>
        <v>9712</v>
      </c>
      <c r="B9713" s="1129" t="s">
        <v>2724</v>
      </c>
      <c r="C9713" s="1140"/>
      <c r="D9713" s="1129"/>
      <c r="E9713" s="1129"/>
      <c r="F9713" s="1129"/>
      <c r="G9713" s="1129"/>
      <c r="H9713" s="1129" t="str">
        <f>CONCATENATE("&lt;valeur&gt;",Cellule_1208_2,"&lt;/valeur&gt;")</f>
        <v>&lt;valeur&gt;&lt;/valeur&gt;</v>
      </c>
      <c r="I9713" s="1129"/>
      <c r="J9713" s="1127"/>
    </row>
    <row r="9714" spans="1:10" x14ac:dyDescent="0.2">
      <c r="A9714" s="997">
        <f t="shared" si="151"/>
        <v>9713</v>
      </c>
      <c r="B9714" s="1129" t="s">
        <v>2724</v>
      </c>
      <c r="C9714" s="1139"/>
      <c r="D9714" s="1129"/>
      <c r="E9714" s="1129"/>
      <c r="F9714" s="1129"/>
      <c r="G9714" s="1129"/>
      <c r="H9714" s="1129" t="s">
        <v>2735</v>
      </c>
      <c r="I9714" s="1129"/>
      <c r="J9714" s="1127"/>
    </row>
    <row r="9715" spans="1:10" x14ac:dyDescent="0.2">
      <c r="A9715" s="997">
        <f t="shared" si="151"/>
        <v>9714</v>
      </c>
      <c r="B9715" s="1129" t="s">
        <v>2724</v>
      </c>
      <c r="C9715" s="1139"/>
      <c r="D9715" s="1129"/>
      <c r="E9715" s="1129"/>
      <c r="F9715" s="1129"/>
      <c r="G9715" s="1129" t="s">
        <v>1109</v>
      </c>
      <c r="H9715" s="1129"/>
      <c r="I9715" s="1129"/>
      <c r="J9715" s="1127"/>
    </row>
    <row r="9716" spans="1:10" x14ac:dyDescent="0.2">
      <c r="A9716" s="997">
        <f t="shared" si="151"/>
        <v>9715</v>
      </c>
      <c r="B9716" s="1129" t="s">
        <v>2724</v>
      </c>
      <c r="C9716" s="1138"/>
      <c r="D9716" s="1129"/>
      <c r="E9716" s="1129"/>
      <c r="F9716" s="1129"/>
      <c r="G9716" s="1129" t="s">
        <v>1106</v>
      </c>
      <c r="H9716" s="1129"/>
      <c r="I9716" s="1129"/>
      <c r="J9716" s="1127"/>
    </row>
    <row r="9717" spans="1:10" x14ac:dyDescent="0.2">
      <c r="A9717" s="997">
        <f t="shared" si="151"/>
        <v>9716</v>
      </c>
      <c r="B9717" s="1129" t="s">
        <v>2724</v>
      </c>
      <c r="C9717" s="1138"/>
      <c r="D9717" s="1129"/>
      <c r="E9717" s="1129"/>
      <c r="F9717" s="1129"/>
      <c r="G9717" s="1129"/>
      <c r="H9717" s="1129" t="s">
        <v>2443</v>
      </c>
      <c r="I9717" s="1129"/>
      <c r="J9717" s="1127"/>
    </row>
    <row r="9718" spans="1:10" x14ac:dyDescent="0.2">
      <c r="A9718" s="997">
        <f t="shared" si="151"/>
        <v>9717</v>
      </c>
      <c r="B9718" s="1129" t="s">
        <v>2724</v>
      </c>
      <c r="C9718" s="1139"/>
      <c r="D9718" s="1129"/>
      <c r="E9718" s="1129"/>
      <c r="F9718" s="1129"/>
      <c r="G9718" s="1129"/>
      <c r="H9718" s="1129" t="str">
        <f>CONCATENATE("&lt;valeur&gt;",Cellule_1209_2,"&lt;/valeur&gt;")</f>
        <v>&lt;valeur&gt;&lt;/valeur&gt;</v>
      </c>
      <c r="I9718" s="1129"/>
      <c r="J9718" s="1127"/>
    </row>
    <row r="9719" spans="1:10" x14ac:dyDescent="0.2">
      <c r="A9719" s="997">
        <f t="shared" si="151"/>
        <v>9718</v>
      </c>
      <c r="B9719" s="1129" t="s">
        <v>2724</v>
      </c>
      <c r="C9719" s="1140"/>
      <c r="D9719" s="1129"/>
      <c r="E9719" s="1129"/>
      <c r="F9719" s="1129"/>
      <c r="G9719" s="1129"/>
      <c r="H9719" s="1129" t="s">
        <v>2735</v>
      </c>
      <c r="I9719" s="1129"/>
      <c r="J9719" s="1127"/>
    </row>
    <row r="9720" spans="1:10" x14ac:dyDescent="0.2">
      <c r="A9720" s="997">
        <f t="shared" si="151"/>
        <v>9719</v>
      </c>
      <c r="B9720" s="1129" t="s">
        <v>2724</v>
      </c>
      <c r="C9720" s="1139"/>
      <c r="D9720" s="1129"/>
      <c r="E9720" s="1129"/>
      <c r="F9720" s="1129"/>
      <c r="G9720" s="1129" t="s">
        <v>1109</v>
      </c>
      <c r="H9720" s="1129"/>
      <c r="I9720" s="1129"/>
      <c r="J9720" s="1127"/>
    </row>
    <row r="9721" spans="1:10" x14ac:dyDescent="0.2">
      <c r="A9721" s="997">
        <f t="shared" si="151"/>
        <v>9720</v>
      </c>
      <c r="B9721" s="1129" t="s">
        <v>2724</v>
      </c>
      <c r="C9721" s="1139"/>
      <c r="D9721" s="1129"/>
      <c r="E9721" s="1129"/>
      <c r="F9721" s="1129"/>
      <c r="G9721" s="1129" t="s">
        <v>1106</v>
      </c>
      <c r="H9721" s="1129"/>
      <c r="I9721" s="1129"/>
      <c r="J9721" s="1127"/>
    </row>
    <row r="9722" spans="1:10" x14ac:dyDescent="0.2">
      <c r="A9722" s="997">
        <f t="shared" si="151"/>
        <v>9721</v>
      </c>
      <c r="B9722" s="1129" t="s">
        <v>2724</v>
      </c>
      <c r="C9722" s="1138"/>
      <c r="D9722" s="1129"/>
      <c r="E9722" s="1129"/>
      <c r="F9722" s="1129"/>
      <c r="G9722" s="1129"/>
      <c r="H9722" s="1129" t="s">
        <v>2444</v>
      </c>
      <c r="I9722" s="1129"/>
      <c r="J9722" s="1127"/>
    </row>
    <row r="9723" spans="1:10" x14ac:dyDescent="0.2">
      <c r="A9723" s="997">
        <f t="shared" si="151"/>
        <v>9722</v>
      </c>
      <c r="B9723" s="1129" t="s">
        <v>2724</v>
      </c>
      <c r="C9723" s="1138"/>
      <c r="D9723" s="1129"/>
      <c r="E9723" s="1129"/>
      <c r="F9723" s="1129"/>
      <c r="G9723" s="1129"/>
      <c r="H9723" s="1129" t="str">
        <f>CONCATENATE("&lt;valeur&gt;",Cellule_1210_2,"&lt;/valeur&gt;")</f>
        <v>&lt;valeur&gt;&lt;/valeur&gt;</v>
      </c>
      <c r="I9723" s="1129"/>
      <c r="J9723" s="1127"/>
    </row>
    <row r="9724" spans="1:10" x14ac:dyDescent="0.2">
      <c r="A9724" s="997">
        <f t="shared" si="151"/>
        <v>9723</v>
      </c>
      <c r="B9724" s="1129" t="s">
        <v>2724</v>
      </c>
      <c r="C9724" s="1139"/>
      <c r="D9724" s="1129"/>
      <c r="E9724" s="1129"/>
      <c r="F9724" s="1129"/>
      <c r="G9724" s="1129"/>
      <c r="H9724" s="1129" t="s">
        <v>2735</v>
      </c>
      <c r="I9724" s="1129"/>
      <c r="J9724" s="1127"/>
    </row>
    <row r="9725" spans="1:10" x14ac:dyDescent="0.2">
      <c r="A9725" s="997">
        <f t="shared" si="151"/>
        <v>9724</v>
      </c>
      <c r="B9725" s="1129" t="s">
        <v>2724</v>
      </c>
      <c r="C9725" s="1140"/>
      <c r="D9725" s="1129"/>
      <c r="E9725" s="1129"/>
      <c r="F9725" s="1129"/>
      <c r="G9725" s="1129" t="s">
        <v>1109</v>
      </c>
      <c r="H9725" s="1129"/>
      <c r="I9725" s="1129"/>
      <c r="J9725" s="1127"/>
    </row>
    <row r="9726" spans="1:10" x14ac:dyDescent="0.2">
      <c r="A9726" s="997">
        <f t="shared" si="151"/>
        <v>9725</v>
      </c>
      <c r="B9726" s="1129" t="s">
        <v>2724</v>
      </c>
      <c r="C9726" s="1139"/>
      <c r="D9726" s="1129"/>
      <c r="E9726" s="1129"/>
      <c r="F9726" s="1129"/>
      <c r="G9726" s="1129" t="s">
        <v>1106</v>
      </c>
      <c r="H9726" s="1129"/>
      <c r="I9726" s="1129"/>
      <c r="J9726" s="1127"/>
    </row>
    <row r="9727" spans="1:10" x14ac:dyDescent="0.2">
      <c r="A9727" s="997">
        <f t="shared" si="151"/>
        <v>9726</v>
      </c>
      <c r="B9727" s="1129" t="s">
        <v>2724</v>
      </c>
      <c r="C9727" s="1139"/>
      <c r="D9727" s="1129"/>
      <c r="E9727" s="1129"/>
      <c r="F9727" s="1129"/>
      <c r="G9727" s="1129"/>
      <c r="H9727" s="1129" t="s">
        <v>2445</v>
      </c>
      <c r="I9727" s="1129"/>
      <c r="J9727" s="1127"/>
    </row>
    <row r="9728" spans="1:10" x14ac:dyDescent="0.2">
      <c r="A9728" s="997">
        <f t="shared" si="151"/>
        <v>9727</v>
      </c>
      <c r="B9728" s="1129" t="s">
        <v>2724</v>
      </c>
      <c r="C9728" s="1138"/>
      <c r="D9728" s="1129"/>
      <c r="E9728" s="1129"/>
      <c r="F9728" s="1129"/>
      <c r="G9728" s="1129"/>
      <c r="H9728" s="1129" t="str">
        <f>CONCATENATE("&lt;valeur&gt;",Cellule_1211_2,"&lt;/valeur&gt;")</f>
        <v>&lt;valeur&gt;&lt;/valeur&gt;</v>
      </c>
      <c r="I9728" s="1129"/>
      <c r="J9728" s="1127"/>
    </row>
    <row r="9729" spans="1:10" x14ac:dyDescent="0.2">
      <c r="A9729" s="997">
        <f t="shared" si="151"/>
        <v>9728</v>
      </c>
      <c r="B9729" s="1129" t="s">
        <v>2724</v>
      </c>
      <c r="C9729" s="1138"/>
      <c r="D9729" s="1129"/>
      <c r="E9729" s="1129"/>
      <c r="F9729" s="1129"/>
      <c r="G9729" s="1129"/>
      <c r="H9729" s="1129" t="s">
        <v>2735</v>
      </c>
      <c r="I9729" s="1129"/>
      <c r="J9729" s="1127"/>
    </row>
    <row r="9730" spans="1:10" x14ac:dyDescent="0.2">
      <c r="A9730" s="997">
        <f t="shared" si="151"/>
        <v>9729</v>
      </c>
      <c r="B9730" s="1129" t="s">
        <v>2724</v>
      </c>
      <c r="C9730" s="1139"/>
      <c r="D9730" s="1129"/>
      <c r="E9730" s="1129"/>
      <c r="F9730" s="1129"/>
      <c r="G9730" s="1129" t="s">
        <v>1109</v>
      </c>
      <c r="H9730" s="1129"/>
      <c r="I9730" s="1129"/>
      <c r="J9730" s="1127"/>
    </row>
    <row r="9731" spans="1:10" x14ac:dyDescent="0.2">
      <c r="A9731" s="997">
        <f t="shared" si="151"/>
        <v>9730</v>
      </c>
      <c r="B9731" s="1129" t="s">
        <v>2724</v>
      </c>
      <c r="C9731" s="1140"/>
      <c r="D9731" s="1129"/>
      <c r="E9731" s="1129"/>
      <c r="F9731" s="1129"/>
      <c r="G9731" s="1129" t="s">
        <v>1106</v>
      </c>
      <c r="H9731" s="1129"/>
      <c r="I9731" s="1129"/>
      <c r="J9731" s="1127"/>
    </row>
    <row r="9732" spans="1:10" x14ac:dyDescent="0.2">
      <c r="A9732" s="997">
        <f t="shared" ref="A9732:A9795" si="152">+A9731+1</f>
        <v>9731</v>
      </c>
      <c r="B9732" s="1129" t="s">
        <v>2724</v>
      </c>
      <c r="C9732" s="1139"/>
      <c r="D9732" s="1129"/>
      <c r="E9732" s="1129"/>
      <c r="F9732" s="1129"/>
      <c r="G9732" s="1129"/>
      <c r="H9732" s="1129" t="s">
        <v>2446</v>
      </c>
      <c r="I9732" s="1129"/>
      <c r="J9732" s="1127"/>
    </row>
    <row r="9733" spans="1:10" x14ac:dyDescent="0.2">
      <c r="A9733" s="997">
        <f t="shared" si="152"/>
        <v>9732</v>
      </c>
      <c r="B9733" s="1129" t="s">
        <v>2724</v>
      </c>
      <c r="C9733" s="1139"/>
      <c r="D9733" s="1129"/>
      <c r="E9733" s="1129"/>
      <c r="F9733" s="1129"/>
      <c r="G9733" s="1129"/>
      <c r="H9733" s="1129" t="str">
        <f>CONCATENATE("&lt;valeur&gt;",Cellule_1212_2,"&lt;/valeur&gt;")</f>
        <v>&lt;valeur&gt;&lt;/valeur&gt;</v>
      </c>
      <c r="I9733" s="1129"/>
      <c r="J9733" s="1127"/>
    </row>
    <row r="9734" spans="1:10" x14ac:dyDescent="0.2">
      <c r="A9734" s="997">
        <f t="shared" si="152"/>
        <v>9733</v>
      </c>
      <c r="B9734" s="1129" t="s">
        <v>2724</v>
      </c>
      <c r="C9734" s="1138"/>
      <c r="D9734" s="1129"/>
      <c r="E9734" s="1129"/>
      <c r="F9734" s="1129"/>
      <c r="G9734" s="1129"/>
      <c r="H9734" s="1129" t="s">
        <v>2735</v>
      </c>
      <c r="I9734" s="1129"/>
      <c r="J9734" s="1127"/>
    </row>
    <row r="9735" spans="1:10" x14ac:dyDescent="0.2">
      <c r="A9735" s="997">
        <f t="shared" si="152"/>
        <v>9734</v>
      </c>
      <c r="B9735" s="1129" t="s">
        <v>2724</v>
      </c>
      <c r="C9735" s="1138"/>
      <c r="D9735" s="1129"/>
      <c r="E9735" s="1129"/>
      <c r="F9735" s="1129"/>
      <c r="G9735" s="1129" t="s">
        <v>1109</v>
      </c>
      <c r="H9735" s="1129"/>
      <c r="I9735" s="1129"/>
      <c r="J9735" s="1127"/>
    </row>
    <row r="9736" spans="1:10" x14ac:dyDescent="0.2">
      <c r="A9736" s="997">
        <f t="shared" si="152"/>
        <v>9735</v>
      </c>
      <c r="B9736" s="1129" t="s">
        <v>2724</v>
      </c>
      <c r="C9736" s="1139"/>
      <c r="D9736" s="1129"/>
      <c r="E9736" s="1129"/>
      <c r="F9736" s="1129"/>
      <c r="G9736" s="1129" t="s">
        <v>1106</v>
      </c>
      <c r="H9736" s="1129"/>
      <c r="I9736" s="1129"/>
      <c r="J9736" s="1127"/>
    </row>
    <row r="9737" spans="1:10" x14ac:dyDescent="0.2">
      <c r="A9737" s="997">
        <f t="shared" si="152"/>
        <v>9736</v>
      </c>
      <c r="B9737" s="1129" t="s">
        <v>2724</v>
      </c>
      <c r="C9737" s="1140"/>
      <c r="D9737" s="1129"/>
      <c r="E9737" s="1129"/>
      <c r="F9737" s="1129"/>
      <c r="G9737" s="1129"/>
      <c r="H9737" s="1129" t="s">
        <v>2447</v>
      </c>
      <c r="I9737" s="1129"/>
      <c r="J9737" s="1127"/>
    </row>
    <row r="9738" spans="1:10" x14ac:dyDescent="0.2">
      <c r="A9738" s="997">
        <f t="shared" si="152"/>
        <v>9737</v>
      </c>
      <c r="B9738" s="1129" t="s">
        <v>2724</v>
      </c>
      <c r="C9738" s="1139"/>
      <c r="D9738" s="1129"/>
      <c r="E9738" s="1129"/>
      <c r="F9738" s="1129"/>
      <c r="G9738" s="1129"/>
      <c r="H9738" s="1129" t="str">
        <f>CONCATENATE("&lt;valeur&gt;",Cellule_1213_2,"&lt;/valeur&gt;")</f>
        <v>&lt;valeur&gt;&lt;/valeur&gt;</v>
      </c>
      <c r="I9738" s="1129"/>
      <c r="J9738" s="1127"/>
    </row>
    <row r="9739" spans="1:10" x14ac:dyDescent="0.2">
      <c r="A9739" s="997">
        <f t="shared" si="152"/>
        <v>9738</v>
      </c>
      <c r="B9739" s="1129" t="s">
        <v>2724</v>
      </c>
      <c r="C9739" s="1139"/>
      <c r="D9739" s="1129"/>
      <c r="E9739" s="1129"/>
      <c r="F9739" s="1129"/>
      <c r="G9739" s="1129"/>
      <c r="H9739" s="1129" t="s">
        <v>2735</v>
      </c>
      <c r="I9739" s="1129"/>
      <c r="J9739" s="1127"/>
    </row>
    <row r="9740" spans="1:10" x14ac:dyDescent="0.2">
      <c r="A9740" s="997">
        <f t="shared" si="152"/>
        <v>9739</v>
      </c>
      <c r="B9740" s="1129" t="s">
        <v>2724</v>
      </c>
      <c r="C9740" s="1138"/>
      <c r="D9740" s="1129"/>
      <c r="E9740" s="1129"/>
      <c r="F9740" s="1129"/>
      <c r="G9740" s="1129" t="s">
        <v>1109</v>
      </c>
      <c r="H9740" s="1129"/>
      <c r="I9740" s="1129"/>
      <c r="J9740" s="1127"/>
    </row>
    <row r="9741" spans="1:10" x14ac:dyDescent="0.2">
      <c r="A9741" s="997">
        <f t="shared" si="152"/>
        <v>9740</v>
      </c>
      <c r="B9741" s="1129" t="s">
        <v>2724</v>
      </c>
      <c r="C9741" s="1138"/>
      <c r="D9741" s="1129"/>
      <c r="E9741" s="1129"/>
      <c r="F9741" s="1129"/>
      <c r="G9741" s="1129" t="s">
        <v>1106</v>
      </c>
      <c r="H9741" s="1129"/>
      <c r="I9741" s="1129"/>
      <c r="J9741" s="1127"/>
    </row>
    <row r="9742" spans="1:10" x14ac:dyDescent="0.2">
      <c r="A9742" s="997">
        <f t="shared" si="152"/>
        <v>9741</v>
      </c>
      <c r="B9742" s="1129" t="s">
        <v>2724</v>
      </c>
      <c r="C9742" s="1139"/>
      <c r="D9742" s="1129"/>
      <c r="E9742" s="1129"/>
      <c r="F9742" s="1129"/>
      <c r="G9742" s="1129"/>
      <c r="H9742" s="1129" t="s">
        <v>2448</v>
      </c>
      <c r="I9742" s="1129"/>
      <c r="J9742" s="1127"/>
    </row>
    <row r="9743" spans="1:10" x14ac:dyDescent="0.2">
      <c r="A9743" s="997">
        <f t="shared" si="152"/>
        <v>9742</v>
      </c>
      <c r="B9743" s="1129" t="s">
        <v>2724</v>
      </c>
      <c r="C9743" s="1140"/>
      <c r="D9743" s="1129"/>
      <c r="E9743" s="1129"/>
      <c r="F9743" s="1129"/>
      <c r="G9743" s="1129"/>
      <c r="H9743" s="1129" t="str">
        <f>CONCATENATE("&lt;valeur&gt;",Cellule_1214_2,"&lt;/valeur&gt;")</f>
        <v>&lt;valeur&gt;&lt;/valeur&gt;</v>
      </c>
      <c r="I9743" s="1129"/>
      <c r="J9743" s="1127"/>
    </row>
    <row r="9744" spans="1:10" x14ac:dyDescent="0.2">
      <c r="A9744" s="997">
        <f t="shared" si="152"/>
        <v>9743</v>
      </c>
      <c r="B9744" s="1129" t="s">
        <v>2724</v>
      </c>
      <c r="C9744" s="1139"/>
      <c r="D9744" s="1129"/>
      <c r="E9744" s="1129"/>
      <c r="F9744" s="1129"/>
      <c r="G9744" s="1129"/>
      <c r="H9744" s="1129" t="s">
        <v>2735</v>
      </c>
      <c r="I9744" s="1129"/>
      <c r="J9744" s="1127"/>
    </row>
    <row r="9745" spans="1:10" x14ac:dyDescent="0.2">
      <c r="A9745" s="997">
        <f t="shared" si="152"/>
        <v>9744</v>
      </c>
      <c r="B9745" s="1129" t="s">
        <v>2724</v>
      </c>
      <c r="C9745" s="1139"/>
      <c r="D9745" s="1129"/>
      <c r="E9745" s="1129"/>
      <c r="F9745" s="1129"/>
      <c r="G9745" s="1129" t="s">
        <v>1109</v>
      </c>
      <c r="H9745" s="1129"/>
      <c r="I9745" s="1129"/>
      <c r="J9745" s="1127"/>
    </row>
    <row r="9746" spans="1:10" x14ac:dyDescent="0.2">
      <c r="A9746" s="997">
        <f t="shared" si="152"/>
        <v>9745</v>
      </c>
      <c r="B9746" s="1129" t="s">
        <v>2724</v>
      </c>
      <c r="C9746" s="1138"/>
      <c r="D9746" s="1129"/>
      <c r="E9746" s="1129"/>
      <c r="F9746" s="1129"/>
      <c r="G9746" s="1129" t="s">
        <v>1106</v>
      </c>
      <c r="H9746" s="1129"/>
      <c r="I9746" s="1129"/>
      <c r="J9746" s="1127"/>
    </row>
    <row r="9747" spans="1:10" x14ac:dyDescent="0.2">
      <c r="A9747" s="997">
        <f t="shared" si="152"/>
        <v>9746</v>
      </c>
      <c r="B9747" s="1129" t="s">
        <v>2724</v>
      </c>
      <c r="C9747" s="1138"/>
      <c r="D9747" s="1129"/>
      <c r="E9747" s="1129"/>
      <c r="F9747" s="1129"/>
      <c r="G9747" s="1129"/>
      <c r="H9747" s="1129" t="s">
        <v>2449</v>
      </c>
      <c r="I9747" s="1129"/>
      <c r="J9747" s="1127"/>
    </row>
    <row r="9748" spans="1:10" x14ac:dyDescent="0.2">
      <c r="A9748" s="997">
        <f t="shared" si="152"/>
        <v>9747</v>
      </c>
      <c r="B9748" s="1129" t="s">
        <v>2724</v>
      </c>
      <c r="C9748" s="1139"/>
      <c r="D9748" s="1129"/>
      <c r="E9748" s="1129"/>
      <c r="F9748" s="1129"/>
      <c r="G9748" s="1129"/>
      <c r="H9748" s="1129" t="str">
        <f>CONCATENATE("&lt;valeur&gt;",Cellule_1215_2,"&lt;/valeur&gt;")</f>
        <v>&lt;valeur&gt;&lt;/valeur&gt;</v>
      </c>
      <c r="I9748" s="1129"/>
      <c r="J9748" s="1127"/>
    </row>
    <row r="9749" spans="1:10" x14ac:dyDescent="0.2">
      <c r="A9749" s="997">
        <f t="shared" si="152"/>
        <v>9748</v>
      </c>
      <c r="B9749" s="1129" t="s">
        <v>2724</v>
      </c>
      <c r="C9749" s="1140"/>
      <c r="D9749" s="1129"/>
      <c r="E9749" s="1129"/>
      <c r="F9749" s="1129"/>
      <c r="G9749" s="1129"/>
      <c r="H9749" s="1129" t="s">
        <v>2735</v>
      </c>
      <c r="I9749" s="1129"/>
      <c r="J9749" s="1127"/>
    </row>
    <row r="9750" spans="1:10" x14ac:dyDescent="0.2">
      <c r="A9750" s="997">
        <f t="shared" si="152"/>
        <v>9749</v>
      </c>
      <c r="B9750" s="1129" t="s">
        <v>2724</v>
      </c>
      <c r="C9750" s="1139"/>
      <c r="D9750" s="1129"/>
      <c r="E9750" s="1129"/>
      <c r="F9750" s="1129"/>
      <c r="G9750" s="1129" t="s">
        <v>1109</v>
      </c>
      <c r="H9750" s="1129"/>
      <c r="I9750" s="1129"/>
      <c r="J9750" s="1127"/>
    </row>
    <row r="9751" spans="1:10" x14ac:dyDescent="0.2">
      <c r="A9751" s="997">
        <f t="shared" si="152"/>
        <v>9750</v>
      </c>
      <c r="B9751" s="1129" t="s">
        <v>2724</v>
      </c>
      <c r="C9751" s="1139"/>
      <c r="D9751" s="1129"/>
      <c r="E9751" s="1129"/>
      <c r="F9751" s="1129"/>
      <c r="G9751" s="1129" t="s">
        <v>1106</v>
      </c>
      <c r="H9751" s="1129"/>
      <c r="I9751" s="1129"/>
      <c r="J9751" s="1127"/>
    </row>
    <row r="9752" spans="1:10" x14ac:dyDescent="0.2">
      <c r="A9752" s="997">
        <f t="shared" si="152"/>
        <v>9751</v>
      </c>
      <c r="B9752" s="1129" t="s">
        <v>2724</v>
      </c>
      <c r="C9752" s="1138"/>
      <c r="D9752" s="1129"/>
      <c r="E9752" s="1129"/>
      <c r="F9752" s="1129"/>
      <c r="G9752" s="1129"/>
      <c r="H9752" s="1129" t="s">
        <v>2450</v>
      </c>
      <c r="I9752" s="1129"/>
      <c r="J9752" s="1127"/>
    </row>
    <row r="9753" spans="1:10" x14ac:dyDescent="0.2">
      <c r="A9753" s="997">
        <f t="shared" si="152"/>
        <v>9752</v>
      </c>
      <c r="B9753" s="1129" t="s">
        <v>2724</v>
      </c>
      <c r="C9753" s="1138"/>
      <c r="D9753" s="1129"/>
      <c r="E9753" s="1129"/>
      <c r="F9753" s="1129"/>
      <c r="G9753" s="1129"/>
      <c r="H9753" s="1129" t="str">
        <f>CONCATENATE("&lt;valeur&gt;",Cellule_1216_2,"&lt;/valeur&gt;")</f>
        <v>&lt;valeur&gt;&lt;/valeur&gt;</v>
      </c>
      <c r="I9753" s="1129"/>
      <c r="J9753" s="1127"/>
    </row>
    <row r="9754" spans="1:10" x14ac:dyDescent="0.2">
      <c r="A9754" s="997">
        <f t="shared" si="152"/>
        <v>9753</v>
      </c>
      <c r="B9754" s="1129" t="s">
        <v>2724</v>
      </c>
      <c r="C9754" s="1139"/>
      <c r="D9754" s="1129"/>
      <c r="E9754" s="1129"/>
      <c r="F9754" s="1129"/>
      <c r="G9754" s="1129"/>
      <c r="H9754" s="1129" t="s">
        <v>2735</v>
      </c>
      <c r="I9754" s="1129"/>
      <c r="J9754" s="1127"/>
    </row>
    <row r="9755" spans="1:10" x14ac:dyDescent="0.2">
      <c r="A9755" s="997">
        <f t="shared" si="152"/>
        <v>9754</v>
      </c>
      <c r="B9755" s="1129" t="s">
        <v>2724</v>
      </c>
      <c r="C9755" s="1140"/>
      <c r="D9755" s="1129"/>
      <c r="E9755" s="1129"/>
      <c r="F9755" s="1129"/>
      <c r="G9755" s="1129" t="s">
        <v>1109</v>
      </c>
      <c r="H9755" s="1129"/>
      <c r="I9755" s="1129"/>
      <c r="J9755" s="1127"/>
    </row>
    <row r="9756" spans="1:10" x14ac:dyDescent="0.2">
      <c r="A9756" s="997">
        <f t="shared" si="152"/>
        <v>9755</v>
      </c>
      <c r="B9756" s="1129" t="s">
        <v>2724</v>
      </c>
      <c r="C9756" s="1139"/>
      <c r="D9756" s="1129"/>
      <c r="E9756" s="1129"/>
      <c r="F9756" s="1129"/>
      <c r="G9756" s="1129" t="s">
        <v>1106</v>
      </c>
      <c r="H9756" s="1129"/>
      <c r="I9756" s="1129"/>
      <c r="J9756" s="1127"/>
    </row>
    <row r="9757" spans="1:10" x14ac:dyDescent="0.2">
      <c r="A9757" s="997">
        <f t="shared" si="152"/>
        <v>9756</v>
      </c>
      <c r="B9757" s="1129" t="s">
        <v>2724</v>
      </c>
      <c r="C9757" s="1139"/>
      <c r="D9757" s="1129"/>
      <c r="E9757" s="1129"/>
      <c r="F9757" s="1129"/>
      <c r="G9757" s="1129"/>
      <c r="H9757" s="1129" t="s">
        <v>2451</v>
      </c>
      <c r="I9757" s="1129"/>
      <c r="J9757" s="1127"/>
    </row>
    <row r="9758" spans="1:10" x14ac:dyDescent="0.2">
      <c r="A9758" s="997">
        <f t="shared" si="152"/>
        <v>9757</v>
      </c>
      <c r="B9758" s="1129" t="s">
        <v>2724</v>
      </c>
      <c r="C9758" s="1138"/>
      <c r="D9758" s="1129"/>
      <c r="E9758" s="1129"/>
      <c r="F9758" s="1129"/>
      <c r="G9758" s="1129"/>
      <c r="H9758" s="1129" t="str">
        <f>CONCATENATE("&lt;valeur&gt;",Cellule_1217_2,"&lt;/valeur&gt;")</f>
        <v>&lt;valeur&gt;&lt;/valeur&gt;</v>
      </c>
      <c r="I9758" s="1129"/>
      <c r="J9758" s="1127"/>
    </row>
    <row r="9759" spans="1:10" x14ac:dyDescent="0.2">
      <c r="A9759" s="997">
        <f t="shared" si="152"/>
        <v>9758</v>
      </c>
      <c r="B9759" s="1129" t="s">
        <v>2724</v>
      </c>
      <c r="C9759" s="1138"/>
      <c r="D9759" s="1129"/>
      <c r="E9759" s="1129"/>
      <c r="F9759" s="1129"/>
      <c r="G9759" s="1129"/>
      <c r="H9759" s="1129" t="s">
        <v>2735</v>
      </c>
      <c r="I9759" s="1129"/>
      <c r="J9759" s="1127"/>
    </row>
    <row r="9760" spans="1:10" x14ac:dyDescent="0.2">
      <c r="A9760" s="997">
        <f t="shared" si="152"/>
        <v>9759</v>
      </c>
      <c r="B9760" s="1129" t="s">
        <v>2724</v>
      </c>
      <c r="C9760" s="1139"/>
      <c r="D9760" s="1129"/>
      <c r="E9760" s="1129"/>
      <c r="F9760" s="1129"/>
      <c r="G9760" s="1129" t="s">
        <v>1109</v>
      </c>
      <c r="H9760" s="1129"/>
      <c r="I9760" s="1129"/>
      <c r="J9760" s="1127"/>
    </row>
    <row r="9761" spans="1:10" x14ac:dyDescent="0.2">
      <c r="A9761" s="997">
        <f t="shared" si="152"/>
        <v>9760</v>
      </c>
      <c r="B9761" s="1129" t="s">
        <v>2724</v>
      </c>
      <c r="C9761" s="1140"/>
      <c r="D9761" s="1129"/>
      <c r="E9761" s="1129"/>
      <c r="F9761" s="1129"/>
      <c r="G9761" s="1129" t="s">
        <v>1106</v>
      </c>
      <c r="H9761" s="1129"/>
      <c r="I9761" s="1129"/>
      <c r="J9761" s="1127"/>
    </row>
    <row r="9762" spans="1:10" x14ac:dyDescent="0.2">
      <c r="A9762" s="997">
        <f t="shared" si="152"/>
        <v>9761</v>
      </c>
      <c r="B9762" s="1129" t="s">
        <v>2724</v>
      </c>
      <c r="C9762" s="1139"/>
      <c r="D9762" s="1129"/>
      <c r="E9762" s="1129"/>
      <c r="F9762" s="1129"/>
      <c r="G9762" s="1129"/>
      <c r="H9762" s="1129" t="s">
        <v>2452</v>
      </c>
      <c r="I9762" s="1129"/>
      <c r="J9762" s="1127"/>
    </row>
    <row r="9763" spans="1:10" x14ac:dyDescent="0.2">
      <c r="A9763" s="997">
        <f t="shared" si="152"/>
        <v>9762</v>
      </c>
      <c r="B9763" s="1129" t="s">
        <v>2724</v>
      </c>
      <c r="C9763" s="1139"/>
      <c r="D9763" s="1129"/>
      <c r="E9763" s="1129"/>
      <c r="F9763" s="1129"/>
      <c r="G9763" s="1129"/>
      <c r="H9763" s="1129" t="str">
        <f>CONCATENATE("&lt;valeur&gt;",Cellule_1218_2,"&lt;/valeur&gt;")</f>
        <v>&lt;valeur&gt;&lt;/valeur&gt;</v>
      </c>
      <c r="I9763" s="1129"/>
      <c r="J9763" s="1127"/>
    </row>
    <row r="9764" spans="1:10" x14ac:dyDescent="0.2">
      <c r="A9764" s="997">
        <f t="shared" si="152"/>
        <v>9763</v>
      </c>
      <c r="B9764" s="1129" t="s">
        <v>2724</v>
      </c>
      <c r="C9764" s="1138"/>
      <c r="D9764" s="1129"/>
      <c r="E9764" s="1129"/>
      <c r="F9764" s="1129"/>
      <c r="G9764" s="1129"/>
      <c r="H9764" s="1129" t="s">
        <v>2735</v>
      </c>
      <c r="I9764" s="1129"/>
      <c r="J9764" s="1127"/>
    </row>
    <row r="9765" spans="1:10" x14ac:dyDescent="0.2">
      <c r="A9765" s="997">
        <f t="shared" si="152"/>
        <v>9764</v>
      </c>
      <c r="B9765" s="1129" t="s">
        <v>2724</v>
      </c>
      <c r="C9765" s="1138"/>
      <c r="D9765" s="1129"/>
      <c r="E9765" s="1129"/>
      <c r="F9765" s="1129"/>
      <c r="G9765" s="1129" t="s">
        <v>1109</v>
      </c>
      <c r="H9765" s="1129"/>
      <c r="I9765" s="1129"/>
      <c r="J9765" s="1127"/>
    </row>
    <row r="9766" spans="1:10" x14ac:dyDescent="0.2">
      <c r="A9766" s="997">
        <f t="shared" si="152"/>
        <v>9765</v>
      </c>
      <c r="B9766" s="1129" t="s">
        <v>2724</v>
      </c>
      <c r="C9766" s="1139"/>
      <c r="D9766" s="1129"/>
      <c r="E9766" s="1129"/>
      <c r="F9766" s="1129"/>
      <c r="G9766" s="1129" t="s">
        <v>1106</v>
      </c>
      <c r="H9766" s="1129"/>
      <c r="I9766" s="1129"/>
      <c r="J9766" s="1127"/>
    </row>
    <row r="9767" spans="1:10" x14ac:dyDescent="0.2">
      <c r="A9767" s="997">
        <f t="shared" si="152"/>
        <v>9766</v>
      </c>
      <c r="B9767" s="1129" t="s">
        <v>2724</v>
      </c>
      <c r="C9767" s="1140"/>
      <c r="D9767" s="1129"/>
      <c r="E9767" s="1129"/>
      <c r="F9767" s="1129"/>
      <c r="G9767" s="1129"/>
      <c r="H9767" s="1129" t="s">
        <v>2453</v>
      </c>
      <c r="I9767" s="1129"/>
      <c r="J9767" s="1127"/>
    </row>
    <row r="9768" spans="1:10" x14ac:dyDescent="0.2">
      <c r="A9768" s="997">
        <f t="shared" si="152"/>
        <v>9767</v>
      </c>
      <c r="B9768" s="1129" t="s">
        <v>2724</v>
      </c>
      <c r="C9768" s="1139"/>
      <c r="D9768" s="1129"/>
      <c r="E9768" s="1129"/>
      <c r="F9768" s="1129"/>
      <c r="G9768" s="1129"/>
      <c r="H9768" s="1129" t="str">
        <f>CONCATENATE("&lt;valeur&gt;",Cellule_1219_2,"&lt;/valeur&gt;")</f>
        <v>&lt;valeur&gt;&lt;/valeur&gt;</v>
      </c>
      <c r="I9768" s="1129"/>
      <c r="J9768" s="1127"/>
    </row>
    <row r="9769" spans="1:10" x14ac:dyDescent="0.2">
      <c r="A9769" s="997">
        <f t="shared" si="152"/>
        <v>9768</v>
      </c>
      <c r="B9769" s="1129" t="s">
        <v>2724</v>
      </c>
      <c r="C9769" s="1139"/>
      <c r="D9769" s="1129"/>
      <c r="E9769" s="1129"/>
      <c r="F9769" s="1129"/>
      <c r="G9769" s="1129"/>
      <c r="H9769" s="1129" t="s">
        <v>2735</v>
      </c>
      <c r="I9769" s="1129"/>
      <c r="J9769" s="1127"/>
    </row>
    <row r="9770" spans="1:10" x14ac:dyDescent="0.2">
      <c r="A9770" s="997">
        <f t="shared" si="152"/>
        <v>9769</v>
      </c>
      <c r="B9770" s="1129" t="s">
        <v>2724</v>
      </c>
      <c r="C9770" s="1138"/>
      <c r="D9770" s="1129"/>
      <c r="E9770" s="1129"/>
      <c r="F9770" s="1129"/>
      <c r="G9770" s="1129" t="s">
        <v>1109</v>
      </c>
      <c r="H9770" s="1129"/>
      <c r="I9770" s="1129"/>
      <c r="J9770" s="1127"/>
    </row>
    <row r="9771" spans="1:10" x14ac:dyDescent="0.2">
      <c r="A9771" s="997">
        <f t="shared" si="152"/>
        <v>9770</v>
      </c>
      <c r="B9771" s="1129" t="s">
        <v>2724</v>
      </c>
      <c r="C9771" s="1138"/>
      <c r="D9771" s="1129"/>
      <c r="E9771" s="1129"/>
      <c r="F9771" s="1129"/>
      <c r="G9771" s="1129" t="s">
        <v>1106</v>
      </c>
      <c r="H9771" s="1129"/>
      <c r="I9771" s="1129"/>
      <c r="J9771" s="1127"/>
    </row>
    <row r="9772" spans="1:10" x14ac:dyDescent="0.2">
      <c r="A9772" s="997">
        <f t="shared" si="152"/>
        <v>9771</v>
      </c>
      <c r="B9772" s="1129" t="s">
        <v>2724</v>
      </c>
      <c r="C9772" s="1139"/>
      <c r="D9772" s="1129"/>
      <c r="E9772" s="1129"/>
      <c r="F9772" s="1129"/>
      <c r="G9772" s="1129"/>
      <c r="H9772" s="1129" t="s">
        <v>2454</v>
      </c>
      <c r="I9772" s="1129"/>
      <c r="J9772" s="1127"/>
    </row>
    <row r="9773" spans="1:10" x14ac:dyDescent="0.2">
      <c r="A9773" s="997">
        <f t="shared" si="152"/>
        <v>9772</v>
      </c>
      <c r="B9773" s="1129" t="s">
        <v>2724</v>
      </c>
      <c r="C9773" s="1140"/>
      <c r="D9773" s="1129"/>
      <c r="E9773" s="1129"/>
      <c r="F9773" s="1129"/>
      <c r="G9773" s="1129"/>
      <c r="H9773" s="1129" t="str">
        <f>CONCATENATE("&lt;valeur&gt;",Cellule_1220_2,"&lt;/valeur&gt;")</f>
        <v>&lt;valeur&gt;&lt;/valeur&gt;</v>
      </c>
      <c r="I9773" s="1129"/>
      <c r="J9773" s="1127"/>
    </row>
    <row r="9774" spans="1:10" x14ac:dyDescent="0.2">
      <c r="A9774" s="997">
        <f t="shared" si="152"/>
        <v>9773</v>
      </c>
      <c r="B9774" s="1129" t="s">
        <v>2724</v>
      </c>
      <c r="C9774" s="1139"/>
      <c r="D9774" s="1129"/>
      <c r="E9774" s="1129"/>
      <c r="F9774" s="1129"/>
      <c r="G9774" s="1129"/>
      <c r="H9774" s="1129" t="s">
        <v>2735</v>
      </c>
      <c r="I9774" s="1129"/>
      <c r="J9774" s="1127"/>
    </row>
    <row r="9775" spans="1:10" x14ac:dyDescent="0.2">
      <c r="A9775" s="997">
        <f t="shared" si="152"/>
        <v>9774</v>
      </c>
      <c r="B9775" s="1130" t="s">
        <v>2724</v>
      </c>
      <c r="C9775" s="1144"/>
      <c r="D9775" s="1130"/>
      <c r="E9775" s="1130"/>
      <c r="F9775" s="1130"/>
      <c r="G9775" s="1130" t="s">
        <v>1109</v>
      </c>
      <c r="H9775" s="1130"/>
      <c r="I9775" s="1130"/>
      <c r="J9775" s="1142"/>
    </row>
    <row r="9776" spans="1:10" x14ac:dyDescent="0.2">
      <c r="A9776" s="997">
        <f t="shared" si="152"/>
        <v>9775</v>
      </c>
      <c r="B9776" s="1128" t="s">
        <v>2724</v>
      </c>
      <c r="C9776" s="1137"/>
      <c r="D9776" s="1128"/>
      <c r="E9776" s="1128"/>
      <c r="F9776" s="1128"/>
      <c r="G9776" s="1128" t="s">
        <v>1106</v>
      </c>
      <c r="H9776" s="1128"/>
      <c r="I9776" s="1128"/>
      <c r="J9776" s="1124"/>
    </row>
    <row r="9777" spans="1:10" x14ac:dyDescent="0.2">
      <c r="A9777" s="997">
        <f t="shared" si="152"/>
        <v>9776</v>
      </c>
      <c r="B9777" s="1129" t="s">
        <v>2724</v>
      </c>
      <c r="C9777" s="1139"/>
      <c r="D9777" s="1129"/>
      <c r="E9777" s="1129"/>
      <c r="F9777" s="1129"/>
      <c r="G9777" s="1129"/>
      <c r="H9777" s="1129" t="s">
        <v>2442</v>
      </c>
      <c r="I9777" s="1129"/>
      <c r="J9777" s="1127"/>
    </row>
    <row r="9778" spans="1:10" x14ac:dyDescent="0.2">
      <c r="A9778" s="997">
        <f t="shared" si="152"/>
        <v>9777</v>
      </c>
      <c r="B9778" s="1129" t="s">
        <v>2724</v>
      </c>
      <c r="C9778" s="1140"/>
      <c r="D9778" s="1129"/>
      <c r="E9778" s="1129"/>
      <c r="F9778" s="1129"/>
      <c r="G9778" s="1129"/>
      <c r="H9778" s="1129" t="str">
        <f>CONCATENATE("&lt;valeur&gt;",Cellule_1208_3,"&lt;/valeur&gt;")</f>
        <v>&lt;valeur&gt;&lt;/valeur&gt;</v>
      </c>
      <c r="I9778" s="1129"/>
      <c r="J9778" s="1127"/>
    </row>
    <row r="9779" spans="1:10" x14ac:dyDescent="0.2">
      <c r="A9779" s="997">
        <f t="shared" si="152"/>
        <v>9778</v>
      </c>
      <c r="B9779" s="1129" t="s">
        <v>2724</v>
      </c>
      <c r="C9779" s="1139"/>
      <c r="D9779" s="1129"/>
      <c r="E9779" s="1129"/>
      <c r="F9779" s="1129"/>
      <c r="G9779" s="1129"/>
      <c r="H9779" s="1129" t="s">
        <v>2736</v>
      </c>
      <c r="I9779" s="1129"/>
      <c r="J9779" s="1127"/>
    </row>
    <row r="9780" spans="1:10" x14ac:dyDescent="0.2">
      <c r="A9780" s="997">
        <f t="shared" si="152"/>
        <v>9779</v>
      </c>
      <c r="B9780" s="1129" t="s">
        <v>2724</v>
      </c>
      <c r="C9780" s="1139"/>
      <c r="D9780" s="1129"/>
      <c r="E9780" s="1129"/>
      <c r="F9780" s="1129"/>
      <c r="G9780" s="1129" t="s">
        <v>1109</v>
      </c>
      <c r="H9780" s="1129"/>
      <c r="I9780" s="1129"/>
      <c r="J9780" s="1127"/>
    </row>
    <row r="9781" spans="1:10" x14ac:dyDescent="0.2">
      <c r="A9781" s="997">
        <f t="shared" si="152"/>
        <v>9780</v>
      </c>
      <c r="B9781" s="1129" t="s">
        <v>2724</v>
      </c>
      <c r="C9781" s="1138"/>
      <c r="D9781" s="1129"/>
      <c r="E9781" s="1129"/>
      <c r="F9781" s="1129"/>
      <c r="G9781" s="1129" t="s">
        <v>1106</v>
      </c>
      <c r="H9781" s="1129"/>
      <c r="I9781" s="1129"/>
      <c r="J9781" s="1127"/>
    </row>
    <row r="9782" spans="1:10" x14ac:dyDescent="0.2">
      <c r="A9782" s="997">
        <f t="shared" si="152"/>
        <v>9781</v>
      </c>
      <c r="B9782" s="1129" t="s">
        <v>2724</v>
      </c>
      <c r="C9782" s="1138"/>
      <c r="D9782" s="1129"/>
      <c r="E9782" s="1129"/>
      <c r="F9782" s="1129"/>
      <c r="G9782" s="1129"/>
      <c r="H9782" s="1129" t="s">
        <v>2443</v>
      </c>
      <c r="I9782" s="1129"/>
      <c r="J9782" s="1127"/>
    </row>
    <row r="9783" spans="1:10" x14ac:dyDescent="0.2">
      <c r="A9783" s="997">
        <f t="shared" si="152"/>
        <v>9782</v>
      </c>
      <c r="B9783" s="1129" t="s">
        <v>2724</v>
      </c>
      <c r="C9783" s="1139"/>
      <c r="D9783" s="1129"/>
      <c r="E9783" s="1129"/>
      <c r="F9783" s="1129"/>
      <c r="G9783" s="1129"/>
      <c r="H9783" s="1129" t="str">
        <f>CONCATENATE("&lt;valeur&gt;",Cellule_1209_3,"&lt;/valeur&gt;")</f>
        <v>&lt;valeur&gt;&lt;/valeur&gt;</v>
      </c>
      <c r="I9783" s="1129"/>
      <c r="J9783" s="1127"/>
    </row>
    <row r="9784" spans="1:10" x14ac:dyDescent="0.2">
      <c r="A9784" s="997">
        <f t="shared" si="152"/>
        <v>9783</v>
      </c>
      <c r="B9784" s="1129" t="s">
        <v>2724</v>
      </c>
      <c r="C9784" s="1140"/>
      <c r="D9784" s="1129"/>
      <c r="E9784" s="1129"/>
      <c r="F9784" s="1129"/>
      <c r="G9784" s="1129"/>
      <c r="H9784" s="1129" t="s">
        <v>2736</v>
      </c>
      <c r="I9784" s="1129"/>
      <c r="J9784" s="1127"/>
    </row>
    <row r="9785" spans="1:10" x14ac:dyDescent="0.2">
      <c r="A9785" s="997">
        <f t="shared" si="152"/>
        <v>9784</v>
      </c>
      <c r="B9785" s="1129" t="s">
        <v>2724</v>
      </c>
      <c r="C9785" s="1139"/>
      <c r="D9785" s="1129"/>
      <c r="E9785" s="1129"/>
      <c r="F9785" s="1129"/>
      <c r="G9785" s="1129" t="s">
        <v>1109</v>
      </c>
      <c r="H9785" s="1129"/>
      <c r="I9785" s="1129"/>
      <c r="J9785" s="1127"/>
    </row>
    <row r="9786" spans="1:10" x14ac:dyDescent="0.2">
      <c r="A9786" s="997">
        <f t="shared" si="152"/>
        <v>9785</v>
      </c>
      <c r="B9786" s="1129" t="s">
        <v>2724</v>
      </c>
      <c r="C9786" s="1139"/>
      <c r="D9786" s="1129"/>
      <c r="E9786" s="1129"/>
      <c r="F9786" s="1129"/>
      <c r="G9786" s="1129" t="s">
        <v>1106</v>
      </c>
      <c r="H9786" s="1129"/>
      <c r="I9786" s="1129"/>
      <c r="J9786" s="1127"/>
    </row>
    <row r="9787" spans="1:10" x14ac:dyDescent="0.2">
      <c r="A9787" s="997">
        <f t="shared" si="152"/>
        <v>9786</v>
      </c>
      <c r="B9787" s="1129" t="s">
        <v>2724</v>
      </c>
      <c r="C9787" s="1138"/>
      <c r="D9787" s="1129"/>
      <c r="E9787" s="1129"/>
      <c r="F9787" s="1129"/>
      <c r="G9787" s="1129"/>
      <c r="H9787" s="1129" t="s">
        <v>2444</v>
      </c>
      <c r="I9787" s="1129"/>
      <c r="J9787" s="1127"/>
    </row>
    <row r="9788" spans="1:10" x14ac:dyDescent="0.2">
      <c r="A9788" s="997">
        <f t="shared" si="152"/>
        <v>9787</v>
      </c>
      <c r="B9788" s="1129" t="s">
        <v>2724</v>
      </c>
      <c r="C9788" s="1138"/>
      <c r="D9788" s="1129"/>
      <c r="E9788" s="1129"/>
      <c r="F9788" s="1129"/>
      <c r="G9788" s="1129"/>
      <c r="H9788" s="1129" t="str">
        <f>CONCATENATE("&lt;valeur&gt;",Cellule_1210_3,"&lt;/valeur&gt;")</f>
        <v>&lt;valeur&gt;&lt;/valeur&gt;</v>
      </c>
      <c r="I9788" s="1129"/>
      <c r="J9788" s="1127"/>
    </row>
    <row r="9789" spans="1:10" x14ac:dyDescent="0.2">
      <c r="A9789" s="997">
        <f t="shared" si="152"/>
        <v>9788</v>
      </c>
      <c r="B9789" s="1129" t="s">
        <v>2724</v>
      </c>
      <c r="C9789" s="1139"/>
      <c r="D9789" s="1129"/>
      <c r="E9789" s="1129"/>
      <c r="F9789" s="1129"/>
      <c r="G9789" s="1129"/>
      <c r="H9789" s="1129" t="s">
        <v>2736</v>
      </c>
      <c r="I9789" s="1129"/>
      <c r="J9789" s="1127"/>
    </row>
    <row r="9790" spans="1:10" x14ac:dyDescent="0.2">
      <c r="A9790" s="997">
        <f t="shared" si="152"/>
        <v>9789</v>
      </c>
      <c r="B9790" s="1129" t="s">
        <v>2724</v>
      </c>
      <c r="C9790" s="1140"/>
      <c r="D9790" s="1129"/>
      <c r="E9790" s="1129"/>
      <c r="F9790" s="1129"/>
      <c r="G9790" s="1129" t="s">
        <v>1109</v>
      </c>
      <c r="H9790" s="1129"/>
      <c r="I9790" s="1129"/>
      <c r="J9790" s="1127"/>
    </row>
    <row r="9791" spans="1:10" x14ac:dyDescent="0.2">
      <c r="A9791" s="997">
        <f t="shared" si="152"/>
        <v>9790</v>
      </c>
      <c r="B9791" s="1129" t="s">
        <v>2724</v>
      </c>
      <c r="C9791" s="1139"/>
      <c r="D9791" s="1129"/>
      <c r="E9791" s="1129"/>
      <c r="F9791" s="1129"/>
      <c r="G9791" s="1129" t="s">
        <v>1106</v>
      </c>
      <c r="H9791" s="1129"/>
      <c r="I9791" s="1129"/>
      <c r="J9791" s="1127"/>
    </row>
    <row r="9792" spans="1:10" x14ac:dyDescent="0.2">
      <c r="A9792" s="997">
        <f t="shared" si="152"/>
        <v>9791</v>
      </c>
      <c r="B9792" s="1129" t="s">
        <v>2724</v>
      </c>
      <c r="C9792" s="1139"/>
      <c r="D9792" s="1129"/>
      <c r="E9792" s="1129"/>
      <c r="F9792" s="1129"/>
      <c r="G9792" s="1129"/>
      <c r="H9792" s="1129" t="s">
        <v>2445</v>
      </c>
      <c r="I9792" s="1129"/>
      <c r="J9792" s="1127"/>
    </row>
    <row r="9793" spans="1:10" x14ac:dyDescent="0.2">
      <c r="A9793" s="997">
        <f t="shared" si="152"/>
        <v>9792</v>
      </c>
      <c r="B9793" s="1129" t="s">
        <v>2724</v>
      </c>
      <c r="C9793" s="1138"/>
      <c r="D9793" s="1129"/>
      <c r="E9793" s="1129"/>
      <c r="F9793" s="1129"/>
      <c r="G9793" s="1129"/>
      <c r="H9793" s="1129" t="str">
        <f>CONCATENATE("&lt;valeur&gt;",Cellule_1211_3,"&lt;/valeur&gt;")</f>
        <v>&lt;valeur&gt;&lt;/valeur&gt;</v>
      </c>
      <c r="I9793" s="1129"/>
      <c r="J9793" s="1127"/>
    </row>
    <row r="9794" spans="1:10" x14ac:dyDescent="0.2">
      <c r="A9794" s="997">
        <f t="shared" si="152"/>
        <v>9793</v>
      </c>
      <c r="B9794" s="1129" t="s">
        <v>2724</v>
      </c>
      <c r="C9794" s="1138"/>
      <c r="D9794" s="1129"/>
      <c r="E9794" s="1129"/>
      <c r="F9794" s="1129"/>
      <c r="G9794" s="1129"/>
      <c r="H9794" s="1129" t="s">
        <v>2736</v>
      </c>
      <c r="I9794" s="1129"/>
      <c r="J9794" s="1127"/>
    </row>
    <row r="9795" spans="1:10" x14ac:dyDescent="0.2">
      <c r="A9795" s="997">
        <f t="shared" si="152"/>
        <v>9794</v>
      </c>
      <c r="B9795" s="1129" t="s">
        <v>2724</v>
      </c>
      <c r="C9795" s="1139"/>
      <c r="D9795" s="1129"/>
      <c r="E9795" s="1129"/>
      <c r="F9795" s="1129"/>
      <c r="G9795" s="1129" t="s">
        <v>1109</v>
      </c>
      <c r="H9795" s="1129"/>
      <c r="I9795" s="1129"/>
      <c r="J9795" s="1127"/>
    </row>
    <row r="9796" spans="1:10" x14ac:dyDescent="0.2">
      <c r="A9796" s="997">
        <f t="shared" ref="A9796:A9859" si="153">+A9795+1</f>
        <v>9795</v>
      </c>
      <c r="B9796" s="1129" t="s">
        <v>2724</v>
      </c>
      <c r="C9796" s="1140"/>
      <c r="D9796" s="1129"/>
      <c r="E9796" s="1129"/>
      <c r="F9796" s="1129"/>
      <c r="G9796" s="1129" t="s">
        <v>1106</v>
      </c>
      <c r="H9796" s="1129"/>
      <c r="I9796" s="1129"/>
      <c r="J9796" s="1127"/>
    </row>
    <row r="9797" spans="1:10" x14ac:dyDescent="0.2">
      <c r="A9797" s="997">
        <f t="shared" si="153"/>
        <v>9796</v>
      </c>
      <c r="B9797" s="1129" t="s">
        <v>2724</v>
      </c>
      <c r="C9797" s="1139"/>
      <c r="D9797" s="1129"/>
      <c r="E9797" s="1129"/>
      <c r="F9797" s="1129"/>
      <c r="G9797" s="1129"/>
      <c r="H9797" s="1129" t="s">
        <v>2446</v>
      </c>
      <c r="I9797" s="1129"/>
      <c r="J9797" s="1127"/>
    </row>
    <row r="9798" spans="1:10" x14ac:dyDescent="0.2">
      <c r="A9798" s="997">
        <f t="shared" si="153"/>
        <v>9797</v>
      </c>
      <c r="B9798" s="1129" t="s">
        <v>2724</v>
      </c>
      <c r="C9798" s="1139"/>
      <c r="D9798" s="1129"/>
      <c r="E9798" s="1129"/>
      <c r="F9798" s="1129"/>
      <c r="G9798" s="1129"/>
      <c r="H9798" s="1129" t="str">
        <f>CONCATENATE("&lt;valeur&gt;",Cellule_1212_3,"&lt;/valeur&gt;")</f>
        <v>&lt;valeur&gt;&lt;/valeur&gt;</v>
      </c>
      <c r="I9798" s="1129"/>
      <c r="J9798" s="1127"/>
    </row>
    <row r="9799" spans="1:10" x14ac:dyDescent="0.2">
      <c r="A9799" s="997">
        <f t="shared" si="153"/>
        <v>9798</v>
      </c>
      <c r="B9799" s="1129" t="s">
        <v>2724</v>
      </c>
      <c r="C9799" s="1138"/>
      <c r="D9799" s="1129"/>
      <c r="E9799" s="1129"/>
      <c r="F9799" s="1129"/>
      <c r="G9799" s="1129"/>
      <c r="H9799" s="1129" t="s">
        <v>2736</v>
      </c>
      <c r="I9799" s="1129"/>
      <c r="J9799" s="1127"/>
    </row>
    <row r="9800" spans="1:10" x14ac:dyDescent="0.2">
      <c r="A9800" s="997">
        <f t="shared" si="153"/>
        <v>9799</v>
      </c>
      <c r="B9800" s="1129" t="s">
        <v>2724</v>
      </c>
      <c r="C9800" s="1138"/>
      <c r="D9800" s="1129"/>
      <c r="E9800" s="1129"/>
      <c r="F9800" s="1129"/>
      <c r="G9800" s="1129" t="s">
        <v>1109</v>
      </c>
      <c r="H9800" s="1129"/>
      <c r="I9800" s="1129"/>
      <c r="J9800" s="1127"/>
    </row>
    <row r="9801" spans="1:10" x14ac:dyDescent="0.2">
      <c r="A9801" s="997">
        <f t="shared" si="153"/>
        <v>9800</v>
      </c>
      <c r="B9801" s="1129" t="s">
        <v>2724</v>
      </c>
      <c r="C9801" s="1139"/>
      <c r="D9801" s="1129"/>
      <c r="E9801" s="1129"/>
      <c r="F9801" s="1129"/>
      <c r="G9801" s="1129" t="s">
        <v>1106</v>
      </c>
      <c r="H9801" s="1129"/>
      <c r="I9801" s="1129"/>
      <c r="J9801" s="1127"/>
    </row>
    <row r="9802" spans="1:10" x14ac:dyDescent="0.2">
      <c r="A9802" s="997">
        <f t="shared" si="153"/>
        <v>9801</v>
      </c>
      <c r="B9802" s="1129" t="s">
        <v>2724</v>
      </c>
      <c r="C9802" s="1140"/>
      <c r="D9802" s="1129"/>
      <c r="E9802" s="1129"/>
      <c r="F9802" s="1129"/>
      <c r="G9802" s="1129"/>
      <c r="H9802" s="1129" t="s">
        <v>2447</v>
      </c>
      <c r="I9802" s="1129"/>
      <c r="J9802" s="1127"/>
    </row>
    <row r="9803" spans="1:10" x14ac:dyDescent="0.2">
      <c r="A9803" s="997">
        <f t="shared" si="153"/>
        <v>9802</v>
      </c>
      <c r="B9803" s="1129" t="s">
        <v>2724</v>
      </c>
      <c r="C9803" s="1139"/>
      <c r="D9803" s="1129"/>
      <c r="E9803" s="1129"/>
      <c r="F9803" s="1129"/>
      <c r="G9803" s="1129"/>
      <c r="H9803" s="1129" t="str">
        <f>CONCATENATE("&lt;valeur&gt;",Cellule_1213_3,"&lt;/valeur&gt;")</f>
        <v>&lt;valeur&gt;&lt;/valeur&gt;</v>
      </c>
      <c r="I9803" s="1129"/>
      <c r="J9803" s="1127"/>
    </row>
    <row r="9804" spans="1:10" x14ac:dyDescent="0.2">
      <c r="A9804" s="997">
        <f t="shared" si="153"/>
        <v>9803</v>
      </c>
      <c r="B9804" s="1129" t="s">
        <v>2724</v>
      </c>
      <c r="C9804" s="1139"/>
      <c r="D9804" s="1129"/>
      <c r="E9804" s="1129"/>
      <c r="F9804" s="1129"/>
      <c r="G9804" s="1129"/>
      <c r="H9804" s="1129" t="s">
        <v>2736</v>
      </c>
      <c r="I9804" s="1129"/>
      <c r="J9804" s="1127"/>
    </row>
    <row r="9805" spans="1:10" x14ac:dyDescent="0.2">
      <c r="A9805" s="997">
        <f t="shared" si="153"/>
        <v>9804</v>
      </c>
      <c r="B9805" s="1129" t="s">
        <v>2724</v>
      </c>
      <c r="C9805" s="1138"/>
      <c r="D9805" s="1129"/>
      <c r="E9805" s="1129"/>
      <c r="F9805" s="1129"/>
      <c r="G9805" s="1129" t="s">
        <v>1109</v>
      </c>
      <c r="H9805" s="1129"/>
      <c r="I9805" s="1129"/>
      <c r="J9805" s="1127"/>
    </row>
    <row r="9806" spans="1:10" x14ac:dyDescent="0.2">
      <c r="A9806" s="997">
        <f t="shared" si="153"/>
        <v>9805</v>
      </c>
      <c r="B9806" s="1129" t="s">
        <v>2724</v>
      </c>
      <c r="C9806" s="1138"/>
      <c r="D9806" s="1129"/>
      <c r="E9806" s="1129"/>
      <c r="F9806" s="1129"/>
      <c r="G9806" s="1129" t="s">
        <v>1106</v>
      </c>
      <c r="H9806" s="1129"/>
      <c r="I9806" s="1129"/>
      <c r="J9806" s="1127"/>
    </row>
    <row r="9807" spans="1:10" x14ac:dyDescent="0.2">
      <c r="A9807" s="997">
        <f t="shared" si="153"/>
        <v>9806</v>
      </c>
      <c r="B9807" s="1129" t="s">
        <v>2724</v>
      </c>
      <c r="C9807" s="1139"/>
      <c r="D9807" s="1129"/>
      <c r="E9807" s="1129"/>
      <c r="F9807" s="1129"/>
      <c r="G9807" s="1129"/>
      <c r="H9807" s="1129" t="s">
        <v>2448</v>
      </c>
      <c r="I9807" s="1129"/>
      <c r="J9807" s="1127"/>
    </row>
    <row r="9808" spans="1:10" x14ac:dyDescent="0.2">
      <c r="A9808" s="997">
        <f t="shared" si="153"/>
        <v>9807</v>
      </c>
      <c r="B9808" s="1129" t="s">
        <v>2724</v>
      </c>
      <c r="C9808" s="1140"/>
      <c r="D9808" s="1129"/>
      <c r="E9808" s="1129"/>
      <c r="F9808" s="1129"/>
      <c r="G9808" s="1129"/>
      <c r="H9808" s="1129" t="str">
        <f>CONCATENATE("&lt;valeur&gt;",Cellule_1214_3,"&lt;/valeur&gt;")</f>
        <v>&lt;valeur&gt;&lt;/valeur&gt;</v>
      </c>
      <c r="I9808" s="1129"/>
      <c r="J9808" s="1127"/>
    </row>
    <row r="9809" spans="1:10" x14ac:dyDescent="0.2">
      <c r="A9809" s="997">
        <f t="shared" si="153"/>
        <v>9808</v>
      </c>
      <c r="B9809" s="1129" t="s">
        <v>2724</v>
      </c>
      <c r="C9809" s="1139"/>
      <c r="D9809" s="1129"/>
      <c r="E9809" s="1129"/>
      <c r="F9809" s="1129"/>
      <c r="G9809" s="1129"/>
      <c r="H9809" s="1129" t="s">
        <v>2736</v>
      </c>
      <c r="I9809" s="1129"/>
      <c r="J9809" s="1127"/>
    </row>
    <row r="9810" spans="1:10" x14ac:dyDescent="0.2">
      <c r="A9810" s="997">
        <f t="shared" si="153"/>
        <v>9809</v>
      </c>
      <c r="B9810" s="1129" t="s">
        <v>2724</v>
      </c>
      <c r="C9810" s="1139"/>
      <c r="D9810" s="1129"/>
      <c r="E9810" s="1129"/>
      <c r="F9810" s="1129"/>
      <c r="G9810" s="1129" t="s">
        <v>1109</v>
      </c>
      <c r="H9810" s="1129"/>
      <c r="I9810" s="1129"/>
      <c r="J9810" s="1127"/>
    </row>
    <row r="9811" spans="1:10" x14ac:dyDescent="0.2">
      <c r="A9811" s="997">
        <f t="shared" si="153"/>
        <v>9810</v>
      </c>
      <c r="B9811" s="1129" t="s">
        <v>2724</v>
      </c>
      <c r="C9811" s="1138"/>
      <c r="D9811" s="1129"/>
      <c r="E9811" s="1129"/>
      <c r="F9811" s="1129"/>
      <c r="G9811" s="1129" t="s">
        <v>1106</v>
      </c>
      <c r="H9811" s="1129"/>
      <c r="I9811" s="1129"/>
      <c r="J9811" s="1127"/>
    </row>
    <row r="9812" spans="1:10" x14ac:dyDescent="0.2">
      <c r="A9812" s="997">
        <f t="shared" si="153"/>
        <v>9811</v>
      </c>
      <c r="B9812" s="1129" t="s">
        <v>2724</v>
      </c>
      <c r="C9812" s="1138"/>
      <c r="D9812" s="1129"/>
      <c r="E9812" s="1129"/>
      <c r="F9812" s="1129"/>
      <c r="G9812" s="1129"/>
      <c r="H9812" s="1129" t="s">
        <v>2449</v>
      </c>
      <c r="I9812" s="1129"/>
      <c r="J9812" s="1127"/>
    </row>
    <row r="9813" spans="1:10" x14ac:dyDescent="0.2">
      <c r="A9813" s="997">
        <f t="shared" si="153"/>
        <v>9812</v>
      </c>
      <c r="B9813" s="1129" t="s">
        <v>2724</v>
      </c>
      <c r="C9813" s="1139"/>
      <c r="D9813" s="1129"/>
      <c r="E9813" s="1129"/>
      <c r="F9813" s="1129"/>
      <c r="G9813" s="1129"/>
      <c r="H9813" s="1129" t="str">
        <f>CONCATENATE("&lt;valeur&gt;",Cellule_1215_3,"&lt;/valeur&gt;")</f>
        <v>&lt;valeur&gt;&lt;/valeur&gt;</v>
      </c>
      <c r="I9813" s="1129"/>
      <c r="J9813" s="1127"/>
    </row>
    <row r="9814" spans="1:10" x14ac:dyDescent="0.2">
      <c r="A9814" s="997">
        <f t="shared" si="153"/>
        <v>9813</v>
      </c>
      <c r="B9814" s="1129" t="s">
        <v>2724</v>
      </c>
      <c r="C9814" s="1140"/>
      <c r="D9814" s="1129"/>
      <c r="E9814" s="1129"/>
      <c r="F9814" s="1129"/>
      <c r="G9814" s="1129"/>
      <c r="H9814" s="1129" t="s">
        <v>2736</v>
      </c>
      <c r="I9814" s="1129"/>
      <c r="J9814" s="1127"/>
    </row>
    <row r="9815" spans="1:10" x14ac:dyDescent="0.2">
      <c r="A9815" s="997">
        <f t="shared" si="153"/>
        <v>9814</v>
      </c>
      <c r="B9815" s="1129" t="s">
        <v>2724</v>
      </c>
      <c r="C9815" s="1139"/>
      <c r="D9815" s="1129"/>
      <c r="E9815" s="1129"/>
      <c r="F9815" s="1129"/>
      <c r="G9815" s="1129" t="s">
        <v>1109</v>
      </c>
      <c r="H9815" s="1129"/>
      <c r="I9815" s="1129"/>
      <c r="J9815" s="1127"/>
    </row>
    <row r="9816" spans="1:10" x14ac:dyDescent="0.2">
      <c r="A9816" s="997">
        <f t="shared" si="153"/>
        <v>9815</v>
      </c>
      <c r="B9816" s="1129" t="s">
        <v>2724</v>
      </c>
      <c r="C9816" s="1139"/>
      <c r="D9816" s="1129"/>
      <c r="E9816" s="1129"/>
      <c r="F9816" s="1129"/>
      <c r="G9816" s="1129" t="s">
        <v>1106</v>
      </c>
      <c r="H9816" s="1129"/>
      <c r="I9816" s="1129"/>
      <c r="J9816" s="1127"/>
    </row>
    <row r="9817" spans="1:10" x14ac:dyDescent="0.2">
      <c r="A9817" s="997">
        <f t="shared" si="153"/>
        <v>9816</v>
      </c>
      <c r="B9817" s="1129" t="s">
        <v>2724</v>
      </c>
      <c r="C9817" s="1138"/>
      <c r="D9817" s="1129"/>
      <c r="E9817" s="1129"/>
      <c r="F9817" s="1129"/>
      <c r="G9817" s="1129"/>
      <c r="H9817" s="1129" t="s">
        <v>2450</v>
      </c>
      <c r="I9817" s="1129"/>
      <c r="J9817" s="1127"/>
    </row>
    <row r="9818" spans="1:10" x14ac:dyDescent="0.2">
      <c r="A9818" s="997">
        <f t="shared" si="153"/>
        <v>9817</v>
      </c>
      <c r="B9818" s="1129" t="s">
        <v>2724</v>
      </c>
      <c r="C9818" s="1138"/>
      <c r="D9818" s="1129"/>
      <c r="E9818" s="1129"/>
      <c r="F9818" s="1129"/>
      <c r="G9818" s="1129"/>
      <c r="H9818" s="1129" t="str">
        <f>CONCATENATE("&lt;valeur&gt;",Cellule_1216_3,"&lt;/valeur&gt;")</f>
        <v>&lt;valeur&gt;&lt;/valeur&gt;</v>
      </c>
      <c r="I9818" s="1129"/>
      <c r="J9818" s="1127"/>
    </row>
    <row r="9819" spans="1:10" x14ac:dyDescent="0.2">
      <c r="A9819" s="997">
        <f t="shared" si="153"/>
        <v>9818</v>
      </c>
      <c r="B9819" s="1129" t="s">
        <v>2724</v>
      </c>
      <c r="C9819" s="1139"/>
      <c r="D9819" s="1129"/>
      <c r="E9819" s="1129"/>
      <c r="F9819" s="1129"/>
      <c r="G9819" s="1129"/>
      <c r="H9819" s="1129" t="s">
        <v>2736</v>
      </c>
      <c r="I9819" s="1129"/>
      <c r="J9819" s="1127"/>
    </row>
    <row r="9820" spans="1:10" x14ac:dyDescent="0.2">
      <c r="A9820" s="997">
        <f t="shared" si="153"/>
        <v>9819</v>
      </c>
      <c r="B9820" s="1129" t="s">
        <v>2724</v>
      </c>
      <c r="C9820" s="1140"/>
      <c r="D9820" s="1129"/>
      <c r="E9820" s="1129"/>
      <c r="F9820" s="1129"/>
      <c r="G9820" s="1129" t="s">
        <v>1109</v>
      </c>
      <c r="H9820" s="1129"/>
      <c r="I9820" s="1129"/>
      <c r="J9820" s="1127"/>
    </row>
    <row r="9821" spans="1:10" x14ac:dyDescent="0.2">
      <c r="A9821" s="997">
        <f t="shared" si="153"/>
        <v>9820</v>
      </c>
      <c r="B9821" s="1129" t="s">
        <v>2724</v>
      </c>
      <c r="C9821" s="1139"/>
      <c r="D9821" s="1129"/>
      <c r="E9821" s="1129"/>
      <c r="F9821" s="1129"/>
      <c r="G9821" s="1129" t="s">
        <v>1106</v>
      </c>
      <c r="H9821" s="1129"/>
      <c r="I9821" s="1129"/>
      <c r="J9821" s="1127"/>
    </row>
    <row r="9822" spans="1:10" x14ac:dyDescent="0.2">
      <c r="A9822" s="997">
        <f t="shared" si="153"/>
        <v>9821</v>
      </c>
      <c r="B9822" s="1129" t="s">
        <v>2724</v>
      </c>
      <c r="C9822" s="1139"/>
      <c r="D9822" s="1129"/>
      <c r="E9822" s="1129"/>
      <c r="F9822" s="1129"/>
      <c r="G9822" s="1129"/>
      <c r="H9822" s="1129" t="s">
        <v>2451</v>
      </c>
      <c r="I9822" s="1129"/>
      <c r="J9822" s="1127"/>
    </row>
    <row r="9823" spans="1:10" x14ac:dyDescent="0.2">
      <c r="A9823" s="997">
        <f t="shared" si="153"/>
        <v>9822</v>
      </c>
      <c r="B9823" s="1129" t="s">
        <v>2724</v>
      </c>
      <c r="C9823" s="1138"/>
      <c r="D9823" s="1129"/>
      <c r="E9823" s="1129"/>
      <c r="F9823" s="1129"/>
      <c r="G9823" s="1129"/>
      <c r="H9823" s="1129" t="str">
        <f>CONCATENATE("&lt;valeur&gt;",Cellule_1217_3,"&lt;/valeur&gt;")</f>
        <v>&lt;valeur&gt;&lt;/valeur&gt;</v>
      </c>
      <c r="I9823" s="1129"/>
      <c r="J9823" s="1127"/>
    </row>
    <row r="9824" spans="1:10" x14ac:dyDescent="0.2">
      <c r="A9824" s="997">
        <f t="shared" si="153"/>
        <v>9823</v>
      </c>
      <c r="B9824" s="1129" t="s">
        <v>2724</v>
      </c>
      <c r="C9824" s="1138"/>
      <c r="D9824" s="1129"/>
      <c r="E9824" s="1129"/>
      <c r="F9824" s="1129"/>
      <c r="G9824" s="1129"/>
      <c r="H9824" s="1129" t="s">
        <v>2736</v>
      </c>
      <c r="I9824" s="1129"/>
      <c r="J9824" s="1127"/>
    </row>
    <row r="9825" spans="1:10" x14ac:dyDescent="0.2">
      <c r="A9825" s="997">
        <f t="shared" si="153"/>
        <v>9824</v>
      </c>
      <c r="B9825" s="1129" t="s">
        <v>2724</v>
      </c>
      <c r="C9825" s="1139"/>
      <c r="D9825" s="1129"/>
      <c r="E9825" s="1129"/>
      <c r="F9825" s="1129"/>
      <c r="G9825" s="1129" t="s">
        <v>1109</v>
      </c>
      <c r="H9825" s="1129"/>
      <c r="I9825" s="1129"/>
      <c r="J9825" s="1127"/>
    </row>
    <row r="9826" spans="1:10" x14ac:dyDescent="0.2">
      <c r="A9826" s="997">
        <f t="shared" si="153"/>
        <v>9825</v>
      </c>
      <c r="B9826" s="1129" t="s">
        <v>2724</v>
      </c>
      <c r="C9826" s="1140"/>
      <c r="D9826" s="1129"/>
      <c r="E9826" s="1129"/>
      <c r="F9826" s="1129"/>
      <c r="G9826" s="1129" t="s">
        <v>1106</v>
      </c>
      <c r="H9826" s="1129"/>
      <c r="I9826" s="1129"/>
      <c r="J9826" s="1127"/>
    </row>
    <row r="9827" spans="1:10" x14ac:dyDescent="0.2">
      <c r="A9827" s="997">
        <f t="shared" si="153"/>
        <v>9826</v>
      </c>
      <c r="B9827" s="1129" t="s">
        <v>2724</v>
      </c>
      <c r="C9827" s="1139"/>
      <c r="D9827" s="1129"/>
      <c r="E9827" s="1129"/>
      <c r="F9827" s="1129"/>
      <c r="G9827" s="1129"/>
      <c r="H9827" s="1129" t="s">
        <v>2452</v>
      </c>
      <c r="I9827" s="1129"/>
      <c r="J9827" s="1127"/>
    </row>
    <row r="9828" spans="1:10" x14ac:dyDescent="0.2">
      <c r="A9828" s="997">
        <f t="shared" si="153"/>
        <v>9827</v>
      </c>
      <c r="B9828" s="1129" t="s">
        <v>2724</v>
      </c>
      <c r="C9828" s="1139"/>
      <c r="D9828" s="1129"/>
      <c r="E9828" s="1129"/>
      <c r="F9828" s="1129"/>
      <c r="G9828" s="1129"/>
      <c r="H9828" s="1129" t="str">
        <f>CONCATENATE("&lt;valeur&gt;",Cellule_1218_3,"&lt;/valeur&gt;")</f>
        <v>&lt;valeur&gt;&lt;/valeur&gt;</v>
      </c>
      <c r="I9828" s="1129"/>
      <c r="J9828" s="1127"/>
    </row>
    <row r="9829" spans="1:10" x14ac:dyDescent="0.2">
      <c r="A9829" s="997">
        <f t="shared" si="153"/>
        <v>9828</v>
      </c>
      <c r="B9829" s="1129" t="s">
        <v>2724</v>
      </c>
      <c r="C9829" s="1138"/>
      <c r="D9829" s="1129"/>
      <c r="E9829" s="1129"/>
      <c r="F9829" s="1129"/>
      <c r="G9829" s="1129"/>
      <c r="H9829" s="1129" t="s">
        <v>2736</v>
      </c>
      <c r="I9829" s="1129"/>
      <c r="J9829" s="1127"/>
    </row>
    <row r="9830" spans="1:10" x14ac:dyDescent="0.2">
      <c r="A9830" s="997">
        <f t="shared" si="153"/>
        <v>9829</v>
      </c>
      <c r="B9830" s="1129" t="s">
        <v>2724</v>
      </c>
      <c r="C9830" s="1138"/>
      <c r="D9830" s="1129"/>
      <c r="E9830" s="1129"/>
      <c r="F9830" s="1129"/>
      <c r="G9830" s="1129" t="s">
        <v>1109</v>
      </c>
      <c r="H9830" s="1129"/>
      <c r="I9830" s="1129"/>
      <c r="J9830" s="1127"/>
    </row>
    <row r="9831" spans="1:10" x14ac:dyDescent="0.2">
      <c r="A9831" s="997">
        <f t="shared" si="153"/>
        <v>9830</v>
      </c>
      <c r="B9831" s="1129" t="s">
        <v>2724</v>
      </c>
      <c r="C9831" s="1139"/>
      <c r="D9831" s="1129"/>
      <c r="E9831" s="1129"/>
      <c r="F9831" s="1129"/>
      <c r="G9831" s="1129" t="s">
        <v>1106</v>
      </c>
      <c r="H9831" s="1129"/>
      <c r="I9831" s="1129"/>
      <c r="J9831" s="1127"/>
    </row>
    <row r="9832" spans="1:10" x14ac:dyDescent="0.2">
      <c r="A9832" s="997">
        <f t="shared" si="153"/>
        <v>9831</v>
      </c>
      <c r="B9832" s="1129" t="s">
        <v>2724</v>
      </c>
      <c r="C9832" s="1140"/>
      <c r="D9832" s="1129"/>
      <c r="E9832" s="1129"/>
      <c r="F9832" s="1129"/>
      <c r="G9832" s="1129"/>
      <c r="H9832" s="1129" t="s">
        <v>2453</v>
      </c>
      <c r="I9832" s="1129"/>
      <c r="J9832" s="1127"/>
    </row>
    <row r="9833" spans="1:10" x14ac:dyDescent="0.2">
      <c r="A9833" s="997">
        <f t="shared" si="153"/>
        <v>9832</v>
      </c>
      <c r="B9833" s="1129" t="s">
        <v>2724</v>
      </c>
      <c r="C9833" s="1139"/>
      <c r="D9833" s="1129"/>
      <c r="E9833" s="1129"/>
      <c r="F9833" s="1129"/>
      <c r="G9833" s="1129"/>
      <c r="H9833" s="1129" t="str">
        <f>CONCATENATE("&lt;valeur&gt;",Cellule_1219_3,"&lt;/valeur&gt;")</f>
        <v>&lt;valeur&gt;&lt;/valeur&gt;</v>
      </c>
      <c r="I9833" s="1129"/>
      <c r="J9833" s="1127"/>
    </row>
    <row r="9834" spans="1:10" x14ac:dyDescent="0.2">
      <c r="A9834" s="997">
        <f t="shared" si="153"/>
        <v>9833</v>
      </c>
      <c r="B9834" s="1129" t="s">
        <v>2724</v>
      </c>
      <c r="C9834" s="1139"/>
      <c r="D9834" s="1129"/>
      <c r="E9834" s="1129"/>
      <c r="F9834" s="1129"/>
      <c r="G9834" s="1129"/>
      <c r="H9834" s="1129" t="s">
        <v>2736</v>
      </c>
      <c r="I9834" s="1129"/>
      <c r="J9834" s="1127"/>
    </row>
    <row r="9835" spans="1:10" x14ac:dyDescent="0.2">
      <c r="A9835" s="997">
        <f t="shared" si="153"/>
        <v>9834</v>
      </c>
      <c r="B9835" s="1129" t="s">
        <v>2724</v>
      </c>
      <c r="C9835" s="1138"/>
      <c r="D9835" s="1129"/>
      <c r="E9835" s="1129"/>
      <c r="F9835" s="1129"/>
      <c r="G9835" s="1129" t="s">
        <v>1109</v>
      </c>
      <c r="H9835" s="1129"/>
      <c r="I9835" s="1129"/>
      <c r="J9835" s="1127"/>
    </row>
    <row r="9836" spans="1:10" x14ac:dyDescent="0.2">
      <c r="A9836" s="997">
        <f t="shared" si="153"/>
        <v>9835</v>
      </c>
      <c r="B9836" s="1129" t="s">
        <v>2724</v>
      </c>
      <c r="C9836" s="1138"/>
      <c r="D9836" s="1129"/>
      <c r="E9836" s="1129"/>
      <c r="F9836" s="1129"/>
      <c r="G9836" s="1129" t="s">
        <v>1106</v>
      </c>
      <c r="H9836" s="1129"/>
      <c r="I9836" s="1129"/>
      <c r="J9836" s="1127"/>
    </row>
    <row r="9837" spans="1:10" x14ac:dyDescent="0.2">
      <c r="A9837" s="997">
        <f t="shared" si="153"/>
        <v>9836</v>
      </c>
      <c r="B9837" s="1129" t="s">
        <v>2724</v>
      </c>
      <c r="C9837" s="1139"/>
      <c r="D9837" s="1129"/>
      <c r="E9837" s="1129"/>
      <c r="F9837" s="1129"/>
      <c r="G9837" s="1129"/>
      <c r="H9837" s="1129" t="s">
        <v>2454</v>
      </c>
      <c r="I9837" s="1129"/>
      <c r="J9837" s="1127"/>
    </row>
    <row r="9838" spans="1:10" x14ac:dyDescent="0.2">
      <c r="A9838" s="997">
        <f t="shared" si="153"/>
        <v>9837</v>
      </c>
      <c r="B9838" s="1129" t="s">
        <v>2724</v>
      </c>
      <c r="C9838" s="1140"/>
      <c r="D9838" s="1129"/>
      <c r="E9838" s="1129"/>
      <c r="F9838" s="1129"/>
      <c r="G9838" s="1129"/>
      <c r="H9838" s="1129" t="str">
        <f>CONCATENATE("&lt;valeur&gt;",Cellule_1220_3,"&lt;/valeur&gt;")</f>
        <v>&lt;valeur&gt;&lt;/valeur&gt;</v>
      </c>
      <c r="I9838" s="1129"/>
      <c r="J9838" s="1127"/>
    </row>
    <row r="9839" spans="1:10" x14ac:dyDescent="0.2">
      <c r="A9839" s="997">
        <f t="shared" si="153"/>
        <v>9838</v>
      </c>
      <c r="B9839" s="1129" t="s">
        <v>2724</v>
      </c>
      <c r="C9839" s="1139"/>
      <c r="D9839" s="1129"/>
      <c r="E9839" s="1129"/>
      <c r="F9839" s="1129"/>
      <c r="G9839" s="1129"/>
      <c r="H9839" s="1129" t="s">
        <v>2736</v>
      </c>
      <c r="I9839" s="1129"/>
      <c r="J9839" s="1127"/>
    </row>
    <row r="9840" spans="1:10" x14ac:dyDescent="0.2">
      <c r="A9840" s="997">
        <f t="shared" si="153"/>
        <v>9839</v>
      </c>
      <c r="B9840" s="1130" t="s">
        <v>2724</v>
      </c>
      <c r="C9840" s="1144"/>
      <c r="D9840" s="1130"/>
      <c r="E9840" s="1130"/>
      <c r="F9840" s="1130"/>
      <c r="G9840" s="1130" t="s">
        <v>1109</v>
      </c>
      <c r="H9840" s="1130"/>
      <c r="I9840" s="1130"/>
      <c r="J9840" s="1142"/>
    </row>
    <row r="9841" spans="1:10" x14ac:dyDescent="0.2">
      <c r="A9841" s="997">
        <f t="shared" si="153"/>
        <v>9840</v>
      </c>
      <c r="B9841" s="1128" t="s">
        <v>2724</v>
      </c>
      <c r="C9841" s="1137"/>
      <c r="D9841" s="1128"/>
      <c r="E9841" s="1128"/>
      <c r="F9841" s="1128"/>
      <c r="G9841" s="1128" t="s">
        <v>1106</v>
      </c>
      <c r="H9841" s="1128"/>
      <c r="I9841" s="1128"/>
      <c r="J9841" s="1124"/>
    </row>
    <row r="9842" spans="1:10" x14ac:dyDescent="0.2">
      <c r="A9842" s="997">
        <f t="shared" si="153"/>
        <v>9841</v>
      </c>
      <c r="B9842" s="1129" t="s">
        <v>2724</v>
      </c>
      <c r="C9842" s="1139"/>
      <c r="D9842" s="1129"/>
      <c r="E9842" s="1129"/>
      <c r="F9842" s="1129"/>
      <c r="G9842" s="1129"/>
      <c r="H9842" s="1129" t="s">
        <v>2442</v>
      </c>
      <c r="I9842" s="1129"/>
      <c r="J9842" s="1127"/>
    </row>
    <row r="9843" spans="1:10" x14ac:dyDescent="0.2">
      <c r="A9843" s="997">
        <f t="shared" si="153"/>
        <v>9842</v>
      </c>
      <c r="B9843" s="1129" t="s">
        <v>2724</v>
      </c>
      <c r="C9843" s="1140"/>
      <c r="D9843" s="1129"/>
      <c r="E9843" s="1129"/>
      <c r="F9843" s="1129"/>
      <c r="G9843" s="1129"/>
      <c r="H9843" s="1129" t="str">
        <f>CONCATENATE("&lt;valeur&gt;",Cellule_1208_4,"&lt;/valeur&gt;")</f>
        <v>&lt;valeur&gt;&lt;/valeur&gt;</v>
      </c>
      <c r="I9843" s="1129"/>
      <c r="J9843" s="1127"/>
    </row>
    <row r="9844" spans="1:10" x14ac:dyDescent="0.2">
      <c r="A9844" s="997">
        <f t="shared" si="153"/>
        <v>9843</v>
      </c>
      <c r="B9844" s="1129" t="s">
        <v>2724</v>
      </c>
      <c r="C9844" s="1139"/>
      <c r="D9844" s="1129"/>
      <c r="E9844" s="1129"/>
      <c r="F9844" s="1129"/>
      <c r="G9844" s="1129"/>
      <c r="H9844" s="1129" t="s">
        <v>2737</v>
      </c>
      <c r="I9844" s="1129"/>
      <c r="J9844" s="1127"/>
    </row>
    <row r="9845" spans="1:10" x14ac:dyDescent="0.2">
      <c r="A9845" s="997">
        <f t="shared" si="153"/>
        <v>9844</v>
      </c>
      <c r="B9845" s="1129" t="s">
        <v>2724</v>
      </c>
      <c r="C9845" s="1139"/>
      <c r="D9845" s="1129"/>
      <c r="E9845" s="1129"/>
      <c r="F9845" s="1129"/>
      <c r="G9845" s="1129" t="s">
        <v>1109</v>
      </c>
      <c r="H9845" s="1129"/>
      <c r="I9845" s="1129"/>
      <c r="J9845" s="1127"/>
    </row>
    <row r="9846" spans="1:10" x14ac:dyDescent="0.2">
      <c r="A9846" s="997">
        <f t="shared" si="153"/>
        <v>9845</v>
      </c>
      <c r="B9846" s="1129" t="s">
        <v>2724</v>
      </c>
      <c r="C9846" s="1138"/>
      <c r="D9846" s="1129"/>
      <c r="E9846" s="1129"/>
      <c r="F9846" s="1129"/>
      <c r="G9846" s="1129" t="s">
        <v>1106</v>
      </c>
      <c r="H9846" s="1129"/>
      <c r="I9846" s="1129"/>
      <c r="J9846" s="1127"/>
    </row>
    <row r="9847" spans="1:10" x14ac:dyDescent="0.2">
      <c r="A9847" s="997">
        <f t="shared" si="153"/>
        <v>9846</v>
      </c>
      <c r="B9847" s="1129" t="s">
        <v>2724</v>
      </c>
      <c r="C9847" s="1138"/>
      <c r="D9847" s="1129"/>
      <c r="E9847" s="1129"/>
      <c r="F9847" s="1129"/>
      <c r="G9847" s="1129"/>
      <c r="H9847" s="1129" t="s">
        <v>2443</v>
      </c>
      <c r="I9847" s="1129"/>
      <c r="J9847" s="1127"/>
    </row>
    <row r="9848" spans="1:10" x14ac:dyDescent="0.2">
      <c r="A9848" s="997">
        <f t="shared" si="153"/>
        <v>9847</v>
      </c>
      <c r="B9848" s="1129" t="s">
        <v>2724</v>
      </c>
      <c r="C9848" s="1139"/>
      <c r="D9848" s="1129"/>
      <c r="E9848" s="1129"/>
      <c r="F9848" s="1129"/>
      <c r="G9848" s="1129"/>
      <c r="H9848" s="1129" t="str">
        <f>CONCATENATE("&lt;valeur&gt;",Cellule_1209_4,"&lt;/valeur&gt;")</f>
        <v>&lt;valeur&gt;&lt;/valeur&gt;</v>
      </c>
      <c r="I9848" s="1129"/>
      <c r="J9848" s="1127"/>
    </row>
    <row r="9849" spans="1:10" x14ac:dyDescent="0.2">
      <c r="A9849" s="997">
        <f t="shared" si="153"/>
        <v>9848</v>
      </c>
      <c r="B9849" s="1129" t="s">
        <v>2724</v>
      </c>
      <c r="C9849" s="1140"/>
      <c r="D9849" s="1129"/>
      <c r="E9849" s="1129"/>
      <c r="F9849" s="1129"/>
      <c r="G9849" s="1129"/>
      <c r="H9849" s="1129" t="s">
        <v>2737</v>
      </c>
      <c r="I9849" s="1129"/>
      <c r="J9849" s="1127"/>
    </row>
    <row r="9850" spans="1:10" x14ac:dyDescent="0.2">
      <c r="A9850" s="997">
        <f t="shared" si="153"/>
        <v>9849</v>
      </c>
      <c r="B9850" s="1129" t="s">
        <v>2724</v>
      </c>
      <c r="C9850" s="1139"/>
      <c r="D9850" s="1129"/>
      <c r="E9850" s="1129"/>
      <c r="F9850" s="1129"/>
      <c r="G9850" s="1129" t="s">
        <v>1109</v>
      </c>
      <c r="H9850" s="1129"/>
      <c r="I9850" s="1129"/>
      <c r="J9850" s="1127"/>
    </row>
    <row r="9851" spans="1:10" x14ac:dyDescent="0.2">
      <c r="A9851" s="997">
        <f t="shared" si="153"/>
        <v>9850</v>
      </c>
      <c r="B9851" s="1129" t="s">
        <v>2724</v>
      </c>
      <c r="C9851" s="1139"/>
      <c r="D9851" s="1129"/>
      <c r="E9851" s="1129"/>
      <c r="F9851" s="1129"/>
      <c r="G9851" s="1129" t="s">
        <v>1106</v>
      </c>
      <c r="H9851" s="1129"/>
      <c r="I9851" s="1129"/>
      <c r="J9851" s="1127"/>
    </row>
    <row r="9852" spans="1:10" x14ac:dyDescent="0.2">
      <c r="A9852" s="997">
        <f t="shared" si="153"/>
        <v>9851</v>
      </c>
      <c r="B9852" s="1129" t="s">
        <v>2724</v>
      </c>
      <c r="C9852" s="1138"/>
      <c r="D9852" s="1129"/>
      <c r="E9852" s="1129"/>
      <c r="F9852" s="1129"/>
      <c r="G9852" s="1129"/>
      <c r="H9852" s="1129" t="s">
        <v>2444</v>
      </c>
      <c r="I9852" s="1129"/>
      <c r="J9852" s="1127"/>
    </row>
    <row r="9853" spans="1:10" x14ac:dyDescent="0.2">
      <c r="A9853" s="997">
        <f t="shared" si="153"/>
        <v>9852</v>
      </c>
      <c r="B9853" s="1129" t="s">
        <v>2724</v>
      </c>
      <c r="C9853" s="1138"/>
      <c r="D9853" s="1129"/>
      <c r="E9853" s="1129"/>
      <c r="F9853" s="1129"/>
      <c r="G9853" s="1129"/>
      <c r="H9853" s="1129" t="str">
        <f>CONCATENATE("&lt;valeur&gt;",Cellule_1210_4,"&lt;/valeur&gt;")</f>
        <v>&lt;valeur&gt;&lt;/valeur&gt;</v>
      </c>
      <c r="I9853" s="1129"/>
      <c r="J9853" s="1127"/>
    </row>
    <row r="9854" spans="1:10" x14ac:dyDescent="0.2">
      <c r="A9854" s="997">
        <f t="shared" si="153"/>
        <v>9853</v>
      </c>
      <c r="B9854" s="1129" t="s">
        <v>2724</v>
      </c>
      <c r="C9854" s="1139"/>
      <c r="D9854" s="1129"/>
      <c r="E9854" s="1129"/>
      <c r="F9854" s="1129"/>
      <c r="G9854" s="1129"/>
      <c r="H9854" s="1129" t="s">
        <v>2737</v>
      </c>
      <c r="I9854" s="1129"/>
      <c r="J9854" s="1127"/>
    </row>
    <row r="9855" spans="1:10" x14ac:dyDescent="0.2">
      <c r="A9855" s="997">
        <f t="shared" si="153"/>
        <v>9854</v>
      </c>
      <c r="B9855" s="1129" t="s">
        <v>2724</v>
      </c>
      <c r="C9855" s="1140"/>
      <c r="D9855" s="1129"/>
      <c r="E9855" s="1129"/>
      <c r="F9855" s="1129"/>
      <c r="G9855" s="1129" t="s">
        <v>1109</v>
      </c>
      <c r="H9855" s="1129"/>
      <c r="I9855" s="1129"/>
      <c r="J9855" s="1127"/>
    </row>
    <row r="9856" spans="1:10" x14ac:dyDescent="0.2">
      <c r="A9856" s="997">
        <f t="shared" si="153"/>
        <v>9855</v>
      </c>
      <c r="B9856" s="1129" t="s">
        <v>2724</v>
      </c>
      <c r="C9856" s="1139"/>
      <c r="D9856" s="1129"/>
      <c r="E9856" s="1129"/>
      <c r="F9856" s="1129"/>
      <c r="G9856" s="1129" t="s">
        <v>1106</v>
      </c>
      <c r="H9856" s="1129"/>
      <c r="I9856" s="1129"/>
      <c r="J9856" s="1127"/>
    </row>
    <row r="9857" spans="1:10" x14ac:dyDescent="0.2">
      <c r="A9857" s="997">
        <f t="shared" si="153"/>
        <v>9856</v>
      </c>
      <c r="B9857" s="1129" t="s">
        <v>2724</v>
      </c>
      <c r="C9857" s="1139"/>
      <c r="D9857" s="1129"/>
      <c r="E9857" s="1129"/>
      <c r="F9857" s="1129"/>
      <c r="G9857" s="1129"/>
      <c r="H9857" s="1129" t="s">
        <v>2445</v>
      </c>
      <c r="I9857" s="1129"/>
      <c r="J9857" s="1127"/>
    </row>
    <row r="9858" spans="1:10" x14ac:dyDescent="0.2">
      <c r="A9858" s="997">
        <f t="shared" si="153"/>
        <v>9857</v>
      </c>
      <c r="B9858" s="1129" t="s">
        <v>2724</v>
      </c>
      <c r="C9858" s="1138"/>
      <c r="D9858" s="1129"/>
      <c r="E9858" s="1129"/>
      <c r="F9858" s="1129"/>
      <c r="G9858" s="1129"/>
      <c r="H9858" s="1129" t="str">
        <f>CONCATENATE("&lt;valeur&gt;",Cellule_1211_4,"&lt;/valeur&gt;")</f>
        <v>&lt;valeur&gt;&lt;/valeur&gt;</v>
      </c>
      <c r="I9858" s="1129"/>
      <c r="J9858" s="1127"/>
    </row>
    <row r="9859" spans="1:10" x14ac:dyDescent="0.2">
      <c r="A9859" s="997">
        <f t="shared" si="153"/>
        <v>9858</v>
      </c>
      <c r="B9859" s="1129" t="s">
        <v>2724</v>
      </c>
      <c r="C9859" s="1138"/>
      <c r="D9859" s="1129"/>
      <c r="E9859" s="1129"/>
      <c r="F9859" s="1129"/>
      <c r="G9859" s="1129"/>
      <c r="H9859" s="1129" t="s">
        <v>2737</v>
      </c>
      <c r="I9859" s="1129"/>
      <c r="J9859" s="1127"/>
    </row>
    <row r="9860" spans="1:10" x14ac:dyDescent="0.2">
      <c r="A9860" s="997">
        <f t="shared" ref="A9860:A9923" si="154">+A9859+1</f>
        <v>9859</v>
      </c>
      <c r="B9860" s="1129" t="s">
        <v>2724</v>
      </c>
      <c r="C9860" s="1139"/>
      <c r="D9860" s="1129"/>
      <c r="E9860" s="1129"/>
      <c r="F9860" s="1129"/>
      <c r="G9860" s="1129" t="s">
        <v>1109</v>
      </c>
      <c r="H9860" s="1129"/>
      <c r="I9860" s="1129"/>
      <c r="J9860" s="1127"/>
    </row>
    <row r="9861" spans="1:10" x14ac:dyDescent="0.2">
      <c r="A9861" s="997">
        <f t="shared" si="154"/>
        <v>9860</v>
      </c>
      <c r="B9861" s="1129" t="s">
        <v>2724</v>
      </c>
      <c r="C9861" s="1140"/>
      <c r="D9861" s="1129"/>
      <c r="E9861" s="1129"/>
      <c r="F9861" s="1129"/>
      <c r="G9861" s="1129" t="s">
        <v>1106</v>
      </c>
      <c r="H9861" s="1129"/>
      <c r="I9861" s="1129"/>
      <c r="J9861" s="1127"/>
    </row>
    <row r="9862" spans="1:10" x14ac:dyDescent="0.2">
      <c r="A9862" s="997">
        <f t="shared" si="154"/>
        <v>9861</v>
      </c>
      <c r="B9862" s="1129" t="s">
        <v>2724</v>
      </c>
      <c r="C9862" s="1139"/>
      <c r="D9862" s="1129"/>
      <c r="E9862" s="1129"/>
      <c r="F9862" s="1129"/>
      <c r="G9862" s="1129"/>
      <c r="H9862" s="1129" t="s">
        <v>2446</v>
      </c>
      <c r="I9862" s="1129"/>
      <c r="J9862" s="1127"/>
    </row>
    <row r="9863" spans="1:10" x14ac:dyDescent="0.2">
      <c r="A9863" s="997">
        <f t="shared" si="154"/>
        <v>9862</v>
      </c>
      <c r="B9863" s="1129" t="s">
        <v>2724</v>
      </c>
      <c r="C9863" s="1139"/>
      <c r="D9863" s="1129"/>
      <c r="E9863" s="1129"/>
      <c r="F9863" s="1129"/>
      <c r="G9863" s="1129"/>
      <c r="H9863" s="1129" t="str">
        <f>CONCATENATE("&lt;valeur&gt;",Cellule_1212_4,"&lt;/valeur&gt;")</f>
        <v>&lt;valeur&gt;&lt;/valeur&gt;</v>
      </c>
      <c r="I9863" s="1129"/>
      <c r="J9863" s="1127"/>
    </row>
    <row r="9864" spans="1:10" x14ac:dyDescent="0.2">
      <c r="A9864" s="997">
        <f t="shared" si="154"/>
        <v>9863</v>
      </c>
      <c r="B9864" s="1129" t="s">
        <v>2724</v>
      </c>
      <c r="C9864" s="1138"/>
      <c r="D9864" s="1129"/>
      <c r="E9864" s="1129"/>
      <c r="F9864" s="1129"/>
      <c r="G9864" s="1129"/>
      <c r="H9864" s="1129" t="s">
        <v>2737</v>
      </c>
      <c r="I9864" s="1129"/>
      <c r="J9864" s="1127"/>
    </row>
    <row r="9865" spans="1:10" x14ac:dyDescent="0.2">
      <c r="A9865" s="997">
        <f t="shared" si="154"/>
        <v>9864</v>
      </c>
      <c r="B9865" s="1129" t="s">
        <v>2724</v>
      </c>
      <c r="C9865" s="1138"/>
      <c r="D9865" s="1129"/>
      <c r="E9865" s="1129"/>
      <c r="F9865" s="1129"/>
      <c r="G9865" s="1129" t="s">
        <v>1109</v>
      </c>
      <c r="H9865" s="1129"/>
      <c r="I9865" s="1129"/>
      <c r="J9865" s="1127"/>
    </row>
    <row r="9866" spans="1:10" x14ac:dyDescent="0.2">
      <c r="A9866" s="997">
        <f t="shared" si="154"/>
        <v>9865</v>
      </c>
      <c r="B9866" s="1129" t="s">
        <v>2724</v>
      </c>
      <c r="C9866" s="1139"/>
      <c r="D9866" s="1129"/>
      <c r="E9866" s="1129"/>
      <c r="F9866" s="1129"/>
      <c r="G9866" s="1129" t="s">
        <v>1106</v>
      </c>
      <c r="H9866" s="1129"/>
      <c r="I9866" s="1129"/>
      <c r="J9866" s="1127"/>
    </row>
    <row r="9867" spans="1:10" x14ac:dyDescent="0.2">
      <c r="A9867" s="997">
        <f t="shared" si="154"/>
        <v>9866</v>
      </c>
      <c r="B9867" s="1129" t="s">
        <v>2724</v>
      </c>
      <c r="C9867" s="1140"/>
      <c r="D9867" s="1129"/>
      <c r="E9867" s="1129"/>
      <c r="F9867" s="1129"/>
      <c r="G9867" s="1129"/>
      <c r="H9867" s="1129" t="s">
        <v>2447</v>
      </c>
      <c r="I9867" s="1129"/>
      <c r="J9867" s="1127"/>
    </row>
    <row r="9868" spans="1:10" x14ac:dyDescent="0.2">
      <c r="A9868" s="997">
        <f t="shared" si="154"/>
        <v>9867</v>
      </c>
      <c r="B9868" s="1129" t="s">
        <v>2724</v>
      </c>
      <c r="C9868" s="1139"/>
      <c r="D9868" s="1129"/>
      <c r="E9868" s="1129"/>
      <c r="F9868" s="1129"/>
      <c r="G9868" s="1129"/>
      <c r="H9868" s="1129" t="str">
        <f>CONCATENATE("&lt;valeur&gt;",Cellule_1213_4,"&lt;/valeur&gt;")</f>
        <v>&lt;valeur&gt;&lt;/valeur&gt;</v>
      </c>
      <c r="I9868" s="1129"/>
      <c r="J9868" s="1127"/>
    </row>
    <row r="9869" spans="1:10" x14ac:dyDescent="0.2">
      <c r="A9869" s="997">
        <f t="shared" si="154"/>
        <v>9868</v>
      </c>
      <c r="B9869" s="1129" t="s">
        <v>2724</v>
      </c>
      <c r="C9869" s="1139"/>
      <c r="D9869" s="1129"/>
      <c r="E9869" s="1129"/>
      <c r="F9869" s="1129"/>
      <c r="G9869" s="1129"/>
      <c r="H9869" s="1129" t="s">
        <v>2737</v>
      </c>
      <c r="I9869" s="1129"/>
      <c r="J9869" s="1127"/>
    </row>
    <row r="9870" spans="1:10" x14ac:dyDescent="0.2">
      <c r="A9870" s="997">
        <f t="shared" si="154"/>
        <v>9869</v>
      </c>
      <c r="B9870" s="1129" t="s">
        <v>2724</v>
      </c>
      <c r="C9870" s="1138"/>
      <c r="D9870" s="1129"/>
      <c r="E9870" s="1129"/>
      <c r="F9870" s="1129"/>
      <c r="G9870" s="1129" t="s">
        <v>1109</v>
      </c>
      <c r="H9870" s="1129"/>
      <c r="I9870" s="1129"/>
      <c r="J9870" s="1127"/>
    </row>
    <row r="9871" spans="1:10" x14ac:dyDescent="0.2">
      <c r="A9871" s="997">
        <f t="shared" si="154"/>
        <v>9870</v>
      </c>
      <c r="B9871" s="1129" t="s">
        <v>2724</v>
      </c>
      <c r="C9871" s="1138"/>
      <c r="D9871" s="1129"/>
      <c r="E9871" s="1129"/>
      <c r="F9871" s="1129"/>
      <c r="G9871" s="1129" t="s">
        <v>1106</v>
      </c>
      <c r="H9871" s="1129"/>
      <c r="I9871" s="1129"/>
      <c r="J9871" s="1127"/>
    </row>
    <row r="9872" spans="1:10" x14ac:dyDescent="0.2">
      <c r="A9872" s="997">
        <f t="shared" si="154"/>
        <v>9871</v>
      </c>
      <c r="B9872" s="1129" t="s">
        <v>2724</v>
      </c>
      <c r="C9872" s="1139"/>
      <c r="D9872" s="1129"/>
      <c r="E9872" s="1129"/>
      <c r="F9872" s="1129"/>
      <c r="G9872" s="1129"/>
      <c r="H9872" s="1129" t="s">
        <v>2448</v>
      </c>
      <c r="I9872" s="1129"/>
      <c r="J9872" s="1127"/>
    </row>
    <row r="9873" spans="1:10" x14ac:dyDescent="0.2">
      <c r="A9873" s="997">
        <f t="shared" si="154"/>
        <v>9872</v>
      </c>
      <c r="B9873" s="1129" t="s">
        <v>2724</v>
      </c>
      <c r="C9873" s="1140"/>
      <c r="D9873" s="1129"/>
      <c r="E9873" s="1129"/>
      <c r="F9873" s="1129"/>
      <c r="G9873" s="1129"/>
      <c r="H9873" s="1129" t="str">
        <f>CONCATENATE("&lt;valeur&gt;",Cellule_1214_4,"&lt;/valeur&gt;")</f>
        <v>&lt;valeur&gt;&lt;/valeur&gt;</v>
      </c>
      <c r="I9873" s="1129"/>
      <c r="J9873" s="1127"/>
    </row>
    <row r="9874" spans="1:10" x14ac:dyDescent="0.2">
      <c r="A9874" s="997">
        <f t="shared" si="154"/>
        <v>9873</v>
      </c>
      <c r="B9874" s="1129" t="s">
        <v>2724</v>
      </c>
      <c r="C9874" s="1139"/>
      <c r="D9874" s="1129"/>
      <c r="E9874" s="1129"/>
      <c r="F9874" s="1129"/>
      <c r="G9874" s="1129"/>
      <c r="H9874" s="1129" t="s">
        <v>2737</v>
      </c>
      <c r="I9874" s="1129"/>
      <c r="J9874" s="1127"/>
    </row>
    <row r="9875" spans="1:10" x14ac:dyDescent="0.2">
      <c r="A9875" s="997">
        <f t="shared" si="154"/>
        <v>9874</v>
      </c>
      <c r="B9875" s="1129" t="s">
        <v>2724</v>
      </c>
      <c r="C9875" s="1139"/>
      <c r="D9875" s="1129"/>
      <c r="E9875" s="1129"/>
      <c r="F9875" s="1129"/>
      <c r="G9875" s="1129" t="s">
        <v>1109</v>
      </c>
      <c r="H9875" s="1129"/>
      <c r="I9875" s="1129"/>
      <c r="J9875" s="1127"/>
    </row>
    <row r="9876" spans="1:10" x14ac:dyDescent="0.2">
      <c r="A9876" s="997">
        <f t="shared" si="154"/>
        <v>9875</v>
      </c>
      <c r="B9876" s="1129" t="s">
        <v>2724</v>
      </c>
      <c r="C9876" s="1138"/>
      <c r="D9876" s="1129"/>
      <c r="E9876" s="1129"/>
      <c r="F9876" s="1129"/>
      <c r="G9876" s="1129" t="s">
        <v>1106</v>
      </c>
      <c r="H9876" s="1129"/>
      <c r="I9876" s="1129"/>
      <c r="J9876" s="1127"/>
    </row>
    <row r="9877" spans="1:10" x14ac:dyDescent="0.2">
      <c r="A9877" s="997">
        <f t="shared" si="154"/>
        <v>9876</v>
      </c>
      <c r="B9877" s="1129" t="s">
        <v>2724</v>
      </c>
      <c r="C9877" s="1138"/>
      <c r="D9877" s="1129"/>
      <c r="E9877" s="1129"/>
      <c r="F9877" s="1129"/>
      <c r="G9877" s="1129"/>
      <c r="H9877" s="1129" t="s">
        <v>2449</v>
      </c>
      <c r="I9877" s="1129"/>
      <c r="J9877" s="1127"/>
    </row>
    <row r="9878" spans="1:10" x14ac:dyDescent="0.2">
      <c r="A9878" s="997">
        <f t="shared" si="154"/>
        <v>9877</v>
      </c>
      <c r="B9878" s="1129" t="s">
        <v>2724</v>
      </c>
      <c r="C9878" s="1139"/>
      <c r="D9878" s="1129"/>
      <c r="E9878" s="1129"/>
      <c r="F9878" s="1129"/>
      <c r="G9878" s="1129"/>
      <c r="H9878" s="1129" t="str">
        <f>CONCATENATE("&lt;valeur&gt;",Cellule_1215_4,"&lt;/valeur&gt;")</f>
        <v>&lt;valeur&gt;&lt;/valeur&gt;</v>
      </c>
      <c r="I9878" s="1129"/>
      <c r="J9878" s="1127"/>
    </row>
    <row r="9879" spans="1:10" x14ac:dyDescent="0.2">
      <c r="A9879" s="997">
        <f t="shared" si="154"/>
        <v>9878</v>
      </c>
      <c r="B9879" s="1129" t="s">
        <v>2724</v>
      </c>
      <c r="C9879" s="1140"/>
      <c r="D9879" s="1129"/>
      <c r="E9879" s="1129"/>
      <c r="F9879" s="1129"/>
      <c r="G9879" s="1129"/>
      <c r="H9879" s="1129" t="s">
        <v>2737</v>
      </c>
      <c r="I9879" s="1129"/>
      <c r="J9879" s="1127"/>
    </row>
    <row r="9880" spans="1:10" x14ac:dyDescent="0.2">
      <c r="A9880" s="997">
        <f t="shared" si="154"/>
        <v>9879</v>
      </c>
      <c r="B9880" s="1129" t="s">
        <v>2724</v>
      </c>
      <c r="C9880" s="1139"/>
      <c r="D9880" s="1129"/>
      <c r="E9880" s="1129"/>
      <c r="F9880" s="1129"/>
      <c r="G9880" s="1129" t="s">
        <v>1109</v>
      </c>
      <c r="H9880" s="1129"/>
      <c r="I9880" s="1129"/>
      <c r="J9880" s="1127"/>
    </row>
    <row r="9881" spans="1:10" x14ac:dyDescent="0.2">
      <c r="A9881" s="997">
        <f t="shared" si="154"/>
        <v>9880</v>
      </c>
      <c r="B9881" s="1129" t="s">
        <v>2724</v>
      </c>
      <c r="C9881" s="1139"/>
      <c r="D9881" s="1129"/>
      <c r="E9881" s="1129"/>
      <c r="F9881" s="1129"/>
      <c r="G9881" s="1129" t="s">
        <v>1106</v>
      </c>
      <c r="H9881" s="1129"/>
      <c r="I9881" s="1129"/>
      <c r="J9881" s="1127"/>
    </row>
    <row r="9882" spans="1:10" x14ac:dyDescent="0.2">
      <c r="A9882" s="997">
        <f t="shared" si="154"/>
        <v>9881</v>
      </c>
      <c r="B9882" s="1129" t="s">
        <v>2724</v>
      </c>
      <c r="C9882" s="1138"/>
      <c r="D9882" s="1129"/>
      <c r="E9882" s="1129"/>
      <c r="F9882" s="1129"/>
      <c r="G9882" s="1129"/>
      <c r="H9882" s="1129" t="s">
        <v>2450</v>
      </c>
      <c r="I9882" s="1129"/>
      <c r="J9882" s="1127"/>
    </row>
    <row r="9883" spans="1:10" x14ac:dyDescent="0.2">
      <c r="A9883" s="997">
        <f t="shared" si="154"/>
        <v>9882</v>
      </c>
      <c r="B9883" s="1129" t="s">
        <v>2724</v>
      </c>
      <c r="C9883" s="1138"/>
      <c r="D9883" s="1129"/>
      <c r="E9883" s="1129"/>
      <c r="F9883" s="1129"/>
      <c r="G9883" s="1129"/>
      <c r="H9883" s="1129" t="str">
        <f>CONCATENATE("&lt;valeur&gt;",Cellule_1216_4,"&lt;/valeur&gt;")</f>
        <v>&lt;valeur&gt;&lt;/valeur&gt;</v>
      </c>
      <c r="I9883" s="1129"/>
      <c r="J9883" s="1127"/>
    </row>
    <row r="9884" spans="1:10" x14ac:dyDescent="0.2">
      <c r="A9884" s="997">
        <f t="shared" si="154"/>
        <v>9883</v>
      </c>
      <c r="B9884" s="1129" t="s">
        <v>2724</v>
      </c>
      <c r="C9884" s="1139"/>
      <c r="D9884" s="1129"/>
      <c r="E9884" s="1129"/>
      <c r="F9884" s="1129"/>
      <c r="G9884" s="1129"/>
      <c r="H9884" s="1129" t="s">
        <v>2737</v>
      </c>
      <c r="I9884" s="1129"/>
      <c r="J9884" s="1127"/>
    </row>
    <row r="9885" spans="1:10" x14ac:dyDescent="0.2">
      <c r="A9885" s="997">
        <f t="shared" si="154"/>
        <v>9884</v>
      </c>
      <c r="B9885" s="1129" t="s">
        <v>2724</v>
      </c>
      <c r="C9885" s="1140"/>
      <c r="D9885" s="1129"/>
      <c r="E9885" s="1129"/>
      <c r="F9885" s="1129"/>
      <c r="G9885" s="1129" t="s">
        <v>1109</v>
      </c>
      <c r="H9885" s="1129"/>
      <c r="I9885" s="1129"/>
      <c r="J9885" s="1127"/>
    </row>
    <row r="9886" spans="1:10" x14ac:dyDescent="0.2">
      <c r="A9886" s="997">
        <f t="shared" si="154"/>
        <v>9885</v>
      </c>
      <c r="B9886" s="1129" t="s">
        <v>2724</v>
      </c>
      <c r="C9886" s="1139"/>
      <c r="D9886" s="1129"/>
      <c r="E9886" s="1129"/>
      <c r="F9886" s="1129"/>
      <c r="G9886" s="1129" t="s">
        <v>1106</v>
      </c>
      <c r="H9886" s="1129"/>
      <c r="I9886" s="1129"/>
      <c r="J9886" s="1127"/>
    </row>
    <row r="9887" spans="1:10" x14ac:dyDescent="0.2">
      <c r="A9887" s="997">
        <f t="shared" si="154"/>
        <v>9886</v>
      </c>
      <c r="B9887" s="1129" t="s">
        <v>2724</v>
      </c>
      <c r="C9887" s="1139"/>
      <c r="D9887" s="1129"/>
      <c r="E9887" s="1129"/>
      <c r="F9887" s="1129"/>
      <c r="G9887" s="1129"/>
      <c r="H9887" s="1129" t="s">
        <v>2451</v>
      </c>
      <c r="I9887" s="1129"/>
      <c r="J9887" s="1127"/>
    </row>
    <row r="9888" spans="1:10" x14ac:dyDescent="0.2">
      <c r="A9888" s="997">
        <f t="shared" si="154"/>
        <v>9887</v>
      </c>
      <c r="B9888" s="1129" t="s">
        <v>2724</v>
      </c>
      <c r="C9888" s="1138"/>
      <c r="D9888" s="1129"/>
      <c r="E9888" s="1129"/>
      <c r="F9888" s="1129"/>
      <c r="G9888" s="1129"/>
      <c r="H9888" s="1129" t="str">
        <f>CONCATENATE("&lt;valeur&gt;",Cellule_1217_4,"&lt;/valeur&gt;")</f>
        <v>&lt;valeur&gt;&lt;/valeur&gt;</v>
      </c>
      <c r="I9888" s="1129"/>
      <c r="J9888" s="1127"/>
    </row>
    <row r="9889" spans="1:10" x14ac:dyDescent="0.2">
      <c r="A9889" s="997">
        <f t="shared" si="154"/>
        <v>9888</v>
      </c>
      <c r="B9889" s="1129" t="s">
        <v>2724</v>
      </c>
      <c r="C9889" s="1138"/>
      <c r="D9889" s="1129"/>
      <c r="E9889" s="1129"/>
      <c r="F9889" s="1129"/>
      <c r="G9889" s="1129"/>
      <c r="H9889" s="1129" t="s">
        <v>2737</v>
      </c>
      <c r="I9889" s="1129"/>
      <c r="J9889" s="1127"/>
    </row>
    <row r="9890" spans="1:10" x14ac:dyDescent="0.2">
      <c r="A9890" s="997">
        <f t="shared" si="154"/>
        <v>9889</v>
      </c>
      <c r="B9890" s="1129" t="s">
        <v>2724</v>
      </c>
      <c r="C9890" s="1139"/>
      <c r="D9890" s="1129"/>
      <c r="E9890" s="1129"/>
      <c r="F9890" s="1129"/>
      <c r="G9890" s="1129" t="s">
        <v>1109</v>
      </c>
      <c r="H9890" s="1129"/>
      <c r="I9890" s="1129"/>
      <c r="J9890" s="1127"/>
    </row>
    <row r="9891" spans="1:10" x14ac:dyDescent="0.2">
      <c r="A9891" s="997">
        <f t="shared" si="154"/>
        <v>9890</v>
      </c>
      <c r="B9891" s="1129" t="s">
        <v>2724</v>
      </c>
      <c r="C9891" s="1140"/>
      <c r="D9891" s="1129"/>
      <c r="E9891" s="1129"/>
      <c r="F9891" s="1129"/>
      <c r="G9891" s="1129" t="s">
        <v>1106</v>
      </c>
      <c r="H9891" s="1129"/>
      <c r="I9891" s="1129"/>
      <c r="J9891" s="1127"/>
    </row>
    <row r="9892" spans="1:10" x14ac:dyDescent="0.2">
      <c r="A9892" s="997">
        <f t="shared" si="154"/>
        <v>9891</v>
      </c>
      <c r="B9892" s="1129" t="s">
        <v>2724</v>
      </c>
      <c r="C9892" s="1139"/>
      <c r="D9892" s="1129"/>
      <c r="E9892" s="1129"/>
      <c r="F9892" s="1129"/>
      <c r="G9892" s="1129"/>
      <c r="H9892" s="1129" t="s">
        <v>2452</v>
      </c>
      <c r="I9892" s="1129"/>
      <c r="J9892" s="1127"/>
    </row>
    <row r="9893" spans="1:10" x14ac:dyDescent="0.2">
      <c r="A9893" s="997">
        <f t="shared" si="154"/>
        <v>9892</v>
      </c>
      <c r="B9893" s="1129" t="s">
        <v>2724</v>
      </c>
      <c r="C9893" s="1139"/>
      <c r="D9893" s="1129"/>
      <c r="E9893" s="1129"/>
      <c r="F9893" s="1129"/>
      <c r="G9893" s="1129"/>
      <c r="H9893" s="1129" t="str">
        <f>CONCATENATE("&lt;valeur&gt;",Cellule_1218_4,"&lt;/valeur&gt;")</f>
        <v>&lt;valeur&gt;&lt;/valeur&gt;</v>
      </c>
      <c r="I9893" s="1129"/>
      <c r="J9893" s="1127"/>
    </row>
    <row r="9894" spans="1:10" x14ac:dyDescent="0.2">
      <c r="A9894" s="997">
        <f t="shared" si="154"/>
        <v>9893</v>
      </c>
      <c r="B9894" s="1129" t="s">
        <v>2724</v>
      </c>
      <c r="C9894" s="1138"/>
      <c r="D9894" s="1129"/>
      <c r="E9894" s="1129"/>
      <c r="F9894" s="1129"/>
      <c r="G9894" s="1129"/>
      <c r="H9894" s="1129" t="s">
        <v>2737</v>
      </c>
      <c r="I9894" s="1129"/>
      <c r="J9894" s="1127"/>
    </row>
    <row r="9895" spans="1:10" x14ac:dyDescent="0.2">
      <c r="A9895" s="997">
        <f t="shared" si="154"/>
        <v>9894</v>
      </c>
      <c r="B9895" s="1129" t="s">
        <v>2724</v>
      </c>
      <c r="C9895" s="1138"/>
      <c r="D9895" s="1129"/>
      <c r="E9895" s="1129"/>
      <c r="F9895" s="1129"/>
      <c r="G9895" s="1129" t="s">
        <v>1109</v>
      </c>
      <c r="H9895" s="1129"/>
      <c r="I9895" s="1129"/>
      <c r="J9895" s="1127"/>
    </row>
    <row r="9896" spans="1:10" x14ac:dyDescent="0.2">
      <c r="A9896" s="997">
        <f t="shared" si="154"/>
        <v>9895</v>
      </c>
      <c r="B9896" s="1129" t="s">
        <v>2724</v>
      </c>
      <c r="C9896" s="1139"/>
      <c r="D9896" s="1129"/>
      <c r="E9896" s="1129"/>
      <c r="F9896" s="1129"/>
      <c r="G9896" s="1129" t="s">
        <v>1106</v>
      </c>
      <c r="H9896" s="1129"/>
      <c r="I9896" s="1129"/>
      <c r="J9896" s="1127"/>
    </row>
    <row r="9897" spans="1:10" x14ac:dyDescent="0.2">
      <c r="A9897" s="997">
        <f t="shared" si="154"/>
        <v>9896</v>
      </c>
      <c r="B9897" s="1129" t="s">
        <v>2724</v>
      </c>
      <c r="C9897" s="1140"/>
      <c r="D9897" s="1129"/>
      <c r="E9897" s="1129"/>
      <c r="F9897" s="1129"/>
      <c r="G9897" s="1129"/>
      <c r="H9897" s="1129" t="s">
        <v>2453</v>
      </c>
      <c r="I9897" s="1129"/>
      <c r="J9897" s="1127"/>
    </row>
    <row r="9898" spans="1:10" x14ac:dyDescent="0.2">
      <c r="A9898" s="997">
        <f t="shared" si="154"/>
        <v>9897</v>
      </c>
      <c r="B9898" s="1129" t="s">
        <v>2724</v>
      </c>
      <c r="C9898" s="1139"/>
      <c r="D9898" s="1129"/>
      <c r="E9898" s="1129"/>
      <c r="F9898" s="1129"/>
      <c r="G9898" s="1129"/>
      <c r="H9898" s="1129" t="str">
        <f>CONCATENATE("&lt;valeur&gt;",Cellule_1219_4,"&lt;/valeur&gt;")</f>
        <v>&lt;valeur&gt;&lt;/valeur&gt;</v>
      </c>
      <c r="I9898" s="1129"/>
      <c r="J9898" s="1127"/>
    </row>
    <row r="9899" spans="1:10" x14ac:dyDescent="0.2">
      <c r="A9899" s="997">
        <f t="shared" si="154"/>
        <v>9898</v>
      </c>
      <c r="B9899" s="1129" t="s">
        <v>2724</v>
      </c>
      <c r="C9899" s="1139"/>
      <c r="D9899" s="1129"/>
      <c r="E9899" s="1129"/>
      <c r="F9899" s="1129"/>
      <c r="G9899" s="1129"/>
      <c r="H9899" s="1129" t="s">
        <v>2737</v>
      </c>
      <c r="I9899" s="1129"/>
      <c r="J9899" s="1127"/>
    </row>
    <row r="9900" spans="1:10" x14ac:dyDescent="0.2">
      <c r="A9900" s="997">
        <f t="shared" si="154"/>
        <v>9899</v>
      </c>
      <c r="B9900" s="1129" t="s">
        <v>2724</v>
      </c>
      <c r="C9900" s="1138"/>
      <c r="D9900" s="1129"/>
      <c r="E9900" s="1129"/>
      <c r="F9900" s="1129"/>
      <c r="G9900" s="1129" t="s">
        <v>1109</v>
      </c>
      <c r="H9900" s="1129"/>
      <c r="I9900" s="1129"/>
      <c r="J9900" s="1127"/>
    </row>
    <row r="9901" spans="1:10" x14ac:dyDescent="0.2">
      <c r="A9901" s="997">
        <f t="shared" si="154"/>
        <v>9900</v>
      </c>
      <c r="B9901" s="1129" t="s">
        <v>2724</v>
      </c>
      <c r="C9901" s="1138"/>
      <c r="D9901" s="1129"/>
      <c r="E9901" s="1129"/>
      <c r="F9901" s="1129"/>
      <c r="G9901" s="1129" t="s">
        <v>1106</v>
      </c>
      <c r="H9901" s="1129"/>
      <c r="I9901" s="1129"/>
      <c r="J9901" s="1127"/>
    </row>
    <row r="9902" spans="1:10" x14ac:dyDescent="0.2">
      <c r="A9902" s="997">
        <f t="shared" si="154"/>
        <v>9901</v>
      </c>
      <c r="B9902" s="1129" t="s">
        <v>2724</v>
      </c>
      <c r="C9902" s="1139"/>
      <c r="D9902" s="1129"/>
      <c r="E9902" s="1129"/>
      <c r="F9902" s="1129"/>
      <c r="G9902" s="1129"/>
      <c r="H9902" s="1129" t="s">
        <v>2454</v>
      </c>
      <c r="I9902" s="1129"/>
      <c r="J9902" s="1127"/>
    </row>
    <row r="9903" spans="1:10" x14ac:dyDescent="0.2">
      <c r="A9903" s="997">
        <f t="shared" si="154"/>
        <v>9902</v>
      </c>
      <c r="B9903" s="1129" t="s">
        <v>2724</v>
      </c>
      <c r="C9903" s="1140"/>
      <c r="D9903" s="1129"/>
      <c r="E9903" s="1129"/>
      <c r="F9903" s="1129"/>
      <c r="G9903" s="1129"/>
      <c r="H9903" s="1129" t="str">
        <f>CONCATENATE("&lt;valeur&gt;",Cellule_1220_4,"&lt;/valeur&gt;")</f>
        <v>&lt;valeur&gt;&lt;/valeur&gt;</v>
      </c>
      <c r="I9903" s="1129"/>
      <c r="J9903" s="1127"/>
    </row>
    <row r="9904" spans="1:10" x14ac:dyDescent="0.2">
      <c r="A9904" s="997">
        <f t="shared" si="154"/>
        <v>9903</v>
      </c>
      <c r="B9904" s="1129" t="s">
        <v>2724</v>
      </c>
      <c r="C9904" s="1139"/>
      <c r="D9904" s="1129"/>
      <c r="E9904" s="1129"/>
      <c r="F9904" s="1129"/>
      <c r="G9904" s="1129"/>
      <c r="H9904" s="1129" t="s">
        <v>2737</v>
      </c>
      <c r="I9904" s="1129"/>
      <c r="J9904" s="1127"/>
    </row>
    <row r="9905" spans="1:10" x14ac:dyDescent="0.2">
      <c r="A9905" s="997">
        <f t="shared" si="154"/>
        <v>9904</v>
      </c>
      <c r="B9905" s="1130" t="s">
        <v>2724</v>
      </c>
      <c r="C9905" s="1144"/>
      <c r="D9905" s="1130"/>
      <c r="E9905" s="1130"/>
      <c r="F9905" s="1130"/>
      <c r="G9905" s="1130" t="s">
        <v>1109</v>
      </c>
      <c r="H9905" s="1130"/>
      <c r="I9905" s="1130"/>
      <c r="J9905" s="1142"/>
    </row>
    <row r="9906" spans="1:10" x14ac:dyDescent="0.2">
      <c r="A9906" s="997">
        <f t="shared" si="154"/>
        <v>9905</v>
      </c>
      <c r="B9906" s="1128" t="s">
        <v>2724</v>
      </c>
      <c r="C9906" s="1137"/>
      <c r="D9906" s="1128"/>
      <c r="E9906" s="1128"/>
      <c r="F9906" s="1128"/>
      <c r="G9906" s="1128" t="s">
        <v>1106</v>
      </c>
      <c r="H9906" s="1128"/>
      <c r="I9906" s="1128"/>
      <c r="J9906" s="1124"/>
    </row>
    <row r="9907" spans="1:10" x14ac:dyDescent="0.2">
      <c r="A9907" s="997">
        <f t="shared" si="154"/>
        <v>9906</v>
      </c>
      <c r="B9907" s="1129" t="s">
        <v>2724</v>
      </c>
      <c r="C9907" s="1138"/>
      <c r="D9907" s="1129"/>
      <c r="E9907" s="1129"/>
      <c r="F9907" s="1129"/>
      <c r="G9907" s="1129"/>
      <c r="H9907" s="1129" t="s">
        <v>2455</v>
      </c>
      <c r="I9907" s="1129"/>
      <c r="J9907" s="1127"/>
    </row>
    <row r="9908" spans="1:10" x14ac:dyDescent="0.2">
      <c r="A9908" s="997">
        <f t="shared" si="154"/>
        <v>9907</v>
      </c>
      <c r="B9908" s="1129" t="s">
        <v>2724</v>
      </c>
      <c r="C9908" s="1139"/>
      <c r="D9908" s="1129"/>
      <c r="E9908" s="1129"/>
      <c r="F9908" s="1129"/>
      <c r="G9908" s="1129"/>
      <c r="H9908" s="1129" t="str">
        <f>CONCATENATE("&lt;valeur&gt;",Cellule_1221_1,"&lt;/valeur&gt;")</f>
        <v>&lt;valeur&gt;&lt;/valeur&gt;</v>
      </c>
      <c r="I9908" s="1129"/>
      <c r="J9908" s="1127"/>
    </row>
    <row r="9909" spans="1:10" x14ac:dyDescent="0.2">
      <c r="A9909" s="997">
        <f t="shared" si="154"/>
        <v>9908</v>
      </c>
      <c r="B9909" s="1129" t="s">
        <v>2724</v>
      </c>
      <c r="C9909" s="1140"/>
      <c r="D9909" s="1129"/>
      <c r="E9909" s="1129"/>
      <c r="F9909" s="1129"/>
      <c r="G9909" s="1129"/>
      <c r="H9909" s="1129" t="s">
        <v>1348</v>
      </c>
      <c r="I9909" s="1129"/>
      <c r="J9909" s="1127"/>
    </row>
    <row r="9910" spans="1:10" x14ac:dyDescent="0.2">
      <c r="A9910" s="997">
        <f t="shared" si="154"/>
        <v>9909</v>
      </c>
      <c r="B9910" s="1129" t="s">
        <v>2724</v>
      </c>
      <c r="C9910" s="1139"/>
      <c r="D9910" s="1129"/>
      <c r="E9910" s="1129"/>
      <c r="F9910" s="1129"/>
      <c r="G9910" s="1129" t="s">
        <v>1109</v>
      </c>
      <c r="H9910" s="1129"/>
      <c r="I9910" s="1129"/>
      <c r="J9910" s="1127"/>
    </row>
    <row r="9911" spans="1:10" x14ac:dyDescent="0.2">
      <c r="A9911" s="997">
        <f t="shared" si="154"/>
        <v>9910</v>
      </c>
      <c r="B9911" s="1129" t="s">
        <v>2724</v>
      </c>
      <c r="C9911" s="1139"/>
      <c r="D9911" s="1129"/>
      <c r="E9911" s="1129"/>
      <c r="F9911" s="1129"/>
      <c r="G9911" s="1129" t="s">
        <v>1106</v>
      </c>
      <c r="H9911" s="1129"/>
      <c r="I9911" s="1129"/>
      <c r="J9911" s="1127"/>
    </row>
    <row r="9912" spans="1:10" x14ac:dyDescent="0.2">
      <c r="A9912" s="997">
        <f t="shared" si="154"/>
        <v>9911</v>
      </c>
      <c r="B9912" s="1129" t="s">
        <v>2724</v>
      </c>
      <c r="C9912" s="1138"/>
      <c r="D9912" s="1129"/>
      <c r="E9912" s="1129"/>
      <c r="F9912" s="1129"/>
      <c r="G9912" s="1129"/>
      <c r="H9912" s="1129" t="s">
        <v>2456</v>
      </c>
      <c r="I9912" s="1129"/>
      <c r="J9912" s="1127"/>
    </row>
    <row r="9913" spans="1:10" x14ac:dyDescent="0.2">
      <c r="A9913" s="997">
        <f t="shared" si="154"/>
        <v>9912</v>
      </c>
      <c r="B9913" s="1129" t="s">
        <v>2724</v>
      </c>
      <c r="C9913" s="1138"/>
      <c r="D9913" s="1129"/>
      <c r="E9913" s="1129"/>
      <c r="F9913" s="1129"/>
      <c r="G9913" s="1129"/>
      <c r="H9913" s="1129" t="str">
        <f>CONCATENATE("&lt;valeur&gt;",Cellule_1222_1,"&lt;/valeur&gt;")</f>
        <v>&lt;valeur&gt;&lt;/valeur&gt;</v>
      </c>
      <c r="I9913" s="1129"/>
      <c r="J9913" s="1127"/>
    </row>
    <row r="9914" spans="1:10" x14ac:dyDescent="0.2">
      <c r="A9914" s="997">
        <f t="shared" si="154"/>
        <v>9913</v>
      </c>
      <c r="B9914" s="1129" t="s">
        <v>2724</v>
      </c>
      <c r="C9914" s="1139"/>
      <c r="D9914" s="1129"/>
      <c r="E9914" s="1129"/>
      <c r="F9914" s="1129"/>
      <c r="G9914" s="1129"/>
      <c r="H9914" s="1129" t="s">
        <v>1348</v>
      </c>
      <c r="I9914" s="1129"/>
      <c r="J9914" s="1127"/>
    </row>
    <row r="9915" spans="1:10" x14ac:dyDescent="0.2">
      <c r="A9915" s="997">
        <f t="shared" si="154"/>
        <v>9914</v>
      </c>
      <c r="B9915" s="1129" t="s">
        <v>2724</v>
      </c>
      <c r="C9915" s="1140"/>
      <c r="D9915" s="1129"/>
      <c r="E9915" s="1129"/>
      <c r="F9915" s="1129"/>
      <c r="G9915" s="1129" t="s">
        <v>1109</v>
      </c>
      <c r="H9915" s="1129"/>
      <c r="I9915" s="1129"/>
      <c r="J9915" s="1127"/>
    </row>
    <row r="9916" spans="1:10" x14ac:dyDescent="0.2">
      <c r="A9916" s="997">
        <f t="shared" si="154"/>
        <v>9915</v>
      </c>
      <c r="B9916" s="1129" t="s">
        <v>2724</v>
      </c>
      <c r="C9916" s="1139"/>
      <c r="D9916" s="1129"/>
      <c r="E9916" s="1129"/>
      <c r="F9916" s="1129"/>
      <c r="G9916" s="1129" t="s">
        <v>1106</v>
      </c>
      <c r="H9916" s="1129"/>
      <c r="I9916" s="1129"/>
      <c r="J9916" s="1127"/>
    </row>
    <row r="9917" spans="1:10" x14ac:dyDescent="0.2">
      <c r="A9917" s="997">
        <f t="shared" si="154"/>
        <v>9916</v>
      </c>
      <c r="B9917" s="1129" t="s">
        <v>2724</v>
      </c>
      <c r="C9917" s="1139"/>
      <c r="D9917" s="1129"/>
      <c r="E9917" s="1129"/>
      <c r="F9917" s="1129"/>
      <c r="G9917" s="1129"/>
      <c r="H9917" s="1129" t="s">
        <v>2457</v>
      </c>
      <c r="I9917" s="1129"/>
      <c r="J9917" s="1127"/>
    </row>
    <row r="9918" spans="1:10" x14ac:dyDescent="0.2">
      <c r="A9918" s="997">
        <f t="shared" si="154"/>
        <v>9917</v>
      </c>
      <c r="B9918" s="1129" t="s">
        <v>2724</v>
      </c>
      <c r="C9918" s="1138"/>
      <c r="D9918" s="1129"/>
      <c r="E9918" s="1129"/>
      <c r="F9918" s="1129"/>
      <c r="G9918" s="1129"/>
      <c r="H9918" s="1129" t="str">
        <f>CONCATENATE("&lt;valeur&gt;",Cellule_1223_1,"&lt;/valeur&gt;")</f>
        <v>&lt;valeur&gt;&lt;/valeur&gt;</v>
      </c>
      <c r="I9918" s="1129"/>
      <c r="J9918" s="1127"/>
    </row>
    <row r="9919" spans="1:10" x14ac:dyDescent="0.2">
      <c r="A9919" s="997">
        <f t="shared" si="154"/>
        <v>9918</v>
      </c>
      <c r="B9919" s="1129" t="s">
        <v>2724</v>
      </c>
      <c r="C9919" s="1138"/>
      <c r="D9919" s="1129"/>
      <c r="E9919" s="1129"/>
      <c r="F9919" s="1129"/>
      <c r="G9919" s="1129"/>
      <c r="H9919" s="1129" t="s">
        <v>1348</v>
      </c>
      <c r="I9919" s="1129"/>
      <c r="J9919" s="1127"/>
    </row>
    <row r="9920" spans="1:10" x14ac:dyDescent="0.2">
      <c r="A9920" s="997">
        <f t="shared" si="154"/>
        <v>9919</v>
      </c>
      <c r="B9920" s="1129" t="s">
        <v>2724</v>
      </c>
      <c r="C9920" s="1139"/>
      <c r="D9920" s="1129"/>
      <c r="E9920" s="1129"/>
      <c r="F9920" s="1129"/>
      <c r="G9920" s="1129" t="s">
        <v>1109</v>
      </c>
      <c r="H9920" s="1129"/>
      <c r="I9920" s="1129"/>
      <c r="J9920" s="1127"/>
    </row>
    <row r="9921" spans="1:10" x14ac:dyDescent="0.2">
      <c r="A9921" s="997">
        <f t="shared" si="154"/>
        <v>9920</v>
      </c>
      <c r="B9921" s="1129" t="s">
        <v>2724</v>
      </c>
      <c r="C9921" s="1140"/>
      <c r="D9921" s="1129"/>
      <c r="E9921" s="1129"/>
      <c r="F9921" s="1129"/>
      <c r="G9921" s="1129" t="s">
        <v>1106</v>
      </c>
      <c r="H9921" s="1129"/>
      <c r="I9921" s="1129"/>
      <c r="J9921" s="1127"/>
    </row>
    <row r="9922" spans="1:10" x14ac:dyDescent="0.2">
      <c r="A9922" s="997">
        <f t="shared" si="154"/>
        <v>9921</v>
      </c>
      <c r="B9922" s="1129" t="s">
        <v>2724</v>
      </c>
      <c r="C9922" s="1139"/>
      <c r="D9922" s="1129"/>
      <c r="E9922" s="1129"/>
      <c r="F9922" s="1129"/>
      <c r="G9922" s="1129"/>
      <c r="H9922" s="1129" t="s">
        <v>2458</v>
      </c>
      <c r="I9922" s="1129"/>
      <c r="J9922" s="1127"/>
    </row>
    <row r="9923" spans="1:10" x14ac:dyDescent="0.2">
      <c r="A9923" s="997">
        <f t="shared" si="154"/>
        <v>9922</v>
      </c>
      <c r="B9923" s="1129" t="s">
        <v>2724</v>
      </c>
      <c r="C9923" s="1139"/>
      <c r="D9923" s="1129"/>
      <c r="E9923" s="1129"/>
      <c r="F9923" s="1129"/>
      <c r="G9923" s="1129"/>
      <c r="H9923" s="1129" t="str">
        <f>CONCATENATE("&lt;valeur&gt;",Cellule_1224_1,"&lt;/valeur&gt;")</f>
        <v>&lt;valeur&gt;&lt;/valeur&gt;</v>
      </c>
      <c r="I9923" s="1129"/>
      <c r="J9923" s="1127"/>
    </row>
    <row r="9924" spans="1:10" x14ac:dyDescent="0.2">
      <c r="A9924" s="997">
        <f t="shared" ref="A9924:A9987" si="155">+A9923+1</f>
        <v>9923</v>
      </c>
      <c r="B9924" s="1129" t="s">
        <v>2724</v>
      </c>
      <c r="C9924" s="1138"/>
      <c r="D9924" s="1129"/>
      <c r="E9924" s="1129"/>
      <c r="F9924" s="1129"/>
      <c r="G9924" s="1129"/>
      <c r="H9924" s="1129" t="s">
        <v>1348</v>
      </c>
      <c r="I9924" s="1129"/>
      <c r="J9924" s="1127"/>
    </row>
    <row r="9925" spans="1:10" x14ac:dyDescent="0.2">
      <c r="A9925" s="997">
        <f t="shared" si="155"/>
        <v>9924</v>
      </c>
      <c r="B9925" s="1129" t="s">
        <v>2724</v>
      </c>
      <c r="C9925" s="1138"/>
      <c r="D9925" s="1129"/>
      <c r="E9925" s="1129"/>
      <c r="F9925" s="1129"/>
      <c r="G9925" s="1129" t="s">
        <v>1109</v>
      </c>
      <c r="H9925" s="1129"/>
      <c r="I9925" s="1129"/>
      <c r="J9925" s="1127"/>
    </row>
    <row r="9926" spans="1:10" x14ac:dyDescent="0.2">
      <c r="A9926" s="997">
        <f t="shared" si="155"/>
        <v>9925</v>
      </c>
      <c r="B9926" s="1129" t="s">
        <v>2724</v>
      </c>
      <c r="C9926" s="1139"/>
      <c r="D9926" s="1129"/>
      <c r="E9926" s="1129"/>
      <c r="F9926" s="1129"/>
      <c r="G9926" s="1129" t="s">
        <v>1106</v>
      </c>
      <c r="H9926" s="1129"/>
      <c r="I9926" s="1129"/>
      <c r="J9926" s="1127"/>
    </row>
    <row r="9927" spans="1:10" x14ac:dyDescent="0.2">
      <c r="A9927" s="997">
        <f t="shared" si="155"/>
        <v>9926</v>
      </c>
      <c r="B9927" s="1129" t="s">
        <v>2724</v>
      </c>
      <c r="C9927" s="1140"/>
      <c r="D9927" s="1129"/>
      <c r="E9927" s="1129"/>
      <c r="F9927" s="1129"/>
      <c r="G9927" s="1129"/>
      <c r="H9927" s="1129" t="s">
        <v>2459</v>
      </c>
      <c r="I9927" s="1129"/>
      <c r="J9927" s="1127"/>
    </row>
    <row r="9928" spans="1:10" x14ac:dyDescent="0.2">
      <c r="A9928" s="997">
        <f t="shared" si="155"/>
        <v>9927</v>
      </c>
      <c r="B9928" s="1129" t="s">
        <v>2724</v>
      </c>
      <c r="C9928" s="1139"/>
      <c r="D9928" s="1129"/>
      <c r="E9928" s="1129"/>
      <c r="F9928" s="1129"/>
      <c r="G9928" s="1129"/>
      <c r="H9928" s="1129" t="str">
        <f>CONCATENATE("&lt;valeur&gt;",Cellule_1225_1,"&lt;/valeur&gt;")</f>
        <v>&lt;valeur&gt;&lt;/valeur&gt;</v>
      </c>
      <c r="I9928" s="1129"/>
      <c r="J9928" s="1127"/>
    </row>
    <row r="9929" spans="1:10" x14ac:dyDescent="0.2">
      <c r="A9929" s="997">
        <f t="shared" si="155"/>
        <v>9928</v>
      </c>
      <c r="B9929" s="1129" t="s">
        <v>2724</v>
      </c>
      <c r="C9929" s="1139"/>
      <c r="D9929" s="1129"/>
      <c r="E9929" s="1129"/>
      <c r="F9929" s="1129"/>
      <c r="G9929" s="1129"/>
      <c r="H9929" s="1129" t="s">
        <v>1348</v>
      </c>
      <c r="I9929" s="1129"/>
      <c r="J9929" s="1127"/>
    </row>
    <row r="9930" spans="1:10" x14ac:dyDescent="0.2">
      <c r="A9930" s="997">
        <f t="shared" si="155"/>
        <v>9929</v>
      </c>
      <c r="B9930" s="1129" t="s">
        <v>2724</v>
      </c>
      <c r="C9930" s="1138"/>
      <c r="D9930" s="1129"/>
      <c r="E9930" s="1129"/>
      <c r="F9930" s="1129"/>
      <c r="G9930" s="1129" t="s">
        <v>1109</v>
      </c>
      <c r="H9930" s="1129"/>
      <c r="I9930" s="1129"/>
      <c r="J9930" s="1127"/>
    </row>
    <row r="9931" spans="1:10" x14ac:dyDescent="0.2">
      <c r="A9931" s="997">
        <f t="shared" si="155"/>
        <v>9930</v>
      </c>
      <c r="B9931" s="1129" t="s">
        <v>2724</v>
      </c>
      <c r="C9931" s="1138"/>
      <c r="D9931" s="1129"/>
      <c r="E9931" s="1129"/>
      <c r="F9931" s="1129"/>
      <c r="G9931" s="1129" t="s">
        <v>1106</v>
      </c>
      <c r="H9931" s="1129"/>
      <c r="I9931" s="1129"/>
      <c r="J9931" s="1127"/>
    </row>
    <row r="9932" spans="1:10" x14ac:dyDescent="0.2">
      <c r="A9932" s="997">
        <f t="shared" si="155"/>
        <v>9931</v>
      </c>
      <c r="B9932" s="1129" t="s">
        <v>2724</v>
      </c>
      <c r="C9932" s="1139"/>
      <c r="D9932" s="1129"/>
      <c r="E9932" s="1129"/>
      <c r="F9932" s="1129"/>
      <c r="G9932" s="1129"/>
      <c r="H9932" s="1129" t="s">
        <v>2460</v>
      </c>
      <c r="I9932" s="1129"/>
      <c r="J9932" s="1127"/>
    </row>
    <row r="9933" spans="1:10" x14ac:dyDescent="0.2">
      <c r="A9933" s="997">
        <f t="shared" si="155"/>
        <v>9932</v>
      </c>
      <c r="B9933" s="1129" t="s">
        <v>2724</v>
      </c>
      <c r="C9933" s="1140"/>
      <c r="D9933" s="1129"/>
      <c r="E9933" s="1129"/>
      <c r="F9933" s="1129"/>
      <c r="G9933" s="1129"/>
      <c r="H9933" s="1129" t="str">
        <f>CONCATENATE("&lt;valeur&gt;",Cellule_1226_1,"&lt;/valeur&gt;")</f>
        <v>&lt;valeur&gt;&lt;/valeur&gt;</v>
      </c>
      <c r="I9933" s="1129"/>
      <c r="J9933" s="1127"/>
    </row>
    <row r="9934" spans="1:10" x14ac:dyDescent="0.2">
      <c r="A9934" s="997">
        <f t="shared" si="155"/>
        <v>9933</v>
      </c>
      <c r="B9934" s="1129" t="s">
        <v>2724</v>
      </c>
      <c r="C9934" s="1139"/>
      <c r="D9934" s="1129"/>
      <c r="E9934" s="1129"/>
      <c r="F9934" s="1129"/>
      <c r="G9934" s="1129"/>
      <c r="H9934" s="1129" t="s">
        <v>1348</v>
      </c>
      <c r="I9934" s="1129"/>
      <c r="J9934" s="1127"/>
    </row>
    <row r="9935" spans="1:10" x14ac:dyDescent="0.2">
      <c r="A9935" s="997">
        <f t="shared" si="155"/>
        <v>9934</v>
      </c>
      <c r="B9935" s="1129" t="s">
        <v>2724</v>
      </c>
      <c r="C9935" s="1139"/>
      <c r="D9935" s="1129"/>
      <c r="E9935" s="1129"/>
      <c r="F9935" s="1129"/>
      <c r="G9935" s="1129" t="s">
        <v>1109</v>
      </c>
      <c r="H9935" s="1129"/>
      <c r="I9935" s="1129"/>
      <c r="J9935" s="1127"/>
    </row>
    <row r="9936" spans="1:10" x14ac:dyDescent="0.2">
      <c r="A9936" s="997">
        <f t="shared" si="155"/>
        <v>9935</v>
      </c>
      <c r="B9936" s="1129" t="s">
        <v>2724</v>
      </c>
      <c r="C9936" s="1138"/>
      <c r="D9936" s="1129"/>
      <c r="E9936" s="1129"/>
      <c r="F9936" s="1129"/>
      <c r="G9936" s="1129" t="s">
        <v>1106</v>
      </c>
      <c r="H9936" s="1129"/>
      <c r="I9936" s="1129"/>
      <c r="J9936" s="1127"/>
    </row>
    <row r="9937" spans="1:10" x14ac:dyDescent="0.2">
      <c r="A9937" s="997">
        <f t="shared" si="155"/>
        <v>9936</v>
      </c>
      <c r="B9937" s="1129" t="s">
        <v>2724</v>
      </c>
      <c r="C9937" s="1138"/>
      <c r="D9937" s="1129"/>
      <c r="E9937" s="1129"/>
      <c r="F9937" s="1129"/>
      <c r="G9937" s="1129"/>
      <c r="H9937" s="1129" t="s">
        <v>2461</v>
      </c>
      <c r="I9937" s="1129"/>
      <c r="J9937" s="1127"/>
    </row>
    <row r="9938" spans="1:10" x14ac:dyDescent="0.2">
      <c r="A9938" s="997">
        <f t="shared" si="155"/>
        <v>9937</v>
      </c>
      <c r="B9938" s="1129" t="s">
        <v>2724</v>
      </c>
      <c r="C9938" s="1139"/>
      <c r="D9938" s="1129"/>
      <c r="E9938" s="1129"/>
      <c r="F9938" s="1129"/>
      <c r="G9938" s="1129"/>
      <c r="H9938" s="1129" t="str">
        <f>CONCATENATE("&lt;valeur&gt;",Cellule_1227_1,"&lt;/valeur&gt;")</f>
        <v>&lt;valeur&gt;&lt;/valeur&gt;</v>
      </c>
      <c r="I9938" s="1129"/>
      <c r="J9938" s="1127"/>
    </row>
    <row r="9939" spans="1:10" x14ac:dyDescent="0.2">
      <c r="A9939" s="997">
        <f t="shared" si="155"/>
        <v>9938</v>
      </c>
      <c r="B9939" s="1129" t="s">
        <v>2724</v>
      </c>
      <c r="C9939" s="1140"/>
      <c r="D9939" s="1129"/>
      <c r="E9939" s="1129"/>
      <c r="F9939" s="1129"/>
      <c r="G9939" s="1129"/>
      <c r="H9939" s="1129" t="s">
        <v>1348</v>
      </c>
      <c r="I9939" s="1129"/>
      <c r="J9939" s="1127"/>
    </row>
    <row r="9940" spans="1:10" x14ac:dyDescent="0.2">
      <c r="A9940" s="997">
        <f t="shared" si="155"/>
        <v>9939</v>
      </c>
      <c r="B9940" s="1129" t="s">
        <v>2724</v>
      </c>
      <c r="C9940" s="1139"/>
      <c r="D9940" s="1129"/>
      <c r="E9940" s="1129"/>
      <c r="F9940" s="1129"/>
      <c r="G9940" s="1129" t="s">
        <v>1109</v>
      </c>
      <c r="H9940" s="1129"/>
      <c r="I9940" s="1129"/>
      <c r="J9940" s="1127"/>
    </row>
    <row r="9941" spans="1:10" x14ac:dyDescent="0.2">
      <c r="A9941" s="997">
        <f t="shared" si="155"/>
        <v>9940</v>
      </c>
      <c r="B9941" s="1129" t="s">
        <v>2724</v>
      </c>
      <c r="C9941" s="1139"/>
      <c r="D9941" s="1129"/>
      <c r="E9941" s="1129"/>
      <c r="F9941" s="1129"/>
      <c r="G9941" s="1129" t="s">
        <v>1106</v>
      </c>
      <c r="H9941" s="1129"/>
      <c r="I9941" s="1129"/>
      <c r="J9941" s="1127"/>
    </row>
    <row r="9942" spans="1:10" x14ac:dyDescent="0.2">
      <c r="A9942" s="997">
        <f t="shared" si="155"/>
        <v>9941</v>
      </c>
      <c r="B9942" s="1129" t="s">
        <v>2724</v>
      </c>
      <c r="C9942" s="1138"/>
      <c r="D9942" s="1129"/>
      <c r="E9942" s="1129"/>
      <c r="F9942" s="1129"/>
      <c r="G9942" s="1129"/>
      <c r="H9942" s="1129" t="s">
        <v>2462</v>
      </c>
      <c r="I9942" s="1129"/>
      <c r="J9942" s="1127"/>
    </row>
    <row r="9943" spans="1:10" x14ac:dyDescent="0.2">
      <c r="A9943" s="997">
        <f t="shared" si="155"/>
        <v>9942</v>
      </c>
      <c r="B9943" s="1129" t="s">
        <v>2724</v>
      </c>
      <c r="C9943" s="1146"/>
      <c r="D9943" s="1129"/>
      <c r="E9943" s="1129"/>
      <c r="F9943" s="1129"/>
      <c r="G9943" s="1129"/>
      <c r="H9943" s="1129" t="str">
        <f>CONCATENATE("&lt;valeur&gt;",Cellule_1228_1,"&lt;/valeur&gt;")</f>
        <v>&lt;valeur&gt;&lt;/valeur&gt;</v>
      </c>
      <c r="I9943" s="1129"/>
      <c r="J9943" s="1127"/>
    </row>
    <row r="9944" spans="1:10" x14ac:dyDescent="0.2">
      <c r="A9944" s="997">
        <f t="shared" si="155"/>
        <v>9943</v>
      </c>
      <c r="B9944" s="1129" t="s">
        <v>2724</v>
      </c>
      <c r="C9944" s="1146"/>
      <c r="D9944" s="1129"/>
      <c r="E9944" s="1129"/>
      <c r="F9944" s="1129"/>
      <c r="G9944" s="1129"/>
      <c r="H9944" s="1129" t="s">
        <v>1348</v>
      </c>
      <c r="I9944" s="1129"/>
      <c r="J9944" s="1127"/>
    </row>
    <row r="9945" spans="1:10" x14ac:dyDescent="0.2">
      <c r="A9945" s="997">
        <f t="shared" si="155"/>
        <v>9944</v>
      </c>
      <c r="B9945" s="1129" t="s">
        <v>2724</v>
      </c>
      <c r="C9945" s="1138"/>
      <c r="D9945" s="1129"/>
      <c r="E9945" s="1129"/>
      <c r="F9945" s="1129"/>
      <c r="G9945" s="1129" t="s">
        <v>1109</v>
      </c>
      <c r="H9945" s="1129"/>
      <c r="I9945" s="1129"/>
      <c r="J9945" s="1127"/>
    </row>
    <row r="9946" spans="1:10" x14ac:dyDescent="0.2">
      <c r="A9946" s="997">
        <f t="shared" si="155"/>
        <v>9945</v>
      </c>
      <c r="B9946" s="1129" t="s">
        <v>2724</v>
      </c>
      <c r="C9946" s="1139"/>
      <c r="D9946" s="1129"/>
      <c r="E9946" s="1129"/>
      <c r="F9946" s="1129"/>
      <c r="G9946" s="1129" t="s">
        <v>1106</v>
      </c>
      <c r="H9946" s="1129"/>
      <c r="I9946" s="1129"/>
      <c r="J9946" s="1127"/>
    </row>
    <row r="9947" spans="1:10" x14ac:dyDescent="0.2">
      <c r="A9947" s="997">
        <f t="shared" si="155"/>
        <v>9946</v>
      </c>
      <c r="B9947" s="1129" t="s">
        <v>2724</v>
      </c>
      <c r="C9947" s="1140"/>
      <c r="D9947" s="1129"/>
      <c r="E9947" s="1129"/>
      <c r="F9947" s="1129"/>
      <c r="G9947" s="1129"/>
      <c r="H9947" s="1129" t="s">
        <v>2463</v>
      </c>
      <c r="I9947" s="1129"/>
      <c r="J9947" s="1127"/>
    </row>
    <row r="9948" spans="1:10" x14ac:dyDescent="0.2">
      <c r="A9948" s="997">
        <f t="shared" si="155"/>
        <v>9947</v>
      </c>
      <c r="B9948" s="1129" t="s">
        <v>2724</v>
      </c>
      <c r="C9948" s="1139"/>
      <c r="D9948" s="1129"/>
      <c r="E9948" s="1129"/>
      <c r="F9948" s="1129"/>
      <c r="G9948" s="1129"/>
      <c r="H9948" s="1129" t="str">
        <f>CONCATENATE("&lt;valeur&gt;",Cellule_1229_1,"&lt;/valeur&gt;")</f>
        <v>&lt;valeur&gt;&lt;/valeur&gt;</v>
      </c>
      <c r="I9948" s="1129"/>
      <c r="J9948" s="1127"/>
    </row>
    <row r="9949" spans="1:10" x14ac:dyDescent="0.2">
      <c r="A9949" s="997">
        <f t="shared" si="155"/>
        <v>9948</v>
      </c>
      <c r="B9949" s="1129" t="s">
        <v>2724</v>
      </c>
      <c r="C9949" s="1139"/>
      <c r="D9949" s="1129"/>
      <c r="E9949" s="1129"/>
      <c r="F9949" s="1129"/>
      <c r="G9949" s="1129"/>
      <c r="H9949" s="1129" t="s">
        <v>1348</v>
      </c>
      <c r="I9949" s="1129"/>
      <c r="J9949" s="1127"/>
    </row>
    <row r="9950" spans="1:10" x14ac:dyDescent="0.2">
      <c r="A9950" s="997">
        <f t="shared" si="155"/>
        <v>9949</v>
      </c>
      <c r="B9950" s="1129" t="s">
        <v>2724</v>
      </c>
      <c r="C9950" s="1138"/>
      <c r="D9950" s="1129"/>
      <c r="E9950" s="1129"/>
      <c r="F9950" s="1129"/>
      <c r="G9950" s="1129" t="s">
        <v>1109</v>
      </c>
      <c r="H9950" s="1129"/>
      <c r="I9950" s="1129"/>
      <c r="J9950" s="1127"/>
    </row>
    <row r="9951" spans="1:10" x14ac:dyDescent="0.2">
      <c r="A9951" s="997">
        <f t="shared" si="155"/>
        <v>9950</v>
      </c>
      <c r="B9951" s="1129" t="s">
        <v>2724</v>
      </c>
      <c r="C9951" s="1146"/>
      <c r="D9951" s="1129"/>
      <c r="E9951" s="1129"/>
      <c r="F9951" s="1129"/>
      <c r="G9951" s="1129" t="s">
        <v>1106</v>
      </c>
      <c r="H9951" s="1129"/>
      <c r="I9951" s="1129"/>
      <c r="J9951" s="1127"/>
    </row>
    <row r="9952" spans="1:10" x14ac:dyDescent="0.2">
      <c r="A9952" s="997">
        <f t="shared" si="155"/>
        <v>9951</v>
      </c>
      <c r="B9952" s="1129" t="s">
        <v>2724</v>
      </c>
      <c r="C9952" s="1147"/>
      <c r="D9952" s="1129"/>
      <c r="E9952" s="1129"/>
      <c r="F9952" s="1129"/>
      <c r="G9952" s="1129"/>
      <c r="H9952" s="1129" t="s">
        <v>2464</v>
      </c>
      <c r="I9952" s="1129"/>
      <c r="J9952" s="1127"/>
    </row>
    <row r="9953" spans="1:10" x14ac:dyDescent="0.2">
      <c r="A9953" s="997">
        <f t="shared" si="155"/>
        <v>9952</v>
      </c>
      <c r="B9953" s="1129" t="s">
        <v>2724</v>
      </c>
      <c r="C9953" s="1147"/>
      <c r="D9953" s="1129"/>
      <c r="E9953" s="1129"/>
      <c r="F9953" s="1129"/>
      <c r="G9953" s="1129"/>
      <c r="H9953" s="1129" t="str">
        <f>CONCATENATE("&lt;valeur&gt;",Cellule_1250_1,"&lt;/valeur&gt;")</f>
        <v>&lt;valeur&gt;&lt;/valeur&gt;</v>
      </c>
      <c r="I9953" s="1129"/>
      <c r="J9953" s="1127"/>
    </row>
    <row r="9954" spans="1:10" x14ac:dyDescent="0.2">
      <c r="A9954" s="997">
        <f t="shared" si="155"/>
        <v>9953</v>
      </c>
      <c r="B9954" s="1129" t="s">
        <v>2724</v>
      </c>
      <c r="C9954" s="1146"/>
      <c r="D9954" s="1129"/>
      <c r="E9954" s="1129"/>
      <c r="F9954" s="1129"/>
      <c r="G9954" s="1129"/>
      <c r="H9954" s="1129" t="s">
        <v>1348</v>
      </c>
      <c r="I9954" s="1129"/>
      <c r="J9954" s="1127"/>
    </row>
    <row r="9955" spans="1:10" x14ac:dyDescent="0.2">
      <c r="A9955" s="997">
        <f t="shared" si="155"/>
        <v>9954</v>
      </c>
      <c r="B9955" s="1129" t="s">
        <v>2724</v>
      </c>
      <c r="C9955" s="1138"/>
      <c r="D9955" s="1129"/>
      <c r="E9955" s="1129"/>
      <c r="F9955" s="1129"/>
      <c r="G9955" s="1129" t="s">
        <v>1109</v>
      </c>
      <c r="H9955" s="1129"/>
      <c r="I9955" s="1129"/>
      <c r="J9955" s="1127"/>
    </row>
    <row r="9956" spans="1:10" x14ac:dyDescent="0.2">
      <c r="A9956" s="997">
        <f t="shared" si="155"/>
        <v>9955</v>
      </c>
      <c r="B9956" s="1129" t="s">
        <v>2724</v>
      </c>
      <c r="C9956" s="1146"/>
      <c r="D9956" s="1129"/>
      <c r="E9956" s="1129"/>
      <c r="F9956" s="1129"/>
      <c r="G9956" s="1129" t="s">
        <v>1106</v>
      </c>
      <c r="H9956" s="1129"/>
      <c r="I9956" s="1129"/>
      <c r="J9956" s="1127"/>
    </row>
    <row r="9957" spans="1:10" x14ac:dyDescent="0.2">
      <c r="A9957" s="997">
        <f t="shared" si="155"/>
        <v>9956</v>
      </c>
      <c r="B9957" s="1129" t="s">
        <v>2724</v>
      </c>
      <c r="C9957" s="1146"/>
      <c r="D9957" s="1129"/>
      <c r="E9957" s="1129"/>
      <c r="F9957" s="1129"/>
      <c r="G9957" s="1129"/>
      <c r="H9957" s="1129" t="s">
        <v>2465</v>
      </c>
      <c r="I9957" s="1129"/>
      <c r="J9957" s="1127"/>
    </row>
    <row r="9958" spans="1:10" x14ac:dyDescent="0.2">
      <c r="A9958" s="997">
        <f t="shared" si="155"/>
        <v>9957</v>
      </c>
      <c r="B9958" s="1129" t="s">
        <v>2724</v>
      </c>
      <c r="C9958" s="1138"/>
      <c r="D9958" s="1129"/>
      <c r="E9958" s="1129"/>
      <c r="F9958" s="1129"/>
      <c r="G9958" s="1129"/>
      <c r="H9958" s="1129" t="str">
        <f>CONCATENATE("&lt;valeur&gt;",Cellule_1251_1,"&lt;/valeur&gt;")</f>
        <v>&lt;valeur&gt;&lt;/valeur&gt;</v>
      </c>
      <c r="I9958" s="1129"/>
      <c r="J9958" s="1127"/>
    </row>
    <row r="9959" spans="1:10" x14ac:dyDescent="0.2">
      <c r="A9959" s="997">
        <f t="shared" si="155"/>
        <v>9958</v>
      </c>
      <c r="B9959" s="1129" t="s">
        <v>2724</v>
      </c>
      <c r="C9959" s="1139"/>
      <c r="D9959" s="1129"/>
      <c r="E9959" s="1129"/>
      <c r="F9959" s="1129"/>
      <c r="G9959" s="1129"/>
      <c r="H9959" s="1129" t="s">
        <v>1348</v>
      </c>
      <c r="I9959" s="1129"/>
      <c r="J9959" s="1127"/>
    </row>
    <row r="9960" spans="1:10" x14ac:dyDescent="0.2">
      <c r="A9960" s="997">
        <f t="shared" si="155"/>
        <v>9959</v>
      </c>
      <c r="B9960" s="1129" t="s">
        <v>2724</v>
      </c>
      <c r="C9960" s="1140"/>
      <c r="D9960" s="1129"/>
      <c r="E9960" s="1129"/>
      <c r="F9960" s="1129"/>
      <c r="G9960" s="1129" t="s">
        <v>1109</v>
      </c>
      <c r="H9960" s="1129"/>
      <c r="I9960" s="1129"/>
      <c r="J9960" s="1127"/>
    </row>
    <row r="9961" spans="1:10" x14ac:dyDescent="0.2">
      <c r="A9961" s="997">
        <f t="shared" si="155"/>
        <v>9960</v>
      </c>
      <c r="B9961" s="1129" t="s">
        <v>2724</v>
      </c>
      <c r="C9961" s="1139"/>
      <c r="D9961" s="1129"/>
      <c r="E9961" s="1129"/>
      <c r="F9961" s="1129"/>
      <c r="G9961" s="1129" t="s">
        <v>1106</v>
      </c>
      <c r="H9961" s="1129"/>
      <c r="I9961" s="1129"/>
      <c r="J9961" s="1127"/>
    </row>
    <row r="9962" spans="1:10" x14ac:dyDescent="0.2">
      <c r="A9962" s="997">
        <f t="shared" si="155"/>
        <v>9961</v>
      </c>
      <c r="B9962" s="1129" t="s">
        <v>2724</v>
      </c>
      <c r="C9962" s="1139"/>
      <c r="D9962" s="1129"/>
      <c r="E9962" s="1129"/>
      <c r="F9962" s="1129"/>
      <c r="G9962" s="1129"/>
      <c r="H9962" s="1129" t="s">
        <v>2466</v>
      </c>
      <c r="I9962" s="1129"/>
      <c r="J9962" s="1127"/>
    </row>
    <row r="9963" spans="1:10" x14ac:dyDescent="0.2">
      <c r="A9963" s="997">
        <f t="shared" si="155"/>
        <v>9962</v>
      </c>
      <c r="B9963" s="1129" t="s">
        <v>2724</v>
      </c>
      <c r="C9963" s="1139"/>
      <c r="D9963" s="1129"/>
      <c r="E9963" s="1129"/>
      <c r="F9963" s="1129"/>
      <c r="G9963" s="1129"/>
      <c r="H9963" s="1129" t="str">
        <f>CONCATENATE("&lt;valeur&gt;",Cellule_1252_1,"&lt;/valeur&gt;")</f>
        <v>&lt;valeur&gt;&lt;/valeur&gt;</v>
      </c>
      <c r="I9963" s="1129"/>
      <c r="J9963" s="1127"/>
    </row>
    <row r="9964" spans="1:10" x14ac:dyDescent="0.2">
      <c r="A9964" s="997">
        <f t="shared" si="155"/>
        <v>9963</v>
      </c>
      <c r="B9964" s="1129" t="s">
        <v>2724</v>
      </c>
      <c r="C9964" s="1138"/>
      <c r="D9964" s="1129"/>
      <c r="E9964" s="1129"/>
      <c r="F9964" s="1129"/>
      <c r="G9964" s="1129"/>
      <c r="H9964" s="1129" t="s">
        <v>1348</v>
      </c>
      <c r="I9964" s="1129"/>
      <c r="J9964" s="1127"/>
    </row>
    <row r="9965" spans="1:10" x14ac:dyDescent="0.2">
      <c r="A9965" s="997">
        <f t="shared" si="155"/>
        <v>9964</v>
      </c>
      <c r="B9965" s="1129" t="s">
        <v>2724</v>
      </c>
      <c r="C9965" s="1138"/>
      <c r="D9965" s="1129"/>
      <c r="E9965" s="1129"/>
      <c r="F9965" s="1129"/>
      <c r="G9965" s="1129" t="s">
        <v>1109</v>
      </c>
      <c r="H9965" s="1129"/>
      <c r="I9965" s="1129"/>
      <c r="J9965" s="1127"/>
    </row>
    <row r="9966" spans="1:10" x14ac:dyDescent="0.2">
      <c r="A9966" s="997">
        <f t="shared" si="155"/>
        <v>9965</v>
      </c>
      <c r="B9966" s="1129" t="s">
        <v>2724</v>
      </c>
      <c r="C9966" s="1139"/>
      <c r="D9966" s="1129"/>
      <c r="E9966" s="1129"/>
      <c r="F9966" s="1129"/>
      <c r="G9966" s="1129" t="s">
        <v>1106</v>
      </c>
      <c r="H9966" s="1129"/>
      <c r="I9966" s="1129"/>
      <c r="J9966" s="1127"/>
    </row>
    <row r="9967" spans="1:10" x14ac:dyDescent="0.2">
      <c r="A9967" s="997">
        <f t="shared" si="155"/>
        <v>9966</v>
      </c>
      <c r="B9967" s="1129" t="s">
        <v>2724</v>
      </c>
      <c r="C9967" s="1140"/>
      <c r="D9967" s="1129"/>
      <c r="E9967" s="1129"/>
      <c r="F9967" s="1129"/>
      <c r="G9967" s="1129"/>
      <c r="H9967" s="1129" t="s">
        <v>2467</v>
      </c>
      <c r="I9967" s="1129"/>
      <c r="J9967" s="1127"/>
    </row>
    <row r="9968" spans="1:10" x14ac:dyDescent="0.2">
      <c r="A9968" s="997">
        <f t="shared" si="155"/>
        <v>9967</v>
      </c>
      <c r="B9968" s="1129" t="s">
        <v>2724</v>
      </c>
      <c r="C9968" s="1139"/>
      <c r="D9968" s="1129"/>
      <c r="E9968" s="1129"/>
      <c r="F9968" s="1129"/>
      <c r="G9968" s="1129"/>
      <c r="H9968" s="1129" t="str">
        <f>CONCATENATE("&lt;valeur&gt;",Cellule_1253_1,"&lt;/valeur&gt;")</f>
        <v>&lt;valeur&gt;&lt;/valeur&gt;</v>
      </c>
      <c r="I9968" s="1129"/>
      <c r="J9968" s="1127"/>
    </row>
    <row r="9969" spans="1:10" x14ac:dyDescent="0.2">
      <c r="A9969" s="997">
        <f t="shared" si="155"/>
        <v>9968</v>
      </c>
      <c r="B9969" s="1129" t="s">
        <v>2724</v>
      </c>
      <c r="C9969" s="1139"/>
      <c r="D9969" s="1129"/>
      <c r="E9969" s="1129"/>
      <c r="F9969" s="1129"/>
      <c r="G9969" s="1129"/>
      <c r="H9969" s="1129" t="s">
        <v>1348</v>
      </c>
      <c r="I9969" s="1129"/>
      <c r="J9969" s="1127"/>
    </row>
    <row r="9970" spans="1:10" x14ac:dyDescent="0.2">
      <c r="A9970" s="997">
        <f t="shared" si="155"/>
        <v>9969</v>
      </c>
      <c r="B9970" s="1130" t="s">
        <v>2724</v>
      </c>
      <c r="C9970" s="1144"/>
      <c r="D9970" s="1130"/>
      <c r="E9970" s="1130"/>
      <c r="F9970" s="1130"/>
      <c r="G9970" s="1130" t="s">
        <v>1109</v>
      </c>
      <c r="H9970" s="1130"/>
      <c r="I9970" s="1130"/>
      <c r="J9970" s="1142"/>
    </row>
    <row r="9971" spans="1:10" x14ac:dyDescent="0.2">
      <c r="A9971" s="997">
        <f t="shared" si="155"/>
        <v>9970</v>
      </c>
      <c r="B9971" s="1128" t="s">
        <v>2724</v>
      </c>
      <c r="C9971" s="1137"/>
      <c r="D9971" s="1128"/>
      <c r="E9971" s="1128"/>
      <c r="F9971" s="1128"/>
      <c r="G9971" s="1128" t="s">
        <v>1106</v>
      </c>
      <c r="H9971" s="1128"/>
      <c r="I9971" s="1128"/>
      <c r="J9971" s="1124"/>
    </row>
    <row r="9972" spans="1:10" x14ac:dyDescent="0.2">
      <c r="A9972" s="997">
        <f t="shared" si="155"/>
        <v>9971</v>
      </c>
      <c r="B9972" s="1129" t="s">
        <v>2724</v>
      </c>
      <c r="C9972" s="1138"/>
      <c r="D9972" s="1129"/>
      <c r="E9972" s="1129"/>
      <c r="F9972" s="1129"/>
      <c r="G9972" s="1129"/>
      <c r="H9972" s="1129" t="s">
        <v>2455</v>
      </c>
      <c r="I9972" s="1129"/>
      <c r="J9972" s="1127"/>
    </row>
    <row r="9973" spans="1:10" x14ac:dyDescent="0.2">
      <c r="A9973" s="997">
        <f t="shared" si="155"/>
        <v>9972</v>
      </c>
      <c r="B9973" s="1129" t="s">
        <v>2724</v>
      </c>
      <c r="C9973" s="1139"/>
      <c r="D9973" s="1129"/>
      <c r="E9973" s="1129"/>
      <c r="F9973" s="1129"/>
      <c r="G9973" s="1129"/>
      <c r="H9973" s="1129" t="str">
        <f>CONCATENATE("&lt;valeur&gt;",Cellule_1221_2,"&lt;/valeur&gt;")</f>
        <v>&lt;valeur&gt;&lt;/valeur&gt;</v>
      </c>
      <c r="I9973" s="1129"/>
      <c r="J9973" s="1127"/>
    </row>
    <row r="9974" spans="1:10" x14ac:dyDescent="0.2">
      <c r="A9974" s="997">
        <f t="shared" si="155"/>
        <v>9973</v>
      </c>
      <c r="B9974" s="1129" t="s">
        <v>2724</v>
      </c>
      <c r="C9974" s="1140"/>
      <c r="D9974" s="1129"/>
      <c r="E9974" s="1129"/>
      <c r="F9974" s="1129"/>
      <c r="G9974" s="1129"/>
      <c r="H9974" s="1129" t="s">
        <v>2735</v>
      </c>
      <c r="I9974" s="1129"/>
      <c r="J9974" s="1127"/>
    </row>
    <row r="9975" spans="1:10" x14ac:dyDescent="0.2">
      <c r="A9975" s="997">
        <f t="shared" si="155"/>
        <v>9974</v>
      </c>
      <c r="B9975" s="1129" t="s">
        <v>2724</v>
      </c>
      <c r="C9975" s="1139"/>
      <c r="D9975" s="1129"/>
      <c r="E9975" s="1129"/>
      <c r="F9975" s="1129"/>
      <c r="G9975" s="1129" t="s">
        <v>1109</v>
      </c>
      <c r="H9975" s="1129"/>
      <c r="I9975" s="1129"/>
      <c r="J9975" s="1127"/>
    </row>
    <row r="9976" spans="1:10" x14ac:dyDescent="0.2">
      <c r="A9976" s="997">
        <f t="shared" si="155"/>
        <v>9975</v>
      </c>
      <c r="B9976" s="1129" t="s">
        <v>2724</v>
      </c>
      <c r="C9976" s="1139"/>
      <c r="D9976" s="1129"/>
      <c r="E9976" s="1129"/>
      <c r="F9976" s="1129"/>
      <c r="G9976" s="1129" t="s">
        <v>1106</v>
      </c>
      <c r="H9976" s="1129"/>
      <c r="I9976" s="1129"/>
      <c r="J9976" s="1127"/>
    </row>
    <row r="9977" spans="1:10" x14ac:dyDescent="0.2">
      <c r="A9977" s="997">
        <f t="shared" si="155"/>
        <v>9976</v>
      </c>
      <c r="B9977" s="1129" t="s">
        <v>2724</v>
      </c>
      <c r="C9977" s="1138"/>
      <c r="D9977" s="1129"/>
      <c r="E9977" s="1129"/>
      <c r="F9977" s="1129"/>
      <c r="G9977" s="1129"/>
      <c r="H9977" s="1129" t="s">
        <v>2456</v>
      </c>
      <c r="I9977" s="1129"/>
      <c r="J9977" s="1127"/>
    </row>
    <row r="9978" spans="1:10" x14ac:dyDescent="0.2">
      <c r="A9978" s="997">
        <f t="shared" si="155"/>
        <v>9977</v>
      </c>
      <c r="B9978" s="1129" t="s">
        <v>2724</v>
      </c>
      <c r="C9978" s="1138"/>
      <c r="D9978" s="1129"/>
      <c r="E9978" s="1129"/>
      <c r="F9978" s="1129"/>
      <c r="G9978" s="1129"/>
      <c r="H9978" s="1129" t="str">
        <f>CONCATENATE("&lt;valeur&gt;",Cellule_1222_2,"&lt;/valeur&gt;")</f>
        <v>&lt;valeur&gt;&lt;/valeur&gt;</v>
      </c>
      <c r="I9978" s="1129"/>
      <c r="J9978" s="1127"/>
    </row>
    <row r="9979" spans="1:10" x14ac:dyDescent="0.2">
      <c r="A9979" s="997">
        <f t="shared" si="155"/>
        <v>9978</v>
      </c>
      <c r="B9979" s="1129" t="s">
        <v>2724</v>
      </c>
      <c r="C9979" s="1139"/>
      <c r="D9979" s="1129"/>
      <c r="E9979" s="1129"/>
      <c r="F9979" s="1129"/>
      <c r="G9979" s="1129"/>
      <c r="H9979" s="1129" t="s">
        <v>2735</v>
      </c>
      <c r="I9979" s="1129"/>
      <c r="J9979" s="1127"/>
    </row>
    <row r="9980" spans="1:10" x14ac:dyDescent="0.2">
      <c r="A9980" s="997">
        <f t="shared" si="155"/>
        <v>9979</v>
      </c>
      <c r="B9980" s="1129" t="s">
        <v>2724</v>
      </c>
      <c r="C9980" s="1140"/>
      <c r="D9980" s="1129"/>
      <c r="E9980" s="1129"/>
      <c r="F9980" s="1129"/>
      <c r="G9980" s="1129" t="s">
        <v>1109</v>
      </c>
      <c r="H9980" s="1129"/>
      <c r="I9980" s="1129"/>
      <c r="J9980" s="1127"/>
    </row>
    <row r="9981" spans="1:10" x14ac:dyDescent="0.2">
      <c r="A9981" s="997">
        <f t="shared" si="155"/>
        <v>9980</v>
      </c>
      <c r="B9981" s="1129" t="s">
        <v>2724</v>
      </c>
      <c r="C9981" s="1139"/>
      <c r="D9981" s="1129"/>
      <c r="E9981" s="1129"/>
      <c r="F9981" s="1129"/>
      <c r="G9981" s="1129" t="s">
        <v>1106</v>
      </c>
      <c r="H9981" s="1129"/>
      <c r="I9981" s="1129"/>
      <c r="J9981" s="1127"/>
    </row>
    <row r="9982" spans="1:10" x14ac:dyDescent="0.2">
      <c r="A9982" s="997">
        <f t="shared" si="155"/>
        <v>9981</v>
      </c>
      <c r="B9982" s="1129" t="s">
        <v>2724</v>
      </c>
      <c r="C9982" s="1139"/>
      <c r="D9982" s="1129"/>
      <c r="E9982" s="1129"/>
      <c r="F9982" s="1129"/>
      <c r="G9982" s="1129"/>
      <c r="H9982" s="1129" t="s">
        <v>2457</v>
      </c>
      <c r="I9982" s="1129"/>
      <c r="J9982" s="1127"/>
    </row>
    <row r="9983" spans="1:10" x14ac:dyDescent="0.2">
      <c r="A9983" s="997">
        <f t="shared" si="155"/>
        <v>9982</v>
      </c>
      <c r="B9983" s="1129" t="s">
        <v>2724</v>
      </c>
      <c r="C9983" s="1138"/>
      <c r="D9983" s="1129"/>
      <c r="E9983" s="1129"/>
      <c r="F9983" s="1129"/>
      <c r="G9983" s="1129"/>
      <c r="H9983" s="1129" t="str">
        <f>CONCATENATE("&lt;valeur&gt;",Cellule_1223_2,"&lt;/valeur&gt;")</f>
        <v>&lt;valeur&gt;&lt;/valeur&gt;</v>
      </c>
      <c r="I9983" s="1129"/>
      <c r="J9983" s="1127"/>
    </row>
    <row r="9984" spans="1:10" x14ac:dyDescent="0.2">
      <c r="A9984" s="997">
        <f t="shared" si="155"/>
        <v>9983</v>
      </c>
      <c r="B9984" s="1129" t="s">
        <v>2724</v>
      </c>
      <c r="C9984" s="1138"/>
      <c r="D9984" s="1129"/>
      <c r="E9984" s="1129"/>
      <c r="F9984" s="1129"/>
      <c r="G9984" s="1129"/>
      <c r="H9984" s="1129" t="s">
        <v>2735</v>
      </c>
      <c r="I9984" s="1129"/>
      <c r="J9984" s="1127"/>
    </row>
    <row r="9985" spans="1:10" x14ac:dyDescent="0.2">
      <c r="A9985" s="997">
        <f t="shared" si="155"/>
        <v>9984</v>
      </c>
      <c r="B9985" s="1129" t="s">
        <v>2724</v>
      </c>
      <c r="C9985" s="1139"/>
      <c r="D9985" s="1129"/>
      <c r="E9985" s="1129"/>
      <c r="F9985" s="1129"/>
      <c r="G9985" s="1129" t="s">
        <v>1109</v>
      </c>
      <c r="H9985" s="1129"/>
      <c r="I9985" s="1129"/>
      <c r="J9985" s="1127"/>
    </row>
    <row r="9986" spans="1:10" x14ac:dyDescent="0.2">
      <c r="A9986" s="997">
        <f t="shared" si="155"/>
        <v>9985</v>
      </c>
      <c r="B9986" s="1129" t="s">
        <v>2724</v>
      </c>
      <c r="C9986" s="1140"/>
      <c r="D9986" s="1129"/>
      <c r="E9986" s="1129"/>
      <c r="F9986" s="1129"/>
      <c r="G9986" s="1129" t="s">
        <v>1106</v>
      </c>
      <c r="H9986" s="1129"/>
      <c r="I9986" s="1129"/>
      <c r="J9986" s="1127"/>
    </row>
    <row r="9987" spans="1:10" x14ac:dyDescent="0.2">
      <c r="A9987" s="997">
        <f t="shared" si="155"/>
        <v>9986</v>
      </c>
      <c r="B9987" s="1129" t="s">
        <v>2724</v>
      </c>
      <c r="C9987" s="1139"/>
      <c r="D9987" s="1129"/>
      <c r="E9987" s="1129"/>
      <c r="F9987" s="1129"/>
      <c r="G9987" s="1129"/>
      <c r="H9987" s="1129" t="s">
        <v>2458</v>
      </c>
      <c r="I9987" s="1129"/>
      <c r="J9987" s="1127"/>
    </row>
    <row r="9988" spans="1:10" x14ac:dyDescent="0.2">
      <c r="A9988" s="997">
        <f t="shared" ref="A9988:A10051" si="156">+A9987+1</f>
        <v>9987</v>
      </c>
      <c r="B9988" s="1129" t="s">
        <v>2724</v>
      </c>
      <c r="C9988" s="1139"/>
      <c r="D9988" s="1129"/>
      <c r="E9988" s="1129"/>
      <c r="F9988" s="1129"/>
      <c r="G9988" s="1129"/>
      <c r="H9988" s="1129" t="str">
        <f>CONCATENATE("&lt;valeur&gt;",Cellule_1224_2,"&lt;/valeur&gt;")</f>
        <v>&lt;valeur&gt;&lt;/valeur&gt;</v>
      </c>
      <c r="I9988" s="1129"/>
      <c r="J9988" s="1127"/>
    </row>
    <row r="9989" spans="1:10" x14ac:dyDescent="0.2">
      <c r="A9989" s="997">
        <f t="shared" si="156"/>
        <v>9988</v>
      </c>
      <c r="B9989" s="1129" t="s">
        <v>2724</v>
      </c>
      <c r="C9989" s="1138"/>
      <c r="D9989" s="1129"/>
      <c r="E9989" s="1129"/>
      <c r="F9989" s="1129"/>
      <c r="G9989" s="1129"/>
      <c r="H9989" s="1129" t="s">
        <v>2735</v>
      </c>
      <c r="I9989" s="1129"/>
      <c r="J9989" s="1127"/>
    </row>
    <row r="9990" spans="1:10" x14ac:dyDescent="0.2">
      <c r="A9990" s="997">
        <f t="shared" si="156"/>
        <v>9989</v>
      </c>
      <c r="B9990" s="1129" t="s">
        <v>2724</v>
      </c>
      <c r="C9990" s="1138"/>
      <c r="D9990" s="1129"/>
      <c r="E9990" s="1129"/>
      <c r="F9990" s="1129"/>
      <c r="G9990" s="1129" t="s">
        <v>1109</v>
      </c>
      <c r="H9990" s="1129"/>
      <c r="I9990" s="1129"/>
      <c r="J9990" s="1127"/>
    </row>
    <row r="9991" spans="1:10" x14ac:dyDescent="0.2">
      <c r="A9991" s="997">
        <f t="shared" si="156"/>
        <v>9990</v>
      </c>
      <c r="B9991" s="1129" t="s">
        <v>2724</v>
      </c>
      <c r="C9991" s="1139"/>
      <c r="D9991" s="1129"/>
      <c r="E9991" s="1129"/>
      <c r="F9991" s="1129"/>
      <c r="G9991" s="1129" t="s">
        <v>1106</v>
      </c>
      <c r="H9991" s="1129"/>
      <c r="I9991" s="1129"/>
      <c r="J9991" s="1127"/>
    </row>
    <row r="9992" spans="1:10" x14ac:dyDescent="0.2">
      <c r="A9992" s="997">
        <f t="shared" si="156"/>
        <v>9991</v>
      </c>
      <c r="B9992" s="1129" t="s">
        <v>2724</v>
      </c>
      <c r="C9992" s="1140"/>
      <c r="D9992" s="1129"/>
      <c r="E9992" s="1129"/>
      <c r="F9992" s="1129"/>
      <c r="G9992" s="1129"/>
      <c r="H9992" s="1129" t="s">
        <v>2459</v>
      </c>
      <c r="I9992" s="1129"/>
      <c r="J9992" s="1127"/>
    </row>
    <row r="9993" spans="1:10" x14ac:dyDescent="0.2">
      <c r="A9993" s="997">
        <f t="shared" si="156"/>
        <v>9992</v>
      </c>
      <c r="B9993" s="1129" t="s">
        <v>2724</v>
      </c>
      <c r="C9993" s="1139"/>
      <c r="D9993" s="1129"/>
      <c r="E9993" s="1129"/>
      <c r="F9993" s="1129"/>
      <c r="G9993" s="1129"/>
      <c r="H9993" s="1129" t="str">
        <f>CONCATENATE("&lt;valeur&gt;",Cellule_1225_2,"&lt;/valeur&gt;")</f>
        <v>&lt;valeur&gt;&lt;/valeur&gt;</v>
      </c>
      <c r="I9993" s="1129"/>
      <c r="J9993" s="1127"/>
    </row>
    <row r="9994" spans="1:10" x14ac:dyDescent="0.2">
      <c r="A9994" s="997">
        <f t="shared" si="156"/>
        <v>9993</v>
      </c>
      <c r="B9994" s="1129" t="s">
        <v>2724</v>
      </c>
      <c r="C9994" s="1139"/>
      <c r="D9994" s="1129"/>
      <c r="E9994" s="1129"/>
      <c r="F9994" s="1129"/>
      <c r="G9994" s="1129"/>
      <c r="H9994" s="1129" t="s">
        <v>2735</v>
      </c>
      <c r="I9994" s="1129"/>
      <c r="J9994" s="1127"/>
    </row>
    <row r="9995" spans="1:10" x14ac:dyDescent="0.2">
      <c r="A9995" s="997">
        <f t="shared" si="156"/>
        <v>9994</v>
      </c>
      <c r="B9995" s="1129" t="s">
        <v>2724</v>
      </c>
      <c r="C9995" s="1138"/>
      <c r="D9995" s="1129"/>
      <c r="E9995" s="1129"/>
      <c r="F9995" s="1129"/>
      <c r="G9995" s="1129" t="s">
        <v>1109</v>
      </c>
      <c r="H9995" s="1129"/>
      <c r="I9995" s="1129"/>
      <c r="J9995" s="1127"/>
    </row>
    <row r="9996" spans="1:10" x14ac:dyDescent="0.2">
      <c r="A9996" s="997">
        <f t="shared" si="156"/>
        <v>9995</v>
      </c>
      <c r="B9996" s="1129" t="s">
        <v>2724</v>
      </c>
      <c r="C9996" s="1138"/>
      <c r="D9996" s="1129"/>
      <c r="E9996" s="1129"/>
      <c r="F9996" s="1129"/>
      <c r="G9996" s="1129" t="s">
        <v>1106</v>
      </c>
      <c r="H9996" s="1129"/>
      <c r="I9996" s="1129"/>
      <c r="J9996" s="1127"/>
    </row>
    <row r="9997" spans="1:10" x14ac:dyDescent="0.2">
      <c r="A9997" s="997">
        <f t="shared" si="156"/>
        <v>9996</v>
      </c>
      <c r="B9997" s="1129" t="s">
        <v>2724</v>
      </c>
      <c r="C9997" s="1139"/>
      <c r="D9997" s="1129"/>
      <c r="E9997" s="1129"/>
      <c r="F9997" s="1129"/>
      <c r="G9997" s="1129"/>
      <c r="H9997" s="1129" t="s">
        <v>2460</v>
      </c>
      <c r="I9997" s="1129"/>
      <c r="J9997" s="1127"/>
    </row>
    <row r="9998" spans="1:10" x14ac:dyDescent="0.2">
      <c r="A9998" s="997">
        <f t="shared" si="156"/>
        <v>9997</v>
      </c>
      <c r="B9998" s="1129" t="s">
        <v>2724</v>
      </c>
      <c r="C9998" s="1140"/>
      <c r="D9998" s="1129"/>
      <c r="E9998" s="1129"/>
      <c r="F9998" s="1129"/>
      <c r="G9998" s="1129"/>
      <c r="H9998" s="1129" t="str">
        <f>CONCATENATE("&lt;valeur&gt;",Cellule_1226_2,"&lt;/valeur&gt;")</f>
        <v>&lt;valeur&gt;&lt;/valeur&gt;</v>
      </c>
      <c r="I9998" s="1129"/>
      <c r="J9998" s="1127"/>
    </row>
    <row r="9999" spans="1:10" x14ac:dyDescent="0.2">
      <c r="A9999" s="997">
        <f t="shared" si="156"/>
        <v>9998</v>
      </c>
      <c r="B9999" s="1129" t="s">
        <v>2724</v>
      </c>
      <c r="C9999" s="1139"/>
      <c r="D9999" s="1129"/>
      <c r="E9999" s="1129"/>
      <c r="F9999" s="1129"/>
      <c r="G9999" s="1129"/>
      <c r="H9999" s="1129" t="s">
        <v>2735</v>
      </c>
      <c r="I9999" s="1129"/>
      <c r="J9999" s="1127"/>
    </row>
    <row r="10000" spans="1:10" x14ac:dyDescent="0.2">
      <c r="A10000" s="997">
        <f t="shared" si="156"/>
        <v>9999</v>
      </c>
      <c r="B10000" s="1129" t="s">
        <v>2724</v>
      </c>
      <c r="C10000" s="1139"/>
      <c r="D10000" s="1129"/>
      <c r="E10000" s="1129"/>
      <c r="F10000" s="1129"/>
      <c r="G10000" s="1129" t="s">
        <v>1109</v>
      </c>
      <c r="H10000" s="1129"/>
      <c r="I10000" s="1129"/>
      <c r="J10000" s="1127"/>
    </row>
    <row r="10001" spans="1:10" x14ac:dyDescent="0.2">
      <c r="A10001" s="997">
        <f t="shared" si="156"/>
        <v>10000</v>
      </c>
      <c r="B10001" s="1129" t="s">
        <v>2724</v>
      </c>
      <c r="C10001" s="1138"/>
      <c r="D10001" s="1129"/>
      <c r="E10001" s="1129"/>
      <c r="F10001" s="1129"/>
      <c r="G10001" s="1129" t="s">
        <v>1106</v>
      </c>
      <c r="H10001" s="1129"/>
      <c r="I10001" s="1129"/>
      <c r="J10001" s="1127"/>
    </row>
    <row r="10002" spans="1:10" x14ac:dyDescent="0.2">
      <c r="A10002" s="997">
        <f t="shared" si="156"/>
        <v>10001</v>
      </c>
      <c r="B10002" s="1129" t="s">
        <v>2724</v>
      </c>
      <c r="C10002" s="1138"/>
      <c r="D10002" s="1129"/>
      <c r="E10002" s="1129"/>
      <c r="F10002" s="1129"/>
      <c r="G10002" s="1129"/>
      <c r="H10002" s="1129" t="s">
        <v>2461</v>
      </c>
      <c r="I10002" s="1129"/>
      <c r="J10002" s="1127"/>
    </row>
    <row r="10003" spans="1:10" x14ac:dyDescent="0.2">
      <c r="A10003" s="997">
        <f t="shared" si="156"/>
        <v>10002</v>
      </c>
      <c r="B10003" s="1129" t="s">
        <v>2724</v>
      </c>
      <c r="C10003" s="1139"/>
      <c r="D10003" s="1129"/>
      <c r="E10003" s="1129"/>
      <c r="F10003" s="1129"/>
      <c r="G10003" s="1129"/>
      <c r="H10003" s="1129" t="str">
        <f>CONCATENATE("&lt;valeur&gt;",Cellule_1227_2,"&lt;/valeur&gt;")</f>
        <v>&lt;valeur&gt;&lt;/valeur&gt;</v>
      </c>
      <c r="I10003" s="1129"/>
      <c r="J10003" s="1127"/>
    </row>
    <row r="10004" spans="1:10" x14ac:dyDescent="0.2">
      <c r="A10004" s="997">
        <f t="shared" si="156"/>
        <v>10003</v>
      </c>
      <c r="B10004" s="1129" t="s">
        <v>2724</v>
      </c>
      <c r="C10004" s="1140"/>
      <c r="D10004" s="1129"/>
      <c r="E10004" s="1129"/>
      <c r="F10004" s="1129"/>
      <c r="G10004" s="1129"/>
      <c r="H10004" s="1129" t="s">
        <v>2735</v>
      </c>
      <c r="I10004" s="1129"/>
      <c r="J10004" s="1127"/>
    </row>
    <row r="10005" spans="1:10" x14ac:dyDescent="0.2">
      <c r="A10005" s="997">
        <f t="shared" si="156"/>
        <v>10004</v>
      </c>
      <c r="B10005" s="1129" t="s">
        <v>2724</v>
      </c>
      <c r="C10005" s="1139"/>
      <c r="D10005" s="1129"/>
      <c r="E10005" s="1129"/>
      <c r="F10005" s="1129"/>
      <c r="G10005" s="1129" t="s">
        <v>1109</v>
      </c>
      <c r="H10005" s="1129"/>
      <c r="I10005" s="1129"/>
      <c r="J10005" s="1127"/>
    </row>
    <row r="10006" spans="1:10" x14ac:dyDescent="0.2">
      <c r="A10006" s="997">
        <f t="shared" si="156"/>
        <v>10005</v>
      </c>
      <c r="B10006" s="1129" t="s">
        <v>2724</v>
      </c>
      <c r="C10006" s="1139"/>
      <c r="D10006" s="1129"/>
      <c r="E10006" s="1129"/>
      <c r="F10006" s="1129"/>
      <c r="G10006" s="1129" t="s">
        <v>1106</v>
      </c>
      <c r="H10006" s="1129"/>
      <c r="I10006" s="1129"/>
      <c r="J10006" s="1127"/>
    </row>
    <row r="10007" spans="1:10" x14ac:dyDescent="0.2">
      <c r="A10007" s="997">
        <f t="shared" si="156"/>
        <v>10006</v>
      </c>
      <c r="B10007" s="1129" t="s">
        <v>2724</v>
      </c>
      <c r="C10007" s="1138"/>
      <c r="D10007" s="1129"/>
      <c r="E10007" s="1129"/>
      <c r="F10007" s="1129"/>
      <c r="G10007" s="1129"/>
      <c r="H10007" s="1129" t="s">
        <v>2462</v>
      </c>
      <c r="I10007" s="1129"/>
      <c r="J10007" s="1127"/>
    </row>
    <row r="10008" spans="1:10" x14ac:dyDescent="0.2">
      <c r="A10008" s="997">
        <f t="shared" si="156"/>
        <v>10007</v>
      </c>
      <c r="B10008" s="1129" t="s">
        <v>2724</v>
      </c>
      <c r="C10008" s="1146"/>
      <c r="D10008" s="1129"/>
      <c r="E10008" s="1129"/>
      <c r="F10008" s="1129"/>
      <c r="G10008" s="1129"/>
      <c r="H10008" s="1129" t="str">
        <f>CONCATENATE("&lt;valeur&gt;",Cellule_1228_2,"&lt;/valeur&gt;")</f>
        <v>&lt;valeur&gt;&lt;/valeur&gt;</v>
      </c>
      <c r="I10008" s="1129"/>
      <c r="J10008" s="1127"/>
    </row>
    <row r="10009" spans="1:10" x14ac:dyDescent="0.2">
      <c r="A10009" s="997">
        <f t="shared" si="156"/>
        <v>10008</v>
      </c>
      <c r="B10009" s="1129" t="s">
        <v>2724</v>
      </c>
      <c r="C10009" s="1146"/>
      <c r="D10009" s="1129"/>
      <c r="E10009" s="1129"/>
      <c r="F10009" s="1129"/>
      <c r="G10009" s="1129"/>
      <c r="H10009" s="1129" t="s">
        <v>2735</v>
      </c>
      <c r="I10009" s="1129"/>
      <c r="J10009" s="1127"/>
    </row>
    <row r="10010" spans="1:10" x14ac:dyDescent="0.2">
      <c r="A10010" s="997">
        <f t="shared" si="156"/>
        <v>10009</v>
      </c>
      <c r="B10010" s="1129" t="s">
        <v>2724</v>
      </c>
      <c r="C10010" s="1138"/>
      <c r="D10010" s="1129"/>
      <c r="E10010" s="1129"/>
      <c r="F10010" s="1129"/>
      <c r="G10010" s="1129" t="s">
        <v>1109</v>
      </c>
      <c r="H10010" s="1129"/>
      <c r="I10010" s="1129"/>
      <c r="J10010" s="1127"/>
    </row>
    <row r="10011" spans="1:10" x14ac:dyDescent="0.2">
      <c r="A10011" s="997">
        <f t="shared" si="156"/>
        <v>10010</v>
      </c>
      <c r="B10011" s="1129" t="s">
        <v>2724</v>
      </c>
      <c r="C10011" s="1139"/>
      <c r="D10011" s="1129"/>
      <c r="E10011" s="1129"/>
      <c r="F10011" s="1129"/>
      <c r="G10011" s="1129" t="s">
        <v>1106</v>
      </c>
      <c r="H10011" s="1129"/>
      <c r="I10011" s="1129"/>
      <c r="J10011" s="1127"/>
    </row>
    <row r="10012" spans="1:10" x14ac:dyDescent="0.2">
      <c r="A10012" s="997">
        <f t="shared" si="156"/>
        <v>10011</v>
      </c>
      <c r="B10012" s="1129" t="s">
        <v>2724</v>
      </c>
      <c r="C10012" s="1140"/>
      <c r="D10012" s="1129"/>
      <c r="E10012" s="1129"/>
      <c r="F10012" s="1129"/>
      <c r="G10012" s="1129"/>
      <c r="H10012" s="1129" t="s">
        <v>2463</v>
      </c>
      <c r="I10012" s="1129"/>
      <c r="J10012" s="1127"/>
    </row>
    <row r="10013" spans="1:10" x14ac:dyDescent="0.2">
      <c r="A10013" s="997">
        <f t="shared" si="156"/>
        <v>10012</v>
      </c>
      <c r="B10013" s="1129" t="s">
        <v>2724</v>
      </c>
      <c r="C10013" s="1139"/>
      <c r="D10013" s="1129"/>
      <c r="E10013" s="1129"/>
      <c r="F10013" s="1129"/>
      <c r="G10013" s="1129"/>
      <c r="H10013" s="1129" t="str">
        <f>CONCATENATE("&lt;valeur&gt;",Cellule_1229_2,"&lt;/valeur&gt;")</f>
        <v>&lt;valeur&gt;&lt;/valeur&gt;</v>
      </c>
      <c r="I10013" s="1129"/>
      <c r="J10013" s="1127"/>
    </row>
    <row r="10014" spans="1:10" x14ac:dyDescent="0.2">
      <c r="A10014" s="997">
        <f t="shared" si="156"/>
        <v>10013</v>
      </c>
      <c r="B10014" s="1129" t="s">
        <v>2724</v>
      </c>
      <c r="C10014" s="1139"/>
      <c r="D10014" s="1129"/>
      <c r="E10014" s="1129"/>
      <c r="F10014" s="1129"/>
      <c r="G10014" s="1129"/>
      <c r="H10014" s="1129" t="s">
        <v>2735</v>
      </c>
      <c r="I10014" s="1129"/>
      <c r="J10014" s="1127"/>
    </row>
    <row r="10015" spans="1:10" x14ac:dyDescent="0.2">
      <c r="A10015" s="997">
        <f t="shared" si="156"/>
        <v>10014</v>
      </c>
      <c r="B10015" s="1129" t="s">
        <v>2724</v>
      </c>
      <c r="C10015" s="1138"/>
      <c r="D10015" s="1129"/>
      <c r="E10015" s="1129"/>
      <c r="F10015" s="1129"/>
      <c r="G10015" s="1129" t="s">
        <v>1109</v>
      </c>
      <c r="H10015" s="1129"/>
      <c r="I10015" s="1129"/>
      <c r="J10015" s="1127"/>
    </row>
    <row r="10016" spans="1:10" x14ac:dyDescent="0.2">
      <c r="A10016" s="997">
        <f t="shared" si="156"/>
        <v>10015</v>
      </c>
      <c r="B10016" s="1129" t="s">
        <v>2724</v>
      </c>
      <c r="C10016" s="1146"/>
      <c r="D10016" s="1129"/>
      <c r="E10016" s="1129"/>
      <c r="F10016" s="1129"/>
      <c r="G10016" s="1129" t="s">
        <v>1106</v>
      </c>
      <c r="H10016" s="1129"/>
      <c r="I10016" s="1129"/>
      <c r="J10016" s="1127"/>
    </row>
    <row r="10017" spans="1:10" x14ac:dyDescent="0.2">
      <c r="A10017" s="997">
        <f t="shared" si="156"/>
        <v>10016</v>
      </c>
      <c r="B10017" s="1129" t="s">
        <v>2724</v>
      </c>
      <c r="C10017" s="1147"/>
      <c r="D10017" s="1129"/>
      <c r="E10017" s="1129"/>
      <c r="F10017" s="1129"/>
      <c r="G10017" s="1129"/>
      <c r="H10017" s="1129" t="s">
        <v>2464</v>
      </c>
      <c r="I10017" s="1129"/>
      <c r="J10017" s="1127"/>
    </row>
    <row r="10018" spans="1:10" x14ac:dyDescent="0.2">
      <c r="A10018" s="997">
        <f t="shared" si="156"/>
        <v>10017</v>
      </c>
      <c r="B10018" s="1129" t="s">
        <v>2724</v>
      </c>
      <c r="C10018" s="1147"/>
      <c r="D10018" s="1129"/>
      <c r="E10018" s="1129"/>
      <c r="F10018" s="1129"/>
      <c r="G10018" s="1129"/>
      <c r="H10018" s="1129" t="str">
        <f>CONCATENATE("&lt;valeur&gt;",Cellule_1250_2,"&lt;/valeur&gt;")</f>
        <v>&lt;valeur&gt;&lt;/valeur&gt;</v>
      </c>
      <c r="I10018" s="1129"/>
      <c r="J10018" s="1127"/>
    </row>
    <row r="10019" spans="1:10" x14ac:dyDescent="0.2">
      <c r="A10019" s="997">
        <f t="shared" si="156"/>
        <v>10018</v>
      </c>
      <c r="B10019" s="1129" t="s">
        <v>2724</v>
      </c>
      <c r="C10019" s="1146"/>
      <c r="D10019" s="1129"/>
      <c r="E10019" s="1129"/>
      <c r="F10019" s="1129"/>
      <c r="G10019" s="1129"/>
      <c r="H10019" s="1129" t="s">
        <v>2735</v>
      </c>
      <c r="I10019" s="1129"/>
      <c r="J10019" s="1127"/>
    </row>
    <row r="10020" spans="1:10" x14ac:dyDescent="0.2">
      <c r="A10020" s="997">
        <f t="shared" si="156"/>
        <v>10019</v>
      </c>
      <c r="B10020" s="1129" t="s">
        <v>2724</v>
      </c>
      <c r="C10020" s="1138"/>
      <c r="D10020" s="1129"/>
      <c r="E10020" s="1129"/>
      <c r="F10020" s="1129"/>
      <c r="G10020" s="1129" t="s">
        <v>1109</v>
      </c>
      <c r="H10020" s="1129"/>
      <c r="I10020" s="1129"/>
      <c r="J10020" s="1127"/>
    </row>
    <row r="10021" spans="1:10" x14ac:dyDescent="0.2">
      <c r="A10021" s="997">
        <f t="shared" si="156"/>
        <v>10020</v>
      </c>
      <c r="B10021" s="1129" t="s">
        <v>2724</v>
      </c>
      <c r="C10021" s="1146"/>
      <c r="D10021" s="1129"/>
      <c r="E10021" s="1129"/>
      <c r="F10021" s="1129"/>
      <c r="G10021" s="1129" t="s">
        <v>1106</v>
      </c>
      <c r="H10021" s="1129"/>
      <c r="I10021" s="1129"/>
      <c r="J10021" s="1127"/>
    </row>
    <row r="10022" spans="1:10" x14ac:dyDescent="0.2">
      <c r="A10022" s="997">
        <f t="shared" si="156"/>
        <v>10021</v>
      </c>
      <c r="B10022" s="1129" t="s">
        <v>2724</v>
      </c>
      <c r="C10022" s="1146"/>
      <c r="D10022" s="1129"/>
      <c r="E10022" s="1129"/>
      <c r="F10022" s="1129"/>
      <c r="G10022" s="1129"/>
      <c r="H10022" s="1129" t="s">
        <v>2465</v>
      </c>
      <c r="I10022" s="1129"/>
      <c r="J10022" s="1127"/>
    </row>
    <row r="10023" spans="1:10" x14ac:dyDescent="0.2">
      <c r="A10023" s="997">
        <f t="shared" si="156"/>
        <v>10022</v>
      </c>
      <c r="B10023" s="1129" t="s">
        <v>2724</v>
      </c>
      <c r="C10023" s="1138"/>
      <c r="D10023" s="1129"/>
      <c r="E10023" s="1129"/>
      <c r="F10023" s="1129"/>
      <c r="G10023" s="1129"/>
      <c r="H10023" s="1129" t="str">
        <f>CONCATENATE("&lt;valeur&gt;",Cellule_1251_2,"&lt;/valeur&gt;")</f>
        <v>&lt;valeur&gt;&lt;/valeur&gt;</v>
      </c>
      <c r="I10023" s="1129"/>
      <c r="J10023" s="1127"/>
    </row>
    <row r="10024" spans="1:10" x14ac:dyDescent="0.2">
      <c r="A10024" s="997">
        <f t="shared" si="156"/>
        <v>10023</v>
      </c>
      <c r="B10024" s="1129" t="s">
        <v>2724</v>
      </c>
      <c r="C10024" s="1139"/>
      <c r="D10024" s="1129"/>
      <c r="E10024" s="1129"/>
      <c r="F10024" s="1129"/>
      <c r="G10024" s="1129"/>
      <c r="H10024" s="1129" t="s">
        <v>2735</v>
      </c>
      <c r="I10024" s="1129"/>
      <c r="J10024" s="1127"/>
    </row>
    <row r="10025" spans="1:10" x14ac:dyDescent="0.2">
      <c r="A10025" s="997">
        <f t="shared" si="156"/>
        <v>10024</v>
      </c>
      <c r="B10025" s="1129" t="s">
        <v>2724</v>
      </c>
      <c r="C10025" s="1140"/>
      <c r="D10025" s="1129"/>
      <c r="E10025" s="1129"/>
      <c r="F10025" s="1129"/>
      <c r="G10025" s="1129" t="s">
        <v>1109</v>
      </c>
      <c r="H10025" s="1129"/>
      <c r="I10025" s="1129"/>
      <c r="J10025" s="1127"/>
    </row>
    <row r="10026" spans="1:10" x14ac:dyDescent="0.2">
      <c r="A10026" s="997">
        <f t="shared" si="156"/>
        <v>10025</v>
      </c>
      <c r="B10026" s="1129" t="s">
        <v>2724</v>
      </c>
      <c r="C10026" s="1139"/>
      <c r="D10026" s="1129"/>
      <c r="E10026" s="1129"/>
      <c r="F10026" s="1129"/>
      <c r="G10026" s="1129" t="s">
        <v>1106</v>
      </c>
      <c r="H10026" s="1129"/>
      <c r="I10026" s="1129"/>
      <c r="J10026" s="1127"/>
    </row>
    <row r="10027" spans="1:10" x14ac:dyDescent="0.2">
      <c r="A10027" s="997">
        <f t="shared" si="156"/>
        <v>10026</v>
      </c>
      <c r="B10027" s="1129" t="s">
        <v>2724</v>
      </c>
      <c r="C10027" s="1139"/>
      <c r="D10027" s="1129"/>
      <c r="E10027" s="1129"/>
      <c r="F10027" s="1129"/>
      <c r="G10027" s="1129"/>
      <c r="H10027" s="1129" t="s">
        <v>2466</v>
      </c>
      <c r="I10027" s="1129"/>
      <c r="J10027" s="1127"/>
    </row>
    <row r="10028" spans="1:10" x14ac:dyDescent="0.2">
      <c r="A10028" s="997">
        <f t="shared" si="156"/>
        <v>10027</v>
      </c>
      <c r="B10028" s="1129" t="s">
        <v>2724</v>
      </c>
      <c r="C10028" s="1139"/>
      <c r="D10028" s="1129"/>
      <c r="E10028" s="1129"/>
      <c r="F10028" s="1129"/>
      <c r="G10028" s="1129"/>
      <c r="H10028" s="1129" t="str">
        <f>CONCATENATE("&lt;valeur&gt;",Cellule_1252_2,"&lt;/valeur&gt;")</f>
        <v>&lt;valeur&gt;&lt;/valeur&gt;</v>
      </c>
      <c r="I10028" s="1129"/>
      <c r="J10028" s="1127"/>
    </row>
    <row r="10029" spans="1:10" x14ac:dyDescent="0.2">
      <c r="A10029" s="997">
        <f t="shared" si="156"/>
        <v>10028</v>
      </c>
      <c r="B10029" s="1129" t="s">
        <v>2724</v>
      </c>
      <c r="C10029" s="1138"/>
      <c r="D10029" s="1129"/>
      <c r="E10029" s="1129"/>
      <c r="F10029" s="1129"/>
      <c r="G10029" s="1129"/>
      <c r="H10029" s="1129" t="s">
        <v>2735</v>
      </c>
      <c r="I10029" s="1129"/>
      <c r="J10029" s="1127"/>
    </row>
    <row r="10030" spans="1:10" x14ac:dyDescent="0.2">
      <c r="A10030" s="997">
        <f t="shared" si="156"/>
        <v>10029</v>
      </c>
      <c r="B10030" s="1129" t="s">
        <v>2724</v>
      </c>
      <c r="C10030" s="1138"/>
      <c r="D10030" s="1129"/>
      <c r="E10030" s="1129"/>
      <c r="F10030" s="1129"/>
      <c r="G10030" s="1129" t="s">
        <v>1109</v>
      </c>
      <c r="H10030" s="1129"/>
      <c r="I10030" s="1129"/>
      <c r="J10030" s="1127"/>
    </row>
    <row r="10031" spans="1:10" x14ac:dyDescent="0.2">
      <c r="A10031" s="997">
        <f t="shared" si="156"/>
        <v>10030</v>
      </c>
      <c r="B10031" s="1129" t="s">
        <v>2724</v>
      </c>
      <c r="C10031" s="1139"/>
      <c r="D10031" s="1129"/>
      <c r="E10031" s="1129"/>
      <c r="F10031" s="1129"/>
      <c r="G10031" s="1129" t="s">
        <v>1106</v>
      </c>
      <c r="H10031" s="1129"/>
      <c r="I10031" s="1129"/>
      <c r="J10031" s="1127"/>
    </row>
    <row r="10032" spans="1:10" x14ac:dyDescent="0.2">
      <c r="A10032" s="997">
        <f t="shared" si="156"/>
        <v>10031</v>
      </c>
      <c r="B10032" s="1129" t="s">
        <v>2724</v>
      </c>
      <c r="C10032" s="1140"/>
      <c r="D10032" s="1129"/>
      <c r="E10032" s="1129"/>
      <c r="F10032" s="1129"/>
      <c r="G10032" s="1129"/>
      <c r="H10032" s="1129" t="s">
        <v>2467</v>
      </c>
      <c r="I10032" s="1129"/>
      <c r="J10032" s="1127"/>
    </row>
    <row r="10033" spans="1:10" x14ac:dyDescent="0.2">
      <c r="A10033" s="997">
        <f t="shared" si="156"/>
        <v>10032</v>
      </c>
      <c r="B10033" s="1129" t="s">
        <v>2724</v>
      </c>
      <c r="C10033" s="1139"/>
      <c r="D10033" s="1129"/>
      <c r="E10033" s="1129"/>
      <c r="F10033" s="1129"/>
      <c r="G10033" s="1129"/>
      <c r="H10033" s="1129" t="str">
        <f>CONCATENATE("&lt;valeur&gt;",Cellule_1253_2,"&lt;/valeur&gt;")</f>
        <v>&lt;valeur&gt;&lt;/valeur&gt;</v>
      </c>
      <c r="I10033" s="1129"/>
      <c r="J10033" s="1127"/>
    </row>
    <row r="10034" spans="1:10" x14ac:dyDescent="0.2">
      <c r="A10034" s="997">
        <f t="shared" si="156"/>
        <v>10033</v>
      </c>
      <c r="B10034" s="1129" t="s">
        <v>2724</v>
      </c>
      <c r="C10034" s="1139"/>
      <c r="D10034" s="1129"/>
      <c r="E10034" s="1129"/>
      <c r="F10034" s="1129"/>
      <c r="G10034" s="1129"/>
      <c r="H10034" s="1129" t="s">
        <v>2735</v>
      </c>
      <c r="I10034" s="1129"/>
      <c r="J10034" s="1127"/>
    </row>
    <row r="10035" spans="1:10" x14ac:dyDescent="0.2">
      <c r="A10035" s="997">
        <f t="shared" si="156"/>
        <v>10034</v>
      </c>
      <c r="B10035" s="1130" t="s">
        <v>2724</v>
      </c>
      <c r="C10035" s="1144"/>
      <c r="D10035" s="1130"/>
      <c r="E10035" s="1130"/>
      <c r="F10035" s="1130"/>
      <c r="G10035" s="1130" t="s">
        <v>1109</v>
      </c>
      <c r="H10035" s="1130"/>
      <c r="I10035" s="1130"/>
      <c r="J10035" s="1142"/>
    </row>
    <row r="10036" spans="1:10" x14ac:dyDescent="0.2">
      <c r="A10036" s="997">
        <f t="shared" si="156"/>
        <v>10035</v>
      </c>
      <c r="B10036" s="1128" t="s">
        <v>2724</v>
      </c>
      <c r="C10036" s="1137"/>
      <c r="D10036" s="1128"/>
      <c r="E10036" s="1128"/>
      <c r="F10036" s="1128"/>
      <c r="G10036" s="1128" t="s">
        <v>1106</v>
      </c>
      <c r="H10036" s="1128"/>
      <c r="I10036" s="1128"/>
      <c r="J10036" s="1124"/>
    </row>
    <row r="10037" spans="1:10" x14ac:dyDescent="0.2">
      <c r="A10037" s="997">
        <f t="shared" si="156"/>
        <v>10036</v>
      </c>
      <c r="B10037" s="1129" t="s">
        <v>2724</v>
      </c>
      <c r="C10037" s="1138"/>
      <c r="D10037" s="1129"/>
      <c r="E10037" s="1129"/>
      <c r="F10037" s="1129"/>
      <c r="G10037" s="1129"/>
      <c r="H10037" s="1129" t="s">
        <v>2455</v>
      </c>
      <c r="I10037" s="1129"/>
      <c r="J10037" s="1127"/>
    </row>
    <row r="10038" spans="1:10" x14ac:dyDescent="0.2">
      <c r="A10038" s="997">
        <f t="shared" si="156"/>
        <v>10037</v>
      </c>
      <c r="B10038" s="1129" t="s">
        <v>2724</v>
      </c>
      <c r="C10038" s="1139"/>
      <c r="D10038" s="1129"/>
      <c r="E10038" s="1129"/>
      <c r="F10038" s="1129"/>
      <c r="G10038" s="1129"/>
      <c r="H10038" s="1129" t="str">
        <f>CONCATENATE("&lt;valeur&gt;",Cellule_1221_3,"&lt;/valeur&gt;")</f>
        <v>&lt;valeur&gt;&lt;/valeur&gt;</v>
      </c>
      <c r="I10038" s="1129"/>
      <c r="J10038" s="1127"/>
    </row>
    <row r="10039" spans="1:10" x14ac:dyDescent="0.2">
      <c r="A10039" s="997">
        <f t="shared" si="156"/>
        <v>10038</v>
      </c>
      <c r="B10039" s="1129" t="s">
        <v>2724</v>
      </c>
      <c r="C10039" s="1140"/>
      <c r="D10039" s="1129"/>
      <c r="E10039" s="1129"/>
      <c r="F10039" s="1129"/>
      <c r="G10039" s="1129"/>
      <c r="H10039" s="1129" t="s">
        <v>2736</v>
      </c>
      <c r="I10039" s="1129"/>
      <c r="J10039" s="1127"/>
    </row>
    <row r="10040" spans="1:10" x14ac:dyDescent="0.2">
      <c r="A10040" s="997">
        <f t="shared" si="156"/>
        <v>10039</v>
      </c>
      <c r="B10040" s="1129" t="s">
        <v>2724</v>
      </c>
      <c r="C10040" s="1139"/>
      <c r="D10040" s="1129"/>
      <c r="E10040" s="1129"/>
      <c r="F10040" s="1129"/>
      <c r="G10040" s="1129" t="s">
        <v>1109</v>
      </c>
      <c r="H10040" s="1129"/>
      <c r="I10040" s="1129"/>
      <c r="J10040" s="1127"/>
    </row>
    <row r="10041" spans="1:10" x14ac:dyDescent="0.2">
      <c r="A10041" s="997">
        <f t="shared" si="156"/>
        <v>10040</v>
      </c>
      <c r="B10041" s="1129" t="s">
        <v>2724</v>
      </c>
      <c r="C10041" s="1139"/>
      <c r="D10041" s="1129"/>
      <c r="E10041" s="1129"/>
      <c r="F10041" s="1129"/>
      <c r="G10041" s="1129" t="s">
        <v>1106</v>
      </c>
      <c r="H10041" s="1129"/>
      <c r="I10041" s="1129"/>
      <c r="J10041" s="1127"/>
    </row>
    <row r="10042" spans="1:10" x14ac:dyDescent="0.2">
      <c r="A10042" s="997">
        <f t="shared" si="156"/>
        <v>10041</v>
      </c>
      <c r="B10042" s="1129" t="s">
        <v>2724</v>
      </c>
      <c r="C10042" s="1138"/>
      <c r="D10042" s="1129"/>
      <c r="E10042" s="1129"/>
      <c r="F10042" s="1129"/>
      <c r="G10042" s="1129"/>
      <c r="H10042" s="1129" t="s">
        <v>2456</v>
      </c>
      <c r="I10042" s="1129"/>
      <c r="J10042" s="1127"/>
    </row>
    <row r="10043" spans="1:10" x14ac:dyDescent="0.2">
      <c r="A10043" s="997">
        <f t="shared" si="156"/>
        <v>10042</v>
      </c>
      <c r="B10043" s="1129" t="s">
        <v>2724</v>
      </c>
      <c r="C10043" s="1138"/>
      <c r="D10043" s="1129"/>
      <c r="E10043" s="1129"/>
      <c r="F10043" s="1129"/>
      <c r="G10043" s="1129"/>
      <c r="H10043" s="1129" t="str">
        <f>CONCATENATE("&lt;valeur&gt;",Cellule_1222_3,"&lt;/valeur&gt;")</f>
        <v>&lt;valeur&gt;&lt;/valeur&gt;</v>
      </c>
      <c r="I10043" s="1129"/>
      <c r="J10043" s="1127"/>
    </row>
    <row r="10044" spans="1:10" x14ac:dyDescent="0.2">
      <c r="A10044" s="997">
        <f t="shared" si="156"/>
        <v>10043</v>
      </c>
      <c r="B10044" s="1129" t="s">
        <v>2724</v>
      </c>
      <c r="C10044" s="1139"/>
      <c r="D10044" s="1129"/>
      <c r="E10044" s="1129"/>
      <c r="F10044" s="1129"/>
      <c r="G10044" s="1129"/>
      <c r="H10044" s="1129" t="s">
        <v>2736</v>
      </c>
      <c r="I10044" s="1129"/>
      <c r="J10044" s="1127"/>
    </row>
    <row r="10045" spans="1:10" x14ac:dyDescent="0.2">
      <c r="A10045" s="997">
        <f t="shared" si="156"/>
        <v>10044</v>
      </c>
      <c r="B10045" s="1129" t="s">
        <v>2724</v>
      </c>
      <c r="C10045" s="1140"/>
      <c r="D10045" s="1129"/>
      <c r="E10045" s="1129"/>
      <c r="F10045" s="1129"/>
      <c r="G10045" s="1129" t="s">
        <v>1109</v>
      </c>
      <c r="H10045" s="1129"/>
      <c r="I10045" s="1129"/>
      <c r="J10045" s="1127"/>
    </row>
    <row r="10046" spans="1:10" x14ac:dyDescent="0.2">
      <c r="A10046" s="997">
        <f t="shared" si="156"/>
        <v>10045</v>
      </c>
      <c r="B10046" s="1129" t="s">
        <v>2724</v>
      </c>
      <c r="C10046" s="1139"/>
      <c r="D10046" s="1129"/>
      <c r="E10046" s="1129"/>
      <c r="F10046" s="1129"/>
      <c r="G10046" s="1129" t="s">
        <v>1106</v>
      </c>
      <c r="H10046" s="1129"/>
      <c r="I10046" s="1129"/>
      <c r="J10046" s="1127"/>
    </row>
    <row r="10047" spans="1:10" x14ac:dyDescent="0.2">
      <c r="A10047" s="997">
        <f t="shared" si="156"/>
        <v>10046</v>
      </c>
      <c r="B10047" s="1129" t="s">
        <v>2724</v>
      </c>
      <c r="C10047" s="1139"/>
      <c r="D10047" s="1129"/>
      <c r="E10047" s="1129"/>
      <c r="F10047" s="1129"/>
      <c r="G10047" s="1129"/>
      <c r="H10047" s="1129" t="s">
        <v>2457</v>
      </c>
      <c r="I10047" s="1129"/>
      <c r="J10047" s="1127"/>
    </row>
    <row r="10048" spans="1:10" x14ac:dyDescent="0.2">
      <c r="A10048" s="997">
        <f t="shared" si="156"/>
        <v>10047</v>
      </c>
      <c r="B10048" s="1129" t="s">
        <v>2724</v>
      </c>
      <c r="C10048" s="1138"/>
      <c r="D10048" s="1129"/>
      <c r="E10048" s="1129"/>
      <c r="F10048" s="1129"/>
      <c r="G10048" s="1129"/>
      <c r="H10048" s="1129" t="str">
        <f>CONCATENATE("&lt;valeur&gt;",Cellule_1223_3,"&lt;/valeur&gt;")</f>
        <v>&lt;valeur&gt;&lt;/valeur&gt;</v>
      </c>
      <c r="I10048" s="1129"/>
      <c r="J10048" s="1127"/>
    </row>
    <row r="10049" spans="1:10" x14ac:dyDescent="0.2">
      <c r="A10049" s="997">
        <f t="shared" si="156"/>
        <v>10048</v>
      </c>
      <c r="B10049" s="1129" t="s">
        <v>2724</v>
      </c>
      <c r="C10049" s="1138"/>
      <c r="D10049" s="1129"/>
      <c r="E10049" s="1129"/>
      <c r="F10049" s="1129"/>
      <c r="G10049" s="1129"/>
      <c r="H10049" s="1129" t="s">
        <v>2736</v>
      </c>
      <c r="I10049" s="1129"/>
      <c r="J10049" s="1127"/>
    </row>
    <row r="10050" spans="1:10" x14ac:dyDescent="0.2">
      <c r="A10050" s="997">
        <f t="shared" si="156"/>
        <v>10049</v>
      </c>
      <c r="B10050" s="1129" t="s">
        <v>2724</v>
      </c>
      <c r="C10050" s="1139"/>
      <c r="D10050" s="1129"/>
      <c r="E10050" s="1129"/>
      <c r="F10050" s="1129"/>
      <c r="G10050" s="1129" t="s">
        <v>1109</v>
      </c>
      <c r="H10050" s="1129"/>
      <c r="I10050" s="1129"/>
      <c r="J10050" s="1127"/>
    </row>
    <row r="10051" spans="1:10" x14ac:dyDescent="0.2">
      <c r="A10051" s="997">
        <f t="shared" si="156"/>
        <v>10050</v>
      </c>
      <c r="B10051" s="1129" t="s">
        <v>2724</v>
      </c>
      <c r="C10051" s="1140"/>
      <c r="D10051" s="1129"/>
      <c r="E10051" s="1129"/>
      <c r="F10051" s="1129"/>
      <c r="G10051" s="1129" t="s">
        <v>1106</v>
      </c>
      <c r="H10051" s="1129"/>
      <c r="I10051" s="1129"/>
      <c r="J10051" s="1127"/>
    </row>
    <row r="10052" spans="1:10" x14ac:dyDescent="0.2">
      <c r="A10052" s="997">
        <f t="shared" ref="A10052:A10115" si="157">+A10051+1</f>
        <v>10051</v>
      </c>
      <c r="B10052" s="1129" t="s">
        <v>2724</v>
      </c>
      <c r="C10052" s="1139"/>
      <c r="D10052" s="1129"/>
      <c r="E10052" s="1129"/>
      <c r="F10052" s="1129"/>
      <c r="G10052" s="1129"/>
      <c r="H10052" s="1129" t="s">
        <v>2458</v>
      </c>
      <c r="I10052" s="1129"/>
      <c r="J10052" s="1127"/>
    </row>
    <row r="10053" spans="1:10" x14ac:dyDescent="0.2">
      <c r="A10053" s="997">
        <f t="shared" si="157"/>
        <v>10052</v>
      </c>
      <c r="B10053" s="1129" t="s">
        <v>2724</v>
      </c>
      <c r="C10053" s="1139"/>
      <c r="D10053" s="1129"/>
      <c r="E10053" s="1129"/>
      <c r="F10053" s="1129"/>
      <c r="G10053" s="1129"/>
      <c r="H10053" s="1129" t="str">
        <f>CONCATENATE("&lt;valeur&gt;",Cellule_1224_3,"&lt;/valeur&gt;")</f>
        <v>&lt;valeur&gt;&lt;/valeur&gt;</v>
      </c>
      <c r="I10053" s="1129"/>
      <c r="J10053" s="1127"/>
    </row>
    <row r="10054" spans="1:10" x14ac:dyDescent="0.2">
      <c r="A10054" s="997">
        <f t="shared" si="157"/>
        <v>10053</v>
      </c>
      <c r="B10054" s="1129" t="s">
        <v>2724</v>
      </c>
      <c r="C10054" s="1138"/>
      <c r="D10054" s="1129"/>
      <c r="E10054" s="1129"/>
      <c r="F10054" s="1129"/>
      <c r="G10054" s="1129"/>
      <c r="H10054" s="1129" t="s">
        <v>2736</v>
      </c>
      <c r="I10054" s="1129"/>
      <c r="J10054" s="1127"/>
    </row>
    <row r="10055" spans="1:10" x14ac:dyDescent="0.2">
      <c r="A10055" s="997">
        <f t="shared" si="157"/>
        <v>10054</v>
      </c>
      <c r="B10055" s="1129" t="s">
        <v>2724</v>
      </c>
      <c r="C10055" s="1138"/>
      <c r="D10055" s="1129"/>
      <c r="E10055" s="1129"/>
      <c r="F10055" s="1129"/>
      <c r="G10055" s="1129" t="s">
        <v>1109</v>
      </c>
      <c r="H10055" s="1129"/>
      <c r="I10055" s="1129"/>
      <c r="J10055" s="1127"/>
    </row>
    <row r="10056" spans="1:10" x14ac:dyDescent="0.2">
      <c r="A10056" s="997">
        <f t="shared" si="157"/>
        <v>10055</v>
      </c>
      <c r="B10056" s="1129" t="s">
        <v>2724</v>
      </c>
      <c r="C10056" s="1139"/>
      <c r="D10056" s="1129"/>
      <c r="E10056" s="1129"/>
      <c r="F10056" s="1129"/>
      <c r="G10056" s="1129" t="s">
        <v>1106</v>
      </c>
      <c r="H10056" s="1129"/>
      <c r="I10056" s="1129"/>
      <c r="J10056" s="1127"/>
    </row>
    <row r="10057" spans="1:10" x14ac:dyDescent="0.2">
      <c r="A10057" s="997">
        <f t="shared" si="157"/>
        <v>10056</v>
      </c>
      <c r="B10057" s="1129" t="s">
        <v>2724</v>
      </c>
      <c r="C10057" s="1140"/>
      <c r="D10057" s="1129"/>
      <c r="E10057" s="1129"/>
      <c r="F10057" s="1129"/>
      <c r="G10057" s="1129"/>
      <c r="H10057" s="1129" t="s">
        <v>2459</v>
      </c>
      <c r="I10057" s="1129"/>
      <c r="J10057" s="1127"/>
    </row>
    <row r="10058" spans="1:10" x14ac:dyDescent="0.2">
      <c r="A10058" s="997">
        <f t="shared" si="157"/>
        <v>10057</v>
      </c>
      <c r="B10058" s="1129" t="s">
        <v>2724</v>
      </c>
      <c r="C10058" s="1139"/>
      <c r="D10058" s="1129"/>
      <c r="E10058" s="1129"/>
      <c r="F10058" s="1129"/>
      <c r="G10058" s="1129"/>
      <c r="H10058" s="1129" t="str">
        <f>CONCATENATE("&lt;valeur&gt;",Cellule_1225_3,"&lt;/valeur&gt;")</f>
        <v>&lt;valeur&gt;&lt;/valeur&gt;</v>
      </c>
      <c r="I10058" s="1129"/>
      <c r="J10058" s="1127"/>
    </row>
    <row r="10059" spans="1:10" x14ac:dyDescent="0.2">
      <c r="A10059" s="997">
        <f t="shared" si="157"/>
        <v>10058</v>
      </c>
      <c r="B10059" s="1129" t="s">
        <v>2724</v>
      </c>
      <c r="C10059" s="1139"/>
      <c r="D10059" s="1129"/>
      <c r="E10059" s="1129"/>
      <c r="F10059" s="1129"/>
      <c r="G10059" s="1129"/>
      <c r="H10059" s="1129" t="s">
        <v>2736</v>
      </c>
      <c r="I10059" s="1129"/>
      <c r="J10059" s="1127"/>
    </row>
    <row r="10060" spans="1:10" x14ac:dyDescent="0.2">
      <c r="A10060" s="997">
        <f t="shared" si="157"/>
        <v>10059</v>
      </c>
      <c r="B10060" s="1129" t="s">
        <v>2724</v>
      </c>
      <c r="C10060" s="1138"/>
      <c r="D10060" s="1129"/>
      <c r="E10060" s="1129"/>
      <c r="F10060" s="1129"/>
      <c r="G10060" s="1129" t="s">
        <v>1109</v>
      </c>
      <c r="H10060" s="1129"/>
      <c r="I10060" s="1129"/>
      <c r="J10060" s="1127"/>
    </row>
    <row r="10061" spans="1:10" x14ac:dyDescent="0.2">
      <c r="A10061" s="997">
        <f t="shared" si="157"/>
        <v>10060</v>
      </c>
      <c r="B10061" s="1129" t="s">
        <v>2724</v>
      </c>
      <c r="C10061" s="1138"/>
      <c r="D10061" s="1129"/>
      <c r="E10061" s="1129"/>
      <c r="F10061" s="1129"/>
      <c r="G10061" s="1129" t="s">
        <v>1106</v>
      </c>
      <c r="H10061" s="1129"/>
      <c r="I10061" s="1129"/>
      <c r="J10061" s="1127"/>
    </row>
    <row r="10062" spans="1:10" x14ac:dyDescent="0.2">
      <c r="A10062" s="997">
        <f t="shared" si="157"/>
        <v>10061</v>
      </c>
      <c r="B10062" s="1129" t="s">
        <v>2724</v>
      </c>
      <c r="C10062" s="1139"/>
      <c r="D10062" s="1129"/>
      <c r="E10062" s="1129"/>
      <c r="F10062" s="1129"/>
      <c r="G10062" s="1129"/>
      <c r="H10062" s="1129" t="s">
        <v>2460</v>
      </c>
      <c r="I10062" s="1129"/>
      <c r="J10062" s="1127"/>
    </row>
    <row r="10063" spans="1:10" x14ac:dyDescent="0.2">
      <c r="A10063" s="997">
        <f t="shared" si="157"/>
        <v>10062</v>
      </c>
      <c r="B10063" s="1129" t="s">
        <v>2724</v>
      </c>
      <c r="C10063" s="1140"/>
      <c r="D10063" s="1129"/>
      <c r="E10063" s="1129"/>
      <c r="F10063" s="1129"/>
      <c r="G10063" s="1129"/>
      <c r="H10063" s="1129" t="str">
        <f>CONCATENATE("&lt;valeur&gt;",Cellule_1226_3,"&lt;/valeur&gt;")</f>
        <v>&lt;valeur&gt;&lt;/valeur&gt;</v>
      </c>
      <c r="I10063" s="1129"/>
      <c r="J10063" s="1127"/>
    </row>
    <row r="10064" spans="1:10" x14ac:dyDescent="0.2">
      <c r="A10064" s="997">
        <f t="shared" si="157"/>
        <v>10063</v>
      </c>
      <c r="B10064" s="1129" t="s">
        <v>2724</v>
      </c>
      <c r="C10064" s="1139"/>
      <c r="D10064" s="1129"/>
      <c r="E10064" s="1129"/>
      <c r="F10064" s="1129"/>
      <c r="G10064" s="1129"/>
      <c r="H10064" s="1129" t="s">
        <v>2736</v>
      </c>
      <c r="I10064" s="1129"/>
      <c r="J10064" s="1127"/>
    </row>
    <row r="10065" spans="1:10" x14ac:dyDescent="0.2">
      <c r="A10065" s="997">
        <f t="shared" si="157"/>
        <v>10064</v>
      </c>
      <c r="B10065" s="1129" t="s">
        <v>2724</v>
      </c>
      <c r="C10065" s="1139"/>
      <c r="D10065" s="1129"/>
      <c r="E10065" s="1129"/>
      <c r="F10065" s="1129"/>
      <c r="G10065" s="1129" t="s">
        <v>1109</v>
      </c>
      <c r="H10065" s="1129"/>
      <c r="I10065" s="1129"/>
      <c r="J10065" s="1127"/>
    </row>
    <row r="10066" spans="1:10" x14ac:dyDescent="0.2">
      <c r="A10066" s="997">
        <f t="shared" si="157"/>
        <v>10065</v>
      </c>
      <c r="B10066" s="1129" t="s">
        <v>2724</v>
      </c>
      <c r="C10066" s="1138"/>
      <c r="D10066" s="1129"/>
      <c r="E10066" s="1129"/>
      <c r="F10066" s="1129"/>
      <c r="G10066" s="1129" t="s">
        <v>1106</v>
      </c>
      <c r="H10066" s="1129"/>
      <c r="I10066" s="1129"/>
      <c r="J10066" s="1127"/>
    </row>
    <row r="10067" spans="1:10" x14ac:dyDescent="0.2">
      <c r="A10067" s="997">
        <f t="shared" si="157"/>
        <v>10066</v>
      </c>
      <c r="B10067" s="1129" t="s">
        <v>2724</v>
      </c>
      <c r="C10067" s="1138"/>
      <c r="D10067" s="1129"/>
      <c r="E10067" s="1129"/>
      <c r="F10067" s="1129"/>
      <c r="G10067" s="1129"/>
      <c r="H10067" s="1129" t="s">
        <v>2461</v>
      </c>
      <c r="I10067" s="1129"/>
      <c r="J10067" s="1127"/>
    </row>
    <row r="10068" spans="1:10" x14ac:dyDescent="0.2">
      <c r="A10068" s="997">
        <f t="shared" si="157"/>
        <v>10067</v>
      </c>
      <c r="B10068" s="1129" t="s">
        <v>2724</v>
      </c>
      <c r="C10068" s="1139"/>
      <c r="D10068" s="1129"/>
      <c r="E10068" s="1129"/>
      <c r="F10068" s="1129"/>
      <c r="G10068" s="1129"/>
      <c r="H10068" s="1129" t="str">
        <f>CONCATENATE("&lt;valeur&gt;",Cellule_1227_3,"&lt;/valeur&gt;")</f>
        <v>&lt;valeur&gt;&lt;/valeur&gt;</v>
      </c>
      <c r="I10068" s="1129"/>
      <c r="J10068" s="1127"/>
    </row>
    <row r="10069" spans="1:10" x14ac:dyDescent="0.2">
      <c r="A10069" s="997">
        <f t="shared" si="157"/>
        <v>10068</v>
      </c>
      <c r="B10069" s="1129" t="s">
        <v>2724</v>
      </c>
      <c r="C10069" s="1140"/>
      <c r="D10069" s="1129"/>
      <c r="E10069" s="1129"/>
      <c r="F10069" s="1129"/>
      <c r="G10069" s="1129"/>
      <c r="H10069" s="1129" t="s">
        <v>2736</v>
      </c>
      <c r="I10069" s="1129"/>
      <c r="J10069" s="1127"/>
    </row>
    <row r="10070" spans="1:10" x14ac:dyDescent="0.2">
      <c r="A10070" s="997">
        <f t="shared" si="157"/>
        <v>10069</v>
      </c>
      <c r="B10070" s="1129" t="s">
        <v>2724</v>
      </c>
      <c r="C10070" s="1139"/>
      <c r="D10070" s="1129"/>
      <c r="E10070" s="1129"/>
      <c r="F10070" s="1129"/>
      <c r="G10070" s="1129" t="s">
        <v>1109</v>
      </c>
      <c r="H10070" s="1129"/>
      <c r="I10070" s="1129"/>
      <c r="J10070" s="1127"/>
    </row>
    <row r="10071" spans="1:10" x14ac:dyDescent="0.2">
      <c r="A10071" s="997">
        <f t="shared" si="157"/>
        <v>10070</v>
      </c>
      <c r="B10071" s="1129" t="s">
        <v>2724</v>
      </c>
      <c r="C10071" s="1139"/>
      <c r="D10071" s="1129"/>
      <c r="E10071" s="1129"/>
      <c r="F10071" s="1129"/>
      <c r="G10071" s="1129" t="s">
        <v>1106</v>
      </c>
      <c r="H10071" s="1129"/>
      <c r="I10071" s="1129"/>
      <c r="J10071" s="1127"/>
    </row>
    <row r="10072" spans="1:10" x14ac:dyDescent="0.2">
      <c r="A10072" s="997">
        <f t="shared" si="157"/>
        <v>10071</v>
      </c>
      <c r="B10072" s="1129" t="s">
        <v>2724</v>
      </c>
      <c r="C10072" s="1138"/>
      <c r="D10072" s="1129"/>
      <c r="E10072" s="1129"/>
      <c r="F10072" s="1129"/>
      <c r="G10072" s="1129"/>
      <c r="H10072" s="1129" t="s">
        <v>2462</v>
      </c>
      <c r="I10072" s="1129"/>
      <c r="J10072" s="1127"/>
    </row>
    <row r="10073" spans="1:10" x14ac:dyDescent="0.2">
      <c r="A10073" s="997">
        <f t="shared" si="157"/>
        <v>10072</v>
      </c>
      <c r="B10073" s="1129" t="s">
        <v>2724</v>
      </c>
      <c r="C10073" s="1146"/>
      <c r="D10073" s="1129"/>
      <c r="E10073" s="1129"/>
      <c r="F10073" s="1129"/>
      <c r="G10073" s="1129"/>
      <c r="H10073" s="1129" t="str">
        <f>CONCATENATE("&lt;valeur&gt;",Cellule_1228_3,"&lt;/valeur&gt;")</f>
        <v>&lt;valeur&gt;&lt;/valeur&gt;</v>
      </c>
      <c r="I10073" s="1129"/>
      <c r="J10073" s="1127"/>
    </row>
    <row r="10074" spans="1:10" x14ac:dyDescent="0.2">
      <c r="A10074" s="997">
        <f t="shared" si="157"/>
        <v>10073</v>
      </c>
      <c r="B10074" s="1129" t="s">
        <v>2724</v>
      </c>
      <c r="C10074" s="1146"/>
      <c r="D10074" s="1129"/>
      <c r="E10074" s="1129"/>
      <c r="F10074" s="1129"/>
      <c r="G10074" s="1129"/>
      <c r="H10074" s="1129" t="s">
        <v>2736</v>
      </c>
      <c r="I10074" s="1129"/>
      <c r="J10074" s="1127"/>
    </row>
    <row r="10075" spans="1:10" x14ac:dyDescent="0.2">
      <c r="A10075" s="997">
        <f t="shared" si="157"/>
        <v>10074</v>
      </c>
      <c r="B10075" s="1129" t="s">
        <v>2724</v>
      </c>
      <c r="C10075" s="1138"/>
      <c r="D10075" s="1129"/>
      <c r="E10075" s="1129"/>
      <c r="F10075" s="1129"/>
      <c r="G10075" s="1129" t="s">
        <v>1109</v>
      </c>
      <c r="H10075" s="1129"/>
      <c r="I10075" s="1129"/>
      <c r="J10075" s="1127"/>
    </row>
    <row r="10076" spans="1:10" x14ac:dyDescent="0.2">
      <c r="A10076" s="997">
        <f t="shared" si="157"/>
        <v>10075</v>
      </c>
      <c r="B10076" s="1129" t="s">
        <v>2724</v>
      </c>
      <c r="C10076" s="1139"/>
      <c r="D10076" s="1129"/>
      <c r="E10076" s="1129"/>
      <c r="F10076" s="1129"/>
      <c r="G10076" s="1129" t="s">
        <v>1106</v>
      </c>
      <c r="H10076" s="1129"/>
      <c r="I10076" s="1129"/>
      <c r="J10076" s="1127"/>
    </row>
    <row r="10077" spans="1:10" x14ac:dyDescent="0.2">
      <c r="A10077" s="997">
        <f t="shared" si="157"/>
        <v>10076</v>
      </c>
      <c r="B10077" s="1129" t="s">
        <v>2724</v>
      </c>
      <c r="C10077" s="1140"/>
      <c r="D10077" s="1129"/>
      <c r="E10077" s="1129"/>
      <c r="F10077" s="1129"/>
      <c r="G10077" s="1129"/>
      <c r="H10077" s="1129" t="s">
        <v>2463</v>
      </c>
      <c r="I10077" s="1129"/>
      <c r="J10077" s="1127"/>
    </row>
    <row r="10078" spans="1:10" x14ac:dyDescent="0.2">
      <c r="A10078" s="997">
        <f t="shared" si="157"/>
        <v>10077</v>
      </c>
      <c r="B10078" s="1129" t="s">
        <v>2724</v>
      </c>
      <c r="C10078" s="1139"/>
      <c r="D10078" s="1129"/>
      <c r="E10078" s="1129"/>
      <c r="F10078" s="1129"/>
      <c r="G10078" s="1129"/>
      <c r="H10078" s="1129" t="str">
        <f>CONCATENATE("&lt;valeur&gt;",Cellule_1229_3,"&lt;/valeur&gt;")</f>
        <v>&lt;valeur&gt;&lt;/valeur&gt;</v>
      </c>
      <c r="I10078" s="1129"/>
      <c r="J10078" s="1127"/>
    </row>
    <row r="10079" spans="1:10" x14ac:dyDescent="0.2">
      <c r="A10079" s="997">
        <f t="shared" si="157"/>
        <v>10078</v>
      </c>
      <c r="B10079" s="1129" t="s">
        <v>2724</v>
      </c>
      <c r="C10079" s="1139"/>
      <c r="D10079" s="1129"/>
      <c r="E10079" s="1129"/>
      <c r="F10079" s="1129"/>
      <c r="G10079" s="1129"/>
      <c r="H10079" s="1129" t="s">
        <v>2736</v>
      </c>
      <c r="I10079" s="1129"/>
      <c r="J10079" s="1127"/>
    </row>
    <row r="10080" spans="1:10" x14ac:dyDescent="0.2">
      <c r="A10080" s="997">
        <f t="shared" si="157"/>
        <v>10079</v>
      </c>
      <c r="B10080" s="1129" t="s">
        <v>2724</v>
      </c>
      <c r="C10080" s="1138"/>
      <c r="D10080" s="1129"/>
      <c r="E10080" s="1129"/>
      <c r="F10080" s="1129"/>
      <c r="G10080" s="1129" t="s">
        <v>1109</v>
      </c>
      <c r="H10080" s="1129"/>
      <c r="I10080" s="1129"/>
      <c r="J10080" s="1127"/>
    </row>
    <row r="10081" spans="1:10" x14ac:dyDescent="0.2">
      <c r="A10081" s="997">
        <f t="shared" si="157"/>
        <v>10080</v>
      </c>
      <c r="B10081" s="1129" t="s">
        <v>2724</v>
      </c>
      <c r="C10081" s="1146"/>
      <c r="D10081" s="1129"/>
      <c r="E10081" s="1129"/>
      <c r="F10081" s="1129"/>
      <c r="G10081" s="1129" t="s">
        <v>1106</v>
      </c>
      <c r="H10081" s="1129"/>
      <c r="I10081" s="1129"/>
      <c r="J10081" s="1127"/>
    </row>
    <row r="10082" spans="1:10" x14ac:dyDescent="0.2">
      <c r="A10082" s="997">
        <f t="shared" si="157"/>
        <v>10081</v>
      </c>
      <c r="B10082" s="1129" t="s">
        <v>2724</v>
      </c>
      <c r="C10082" s="1147"/>
      <c r="D10082" s="1129"/>
      <c r="E10082" s="1129"/>
      <c r="F10082" s="1129"/>
      <c r="G10082" s="1129"/>
      <c r="H10082" s="1129" t="s">
        <v>2464</v>
      </c>
      <c r="I10082" s="1129"/>
      <c r="J10082" s="1127"/>
    </row>
    <row r="10083" spans="1:10" x14ac:dyDescent="0.2">
      <c r="A10083" s="997">
        <f t="shared" si="157"/>
        <v>10082</v>
      </c>
      <c r="B10083" s="1129" t="s">
        <v>2724</v>
      </c>
      <c r="C10083" s="1147"/>
      <c r="D10083" s="1129"/>
      <c r="E10083" s="1129"/>
      <c r="F10083" s="1129"/>
      <c r="G10083" s="1129"/>
      <c r="H10083" s="1129" t="str">
        <f>CONCATENATE("&lt;valeur&gt;",Cellule_1250_3,"&lt;/valeur&gt;")</f>
        <v>&lt;valeur&gt;&lt;/valeur&gt;</v>
      </c>
      <c r="I10083" s="1129"/>
      <c r="J10083" s="1127"/>
    </row>
    <row r="10084" spans="1:10" x14ac:dyDescent="0.2">
      <c r="A10084" s="997">
        <f t="shared" si="157"/>
        <v>10083</v>
      </c>
      <c r="B10084" s="1129" t="s">
        <v>2724</v>
      </c>
      <c r="C10084" s="1146"/>
      <c r="D10084" s="1129"/>
      <c r="E10084" s="1129"/>
      <c r="F10084" s="1129"/>
      <c r="G10084" s="1129"/>
      <c r="H10084" s="1129" t="s">
        <v>2736</v>
      </c>
      <c r="I10084" s="1129"/>
      <c r="J10084" s="1127"/>
    </row>
    <row r="10085" spans="1:10" x14ac:dyDescent="0.2">
      <c r="A10085" s="997">
        <f t="shared" si="157"/>
        <v>10084</v>
      </c>
      <c r="B10085" s="1129" t="s">
        <v>2724</v>
      </c>
      <c r="C10085" s="1138"/>
      <c r="D10085" s="1129"/>
      <c r="E10085" s="1129"/>
      <c r="F10085" s="1129"/>
      <c r="G10085" s="1129" t="s">
        <v>1109</v>
      </c>
      <c r="H10085" s="1129"/>
      <c r="I10085" s="1129"/>
      <c r="J10085" s="1127"/>
    </row>
    <row r="10086" spans="1:10" x14ac:dyDescent="0.2">
      <c r="A10086" s="997">
        <f t="shared" si="157"/>
        <v>10085</v>
      </c>
      <c r="B10086" s="1129" t="s">
        <v>2724</v>
      </c>
      <c r="C10086" s="1146"/>
      <c r="D10086" s="1129"/>
      <c r="E10086" s="1129"/>
      <c r="F10086" s="1129"/>
      <c r="G10086" s="1129" t="s">
        <v>1106</v>
      </c>
      <c r="H10086" s="1129"/>
      <c r="I10086" s="1129"/>
      <c r="J10086" s="1127"/>
    </row>
    <row r="10087" spans="1:10" x14ac:dyDescent="0.2">
      <c r="A10087" s="997">
        <f t="shared" si="157"/>
        <v>10086</v>
      </c>
      <c r="B10087" s="1129" t="s">
        <v>2724</v>
      </c>
      <c r="C10087" s="1146"/>
      <c r="D10087" s="1129"/>
      <c r="E10087" s="1129"/>
      <c r="F10087" s="1129"/>
      <c r="G10087" s="1129"/>
      <c r="H10087" s="1129" t="s">
        <v>2465</v>
      </c>
      <c r="I10087" s="1129"/>
      <c r="J10087" s="1127"/>
    </row>
    <row r="10088" spans="1:10" x14ac:dyDescent="0.2">
      <c r="A10088" s="997">
        <f t="shared" si="157"/>
        <v>10087</v>
      </c>
      <c r="B10088" s="1129" t="s">
        <v>2724</v>
      </c>
      <c r="C10088" s="1138"/>
      <c r="D10088" s="1129"/>
      <c r="E10088" s="1129"/>
      <c r="F10088" s="1129"/>
      <c r="G10088" s="1129"/>
      <c r="H10088" s="1129" t="str">
        <f>CONCATENATE("&lt;valeur&gt;",Cellule_1251_3,"&lt;/valeur&gt;")</f>
        <v>&lt;valeur&gt;&lt;/valeur&gt;</v>
      </c>
      <c r="I10088" s="1129"/>
      <c r="J10088" s="1127"/>
    </row>
    <row r="10089" spans="1:10" x14ac:dyDescent="0.2">
      <c r="A10089" s="997">
        <f t="shared" si="157"/>
        <v>10088</v>
      </c>
      <c r="B10089" s="1129" t="s">
        <v>2724</v>
      </c>
      <c r="C10089" s="1139"/>
      <c r="D10089" s="1129"/>
      <c r="E10089" s="1129"/>
      <c r="F10089" s="1129"/>
      <c r="G10089" s="1129"/>
      <c r="H10089" s="1129" t="s">
        <v>2736</v>
      </c>
      <c r="I10089" s="1129"/>
      <c r="J10089" s="1127"/>
    </row>
    <row r="10090" spans="1:10" x14ac:dyDescent="0.2">
      <c r="A10090" s="997">
        <f t="shared" si="157"/>
        <v>10089</v>
      </c>
      <c r="B10090" s="1129" t="s">
        <v>2724</v>
      </c>
      <c r="C10090" s="1140"/>
      <c r="D10090" s="1129"/>
      <c r="E10090" s="1129"/>
      <c r="F10090" s="1129"/>
      <c r="G10090" s="1129" t="s">
        <v>1109</v>
      </c>
      <c r="H10090" s="1129"/>
      <c r="I10090" s="1129"/>
      <c r="J10090" s="1127"/>
    </row>
    <row r="10091" spans="1:10" x14ac:dyDescent="0.2">
      <c r="A10091" s="997">
        <f t="shared" si="157"/>
        <v>10090</v>
      </c>
      <c r="B10091" s="1129" t="s">
        <v>2724</v>
      </c>
      <c r="C10091" s="1139"/>
      <c r="D10091" s="1129"/>
      <c r="E10091" s="1129"/>
      <c r="F10091" s="1129"/>
      <c r="G10091" s="1129" t="s">
        <v>1106</v>
      </c>
      <c r="H10091" s="1129"/>
      <c r="I10091" s="1129"/>
      <c r="J10091" s="1127"/>
    </row>
    <row r="10092" spans="1:10" x14ac:dyDescent="0.2">
      <c r="A10092" s="997">
        <f t="shared" si="157"/>
        <v>10091</v>
      </c>
      <c r="B10092" s="1129" t="s">
        <v>2724</v>
      </c>
      <c r="C10092" s="1139"/>
      <c r="D10092" s="1129"/>
      <c r="E10092" s="1129"/>
      <c r="F10092" s="1129"/>
      <c r="G10092" s="1129"/>
      <c r="H10092" s="1129" t="s">
        <v>2466</v>
      </c>
      <c r="I10092" s="1129"/>
      <c r="J10092" s="1127"/>
    </row>
    <row r="10093" spans="1:10" x14ac:dyDescent="0.2">
      <c r="A10093" s="997">
        <f t="shared" si="157"/>
        <v>10092</v>
      </c>
      <c r="B10093" s="1129" t="s">
        <v>2724</v>
      </c>
      <c r="C10093" s="1139"/>
      <c r="D10093" s="1129"/>
      <c r="E10093" s="1129"/>
      <c r="F10093" s="1129"/>
      <c r="G10093" s="1129"/>
      <c r="H10093" s="1129" t="str">
        <f>CONCATENATE("&lt;valeur&gt;",Cellule_1252_3,"&lt;/valeur&gt;")</f>
        <v>&lt;valeur&gt;&lt;/valeur&gt;</v>
      </c>
      <c r="I10093" s="1129"/>
      <c r="J10093" s="1127"/>
    </row>
    <row r="10094" spans="1:10" x14ac:dyDescent="0.2">
      <c r="A10094" s="997">
        <f t="shared" si="157"/>
        <v>10093</v>
      </c>
      <c r="B10094" s="1129" t="s">
        <v>2724</v>
      </c>
      <c r="C10094" s="1138"/>
      <c r="D10094" s="1129"/>
      <c r="E10094" s="1129"/>
      <c r="F10094" s="1129"/>
      <c r="G10094" s="1129"/>
      <c r="H10094" s="1129" t="s">
        <v>2736</v>
      </c>
      <c r="I10094" s="1129"/>
      <c r="J10094" s="1127"/>
    </row>
    <row r="10095" spans="1:10" x14ac:dyDescent="0.2">
      <c r="A10095" s="997">
        <f t="shared" si="157"/>
        <v>10094</v>
      </c>
      <c r="B10095" s="1129" t="s">
        <v>2724</v>
      </c>
      <c r="C10095" s="1138"/>
      <c r="D10095" s="1129"/>
      <c r="E10095" s="1129"/>
      <c r="F10095" s="1129"/>
      <c r="G10095" s="1129" t="s">
        <v>1109</v>
      </c>
      <c r="H10095" s="1129"/>
      <c r="I10095" s="1129"/>
      <c r="J10095" s="1127"/>
    </row>
    <row r="10096" spans="1:10" x14ac:dyDescent="0.2">
      <c r="A10096" s="997">
        <f t="shared" si="157"/>
        <v>10095</v>
      </c>
      <c r="B10096" s="1129" t="s">
        <v>2724</v>
      </c>
      <c r="C10096" s="1139"/>
      <c r="D10096" s="1129"/>
      <c r="E10096" s="1129"/>
      <c r="F10096" s="1129"/>
      <c r="G10096" s="1129" t="s">
        <v>1106</v>
      </c>
      <c r="H10096" s="1129"/>
      <c r="I10096" s="1129"/>
      <c r="J10096" s="1127"/>
    </row>
    <row r="10097" spans="1:10" x14ac:dyDescent="0.2">
      <c r="A10097" s="997">
        <f t="shared" si="157"/>
        <v>10096</v>
      </c>
      <c r="B10097" s="1129" t="s">
        <v>2724</v>
      </c>
      <c r="C10097" s="1140"/>
      <c r="D10097" s="1129"/>
      <c r="E10097" s="1129"/>
      <c r="F10097" s="1129"/>
      <c r="G10097" s="1129"/>
      <c r="H10097" s="1129" t="s">
        <v>2467</v>
      </c>
      <c r="I10097" s="1129"/>
      <c r="J10097" s="1127"/>
    </row>
    <row r="10098" spans="1:10" x14ac:dyDescent="0.2">
      <c r="A10098" s="997">
        <f t="shared" si="157"/>
        <v>10097</v>
      </c>
      <c r="B10098" s="1129" t="s">
        <v>2724</v>
      </c>
      <c r="C10098" s="1139"/>
      <c r="D10098" s="1129"/>
      <c r="E10098" s="1129"/>
      <c r="F10098" s="1129"/>
      <c r="G10098" s="1129"/>
      <c r="H10098" s="1129" t="str">
        <f>CONCATENATE("&lt;valeur&gt;",Cellule_1253_3,"&lt;/valeur&gt;")</f>
        <v>&lt;valeur&gt;&lt;/valeur&gt;</v>
      </c>
      <c r="I10098" s="1129"/>
      <c r="J10098" s="1127"/>
    </row>
    <row r="10099" spans="1:10" x14ac:dyDescent="0.2">
      <c r="A10099" s="997">
        <f t="shared" si="157"/>
        <v>10098</v>
      </c>
      <c r="B10099" s="1129" t="s">
        <v>2724</v>
      </c>
      <c r="C10099" s="1139"/>
      <c r="D10099" s="1129"/>
      <c r="E10099" s="1129"/>
      <c r="F10099" s="1129"/>
      <c r="G10099" s="1129"/>
      <c r="H10099" s="1129" t="s">
        <v>2736</v>
      </c>
      <c r="I10099" s="1129"/>
      <c r="J10099" s="1127"/>
    </row>
    <row r="10100" spans="1:10" x14ac:dyDescent="0.2">
      <c r="A10100" s="997">
        <f t="shared" si="157"/>
        <v>10099</v>
      </c>
      <c r="B10100" s="1130" t="s">
        <v>2724</v>
      </c>
      <c r="C10100" s="1144"/>
      <c r="D10100" s="1130"/>
      <c r="E10100" s="1130"/>
      <c r="F10100" s="1130"/>
      <c r="G10100" s="1130" t="s">
        <v>1109</v>
      </c>
      <c r="H10100" s="1130"/>
      <c r="I10100" s="1130"/>
      <c r="J10100" s="1142"/>
    </row>
    <row r="10101" spans="1:10" x14ac:dyDescent="0.2">
      <c r="A10101" s="997">
        <f t="shared" si="157"/>
        <v>10100</v>
      </c>
      <c r="B10101" s="1128" t="s">
        <v>2724</v>
      </c>
      <c r="C10101" s="1137"/>
      <c r="D10101" s="1128"/>
      <c r="E10101" s="1128"/>
      <c r="F10101" s="1128"/>
      <c r="G10101" s="1128" t="s">
        <v>1106</v>
      </c>
      <c r="H10101" s="1128"/>
      <c r="I10101" s="1128"/>
      <c r="J10101" s="1124"/>
    </row>
    <row r="10102" spans="1:10" x14ac:dyDescent="0.2">
      <c r="A10102" s="997">
        <f t="shared" si="157"/>
        <v>10101</v>
      </c>
      <c r="B10102" s="1129" t="s">
        <v>2724</v>
      </c>
      <c r="C10102" s="1138"/>
      <c r="D10102" s="1129"/>
      <c r="E10102" s="1129"/>
      <c r="F10102" s="1129"/>
      <c r="G10102" s="1129"/>
      <c r="H10102" s="1129" t="s">
        <v>2455</v>
      </c>
      <c r="I10102" s="1129"/>
      <c r="J10102" s="1127"/>
    </row>
    <row r="10103" spans="1:10" x14ac:dyDescent="0.2">
      <c r="A10103" s="997">
        <f t="shared" si="157"/>
        <v>10102</v>
      </c>
      <c r="B10103" s="1129" t="s">
        <v>2724</v>
      </c>
      <c r="C10103" s="1139"/>
      <c r="D10103" s="1129"/>
      <c r="E10103" s="1129"/>
      <c r="F10103" s="1129"/>
      <c r="G10103" s="1129"/>
      <c r="H10103" s="1129" t="str">
        <f>CONCATENATE("&lt;valeur&gt;",Cellule_1221_4,"&lt;/valeur&gt;")</f>
        <v>&lt;valeur&gt;&lt;/valeur&gt;</v>
      </c>
      <c r="I10103" s="1129"/>
      <c r="J10103" s="1127"/>
    </row>
    <row r="10104" spans="1:10" x14ac:dyDescent="0.2">
      <c r="A10104" s="997">
        <f t="shared" si="157"/>
        <v>10103</v>
      </c>
      <c r="B10104" s="1129" t="s">
        <v>2724</v>
      </c>
      <c r="C10104" s="1140"/>
      <c r="D10104" s="1129"/>
      <c r="E10104" s="1129"/>
      <c r="F10104" s="1129"/>
      <c r="G10104" s="1129"/>
      <c r="H10104" s="1129" t="s">
        <v>2737</v>
      </c>
      <c r="I10104" s="1129"/>
      <c r="J10104" s="1127"/>
    </row>
    <row r="10105" spans="1:10" x14ac:dyDescent="0.2">
      <c r="A10105" s="997">
        <f t="shared" si="157"/>
        <v>10104</v>
      </c>
      <c r="B10105" s="1129" t="s">
        <v>2724</v>
      </c>
      <c r="C10105" s="1139"/>
      <c r="D10105" s="1129"/>
      <c r="E10105" s="1129"/>
      <c r="F10105" s="1129"/>
      <c r="G10105" s="1129" t="s">
        <v>1109</v>
      </c>
      <c r="H10105" s="1129"/>
      <c r="I10105" s="1129"/>
      <c r="J10105" s="1127"/>
    </row>
    <row r="10106" spans="1:10" x14ac:dyDescent="0.2">
      <c r="A10106" s="997">
        <f t="shared" si="157"/>
        <v>10105</v>
      </c>
      <c r="B10106" s="1129" t="s">
        <v>2724</v>
      </c>
      <c r="C10106" s="1139"/>
      <c r="D10106" s="1129"/>
      <c r="E10106" s="1129"/>
      <c r="F10106" s="1129"/>
      <c r="G10106" s="1129" t="s">
        <v>1106</v>
      </c>
      <c r="H10106" s="1129"/>
      <c r="I10106" s="1129"/>
      <c r="J10106" s="1127"/>
    </row>
    <row r="10107" spans="1:10" x14ac:dyDescent="0.2">
      <c r="A10107" s="997">
        <f t="shared" si="157"/>
        <v>10106</v>
      </c>
      <c r="B10107" s="1129" t="s">
        <v>2724</v>
      </c>
      <c r="C10107" s="1138"/>
      <c r="D10107" s="1129"/>
      <c r="E10107" s="1129"/>
      <c r="F10107" s="1129"/>
      <c r="G10107" s="1129"/>
      <c r="H10107" s="1129" t="s">
        <v>2456</v>
      </c>
      <c r="I10107" s="1129"/>
      <c r="J10107" s="1127"/>
    </row>
    <row r="10108" spans="1:10" x14ac:dyDescent="0.2">
      <c r="A10108" s="997">
        <f t="shared" si="157"/>
        <v>10107</v>
      </c>
      <c r="B10108" s="1129" t="s">
        <v>2724</v>
      </c>
      <c r="C10108" s="1138"/>
      <c r="D10108" s="1129"/>
      <c r="E10108" s="1129"/>
      <c r="F10108" s="1129"/>
      <c r="G10108" s="1129"/>
      <c r="H10108" s="1129" t="str">
        <f>CONCATENATE("&lt;valeur&gt;",Cellule_1222_4,"&lt;/valeur&gt;")</f>
        <v>&lt;valeur&gt;&lt;/valeur&gt;</v>
      </c>
      <c r="I10108" s="1129"/>
      <c r="J10108" s="1127"/>
    </row>
    <row r="10109" spans="1:10" x14ac:dyDescent="0.2">
      <c r="A10109" s="997">
        <f t="shared" si="157"/>
        <v>10108</v>
      </c>
      <c r="B10109" s="1129" t="s">
        <v>2724</v>
      </c>
      <c r="C10109" s="1139"/>
      <c r="D10109" s="1129"/>
      <c r="E10109" s="1129"/>
      <c r="F10109" s="1129"/>
      <c r="G10109" s="1129"/>
      <c r="H10109" s="1129" t="s">
        <v>2737</v>
      </c>
      <c r="I10109" s="1129"/>
      <c r="J10109" s="1127"/>
    </row>
    <row r="10110" spans="1:10" x14ac:dyDescent="0.2">
      <c r="A10110" s="997">
        <f t="shared" si="157"/>
        <v>10109</v>
      </c>
      <c r="B10110" s="1129" t="s">
        <v>2724</v>
      </c>
      <c r="C10110" s="1140"/>
      <c r="D10110" s="1129"/>
      <c r="E10110" s="1129"/>
      <c r="F10110" s="1129"/>
      <c r="G10110" s="1129" t="s">
        <v>1109</v>
      </c>
      <c r="H10110" s="1129"/>
      <c r="I10110" s="1129"/>
      <c r="J10110" s="1127"/>
    </row>
    <row r="10111" spans="1:10" x14ac:dyDescent="0.2">
      <c r="A10111" s="997">
        <f t="shared" si="157"/>
        <v>10110</v>
      </c>
      <c r="B10111" s="1129" t="s">
        <v>2724</v>
      </c>
      <c r="C10111" s="1139"/>
      <c r="D10111" s="1129"/>
      <c r="E10111" s="1129"/>
      <c r="F10111" s="1129"/>
      <c r="G10111" s="1129" t="s">
        <v>1106</v>
      </c>
      <c r="H10111" s="1129"/>
      <c r="I10111" s="1129"/>
      <c r="J10111" s="1127"/>
    </row>
    <row r="10112" spans="1:10" x14ac:dyDescent="0.2">
      <c r="A10112" s="997">
        <f t="shared" si="157"/>
        <v>10111</v>
      </c>
      <c r="B10112" s="1129" t="s">
        <v>2724</v>
      </c>
      <c r="C10112" s="1139"/>
      <c r="D10112" s="1129"/>
      <c r="E10112" s="1129"/>
      <c r="F10112" s="1129"/>
      <c r="G10112" s="1129"/>
      <c r="H10112" s="1129" t="s">
        <v>2457</v>
      </c>
      <c r="I10112" s="1129"/>
      <c r="J10112" s="1127"/>
    </row>
    <row r="10113" spans="1:10" x14ac:dyDescent="0.2">
      <c r="A10113" s="997">
        <f t="shared" si="157"/>
        <v>10112</v>
      </c>
      <c r="B10113" s="1129" t="s">
        <v>2724</v>
      </c>
      <c r="C10113" s="1138"/>
      <c r="D10113" s="1129"/>
      <c r="E10113" s="1129"/>
      <c r="F10113" s="1129"/>
      <c r="G10113" s="1129"/>
      <c r="H10113" s="1129" t="str">
        <f>CONCATENATE("&lt;valeur&gt;",Cellule_1223_4,"&lt;/valeur&gt;")</f>
        <v>&lt;valeur&gt;&lt;/valeur&gt;</v>
      </c>
      <c r="I10113" s="1129"/>
      <c r="J10113" s="1127"/>
    </row>
    <row r="10114" spans="1:10" x14ac:dyDescent="0.2">
      <c r="A10114" s="997">
        <f t="shared" si="157"/>
        <v>10113</v>
      </c>
      <c r="B10114" s="1129" t="s">
        <v>2724</v>
      </c>
      <c r="C10114" s="1138"/>
      <c r="D10114" s="1129"/>
      <c r="E10114" s="1129"/>
      <c r="F10114" s="1129"/>
      <c r="G10114" s="1129"/>
      <c r="H10114" s="1129" t="s">
        <v>2737</v>
      </c>
      <c r="I10114" s="1129"/>
      <c r="J10114" s="1127"/>
    </row>
    <row r="10115" spans="1:10" x14ac:dyDescent="0.2">
      <c r="A10115" s="997">
        <f t="shared" si="157"/>
        <v>10114</v>
      </c>
      <c r="B10115" s="1129" t="s">
        <v>2724</v>
      </c>
      <c r="C10115" s="1139"/>
      <c r="D10115" s="1129"/>
      <c r="E10115" s="1129"/>
      <c r="F10115" s="1129"/>
      <c r="G10115" s="1129" t="s">
        <v>1109</v>
      </c>
      <c r="H10115" s="1129"/>
      <c r="I10115" s="1129"/>
      <c r="J10115" s="1127"/>
    </row>
    <row r="10116" spans="1:10" x14ac:dyDescent="0.2">
      <c r="A10116" s="997">
        <f t="shared" ref="A10116:A10179" si="158">+A10115+1</f>
        <v>10115</v>
      </c>
      <c r="B10116" s="1129" t="s">
        <v>2724</v>
      </c>
      <c r="C10116" s="1140"/>
      <c r="D10116" s="1129"/>
      <c r="E10116" s="1129"/>
      <c r="F10116" s="1129"/>
      <c r="G10116" s="1129" t="s">
        <v>1106</v>
      </c>
      <c r="H10116" s="1129"/>
      <c r="I10116" s="1129"/>
      <c r="J10116" s="1127"/>
    </row>
    <row r="10117" spans="1:10" x14ac:dyDescent="0.2">
      <c r="A10117" s="997">
        <f t="shared" si="158"/>
        <v>10116</v>
      </c>
      <c r="B10117" s="1129" t="s">
        <v>2724</v>
      </c>
      <c r="C10117" s="1139"/>
      <c r="D10117" s="1129"/>
      <c r="E10117" s="1129"/>
      <c r="F10117" s="1129"/>
      <c r="G10117" s="1129"/>
      <c r="H10117" s="1129" t="s">
        <v>2458</v>
      </c>
      <c r="I10117" s="1129"/>
      <c r="J10117" s="1127"/>
    </row>
    <row r="10118" spans="1:10" x14ac:dyDescent="0.2">
      <c r="A10118" s="997">
        <f t="shared" si="158"/>
        <v>10117</v>
      </c>
      <c r="B10118" s="1129" t="s">
        <v>2724</v>
      </c>
      <c r="C10118" s="1139"/>
      <c r="D10118" s="1129"/>
      <c r="E10118" s="1129"/>
      <c r="F10118" s="1129"/>
      <c r="G10118" s="1129"/>
      <c r="H10118" s="1129" t="str">
        <f>CONCATENATE("&lt;valeur&gt;",Cellule_1224_4,"&lt;/valeur&gt;")</f>
        <v>&lt;valeur&gt;&lt;/valeur&gt;</v>
      </c>
      <c r="I10118" s="1129"/>
      <c r="J10118" s="1127"/>
    </row>
    <row r="10119" spans="1:10" x14ac:dyDescent="0.2">
      <c r="A10119" s="997">
        <f t="shared" si="158"/>
        <v>10118</v>
      </c>
      <c r="B10119" s="1129" t="s">
        <v>2724</v>
      </c>
      <c r="C10119" s="1138"/>
      <c r="D10119" s="1129"/>
      <c r="E10119" s="1129"/>
      <c r="F10119" s="1129"/>
      <c r="G10119" s="1129"/>
      <c r="H10119" s="1129" t="s">
        <v>2737</v>
      </c>
      <c r="I10119" s="1129"/>
      <c r="J10119" s="1127"/>
    </row>
    <row r="10120" spans="1:10" x14ac:dyDescent="0.2">
      <c r="A10120" s="997">
        <f t="shared" si="158"/>
        <v>10119</v>
      </c>
      <c r="B10120" s="1129" t="s">
        <v>2724</v>
      </c>
      <c r="C10120" s="1138"/>
      <c r="D10120" s="1129"/>
      <c r="E10120" s="1129"/>
      <c r="F10120" s="1129"/>
      <c r="G10120" s="1129" t="s">
        <v>1109</v>
      </c>
      <c r="H10120" s="1129"/>
      <c r="I10120" s="1129"/>
      <c r="J10120" s="1127"/>
    </row>
    <row r="10121" spans="1:10" x14ac:dyDescent="0.2">
      <c r="A10121" s="997">
        <f t="shared" si="158"/>
        <v>10120</v>
      </c>
      <c r="B10121" s="1129" t="s">
        <v>2724</v>
      </c>
      <c r="C10121" s="1139"/>
      <c r="D10121" s="1129"/>
      <c r="E10121" s="1129"/>
      <c r="F10121" s="1129"/>
      <c r="G10121" s="1129" t="s">
        <v>1106</v>
      </c>
      <c r="H10121" s="1129"/>
      <c r="I10121" s="1129"/>
      <c r="J10121" s="1127"/>
    </row>
    <row r="10122" spans="1:10" x14ac:dyDescent="0.2">
      <c r="A10122" s="997">
        <f t="shared" si="158"/>
        <v>10121</v>
      </c>
      <c r="B10122" s="1129" t="s">
        <v>2724</v>
      </c>
      <c r="C10122" s="1140"/>
      <c r="D10122" s="1129"/>
      <c r="E10122" s="1129"/>
      <c r="F10122" s="1129"/>
      <c r="G10122" s="1129"/>
      <c r="H10122" s="1129" t="s">
        <v>2459</v>
      </c>
      <c r="I10122" s="1129"/>
      <c r="J10122" s="1127"/>
    </row>
    <row r="10123" spans="1:10" x14ac:dyDescent="0.2">
      <c r="A10123" s="997">
        <f t="shared" si="158"/>
        <v>10122</v>
      </c>
      <c r="B10123" s="1129" t="s">
        <v>2724</v>
      </c>
      <c r="C10123" s="1139"/>
      <c r="D10123" s="1129"/>
      <c r="E10123" s="1129"/>
      <c r="F10123" s="1129"/>
      <c r="G10123" s="1129"/>
      <c r="H10123" s="1129" t="str">
        <f>CONCATENATE("&lt;valeur&gt;",Cellule_1225_4,"&lt;/valeur&gt;")</f>
        <v>&lt;valeur&gt;&lt;/valeur&gt;</v>
      </c>
      <c r="I10123" s="1129"/>
      <c r="J10123" s="1127"/>
    </row>
    <row r="10124" spans="1:10" x14ac:dyDescent="0.2">
      <c r="A10124" s="997">
        <f t="shared" si="158"/>
        <v>10123</v>
      </c>
      <c r="B10124" s="1129" t="s">
        <v>2724</v>
      </c>
      <c r="C10124" s="1139"/>
      <c r="D10124" s="1129"/>
      <c r="E10124" s="1129"/>
      <c r="F10124" s="1129"/>
      <c r="G10124" s="1129"/>
      <c r="H10124" s="1129" t="s">
        <v>2737</v>
      </c>
      <c r="I10124" s="1129"/>
      <c r="J10124" s="1127"/>
    </row>
    <row r="10125" spans="1:10" x14ac:dyDescent="0.2">
      <c r="A10125" s="997">
        <f t="shared" si="158"/>
        <v>10124</v>
      </c>
      <c r="B10125" s="1129" t="s">
        <v>2724</v>
      </c>
      <c r="C10125" s="1138"/>
      <c r="D10125" s="1129"/>
      <c r="E10125" s="1129"/>
      <c r="F10125" s="1129"/>
      <c r="G10125" s="1129" t="s">
        <v>1109</v>
      </c>
      <c r="H10125" s="1129"/>
      <c r="I10125" s="1129"/>
      <c r="J10125" s="1127"/>
    </row>
    <row r="10126" spans="1:10" x14ac:dyDescent="0.2">
      <c r="A10126" s="997">
        <f t="shared" si="158"/>
        <v>10125</v>
      </c>
      <c r="B10126" s="1129" t="s">
        <v>2724</v>
      </c>
      <c r="C10126" s="1138"/>
      <c r="D10126" s="1129"/>
      <c r="E10126" s="1129"/>
      <c r="F10126" s="1129"/>
      <c r="G10126" s="1129" t="s">
        <v>1106</v>
      </c>
      <c r="H10126" s="1129"/>
      <c r="I10126" s="1129"/>
      <c r="J10126" s="1127"/>
    </row>
    <row r="10127" spans="1:10" x14ac:dyDescent="0.2">
      <c r="A10127" s="997">
        <f t="shared" si="158"/>
        <v>10126</v>
      </c>
      <c r="B10127" s="1129" t="s">
        <v>2724</v>
      </c>
      <c r="C10127" s="1139"/>
      <c r="D10127" s="1129"/>
      <c r="E10127" s="1129"/>
      <c r="F10127" s="1129"/>
      <c r="G10127" s="1129"/>
      <c r="H10127" s="1129" t="s">
        <v>2460</v>
      </c>
      <c r="I10127" s="1129"/>
      <c r="J10127" s="1127"/>
    </row>
    <row r="10128" spans="1:10" x14ac:dyDescent="0.2">
      <c r="A10128" s="997">
        <f t="shared" si="158"/>
        <v>10127</v>
      </c>
      <c r="B10128" s="1129" t="s">
        <v>2724</v>
      </c>
      <c r="C10128" s="1140"/>
      <c r="D10128" s="1129"/>
      <c r="E10128" s="1129"/>
      <c r="F10128" s="1129"/>
      <c r="G10128" s="1129"/>
      <c r="H10128" s="1129" t="str">
        <f>CONCATENATE("&lt;valeur&gt;",Cellule_1226_4,"&lt;/valeur&gt;")</f>
        <v>&lt;valeur&gt;&lt;/valeur&gt;</v>
      </c>
      <c r="I10128" s="1129"/>
      <c r="J10128" s="1127"/>
    </row>
    <row r="10129" spans="1:10" x14ac:dyDescent="0.2">
      <c r="A10129" s="997">
        <f t="shared" si="158"/>
        <v>10128</v>
      </c>
      <c r="B10129" s="1129" t="s">
        <v>2724</v>
      </c>
      <c r="C10129" s="1139"/>
      <c r="D10129" s="1129"/>
      <c r="E10129" s="1129"/>
      <c r="F10129" s="1129"/>
      <c r="G10129" s="1129"/>
      <c r="H10129" s="1129" t="s">
        <v>2737</v>
      </c>
      <c r="I10129" s="1129"/>
      <c r="J10129" s="1127"/>
    </row>
    <row r="10130" spans="1:10" x14ac:dyDescent="0.2">
      <c r="A10130" s="997">
        <f t="shared" si="158"/>
        <v>10129</v>
      </c>
      <c r="B10130" s="1129" t="s">
        <v>2724</v>
      </c>
      <c r="C10130" s="1139"/>
      <c r="D10130" s="1129"/>
      <c r="E10130" s="1129"/>
      <c r="F10130" s="1129"/>
      <c r="G10130" s="1129" t="s">
        <v>1109</v>
      </c>
      <c r="H10130" s="1129"/>
      <c r="I10130" s="1129"/>
      <c r="J10130" s="1127"/>
    </row>
    <row r="10131" spans="1:10" x14ac:dyDescent="0.2">
      <c r="A10131" s="997">
        <f t="shared" si="158"/>
        <v>10130</v>
      </c>
      <c r="B10131" s="1129" t="s">
        <v>2724</v>
      </c>
      <c r="C10131" s="1138"/>
      <c r="D10131" s="1129"/>
      <c r="E10131" s="1129"/>
      <c r="F10131" s="1129"/>
      <c r="G10131" s="1129" t="s">
        <v>1106</v>
      </c>
      <c r="H10131" s="1129"/>
      <c r="I10131" s="1129"/>
      <c r="J10131" s="1127"/>
    </row>
    <row r="10132" spans="1:10" x14ac:dyDescent="0.2">
      <c r="A10132" s="997">
        <f t="shared" si="158"/>
        <v>10131</v>
      </c>
      <c r="B10132" s="1129" t="s">
        <v>2724</v>
      </c>
      <c r="C10132" s="1138"/>
      <c r="D10132" s="1129"/>
      <c r="E10132" s="1129"/>
      <c r="F10132" s="1129"/>
      <c r="G10132" s="1129"/>
      <c r="H10132" s="1129" t="s">
        <v>2461</v>
      </c>
      <c r="I10132" s="1129"/>
      <c r="J10132" s="1127"/>
    </row>
    <row r="10133" spans="1:10" x14ac:dyDescent="0.2">
      <c r="A10133" s="997">
        <f t="shared" si="158"/>
        <v>10132</v>
      </c>
      <c r="B10133" s="1129" t="s">
        <v>2724</v>
      </c>
      <c r="C10133" s="1139"/>
      <c r="D10133" s="1129"/>
      <c r="E10133" s="1129"/>
      <c r="F10133" s="1129"/>
      <c r="G10133" s="1129"/>
      <c r="H10133" s="1129" t="str">
        <f>CONCATENATE("&lt;valeur&gt;",Cellule_1227_4,"&lt;/valeur&gt;")</f>
        <v>&lt;valeur&gt;&lt;/valeur&gt;</v>
      </c>
      <c r="I10133" s="1129"/>
      <c r="J10133" s="1127"/>
    </row>
    <row r="10134" spans="1:10" x14ac:dyDescent="0.2">
      <c r="A10134" s="997">
        <f t="shared" si="158"/>
        <v>10133</v>
      </c>
      <c r="B10134" s="1129" t="s">
        <v>2724</v>
      </c>
      <c r="C10134" s="1140"/>
      <c r="D10134" s="1129"/>
      <c r="E10134" s="1129"/>
      <c r="F10134" s="1129"/>
      <c r="G10134" s="1129"/>
      <c r="H10134" s="1129" t="s">
        <v>2737</v>
      </c>
      <c r="I10134" s="1129"/>
      <c r="J10134" s="1127"/>
    </row>
    <row r="10135" spans="1:10" x14ac:dyDescent="0.2">
      <c r="A10135" s="997">
        <f t="shared" si="158"/>
        <v>10134</v>
      </c>
      <c r="B10135" s="1129" t="s">
        <v>2724</v>
      </c>
      <c r="C10135" s="1139"/>
      <c r="D10135" s="1129"/>
      <c r="E10135" s="1129"/>
      <c r="F10135" s="1129"/>
      <c r="G10135" s="1129" t="s">
        <v>1109</v>
      </c>
      <c r="H10135" s="1129"/>
      <c r="I10135" s="1129"/>
      <c r="J10135" s="1127"/>
    </row>
    <row r="10136" spans="1:10" x14ac:dyDescent="0.2">
      <c r="A10136" s="997">
        <f t="shared" si="158"/>
        <v>10135</v>
      </c>
      <c r="B10136" s="1129" t="s">
        <v>2724</v>
      </c>
      <c r="C10136" s="1139"/>
      <c r="D10136" s="1129"/>
      <c r="E10136" s="1129"/>
      <c r="F10136" s="1129"/>
      <c r="G10136" s="1129" t="s">
        <v>1106</v>
      </c>
      <c r="H10136" s="1129"/>
      <c r="I10136" s="1129"/>
      <c r="J10136" s="1127"/>
    </row>
    <row r="10137" spans="1:10" x14ac:dyDescent="0.2">
      <c r="A10137" s="997">
        <f t="shared" si="158"/>
        <v>10136</v>
      </c>
      <c r="B10137" s="1129" t="s">
        <v>2724</v>
      </c>
      <c r="C10137" s="1138"/>
      <c r="D10137" s="1129"/>
      <c r="E10137" s="1129"/>
      <c r="F10137" s="1129"/>
      <c r="G10137" s="1129"/>
      <c r="H10137" s="1129" t="s">
        <v>2462</v>
      </c>
      <c r="I10137" s="1129"/>
      <c r="J10137" s="1127"/>
    </row>
    <row r="10138" spans="1:10" x14ac:dyDescent="0.2">
      <c r="A10138" s="997">
        <f t="shared" si="158"/>
        <v>10137</v>
      </c>
      <c r="B10138" s="1129" t="s">
        <v>2724</v>
      </c>
      <c r="C10138" s="1146"/>
      <c r="D10138" s="1129"/>
      <c r="E10138" s="1129"/>
      <c r="F10138" s="1129"/>
      <c r="G10138" s="1129"/>
      <c r="H10138" s="1129" t="str">
        <f>CONCATENATE("&lt;valeur&gt;",Cellule_1228_4,"&lt;/valeur&gt;")</f>
        <v>&lt;valeur&gt;&lt;/valeur&gt;</v>
      </c>
      <c r="I10138" s="1129"/>
      <c r="J10138" s="1127"/>
    </row>
    <row r="10139" spans="1:10" x14ac:dyDescent="0.2">
      <c r="A10139" s="997">
        <f t="shared" si="158"/>
        <v>10138</v>
      </c>
      <c r="B10139" s="1129" t="s">
        <v>2724</v>
      </c>
      <c r="C10139" s="1146"/>
      <c r="D10139" s="1129"/>
      <c r="E10139" s="1129"/>
      <c r="F10139" s="1129"/>
      <c r="G10139" s="1129"/>
      <c r="H10139" s="1129" t="s">
        <v>2737</v>
      </c>
      <c r="I10139" s="1129"/>
      <c r="J10139" s="1127"/>
    </row>
    <row r="10140" spans="1:10" x14ac:dyDescent="0.2">
      <c r="A10140" s="997">
        <f t="shared" si="158"/>
        <v>10139</v>
      </c>
      <c r="B10140" s="1129" t="s">
        <v>2724</v>
      </c>
      <c r="C10140" s="1138"/>
      <c r="D10140" s="1129"/>
      <c r="E10140" s="1129"/>
      <c r="F10140" s="1129"/>
      <c r="G10140" s="1129" t="s">
        <v>1109</v>
      </c>
      <c r="H10140" s="1129"/>
      <c r="I10140" s="1129"/>
      <c r="J10140" s="1127"/>
    </row>
    <row r="10141" spans="1:10" x14ac:dyDescent="0.2">
      <c r="A10141" s="997">
        <f t="shared" si="158"/>
        <v>10140</v>
      </c>
      <c r="B10141" s="1129" t="s">
        <v>2724</v>
      </c>
      <c r="C10141" s="1139"/>
      <c r="D10141" s="1129"/>
      <c r="E10141" s="1129"/>
      <c r="F10141" s="1129"/>
      <c r="G10141" s="1129" t="s">
        <v>1106</v>
      </c>
      <c r="H10141" s="1129"/>
      <c r="I10141" s="1129"/>
      <c r="J10141" s="1127"/>
    </row>
    <row r="10142" spans="1:10" x14ac:dyDescent="0.2">
      <c r="A10142" s="997">
        <f t="shared" si="158"/>
        <v>10141</v>
      </c>
      <c r="B10142" s="1129" t="s">
        <v>2724</v>
      </c>
      <c r="C10142" s="1140"/>
      <c r="D10142" s="1129"/>
      <c r="E10142" s="1129"/>
      <c r="F10142" s="1129"/>
      <c r="G10142" s="1129"/>
      <c r="H10142" s="1129" t="s">
        <v>2463</v>
      </c>
      <c r="I10142" s="1129"/>
      <c r="J10142" s="1127"/>
    </row>
    <row r="10143" spans="1:10" x14ac:dyDescent="0.2">
      <c r="A10143" s="997">
        <f t="shared" si="158"/>
        <v>10142</v>
      </c>
      <c r="B10143" s="1129" t="s">
        <v>2724</v>
      </c>
      <c r="C10143" s="1139"/>
      <c r="D10143" s="1129"/>
      <c r="E10143" s="1129"/>
      <c r="F10143" s="1129"/>
      <c r="G10143" s="1129"/>
      <c r="H10143" s="1129" t="str">
        <f>CONCATENATE("&lt;valeur&gt;",Cellule_1229_4,"&lt;/valeur&gt;")</f>
        <v>&lt;valeur&gt;&lt;/valeur&gt;</v>
      </c>
      <c r="I10143" s="1129"/>
      <c r="J10143" s="1127"/>
    </row>
    <row r="10144" spans="1:10" x14ac:dyDescent="0.2">
      <c r="A10144" s="997">
        <f t="shared" si="158"/>
        <v>10143</v>
      </c>
      <c r="B10144" s="1129" t="s">
        <v>2724</v>
      </c>
      <c r="C10144" s="1139"/>
      <c r="D10144" s="1129"/>
      <c r="E10144" s="1129"/>
      <c r="F10144" s="1129"/>
      <c r="G10144" s="1129"/>
      <c r="H10144" s="1129" t="s">
        <v>2737</v>
      </c>
      <c r="I10144" s="1129"/>
      <c r="J10144" s="1127"/>
    </row>
    <row r="10145" spans="1:10" x14ac:dyDescent="0.2">
      <c r="A10145" s="997">
        <f t="shared" si="158"/>
        <v>10144</v>
      </c>
      <c r="B10145" s="1129" t="s">
        <v>2724</v>
      </c>
      <c r="C10145" s="1138"/>
      <c r="D10145" s="1129"/>
      <c r="E10145" s="1129"/>
      <c r="F10145" s="1129"/>
      <c r="G10145" s="1129" t="s">
        <v>1109</v>
      </c>
      <c r="H10145" s="1129"/>
      <c r="I10145" s="1129"/>
      <c r="J10145" s="1127"/>
    </row>
    <row r="10146" spans="1:10" x14ac:dyDescent="0.2">
      <c r="A10146" s="997">
        <f t="shared" si="158"/>
        <v>10145</v>
      </c>
      <c r="B10146" s="1129" t="s">
        <v>2724</v>
      </c>
      <c r="C10146" s="1146"/>
      <c r="D10146" s="1129"/>
      <c r="E10146" s="1129"/>
      <c r="F10146" s="1129"/>
      <c r="G10146" s="1129" t="s">
        <v>1106</v>
      </c>
      <c r="H10146" s="1129"/>
      <c r="I10146" s="1129"/>
      <c r="J10146" s="1127"/>
    </row>
    <row r="10147" spans="1:10" x14ac:dyDescent="0.2">
      <c r="A10147" s="997">
        <f t="shared" si="158"/>
        <v>10146</v>
      </c>
      <c r="B10147" s="1129" t="s">
        <v>2724</v>
      </c>
      <c r="C10147" s="1147"/>
      <c r="D10147" s="1129"/>
      <c r="E10147" s="1129"/>
      <c r="F10147" s="1129"/>
      <c r="G10147" s="1129"/>
      <c r="H10147" s="1129" t="s">
        <v>2464</v>
      </c>
      <c r="I10147" s="1129"/>
      <c r="J10147" s="1127"/>
    </row>
    <row r="10148" spans="1:10" x14ac:dyDescent="0.2">
      <c r="A10148" s="997">
        <f t="shared" si="158"/>
        <v>10147</v>
      </c>
      <c r="B10148" s="1129" t="s">
        <v>2724</v>
      </c>
      <c r="C10148" s="1147"/>
      <c r="D10148" s="1129"/>
      <c r="E10148" s="1129"/>
      <c r="F10148" s="1129"/>
      <c r="G10148" s="1129"/>
      <c r="H10148" s="1129" t="str">
        <f>CONCATENATE("&lt;valeur&gt;",Cellule_1250_4,"&lt;/valeur&gt;")</f>
        <v>&lt;valeur&gt;&lt;/valeur&gt;</v>
      </c>
      <c r="I10148" s="1129"/>
      <c r="J10148" s="1127"/>
    </row>
    <row r="10149" spans="1:10" x14ac:dyDescent="0.2">
      <c r="A10149" s="997">
        <f t="shared" si="158"/>
        <v>10148</v>
      </c>
      <c r="B10149" s="1129" t="s">
        <v>2724</v>
      </c>
      <c r="C10149" s="1146"/>
      <c r="D10149" s="1129"/>
      <c r="E10149" s="1129"/>
      <c r="F10149" s="1129"/>
      <c r="G10149" s="1129"/>
      <c r="H10149" s="1129" t="s">
        <v>2737</v>
      </c>
      <c r="I10149" s="1129"/>
      <c r="J10149" s="1127"/>
    </row>
    <row r="10150" spans="1:10" x14ac:dyDescent="0.2">
      <c r="A10150" s="997">
        <f t="shared" si="158"/>
        <v>10149</v>
      </c>
      <c r="B10150" s="1129" t="s">
        <v>2724</v>
      </c>
      <c r="C10150" s="1138"/>
      <c r="D10150" s="1129"/>
      <c r="E10150" s="1129"/>
      <c r="F10150" s="1129"/>
      <c r="G10150" s="1129" t="s">
        <v>1109</v>
      </c>
      <c r="H10150" s="1129"/>
      <c r="I10150" s="1129"/>
      <c r="J10150" s="1127"/>
    </row>
    <row r="10151" spans="1:10" x14ac:dyDescent="0.2">
      <c r="A10151" s="997">
        <f t="shared" si="158"/>
        <v>10150</v>
      </c>
      <c r="B10151" s="1129" t="s">
        <v>2724</v>
      </c>
      <c r="C10151" s="1146"/>
      <c r="D10151" s="1129"/>
      <c r="E10151" s="1129"/>
      <c r="F10151" s="1129"/>
      <c r="G10151" s="1129" t="s">
        <v>1106</v>
      </c>
      <c r="H10151" s="1129"/>
      <c r="I10151" s="1129"/>
      <c r="J10151" s="1127"/>
    </row>
    <row r="10152" spans="1:10" x14ac:dyDescent="0.2">
      <c r="A10152" s="997">
        <f t="shared" si="158"/>
        <v>10151</v>
      </c>
      <c r="B10152" s="1129" t="s">
        <v>2724</v>
      </c>
      <c r="C10152" s="1146"/>
      <c r="D10152" s="1129"/>
      <c r="E10152" s="1129"/>
      <c r="F10152" s="1129"/>
      <c r="G10152" s="1129"/>
      <c r="H10152" s="1129" t="s">
        <v>2465</v>
      </c>
      <c r="I10152" s="1129"/>
      <c r="J10152" s="1127"/>
    </row>
    <row r="10153" spans="1:10" x14ac:dyDescent="0.2">
      <c r="A10153" s="997">
        <f t="shared" si="158"/>
        <v>10152</v>
      </c>
      <c r="B10153" s="1129" t="s">
        <v>2724</v>
      </c>
      <c r="C10153" s="1138"/>
      <c r="D10153" s="1129"/>
      <c r="E10153" s="1129"/>
      <c r="F10153" s="1129"/>
      <c r="G10153" s="1129"/>
      <c r="H10153" s="1129" t="str">
        <f>CONCATENATE("&lt;valeur&gt;",Cellule_1251_4,"&lt;/valeur&gt;")</f>
        <v>&lt;valeur&gt;&lt;/valeur&gt;</v>
      </c>
      <c r="I10153" s="1129"/>
      <c r="J10153" s="1127"/>
    </row>
    <row r="10154" spans="1:10" x14ac:dyDescent="0.2">
      <c r="A10154" s="997">
        <f t="shared" si="158"/>
        <v>10153</v>
      </c>
      <c r="B10154" s="1129" t="s">
        <v>2724</v>
      </c>
      <c r="C10154" s="1139"/>
      <c r="D10154" s="1129"/>
      <c r="E10154" s="1129"/>
      <c r="F10154" s="1129"/>
      <c r="G10154" s="1129"/>
      <c r="H10154" s="1129" t="s">
        <v>2737</v>
      </c>
      <c r="I10154" s="1129"/>
      <c r="J10154" s="1127"/>
    </row>
    <row r="10155" spans="1:10" x14ac:dyDescent="0.2">
      <c r="A10155" s="997">
        <f t="shared" si="158"/>
        <v>10154</v>
      </c>
      <c r="B10155" s="1129" t="s">
        <v>2724</v>
      </c>
      <c r="C10155" s="1140"/>
      <c r="D10155" s="1129"/>
      <c r="E10155" s="1129"/>
      <c r="F10155" s="1129"/>
      <c r="G10155" s="1129" t="s">
        <v>1109</v>
      </c>
      <c r="H10155" s="1129"/>
      <c r="I10155" s="1129"/>
      <c r="J10155" s="1127"/>
    </row>
    <row r="10156" spans="1:10" x14ac:dyDescent="0.2">
      <c r="A10156" s="997">
        <f t="shared" si="158"/>
        <v>10155</v>
      </c>
      <c r="B10156" s="1129" t="s">
        <v>2724</v>
      </c>
      <c r="C10156" s="1139"/>
      <c r="D10156" s="1129"/>
      <c r="E10156" s="1129"/>
      <c r="F10156" s="1129"/>
      <c r="G10156" s="1129" t="s">
        <v>1106</v>
      </c>
      <c r="H10156" s="1129"/>
      <c r="I10156" s="1129"/>
      <c r="J10156" s="1127"/>
    </row>
    <row r="10157" spans="1:10" x14ac:dyDescent="0.2">
      <c r="A10157" s="997">
        <f t="shared" si="158"/>
        <v>10156</v>
      </c>
      <c r="B10157" s="1129" t="s">
        <v>2724</v>
      </c>
      <c r="C10157" s="1139"/>
      <c r="D10157" s="1129"/>
      <c r="E10157" s="1129"/>
      <c r="F10157" s="1129"/>
      <c r="G10157" s="1129"/>
      <c r="H10157" s="1129" t="s">
        <v>2466</v>
      </c>
      <c r="I10157" s="1129"/>
      <c r="J10157" s="1127"/>
    </row>
    <row r="10158" spans="1:10" x14ac:dyDescent="0.2">
      <c r="A10158" s="997">
        <f t="shared" si="158"/>
        <v>10157</v>
      </c>
      <c r="B10158" s="1129" t="s">
        <v>2724</v>
      </c>
      <c r="C10158" s="1139"/>
      <c r="D10158" s="1129"/>
      <c r="E10158" s="1129"/>
      <c r="F10158" s="1129"/>
      <c r="G10158" s="1129"/>
      <c r="H10158" s="1129" t="str">
        <f>CONCATENATE("&lt;valeur&gt;",Cellule_1252_4,"&lt;/valeur&gt;")</f>
        <v>&lt;valeur&gt;&lt;/valeur&gt;</v>
      </c>
      <c r="I10158" s="1129"/>
      <c r="J10158" s="1127"/>
    </row>
    <row r="10159" spans="1:10" x14ac:dyDescent="0.2">
      <c r="A10159" s="997">
        <f t="shared" si="158"/>
        <v>10158</v>
      </c>
      <c r="B10159" s="1129" t="s">
        <v>2724</v>
      </c>
      <c r="C10159" s="1138"/>
      <c r="D10159" s="1129"/>
      <c r="E10159" s="1129"/>
      <c r="F10159" s="1129"/>
      <c r="G10159" s="1129"/>
      <c r="H10159" s="1129" t="s">
        <v>2737</v>
      </c>
      <c r="I10159" s="1129"/>
      <c r="J10159" s="1127"/>
    </row>
    <row r="10160" spans="1:10" x14ac:dyDescent="0.2">
      <c r="A10160" s="997">
        <f t="shared" si="158"/>
        <v>10159</v>
      </c>
      <c r="B10160" s="1129" t="s">
        <v>2724</v>
      </c>
      <c r="C10160" s="1138"/>
      <c r="D10160" s="1129"/>
      <c r="E10160" s="1129"/>
      <c r="F10160" s="1129"/>
      <c r="G10160" s="1129" t="s">
        <v>1109</v>
      </c>
      <c r="H10160" s="1129"/>
      <c r="I10160" s="1129"/>
      <c r="J10160" s="1127"/>
    </row>
    <row r="10161" spans="1:10" x14ac:dyDescent="0.2">
      <c r="A10161" s="997">
        <f t="shared" si="158"/>
        <v>10160</v>
      </c>
      <c r="B10161" s="1129" t="s">
        <v>2724</v>
      </c>
      <c r="C10161" s="1139"/>
      <c r="D10161" s="1129"/>
      <c r="E10161" s="1129"/>
      <c r="F10161" s="1129"/>
      <c r="G10161" s="1129" t="s">
        <v>1106</v>
      </c>
      <c r="H10161" s="1129"/>
      <c r="I10161" s="1129"/>
      <c r="J10161" s="1127"/>
    </row>
    <row r="10162" spans="1:10" x14ac:dyDescent="0.2">
      <c r="A10162" s="997">
        <f t="shared" si="158"/>
        <v>10161</v>
      </c>
      <c r="B10162" s="1129" t="s">
        <v>2724</v>
      </c>
      <c r="C10162" s="1140"/>
      <c r="D10162" s="1129"/>
      <c r="E10162" s="1129"/>
      <c r="F10162" s="1129"/>
      <c r="G10162" s="1129"/>
      <c r="H10162" s="1129" t="s">
        <v>2467</v>
      </c>
      <c r="I10162" s="1129"/>
      <c r="J10162" s="1127"/>
    </row>
    <row r="10163" spans="1:10" x14ac:dyDescent="0.2">
      <c r="A10163" s="997">
        <f t="shared" si="158"/>
        <v>10162</v>
      </c>
      <c r="B10163" s="1129" t="s">
        <v>2724</v>
      </c>
      <c r="C10163" s="1139"/>
      <c r="D10163" s="1129"/>
      <c r="E10163" s="1129"/>
      <c r="F10163" s="1129"/>
      <c r="G10163" s="1129"/>
      <c r="H10163" s="1129" t="str">
        <f>CONCATENATE("&lt;valeur&gt;",Cellule_1253_4,"&lt;/valeur&gt;")</f>
        <v>&lt;valeur&gt;&lt;/valeur&gt;</v>
      </c>
      <c r="I10163" s="1129"/>
      <c r="J10163" s="1127"/>
    </row>
    <row r="10164" spans="1:10" x14ac:dyDescent="0.2">
      <c r="A10164" s="997">
        <f t="shared" si="158"/>
        <v>10163</v>
      </c>
      <c r="B10164" s="1129" t="s">
        <v>2724</v>
      </c>
      <c r="C10164" s="1139"/>
      <c r="D10164" s="1129"/>
      <c r="E10164" s="1129"/>
      <c r="F10164" s="1129"/>
      <c r="G10164" s="1129"/>
      <c r="H10164" s="1129" t="s">
        <v>2737</v>
      </c>
      <c r="I10164" s="1129"/>
      <c r="J10164" s="1127"/>
    </row>
    <row r="10165" spans="1:10" x14ac:dyDescent="0.2">
      <c r="A10165" s="997">
        <f t="shared" si="158"/>
        <v>10164</v>
      </c>
      <c r="B10165" s="1130" t="s">
        <v>2724</v>
      </c>
      <c r="C10165" s="1144"/>
      <c r="D10165" s="1130"/>
      <c r="E10165" s="1130"/>
      <c r="F10165" s="1130"/>
      <c r="G10165" s="1130" t="s">
        <v>1109</v>
      </c>
      <c r="H10165" s="1130"/>
      <c r="I10165" s="1130"/>
      <c r="J10165" s="1142"/>
    </row>
    <row r="10166" spans="1:10" x14ac:dyDescent="0.2">
      <c r="A10166" s="997">
        <f t="shared" si="158"/>
        <v>10165</v>
      </c>
      <c r="B10166" s="983" t="s">
        <v>2724</v>
      </c>
      <c r="C10166" s="999"/>
      <c r="G10166" s="983" t="s">
        <v>1106</v>
      </c>
    </row>
    <row r="10167" spans="1:10" x14ac:dyDescent="0.2">
      <c r="A10167" s="997">
        <f t="shared" si="158"/>
        <v>10166</v>
      </c>
      <c r="B10167" s="983" t="s">
        <v>2724</v>
      </c>
      <c r="C10167" s="999"/>
      <c r="H10167" s="983" t="s">
        <v>1107</v>
      </c>
    </row>
    <row r="10168" spans="1:10" x14ac:dyDescent="0.2">
      <c r="A10168" s="997">
        <f t="shared" si="158"/>
        <v>10167</v>
      </c>
      <c r="B10168" s="983" t="s">
        <v>2724</v>
      </c>
      <c r="C10168" s="1000"/>
      <c r="I10168" s="983" t="s">
        <v>2468</v>
      </c>
    </row>
    <row r="10169" spans="1:10" x14ac:dyDescent="0.2">
      <c r="A10169" s="997">
        <f t="shared" si="158"/>
        <v>10168</v>
      </c>
      <c r="B10169" s="983" t="s">
        <v>2724</v>
      </c>
      <c r="C10169" s="1001"/>
      <c r="H10169" s="983" t="s">
        <v>1108</v>
      </c>
    </row>
    <row r="10170" spans="1:10" x14ac:dyDescent="0.2">
      <c r="A10170" s="997">
        <f t="shared" si="158"/>
        <v>10169</v>
      </c>
      <c r="B10170" s="983" t="s">
        <v>2724</v>
      </c>
      <c r="C10170" s="1000"/>
      <c r="H10170" s="983" t="str">
        <f>CONCATENATE("&lt;valeur&gt;",Cellule_1257,"&lt;/valeur&gt;")</f>
        <v>&lt;valeur&gt;0&lt;/valeur&gt;</v>
      </c>
    </row>
    <row r="10171" spans="1:10" x14ac:dyDescent="0.2">
      <c r="A10171" s="997">
        <f t="shared" si="158"/>
        <v>10170</v>
      </c>
      <c r="B10171" s="983" t="s">
        <v>2724</v>
      </c>
      <c r="C10171" s="1000"/>
      <c r="G10171" s="983" t="s">
        <v>1109</v>
      </c>
    </row>
    <row r="10172" spans="1:10" x14ac:dyDescent="0.2">
      <c r="A10172" s="997">
        <f t="shared" si="158"/>
        <v>10171</v>
      </c>
      <c r="B10172" s="983" t="s">
        <v>2724</v>
      </c>
      <c r="C10172" s="1000"/>
      <c r="G10172" s="983" t="s">
        <v>1106</v>
      </c>
    </row>
    <row r="10173" spans="1:10" x14ac:dyDescent="0.2">
      <c r="A10173" s="997">
        <f t="shared" si="158"/>
        <v>10172</v>
      </c>
      <c r="B10173" s="983" t="s">
        <v>2724</v>
      </c>
      <c r="C10173" s="999"/>
      <c r="H10173" s="983" t="s">
        <v>1107</v>
      </c>
    </row>
    <row r="10174" spans="1:10" x14ac:dyDescent="0.2">
      <c r="A10174" s="997">
        <f t="shared" si="158"/>
        <v>10173</v>
      </c>
      <c r="B10174" s="983" t="s">
        <v>2724</v>
      </c>
      <c r="C10174" s="999"/>
      <c r="I10174" s="983" t="s">
        <v>2469</v>
      </c>
    </row>
    <row r="10175" spans="1:10" x14ac:dyDescent="0.2">
      <c r="A10175" s="997">
        <f t="shared" si="158"/>
        <v>10174</v>
      </c>
      <c r="B10175" s="983" t="s">
        <v>2724</v>
      </c>
      <c r="C10175" s="1000"/>
      <c r="H10175" s="983" t="s">
        <v>1108</v>
      </c>
    </row>
    <row r="10176" spans="1:10" x14ac:dyDescent="0.2">
      <c r="A10176" s="997">
        <f t="shared" si="158"/>
        <v>10175</v>
      </c>
      <c r="B10176" s="983" t="s">
        <v>2724</v>
      </c>
      <c r="C10176" s="1001"/>
      <c r="H10176" s="983" t="str">
        <f>CONCATENATE("&lt;valeur&gt;",Cellule_1261,"&lt;/valeur&gt;")</f>
        <v>&lt;valeur&gt;0&lt;/valeur&gt;</v>
      </c>
    </row>
    <row r="10177" spans="1:9" x14ac:dyDescent="0.2">
      <c r="A10177" s="997">
        <f t="shared" si="158"/>
        <v>10176</v>
      </c>
      <c r="B10177" s="983" t="s">
        <v>2724</v>
      </c>
      <c r="C10177" s="1000"/>
      <c r="G10177" s="983" t="s">
        <v>1109</v>
      </c>
    </row>
    <row r="10178" spans="1:9" x14ac:dyDescent="0.2">
      <c r="A10178" s="997">
        <f t="shared" si="158"/>
        <v>10177</v>
      </c>
      <c r="B10178" s="983" t="s">
        <v>2724</v>
      </c>
      <c r="C10178" s="1000"/>
      <c r="G10178" s="983" t="s">
        <v>1106</v>
      </c>
    </row>
    <row r="10179" spans="1:9" x14ac:dyDescent="0.2">
      <c r="A10179" s="997">
        <f t="shared" si="158"/>
        <v>10178</v>
      </c>
      <c r="B10179" s="983" t="s">
        <v>2724</v>
      </c>
      <c r="C10179" s="1000"/>
      <c r="H10179" s="983" t="s">
        <v>1107</v>
      </c>
    </row>
    <row r="10180" spans="1:9" x14ac:dyDescent="0.2">
      <c r="A10180" s="997">
        <f t="shared" ref="A10180:A10243" si="159">+A10179+1</f>
        <v>10179</v>
      </c>
      <c r="B10180" s="983" t="s">
        <v>2724</v>
      </c>
      <c r="C10180" s="999"/>
      <c r="I10180" s="983" t="s">
        <v>2470</v>
      </c>
    </row>
    <row r="10181" spans="1:9" x14ac:dyDescent="0.2">
      <c r="A10181" s="997">
        <f t="shared" si="159"/>
        <v>10180</v>
      </c>
      <c r="B10181" s="983" t="s">
        <v>2724</v>
      </c>
      <c r="C10181" s="999"/>
      <c r="H10181" s="983" t="s">
        <v>1108</v>
      </c>
    </row>
    <row r="10182" spans="1:9" x14ac:dyDescent="0.2">
      <c r="A10182" s="997">
        <f t="shared" si="159"/>
        <v>10181</v>
      </c>
      <c r="B10182" s="983" t="s">
        <v>2724</v>
      </c>
      <c r="C10182" s="1000"/>
      <c r="H10182" s="983" t="str">
        <f>CONCATENATE("&lt;valeur&gt;",Cellule_1262,"&lt;/valeur&gt;")</f>
        <v>&lt;valeur&gt;0&lt;/valeur&gt;</v>
      </c>
    </row>
    <row r="10183" spans="1:9" x14ac:dyDescent="0.2">
      <c r="A10183" s="997">
        <f t="shared" si="159"/>
        <v>10182</v>
      </c>
      <c r="B10183" s="983" t="s">
        <v>2724</v>
      </c>
      <c r="C10183" s="1001"/>
      <c r="G10183" s="983" t="s">
        <v>1109</v>
      </c>
    </row>
    <row r="10184" spans="1:9" x14ac:dyDescent="0.2">
      <c r="A10184" s="997">
        <f t="shared" si="159"/>
        <v>10183</v>
      </c>
      <c r="B10184" s="983" t="s">
        <v>2724</v>
      </c>
      <c r="C10184" s="1000"/>
      <c r="G10184" s="983" t="s">
        <v>1106</v>
      </c>
    </row>
    <row r="10185" spans="1:9" x14ac:dyDescent="0.2">
      <c r="A10185" s="997">
        <f t="shared" si="159"/>
        <v>10184</v>
      </c>
      <c r="B10185" s="983" t="s">
        <v>2724</v>
      </c>
      <c r="C10185" s="1062"/>
      <c r="H10185" s="983" t="s">
        <v>1107</v>
      </c>
    </row>
    <row r="10186" spans="1:9" x14ac:dyDescent="0.2">
      <c r="A10186" s="997">
        <f t="shared" si="159"/>
        <v>10185</v>
      </c>
      <c r="B10186" s="983" t="s">
        <v>2724</v>
      </c>
      <c r="C10186" s="1000"/>
      <c r="I10186" s="983" t="s">
        <v>2471</v>
      </c>
    </row>
    <row r="10187" spans="1:9" x14ac:dyDescent="0.2">
      <c r="A10187" s="997">
        <f t="shared" si="159"/>
        <v>10186</v>
      </c>
      <c r="B10187" s="983" t="s">
        <v>2724</v>
      </c>
      <c r="C10187" s="999"/>
      <c r="H10187" s="983" t="s">
        <v>1108</v>
      </c>
    </row>
    <row r="10188" spans="1:9" x14ac:dyDescent="0.2">
      <c r="A10188" s="997">
        <f t="shared" si="159"/>
        <v>10187</v>
      </c>
      <c r="B10188" s="983" t="s">
        <v>2724</v>
      </c>
      <c r="C10188" s="999"/>
      <c r="H10188" s="983" t="str">
        <f>CONCATENATE("&lt;valeur&gt;",Cellule_1263,"&lt;/valeur&gt;")</f>
        <v>&lt;valeur&gt;0&lt;/valeur&gt;</v>
      </c>
    </row>
    <row r="10189" spans="1:9" x14ac:dyDescent="0.2">
      <c r="A10189" s="997">
        <f t="shared" si="159"/>
        <v>10188</v>
      </c>
      <c r="B10189" s="983" t="s">
        <v>2724</v>
      </c>
      <c r="C10189" s="1000"/>
      <c r="G10189" s="983" t="s">
        <v>1109</v>
      </c>
    </row>
    <row r="10190" spans="1:9" x14ac:dyDescent="0.2">
      <c r="A10190" s="997">
        <f t="shared" si="159"/>
        <v>10189</v>
      </c>
      <c r="B10190" s="983" t="s">
        <v>2724</v>
      </c>
      <c r="C10190" s="1001"/>
      <c r="G10190" s="983" t="s">
        <v>1106</v>
      </c>
    </row>
    <row r="10191" spans="1:9" x14ac:dyDescent="0.2">
      <c r="A10191" s="997">
        <f t="shared" si="159"/>
        <v>10190</v>
      </c>
      <c r="B10191" s="983" t="s">
        <v>2724</v>
      </c>
      <c r="C10191" s="1000"/>
      <c r="H10191" s="983" t="s">
        <v>1107</v>
      </c>
    </row>
    <row r="10192" spans="1:9" x14ac:dyDescent="0.2">
      <c r="A10192" s="997">
        <f t="shared" si="159"/>
        <v>10191</v>
      </c>
      <c r="B10192" s="983" t="s">
        <v>2724</v>
      </c>
      <c r="C10192" s="1000"/>
      <c r="I10192" s="983" t="s">
        <v>2472</v>
      </c>
    </row>
    <row r="10193" spans="1:9" x14ac:dyDescent="0.2">
      <c r="A10193" s="997">
        <f t="shared" si="159"/>
        <v>10192</v>
      </c>
      <c r="B10193" s="983" t="s">
        <v>2724</v>
      </c>
      <c r="C10193" s="1000"/>
      <c r="H10193" s="983" t="s">
        <v>1108</v>
      </c>
    </row>
    <row r="10194" spans="1:9" x14ac:dyDescent="0.2">
      <c r="A10194" s="997">
        <f t="shared" si="159"/>
        <v>10193</v>
      </c>
      <c r="B10194" s="983" t="s">
        <v>2724</v>
      </c>
      <c r="C10194" s="999"/>
      <c r="H10194" s="983" t="str">
        <f>CONCATENATE("&lt;valeur&gt;",Cellule_1264,"&lt;/valeur&gt;")</f>
        <v>&lt;valeur&gt;0&lt;/valeur&gt;</v>
      </c>
    </row>
    <row r="10195" spans="1:9" x14ac:dyDescent="0.2">
      <c r="A10195" s="997">
        <f t="shared" si="159"/>
        <v>10194</v>
      </c>
      <c r="B10195" s="983" t="s">
        <v>2724</v>
      </c>
      <c r="C10195" s="999"/>
      <c r="G10195" s="983" t="s">
        <v>1109</v>
      </c>
    </row>
    <row r="10196" spans="1:9" x14ac:dyDescent="0.2">
      <c r="A10196" s="997">
        <f t="shared" si="159"/>
        <v>10195</v>
      </c>
      <c r="B10196" s="983" t="s">
        <v>2724</v>
      </c>
      <c r="C10196" s="1000"/>
      <c r="G10196" s="983" t="s">
        <v>1106</v>
      </c>
    </row>
    <row r="10197" spans="1:9" x14ac:dyDescent="0.2">
      <c r="A10197" s="997">
        <f t="shared" si="159"/>
        <v>10196</v>
      </c>
      <c r="B10197" s="983" t="s">
        <v>2724</v>
      </c>
      <c r="C10197" s="1001"/>
      <c r="H10197" s="983" t="s">
        <v>1107</v>
      </c>
    </row>
    <row r="10198" spans="1:9" x14ac:dyDescent="0.2">
      <c r="A10198" s="997">
        <f t="shared" si="159"/>
        <v>10197</v>
      </c>
      <c r="B10198" s="983" t="s">
        <v>2724</v>
      </c>
      <c r="C10198" s="1000"/>
      <c r="I10198" s="983" t="s">
        <v>2473</v>
      </c>
    </row>
    <row r="10199" spans="1:9" x14ac:dyDescent="0.2">
      <c r="A10199" s="997">
        <f t="shared" si="159"/>
        <v>10198</v>
      </c>
      <c r="B10199" s="983" t="s">
        <v>2724</v>
      </c>
      <c r="C10199" s="1000"/>
      <c r="H10199" s="983" t="s">
        <v>1108</v>
      </c>
    </row>
    <row r="10200" spans="1:9" x14ac:dyDescent="0.2">
      <c r="A10200" s="997">
        <f t="shared" si="159"/>
        <v>10199</v>
      </c>
      <c r="B10200" s="983" t="s">
        <v>2724</v>
      </c>
      <c r="C10200" s="1000"/>
      <c r="H10200" s="983" t="str">
        <f>CONCATENATE("&lt;valeur&gt;",Cellule_1265,"&lt;/valeur&gt;")</f>
        <v>&lt;valeur&gt;0&lt;/valeur&gt;</v>
      </c>
    </row>
    <row r="10201" spans="1:9" x14ac:dyDescent="0.2">
      <c r="A10201" s="997">
        <f t="shared" si="159"/>
        <v>10200</v>
      </c>
      <c r="B10201" s="983" t="s">
        <v>2724</v>
      </c>
      <c r="C10201" s="999"/>
      <c r="G10201" s="983" t="s">
        <v>1109</v>
      </c>
    </row>
    <row r="10202" spans="1:9" x14ac:dyDescent="0.2">
      <c r="A10202" s="997">
        <f t="shared" si="159"/>
        <v>10201</v>
      </c>
      <c r="B10202" s="983" t="s">
        <v>2724</v>
      </c>
      <c r="C10202" s="999"/>
      <c r="F10202" s="983" t="s">
        <v>1110</v>
      </c>
    </row>
    <row r="10203" spans="1:9" x14ac:dyDescent="0.2">
      <c r="A10203" s="997">
        <f t="shared" si="159"/>
        <v>10202</v>
      </c>
      <c r="B10203" s="983" t="s">
        <v>2724</v>
      </c>
      <c r="C10203" s="1001"/>
      <c r="F10203" s="983" t="s">
        <v>1111</v>
      </c>
    </row>
    <row r="10204" spans="1:9" x14ac:dyDescent="0.2">
      <c r="A10204" s="997">
        <f t="shared" si="159"/>
        <v>10203</v>
      </c>
      <c r="B10204" s="983" t="s">
        <v>2724</v>
      </c>
      <c r="C10204" s="1000"/>
      <c r="G10204" s="983" t="s">
        <v>1114</v>
      </c>
    </row>
    <row r="10205" spans="1:9" x14ac:dyDescent="0.2">
      <c r="A10205" s="997">
        <f t="shared" si="159"/>
        <v>10204</v>
      </c>
      <c r="B10205" s="983" t="s">
        <v>2724</v>
      </c>
      <c r="C10205" s="1000"/>
      <c r="H10205" s="983" t="s">
        <v>1115</v>
      </c>
    </row>
    <row r="10206" spans="1:9" x14ac:dyDescent="0.2">
      <c r="A10206" s="997">
        <f t="shared" si="159"/>
        <v>10205</v>
      </c>
      <c r="B10206" s="983" t="s">
        <v>2724</v>
      </c>
      <c r="C10206" s="1000"/>
      <c r="I10206" s="983" t="s">
        <v>2474</v>
      </c>
    </row>
    <row r="10207" spans="1:9" x14ac:dyDescent="0.2">
      <c r="A10207" s="997">
        <f t="shared" si="159"/>
        <v>10206</v>
      </c>
      <c r="B10207" s="983" t="s">
        <v>2724</v>
      </c>
      <c r="C10207" s="999"/>
      <c r="H10207" s="983" t="s">
        <v>1116</v>
      </c>
    </row>
    <row r="10208" spans="1:9" x14ac:dyDescent="0.2">
      <c r="A10208" s="997">
        <f t="shared" si="159"/>
        <v>10207</v>
      </c>
      <c r="B10208" s="983" t="s">
        <v>2724</v>
      </c>
      <c r="C10208" s="999"/>
      <c r="H10208" s="983" t="str">
        <f>CONCATENATE("&lt;valeur&gt;",Cellule_55,"&lt;/valeur&gt;")</f>
        <v>&lt;valeur&gt;31/12/2022&lt;/valeur&gt;</v>
      </c>
    </row>
    <row r="10209" spans="1:12" x14ac:dyDescent="0.2">
      <c r="A10209" s="997">
        <f t="shared" si="159"/>
        <v>10208</v>
      </c>
      <c r="B10209" s="983" t="s">
        <v>2724</v>
      </c>
      <c r="C10209" s="1000"/>
      <c r="G10209" s="983" t="s">
        <v>1117</v>
      </c>
    </row>
    <row r="10210" spans="1:12" x14ac:dyDescent="0.2">
      <c r="A10210" s="997">
        <f t="shared" si="159"/>
        <v>10209</v>
      </c>
      <c r="B10210" s="983" t="s">
        <v>2724</v>
      </c>
      <c r="C10210" s="1001"/>
      <c r="F10210" s="983" t="s">
        <v>1112</v>
      </c>
    </row>
    <row r="10211" spans="1:12" x14ac:dyDescent="0.2">
      <c r="A10211" s="997">
        <f t="shared" si="159"/>
        <v>10210</v>
      </c>
      <c r="B10211" s="983" t="s">
        <v>2724</v>
      </c>
      <c r="C10211" s="1000"/>
      <c r="E10211" s="983" t="s">
        <v>1113</v>
      </c>
    </row>
    <row r="10212" spans="1:12" x14ac:dyDescent="0.2">
      <c r="A10212" s="997">
        <f t="shared" si="159"/>
        <v>10211</v>
      </c>
      <c r="B10212" s="983" t="s">
        <v>2725</v>
      </c>
      <c r="C10212" s="1000"/>
      <c r="E10212" s="983" t="s">
        <v>1104</v>
      </c>
    </row>
    <row r="10213" spans="1:12" x14ac:dyDescent="0.2">
      <c r="A10213" s="997">
        <f t="shared" si="159"/>
        <v>10212</v>
      </c>
      <c r="B10213" s="983" t="s">
        <v>2725</v>
      </c>
      <c r="C10213" s="1000"/>
      <c r="F10213" s="983" t="s">
        <v>2475</v>
      </c>
    </row>
    <row r="10214" spans="1:12" x14ac:dyDescent="0.2">
      <c r="A10214" s="997">
        <f t="shared" si="159"/>
        <v>10213</v>
      </c>
      <c r="B10214" s="983" t="s">
        <v>2725</v>
      </c>
      <c r="C10214" s="999"/>
      <c r="F10214" s="983" t="s">
        <v>1105</v>
      </c>
    </row>
    <row r="10215" spans="1:12" x14ac:dyDescent="0.2">
      <c r="A10215" s="997">
        <f t="shared" si="159"/>
        <v>10214</v>
      </c>
      <c r="B10215" s="1128" t="s">
        <v>2725</v>
      </c>
      <c r="C10215" s="1137"/>
      <c r="D10215" s="1128"/>
      <c r="E10215" s="1128"/>
      <c r="F10215" s="1128"/>
      <c r="G10215" s="1128" t="s">
        <v>1106</v>
      </c>
      <c r="H10215" s="1128"/>
      <c r="I10215" s="1128"/>
      <c r="J10215" s="1128"/>
      <c r="K10215" s="1128"/>
      <c r="L10215" s="1124"/>
    </row>
    <row r="10216" spans="1:12" x14ac:dyDescent="0.2">
      <c r="A10216" s="997">
        <f t="shared" si="159"/>
        <v>10215</v>
      </c>
      <c r="B10216" s="1129" t="s">
        <v>2725</v>
      </c>
      <c r="C10216" s="1139"/>
      <c r="D10216" s="1129"/>
      <c r="E10216" s="1129"/>
      <c r="F10216" s="1129"/>
      <c r="G10216" s="1129"/>
      <c r="H10216" s="1129" t="s">
        <v>2476</v>
      </c>
      <c r="I10216" s="1129"/>
      <c r="J10216" s="1129"/>
      <c r="K10216" s="1129"/>
      <c r="L10216" s="1127"/>
    </row>
    <row r="10217" spans="1:12" x14ac:dyDescent="0.2">
      <c r="A10217" s="997">
        <f t="shared" si="159"/>
        <v>10216</v>
      </c>
      <c r="B10217" s="1129" t="s">
        <v>2725</v>
      </c>
      <c r="C10217" s="1140"/>
      <c r="D10217" s="1129"/>
      <c r="E10217" s="1129"/>
      <c r="F10217" s="1129"/>
      <c r="G10217" s="1129"/>
      <c r="H10217" s="1129" t="str">
        <f>CONCATENATE("&lt;valeur&gt;",Cellule_1267_1,"&lt;/valeur&gt;")</f>
        <v>&lt;valeur&gt;dfdfd &lt;/valeur&gt;</v>
      </c>
      <c r="I10217" s="1129"/>
      <c r="J10217" s="1129"/>
      <c r="K10217" s="1129"/>
      <c r="L10217" s="1127"/>
    </row>
    <row r="10218" spans="1:12" x14ac:dyDescent="0.2">
      <c r="A10218" s="997">
        <f t="shared" si="159"/>
        <v>10217</v>
      </c>
      <c r="B10218" s="1129" t="s">
        <v>2725</v>
      </c>
      <c r="C10218" s="1139"/>
      <c r="D10218" s="1129"/>
      <c r="E10218" s="1129"/>
      <c r="F10218" s="1129"/>
      <c r="G10218" s="1129"/>
      <c r="H10218" s="1129" t="s">
        <v>1348</v>
      </c>
      <c r="I10218" s="1129"/>
      <c r="J10218" s="1129"/>
      <c r="K10218" s="1129"/>
      <c r="L10218" s="1127"/>
    </row>
    <row r="10219" spans="1:12" x14ac:dyDescent="0.2">
      <c r="A10219" s="997">
        <f t="shared" si="159"/>
        <v>10218</v>
      </c>
      <c r="B10219" s="1129" t="s">
        <v>2725</v>
      </c>
      <c r="C10219" s="1139"/>
      <c r="D10219" s="1129"/>
      <c r="E10219" s="1129"/>
      <c r="F10219" s="1129"/>
      <c r="G10219" s="1129" t="s">
        <v>1109</v>
      </c>
      <c r="H10219" s="1129"/>
      <c r="I10219" s="1129"/>
      <c r="J10219" s="1129"/>
      <c r="K10219" s="1129"/>
      <c r="L10219" s="1127"/>
    </row>
    <row r="10220" spans="1:12" x14ac:dyDescent="0.2">
      <c r="A10220" s="997">
        <f t="shared" si="159"/>
        <v>10219</v>
      </c>
      <c r="B10220" s="1129" t="s">
        <v>2725</v>
      </c>
      <c r="C10220" s="1139"/>
      <c r="D10220" s="1129"/>
      <c r="E10220" s="1129"/>
      <c r="F10220" s="1129"/>
      <c r="G10220" s="1129" t="s">
        <v>1106</v>
      </c>
      <c r="H10220" s="1129"/>
      <c r="I10220" s="1129"/>
      <c r="J10220" s="1129"/>
      <c r="K10220" s="1129"/>
      <c r="L10220" s="1127"/>
    </row>
    <row r="10221" spans="1:12" x14ac:dyDescent="0.2">
      <c r="A10221" s="997">
        <f t="shared" si="159"/>
        <v>10220</v>
      </c>
      <c r="B10221" s="1129" t="s">
        <v>2725</v>
      </c>
      <c r="C10221" s="1138"/>
      <c r="D10221" s="1129"/>
      <c r="E10221" s="1129"/>
      <c r="F10221" s="1129"/>
      <c r="G10221" s="1129"/>
      <c r="H10221" s="1129" t="s">
        <v>2477</v>
      </c>
      <c r="I10221" s="1129"/>
      <c r="J10221" s="1129"/>
      <c r="K10221" s="1129"/>
      <c r="L10221" s="1127"/>
    </row>
    <row r="10222" spans="1:12" x14ac:dyDescent="0.2">
      <c r="A10222" s="997">
        <f t="shared" si="159"/>
        <v>10221</v>
      </c>
      <c r="B10222" s="1129" t="s">
        <v>2725</v>
      </c>
      <c r="C10222" s="1138"/>
      <c r="D10222" s="1129"/>
      <c r="E10222" s="1129"/>
      <c r="F10222" s="1129"/>
      <c r="G10222" s="1129"/>
      <c r="H10222" s="1129" t="str">
        <f>CONCATENATE("&lt;valeur&gt;",Cellule_1268_1,"&lt;/valeur&gt;")</f>
        <v>&lt;valeur&gt;ffsfsfs&lt;/valeur&gt;</v>
      </c>
      <c r="I10222" s="1129"/>
      <c r="J10222" s="1129"/>
      <c r="K10222" s="1129"/>
      <c r="L10222" s="1127"/>
    </row>
    <row r="10223" spans="1:12" x14ac:dyDescent="0.2">
      <c r="A10223" s="997">
        <f t="shared" si="159"/>
        <v>10222</v>
      </c>
      <c r="B10223" s="1129" t="s">
        <v>2725</v>
      </c>
      <c r="C10223" s="1139"/>
      <c r="D10223" s="1129"/>
      <c r="E10223" s="1129"/>
      <c r="F10223" s="1129"/>
      <c r="G10223" s="1129"/>
      <c r="H10223" s="1129" t="s">
        <v>1348</v>
      </c>
      <c r="I10223" s="1129"/>
      <c r="J10223" s="1129"/>
      <c r="K10223" s="1129"/>
      <c r="L10223" s="1127"/>
    </row>
    <row r="10224" spans="1:12" x14ac:dyDescent="0.2">
      <c r="A10224" s="997">
        <f t="shared" si="159"/>
        <v>10223</v>
      </c>
      <c r="B10224" s="1129" t="s">
        <v>2725</v>
      </c>
      <c r="C10224" s="1140"/>
      <c r="D10224" s="1129"/>
      <c r="E10224" s="1129"/>
      <c r="F10224" s="1129"/>
      <c r="G10224" s="1129" t="s">
        <v>1109</v>
      </c>
      <c r="H10224" s="1129"/>
      <c r="I10224" s="1129"/>
      <c r="J10224" s="1129"/>
      <c r="K10224" s="1129"/>
      <c r="L10224" s="1127"/>
    </row>
    <row r="10225" spans="1:12" x14ac:dyDescent="0.2">
      <c r="A10225" s="997">
        <f t="shared" si="159"/>
        <v>10224</v>
      </c>
      <c r="B10225" s="1129" t="s">
        <v>2725</v>
      </c>
      <c r="C10225" s="1139"/>
      <c r="D10225" s="1129"/>
      <c r="E10225" s="1129"/>
      <c r="F10225" s="1129"/>
      <c r="G10225" s="1129" t="s">
        <v>1106</v>
      </c>
      <c r="H10225" s="1129"/>
      <c r="I10225" s="1129"/>
      <c r="J10225" s="1129"/>
      <c r="K10225" s="1129"/>
      <c r="L10225" s="1127"/>
    </row>
    <row r="10226" spans="1:12" x14ac:dyDescent="0.2">
      <c r="A10226" s="997">
        <f t="shared" si="159"/>
        <v>10225</v>
      </c>
      <c r="B10226" s="1129" t="s">
        <v>2725</v>
      </c>
      <c r="C10226" s="1139"/>
      <c r="D10226" s="1129"/>
      <c r="E10226" s="1129"/>
      <c r="F10226" s="1129"/>
      <c r="G10226" s="1129"/>
      <c r="H10226" s="1129" t="s">
        <v>2478</v>
      </c>
      <c r="I10226" s="1129"/>
      <c r="J10226" s="1129"/>
      <c r="K10226" s="1129"/>
      <c r="L10226" s="1127"/>
    </row>
    <row r="10227" spans="1:12" x14ac:dyDescent="0.2">
      <c r="A10227" s="997">
        <f t="shared" si="159"/>
        <v>10226</v>
      </c>
      <c r="B10227" s="1129" t="s">
        <v>2725</v>
      </c>
      <c r="C10227" s="1139"/>
      <c r="D10227" s="1129"/>
      <c r="E10227" s="1129"/>
      <c r="F10227" s="1129"/>
      <c r="G10227" s="1129"/>
      <c r="H10227" s="1129" t="str">
        <f>CONCATENATE("&lt;valeur&gt;",Cellule_1269_1,"&lt;/valeur&gt;")</f>
        <v>&lt;valeur&gt;sfsfsffsfs&lt;/valeur&gt;</v>
      </c>
      <c r="I10227" s="1129"/>
      <c r="J10227" s="1129"/>
      <c r="K10227" s="1129"/>
      <c r="L10227" s="1127"/>
    </row>
    <row r="10228" spans="1:12" x14ac:dyDescent="0.2">
      <c r="A10228" s="997">
        <f t="shared" si="159"/>
        <v>10227</v>
      </c>
      <c r="B10228" s="1129" t="s">
        <v>2725</v>
      </c>
      <c r="C10228" s="1138"/>
      <c r="D10228" s="1129"/>
      <c r="E10228" s="1129"/>
      <c r="F10228" s="1129"/>
      <c r="G10228" s="1129"/>
      <c r="H10228" s="1129" t="s">
        <v>1348</v>
      </c>
      <c r="I10228" s="1129"/>
      <c r="J10228" s="1129"/>
      <c r="K10228" s="1129"/>
      <c r="L10228" s="1127"/>
    </row>
    <row r="10229" spans="1:12" x14ac:dyDescent="0.2">
      <c r="A10229" s="997">
        <f t="shared" si="159"/>
        <v>10228</v>
      </c>
      <c r="B10229" s="1129" t="s">
        <v>2725</v>
      </c>
      <c r="C10229" s="1138"/>
      <c r="D10229" s="1129"/>
      <c r="E10229" s="1129"/>
      <c r="F10229" s="1129"/>
      <c r="G10229" s="1129" t="s">
        <v>1109</v>
      </c>
      <c r="H10229" s="1129"/>
      <c r="I10229" s="1129"/>
      <c r="J10229" s="1129"/>
      <c r="K10229" s="1129"/>
      <c r="L10229" s="1127"/>
    </row>
    <row r="10230" spans="1:12" x14ac:dyDescent="0.2">
      <c r="A10230" s="997">
        <f t="shared" si="159"/>
        <v>10229</v>
      </c>
      <c r="B10230" s="1129" t="s">
        <v>2725</v>
      </c>
      <c r="C10230" s="1139"/>
      <c r="D10230" s="1129"/>
      <c r="E10230" s="1129"/>
      <c r="F10230" s="1129"/>
      <c r="G10230" s="1129" t="s">
        <v>1106</v>
      </c>
      <c r="H10230" s="1129"/>
      <c r="I10230" s="1129"/>
      <c r="J10230" s="1129"/>
      <c r="K10230" s="1129"/>
      <c r="L10230" s="1127"/>
    </row>
    <row r="10231" spans="1:12" x14ac:dyDescent="0.2">
      <c r="A10231" s="997">
        <f t="shared" si="159"/>
        <v>10230</v>
      </c>
      <c r="B10231" s="1129" t="s">
        <v>2725</v>
      </c>
      <c r="C10231" s="1140"/>
      <c r="D10231" s="1129"/>
      <c r="E10231" s="1129"/>
      <c r="F10231" s="1129"/>
      <c r="G10231" s="1129"/>
      <c r="H10231" s="1129" t="s">
        <v>2479</v>
      </c>
      <c r="I10231" s="1129"/>
      <c r="J10231" s="1129"/>
      <c r="K10231" s="1129"/>
      <c r="L10231" s="1127"/>
    </row>
    <row r="10232" spans="1:12" x14ac:dyDescent="0.2">
      <c r="A10232" s="997">
        <f t="shared" si="159"/>
        <v>10231</v>
      </c>
      <c r="B10232" s="1129" t="s">
        <v>2725</v>
      </c>
      <c r="C10232" s="1139"/>
      <c r="D10232" s="1129"/>
      <c r="E10232" s="1129"/>
      <c r="F10232" s="1129"/>
      <c r="G10232" s="1129"/>
      <c r="H10232" s="1129" t="str">
        <f>CONCATENATE("&lt;valeur&gt;",Cellule_1270_1,"&lt;/valeur&gt;")</f>
        <v>&lt;valeur&gt;42594&lt;/valeur&gt;</v>
      </c>
      <c r="I10232" s="1129"/>
      <c r="J10232" s="1129"/>
      <c r="K10232" s="1129"/>
      <c r="L10232" s="1127"/>
    </row>
    <row r="10233" spans="1:12" x14ac:dyDescent="0.2">
      <c r="A10233" s="997">
        <f t="shared" si="159"/>
        <v>10232</v>
      </c>
      <c r="B10233" s="1129" t="s">
        <v>2725</v>
      </c>
      <c r="C10233" s="1139"/>
      <c r="D10233" s="1129"/>
      <c r="E10233" s="1129"/>
      <c r="F10233" s="1129"/>
      <c r="G10233" s="1129"/>
      <c r="H10233" s="1129" t="s">
        <v>1348</v>
      </c>
      <c r="I10233" s="1129"/>
      <c r="J10233" s="1129"/>
      <c r="K10233" s="1129"/>
      <c r="L10233" s="1127"/>
    </row>
    <row r="10234" spans="1:12" x14ac:dyDescent="0.2">
      <c r="A10234" s="997">
        <f t="shared" si="159"/>
        <v>10233</v>
      </c>
      <c r="B10234" s="1129" t="s">
        <v>2725</v>
      </c>
      <c r="C10234" s="1139"/>
      <c r="D10234" s="1129"/>
      <c r="E10234" s="1129"/>
      <c r="F10234" s="1129"/>
      <c r="G10234" s="1129" t="s">
        <v>1109</v>
      </c>
      <c r="H10234" s="1129"/>
      <c r="I10234" s="1129"/>
      <c r="J10234" s="1129"/>
      <c r="K10234" s="1129"/>
      <c r="L10234" s="1127"/>
    </row>
    <row r="10235" spans="1:12" x14ac:dyDescent="0.2">
      <c r="A10235" s="997">
        <f t="shared" si="159"/>
        <v>10234</v>
      </c>
      <c r="B10235" s="1129" t="s">
        <v>2725</v>
      </c>
      <c r="C10235" s="1138"/>
      <c r="D10235" s="1129"/>
      <c r="E10235" s="1129"/>
      <c r="F10235" s="1129"/>
      <c r="G10235" s="1129" t="s">
        <v>1106</v>
      </c>
      <c r="H10235" s="1129"/>
      <c r="I10235" s="1129"/>
      <c r="J10235" s="1129"/>
      <c r="K10235" s="1129"/>
      <c r="L10235" s="1127"/>
    </row>
    <row r="10236" spans="1:12" x14ac:dyDescent="0.2">
      <c r="A10236" s="997">
        <f t="shared" si="159"/>
        <v>10235</v>
      </c>
      <c r="B10236" s="1129" t="s">
        <v>2725</v>
      </c>
      <c r="C10236" s="1138"/>
      <c r="D10236" s="1129"/>
      <c r="E10236" s="1129"/>
      <c r="F10236" s="1129"/>
      <c r="G10236" s="1129"/>
      <c r="H10236" s="1129" t="s">
        <v>2480</v>
      </c>
      <c r="I10236" s="1129"/>
      <c r="J10236" s="1129"/>
      <c r="K10236" s="1129"/>
      <c r="L10236" s="1127"/>
    </row>
    <row r="10237" spans="1:12" x14ac:dyDescent="0.2">
      <c r="A10237" s="997">
        <f t="shared" si="159"/>
        <v>10236</v>
      </c>
      <c r="B10237" s="1129" t="s">
        <v>2725</v>
      </c>
      <c r="C10237" s="1139"/>
      <c r="D10237" s="1129"/>
      <c r="E10237" s="1129"/>
      <c r="F10237" s="1129"/>
      <c r="G10237" s="1129"/>
      <c r="H10237" s="1129" t="str">
        <f>CONCATENATE("&lt;valeur&gt;",Cellule_1271_1,"&lt;/valeur&gt;")</f>
        <v>&lt;valeur&gt;12000&lt;/valeur&gt;</v>
      </c>
      <c r="I10237" s="1129"/>
      <c r="J10237" s="1129"/>
      <c r="K10237" s="1129"/>
      <c r="L10237" s="1127"/>
    </row>
    <row r="10238" spans="1:12" x14ac:dyDescent="0.2">
      <c r="A10238" s="997">
        <f t="shared" si="159"/>
        <v>10237</v>
      </c>
      <c r="B10238" s="1129" t="s">
        <v>2725</v>
      </c>
      <c r="C10238" s="1140"/>
      <c r="D10238" s="1129"/>
      <c r="E10238" s="1129"/>
      <c r="F10238" s="1129"/>
      <c r="G10238" s="1129"/>
      <c r="H10238" s="1129" t="s">
        <v>1348</v>
      </c>
      <c r="I10238" s="1129"/>
      <c r="J10238" s="1129"/>
      <c r="K10238" s="1129"/>
      <c r="L10238" s="1127"/>
    </row>
    <row r="10239" spans="1:12" x14ac:dyDescent="0.2">
      <c r="A10239" s="997">
        <f t="shared" si="159"/>
        <v>10238</v>
      </c>
      <c r="B10239" s="1129" t="s">
        <v>2725</v>
      </c>
      <c r="C10239" s="1139"/>
      <c r="D10239" s="1129"/>
      <c r="E10239" s="1129"/>
      <c r="F10239" s="1129"/>
      <c r="G10239" s="1129" t="s">
        <v>1109</v>
      </c>
      <c r="H10239" s="1129"/>
      <c r="I10239" s="1129"/>
      <c r="J10239" s="1129"/>
      <c r="K10239" s="1129"/>
      <c r="L10239" s="1127"/>
    </row>
    <row r="10240" spans="1:12" x14ac:dyDescent="0.2">
      <c r="A10240" s="997">
        <f t="shared" si="159"/>
        <v>10239</v>
      </c>
      <c r="B10240" s="1129" t="s">
        <v>2725</v>
      </c>
      <c r="C10240" s="1139"/>
      <c r="D10240" s="1129"/>
      <c r="E10240" s="1129"/>
      <c r="F10240" s="1129"/>
      <c r="G10240" s="1129" t="s">
        <v>1106</v>
      </c>
      <c r="H10240" s="1129"/>
      <c r="I10240" s="1129"/>
      <c r="J10240" s="1129"/>
      <c r="K10240" s="1129"/>
      <c r="L10240" s="1127"/>
    </row>
    <row r="10241" spans="1:12" x14ac:dyDescent="0.2">
      <c r="A10241" s="997">
        <f t="shared" si="159"/>
        <v>10240</v>
      </c>
      <c r="B10241" s="1129" t="s">
        <v>2725</v>
      </c>
      <c r="C10241" s="1139"/>
      <c r="D10241" s="1129"/>
      <c r="E10241" s="1129"/>
      <c r="F10241" s="1129"/>
      <c r="G10241" s="1129"/>
      <c r="H10241" s="1129" t="s">
        <v>2481</v>
      </c>
      <c r="I10241" s="1129"/>
      <c r="J10241" s="1129"/>
      <c r="K10241" s="1129"/>
      <c r="L10241" s="1127"/>
    </row>
    <row r="10242" spans="1:12" x14ac:dyDescent="0.2">
      <c r="A10242" s="997">
        <f t="shared" si="159"/>
        <v>10241</v>
      </c>
      <c r="B10242" s="1129" t="s">
        <v>2725</v>
      </c>
      <c r="C10242" s="1138"/>
      <c r="D10242" s="1129"/>
      <c r="E10242" s="1129"/>
      <c r="F10242" s="1129"/>
      <c r="G10242" s="1129"/>
      <c r="H10242" s="1129" t="str">
        <f>CONCATENATE("&lt;valeur&gt;",Cellule_1272_1,"&lt;/valeur&gt;")</f>
        <v>&lt;valeur&gt;12000&lt;/valeur&gt;</v>
      </c>
      <c r="I10242" s="1129"/>
      <c r="J10242" s="1129"/>
      <c r="K10242" s="1129"/>
      <c r="L10242" s="1127"/>
    </row>
    <row r="10243" spans="1:12" x14ac:dyDescent="0.2">
      <c r="A10243" s="997">
        <f t="shared" si="159"/>
        <v>10242</v>
      </c>
      <c r="B10243" s="1129" t="s">
        <v>2725</v>
      </c>
      <c r="C10243" s="1138"/>
      <c r="D10243" s="1129"/>
      <c r="E10243" s="1129"/>
      <c r="F10243" s="1129"/>
      <c r="G10243" s="1129"/>
      <c r="H10243" s="1129" t="s">
        <v>1348</v>
      </c>
      <c r="I10243" s="1129"/>
      <c r="J10243" s="1129"/>
      <c r="K10243" s="1129"/>
      <c r="L10243" s="1127"/>
    </row>
    <row r="10244" spans="1:12" x14ac:dyDescent="0.2">
      <c r="A10244" s="997">
        <f t="shared" ref="A10244:A10307" si="160">+A10243+1</f>
        <v>10243</v>
      </c>
      <c r="B10244" s="1129" t="s">
        <v>2725</v>
      </c>
      <c r="C10244" s="1139"/>
      <c r="D10244" s="1129"/>
      <c r="E10244" s="1129"/>
      <c r="F10244" s="1129"/>
      <c r="G10244" s="1129" t="s">
        <v>1109</v>
      </c>
      <c r="H10244" s="1129"/>
      <c r="I10244" s="1129"/>
      <c r="J10244" s="1129"/>
      <c r="K10244" s="1129"/>
      <c r="L10244" s="1127"/>
    </row>
    <row r="10245" spans="1:12" x14ac:dyDescent="0.2">
      <c r="A10245" s="997">
        <f t="shared" si="160"/>
        <v>10244</v>
      </c>
      <c r="B10245" s="1129" t="s">
        <v>2725</v>
      </c>
      <c r="C10245" s="1140"/>
      <c r="D10245" s="1129"/>
      <c r="E10245" s="1129"/>
      <c r="F10245" s="1129"/>
      <c r="G10245" s="1129" t="s">
        <v>1106</v>
      </c>
      <c r="H10245" s="1129"/>
      <c r="I10245" s="1129"/>
      <c r="J10245" s="1129"/>
      <c r="K10245" s="1129"/>
      <c r="L10245" s="1127"/>
    </row>
    <row r="10246" spans="1:12" x14ac:dyDescent="0.2">
      <c r="A10246" s="997">
        <f t="shared" si="160"/>
        <v>10245</v>
      </c>
      <c r="B10246" s="1129" t="s">
        <v>2725</v>
      </c>
      <c r="C10246" s="1139"/>
      <c r="D10246" s="1129"/>
      <c r="E10246" s="1129"/>
      <c r="F10246" s="1129"/>
      <c r="G10246" s="1129"/>
      <c r="H10246" s="1129" t="s">
        <v>2482</v>
      </c>
      <c r="I10246" s="1129"/>
      <c r="J10246" s="1129"/>
      <c r="K10246" s="1129"/>
      <c r="L10246" s="1127"/>
    </row>
    <row r="10247" spans="1:12" x14ac:dyDescent="0.2">
      <c r="A10247" s="997">
        <f t="shared" si="160"/>
        <v>10246</v>
      </c>
      <c r="B10247" s="1129" t="s">
        <v>2725</v>
      </c>
      <c r="C10247" s="1139"/>
      <c r="D10247" s="1129"/>
      <c r="E10247" s="1129"/>
      <c r="F10247" s="1129"/>
      <c r="G10247" s="1129"/>
      <c r="H10247" s="1129" t="str">
        <f>CONCATENATE("&lt;valeur&gt;",Cellule_1273_1,"&lt;/valeur&gt;")</f>
        <v>&lt;valeur&gt;Bail-ordinaire&lt;/valeur&gt;</v>
      </c>
      <c r="I10247" s="1129"/>
      <c r="J10247" s="1129"/>
      <c r="K10247" s="1129"/>
      <c r="L10247" s="1127"/>
    </row>
    <row r="10248" spans="1:12" x14ac:dyDescent="0.2">
      <c r="A10248" s="997">
        <f t="shared" si="160"/>
        <v>10247</v>
      </c>
      <c r="B10248" s="1129" t="s">
        <v>2725</v>
      </c>
      <c r="C10248" s="1139"/>
      <c r="D10248" s="1129"/>
      <c r="E10248" s="1129"/>
      <c r="F10248" s="1129"/>
      <c r="G10248" s="1129"/>
      <c r="H10248" s="1129" t="s">
        <v>1348</v>
      </c>
      <c r="I10248" s="1129"/>
      <c r="J10248" s="1129"/>
      <c r="K10248" s="1129"/>
      <c r="L10248" s="1127"/>
    </row>
    <row r="10249" spans="1:12" x14ac:dyDescent="0.2">
      <c r="A10249" s="997">
        <f t="shared" si="160"/>
        <v>10248</v>
      </c>
      <c r="B10249" s="1129" t="s">
        <v>2725</v>
      </c>
      <c r="C10249" s="1138"/>
      <c r="D10249" s="1129"/>
      <c r="E10249" s="1129"/>
      <c r="F10249" s="1129"/>
      <c r="G10249" s="1129" t="s">
        <v>1109</v>
      </c>
      <c r="H10249" s="1129"/>
      <c r="I10249" s="1129"/>
      <c r="J10249" s="1129"/>
      <c r="K10249" s="1129"/>
      <c r="L10249" s="1127"/>
    </row>
    <row r="10250" spans="1:12" x14ac:dyDescent="0.2">
      <c r="A10250" s="997">
        <f t="shared" si="160"/>
        <v>10249</v>
      </c>
      <c r="B10250" s="1129" t="s">
        <v>2725</v>
      </c>
      <c r="C10250" s="1138"/>
      <c r="D10250" s="1129"/>
      <c r="E10250" s="1129"/>
      <c r="F10250" s="1129"/>
      <c r="G10250" s="1129" t="s">
        <v>1106</v>
      </c>
      <c r="H10250" s="1129"/>
      <c r="I10250" s="1129"/>
      <c r="J10250" s="1129"/>
      <c r="K10250" s="1129"/>
      <c r="L10250" s="1127"/>
    </row>
    <row r="10251" spans="1:12" x14ac:dyDescent="0.2">
      <c r="A10251" s="997">
        <f t="shared" si="160"/>
        <v>10250</v>
      </c>
      <c r="B10251" s="1129" t="s">
        <v>2725</v>
      </c>
      <c r="C10251" s="1139"/>
      <c r="D10251" s="1129"/>
      <c r="E10251" s="1129"/>
      <c r="F10251" s="1129"/>
      <c r="G10251" s="1129"/>
      <c r="H10251" s="1129" t="s">
        <v>2483</v>
      </c>
      <c r="I10251" s="1129"/>
      <c r="J10251" s="1129"/>
      <c r="K10251" s="1129"/>
      <c r="L10251" s="1127"/>
    </row>
    <row r="10252" spans="1:12" x14ac:dyDescent="0.2">
      <c r="A10252" s="997">
        <f t="shared" si="160"/>
        <v>10251</v>
      </c>
      <c r="B10252" s="1129" t="s">
        <v>2725</v>
      </c>
      <c r="C10252" s="1140"/>
      <c r="D10252" s="1129"/>
      <c r="E10252" s="1129"/>
      <c r="F10252" s="1129"/>
      <c r="G10252" s="1129"/>
      <c r="H10252" s="1129" t="str">
        <f>CONCATENATE("&lt;valeur&gt;",Cellule_1274_1,"&lt;/valeur&gt;")</f>
        <v>&lt;valeur&gt;&lt;/valeur&gt;</v>
      </c>
      <c r="I10252" s="1129"/>
      <c r="J10252" s="1129"/>
      <c r="K10252" s="1129"/>
      <c r="L10252" s="1127"/>
    </row>
    <row r="10253" spans="1:12" x14ac:dyDescent="0.2">
      <c r="A10253" s="997">
        <f t="shared" si="160"/>
        <v>10252</v>
      </c>
      <c r="B10253" s="1129" t="s">
        <v>2725</v>
      </c>
      <c r="C10253" s="1139"/>
      <c r="D10253" s="1129"/>
      <c r="E10253" s="1129"/>
      <c r="F10253" s="1129"/>
      <c r="G10253" s="1129"/>
      <c r="H10253" s="1129" t="s">
        <v>1348</v>
      </c>
      <c r="I10253" s="1129"/>
      <c r="J10253" s="1129"/>
      <c r="K10253" s="1129"/>
      <c r="L10253" s="1127"/>
    </row>
    <row r="10254" spans="1:12" x14ac:dyDescent="0.2">
      <c r="A10254" s="997">
        <f t="shared" si="160"/>
        <v>10253</v>
      </c>
      <c r="B10254" s="1130" t="s">
        <v>2725</v>
      </c>
      <c r="C10254" s="1144"/>
      <c r="D10254" s="1130"/>
      <c r="E10254" s="1130"/>
      <c r="F10254" s="1130"/>
      <c r="G10254" s="1130" t="s">
        <v>1109</v>
      </c>
      <c r="H10254" s="1130"/>
      <c r="I10254" s="1130"/>
      <c r="J10254" s="1130"/>
      <c r="K10254" s="1130"/>
      <c r="L10254" s="1142"/>
    </row>
    <row r="10255" spans="1:12" x14ac:dyDescent="0.2">
      <c r="A10255" s="997">
        <f t="shared" si="160"/>
        <v>10254</v>
      </c>
      <c r="B10255" s="1128" t="s">
        <v>2725</v>
      </c>
      <c r="C10255" s="1137"/>
      <c r="D10255" s="1128"/>
      <c r="E10255" s="1128"/>
      <c r="F10255" s="1128"/>
      <c r="G10255" s="1128" t="s">
        <v>1106</v>
      </c>
      <c r="H10255" s="1128"/>
      <c r="I10255" s="1128"/>
      <c r="J10255" s="1128"/>
      <c r="K10255" s="1128"/>
      <c r="L10255" s="1124"/>
    </row>
    <row r="10256" spans="1:12" x14ac:dyDescent="0.2">
      <c r="A10256" s="997">
        <f t="shared" si="160"/>
        <v>10255</v>
      </c>
      <c r="B10256" s="1129" t="s">
        <v>2725</v>
      </c>
      <c r="C10256" s="1139"/>
      <c r="D10256" s="1129"/>
      <c r="E10256" s="1129"/>
      <c r="F10256" s="1129"/>
      <c r="G10256" s="1129"/>
      <c r="H10256" s="1129" t="s">
        <v>2476</v>
      </c>
      <c r="I10256" s="1129"/>
      <c r="J10256" s="1129"/>
      <c r="K10256" s="1129"/>
      <c r="L10256" s="1127"/>
    </row>
    <row r="10257" spans="1:12" x14ac:dyDescent="0.2">
      <c r="A10257" s="997">
        <f t="shared" si="160"/>
        <v>10256</v>
      </c>
      <c r="B10257" s="1129" t="s">
        <v>2725</v>
      </c>
      <c r="C10257" s="1140"/>
      <c r="D10257" s="1129"/>
      <c r="E10257" s="1129"/>
      <c r="F10257" s="1129"/>
      <c r="G10257" s="1129"/>
      <c r="H10257" s="1129" t="str">
        <f>CONCATENATE("&lt;valeur&gt;",Cellule_1267_2,"&lt;/valeur&gt;")</f>
        <v>&lt;valeur&gt;fdfdfdfd de location&lt;/valeur&gt;</v>
      </c>
      <c r="I10257" s="1129"/>
      <c r="J10257" s="1129"/>
      <c r="K10257" s="1129"/>
      <c r="L10257" s="1127"/>
    </row>
    <row r="10258" spans="1:12" x14ac:dyDescent="0.2">
      <c r="A10258" s="997">
        <f t="shared" si="160"/>
        <v>10257</v>
      </c>
      <c r="B10258" s="1129" t="s">
        <v>2725</v>
      </c>
      <c r="C10258" s="1139"/>
      <c r="D10258" s="1129"/>
      <c r="E10258" s="1129"/>
      <c r="F10258" s="1129"/>
      <c r="G10258" s="1129"/>
      <c r="H10258" s="1129" t="s">
        <v>2735</v>
      </c>
      <c r="I10258" s="1129"/>
      <c r="J10258" s="1129"/>
      <c r="K10258" s="1129"/>
      <c r="L10258" s="1127"/>
    </row>
    <row r="10259" spans="1:12" x14ac:dyDescent="0.2">
      <c r="A10259" s="997">
        <f t="shared" si="160"/>
        <v>10258</v>
      </c>
      <c r="B10259" s="1129" t="s">
        <v>2725</v>
      </c>
      <c r="C10259" s="1139"/>
      <c r="D10259" s="1129"/>
      <c r="E10259" s="1129"/>
      <c r="F10259" s="1129"/>
      <c r="G10259" s="1129" t="s">
        <v>1109</v>
      </c>
      <c r="H10259" s="1129"/>
      <c r="I10259" s="1129"/>
      <c r="J10259" s="1129"/>
      <c r="K10259" s="1129"/>
      <c r="L10259" s="1127"/>
    </row>
    <row r="10260" spans="1:12" x14ac:dyDescent="0.2">
      <c r="A10260" s="997">
        <f t="shared" si="160"/>
        <v>10259</v>
      </c>
      <c r="B10260" s="1129" t="s">
        <v>2725</v>
      </c>
      <c r="C10260" s="1139"/>
      <c r="D10260" s="1129"/>
      <c r="E10260" s="1129"/>
      <c r="F10260" s="1129"/>
      <c r="G10260" s="1129" t="s">
        <v>1106</v>
      </c>
      <c r="H10260" s="1129"/>
      <c r="I10260" s="1129"/>
      <c r="J10260" s="1129"/>
      <c r="K10260" s="1129"/>
      <c r="L10260" s="1127"/>
    </row>
    <row r="10261" spans="1:12" x14ac:dyDescent="0.2">
      <c r="A10261" s="997">
        <f t="shared" si="160"/>
        <v>10260</v>
      </c>
      <c r="B10261" s="1129" t="s">
        <v>2725</v>
      </c>
      <c r="C10261" s="1138"/>
      <c r="D10261" s="1129"/>
      <c r="E10261" s="1129"/>
      <c r="F10261" s="1129"/>
      <c r="G10261" s="1129"/>
      <c r="H10261" s="1129" t="s">
        <v>2477</v>
      </c>
      <c r="I10261" s="1129"/>
      <c r="J10261" s="1129"/>
      <c r="K10261" s="1129"/>
      <c r="L10261" s="1127"/>
    </row>
    <row r="10262" spans="1:12" x14ac:dyDescent="0.2">
      <c r="A10262" s="997">
        <f t="shared" si="160"/>
        <v>10261</v>
      </c>
      <c r="B10262" s="1129" t="s">
        <v>2725</v>
      </c>
      <c r="C10262" s="1138"/>
      <c r="D10262" s="1129"/>
      <c r="E10262" s="1129"/>
      <c r="F10262" s="1129"/>
      <c r="G10262" s="1129"/>
      <c r="H10262" s="1129" t="str">
        <f>CONCATENATE("&lt;valeur&gt;",Cellule_1268_2,"&lt;/valeur&gt;")</f>
        <v>&lt;valeur&gt;fsfsff&lt;/valeur&gt;</v>
      </c>
      <c r="I10262" s="1129"/>
      <c r="J10262" s="1129"/>
      <c r="K10262" s="1129"/>
      <c r="L10262" s="1127"/>
    </row>
    <row r="10263" spans="1:12" x14ac:dyDescent="0.2">
      <c r="A10263" s="997">
        <f t="shared" si="160"/>
        <v>10262</v>
      </c>
      <c r="B10263" s="1129" t="s">
        <v>2725</v>
      </c>
      <c r="C10263" s="1139"/>
      <c r="D10263" s="1129"/>
      <c r="E10263" s="1129"/>
      <c r="F10263" s="1129"/>
      <c r="G10263" s="1129"/>
      <c r="H10263" s="1129" t="s">
        <v>2735</v>
      </c>
      <c r="I10263" s="1129"/>
      <c r="J10263" s="1129"/>
      <c r="K10263" s="1129"/>
      <c r="L10263" s="1127"/>
    </row>
    <row r="10264" spans="1:12" x14ac:dyDescent="0.2">
      <c r="A10264" s="997">
        <f t="shared" si="160"/>
        <v>10263</v>
      </c>
      <c r="B10264" s="1129" t="s">
        <v>2725</v>
      </c>
      <c r="C10264" s="1140"/>
      <c r="D10264" s="1129"/>
      <c r="E10264" s="1129"/>
      <c r="F10264" s="1129"/>
      <c r="G10264" s="1129" t="s">
        <v>1109</v>
      </c>
      <c r="H10264" s="1129"/>
      <c r="I10264" s="1129"/>
      <c r="J10264" s="1129"/>
      <c r="K10264" s="1129"/>
      <c r="L10264" s="1127"/>
    </row>
    <row r="10265" spans="1:12" x14ac:dyDescent="0.2">
      <c r="A10265" s="997">
        <f t="shared" si="160"/>
        <v>10264</v>
      </c>
      <c r="B10265" s="1129" t="s">
        <v>2725</v>
      </c>
      <c r="C10265" s="1139"/>
      <c r="D10265" s="1129"/>
      <c r="E10265" s="1129"/>
      <c r="F10265" s="1129"/>
      <c r="G10265" s="1129" t="s">
        <v>1106</v>
      </c>
      <c r="H10265" s="1129"/>
      <c r="I10265" s="1129"/>
      <c r="J10265" s="1129"/>
      <c r="K10265" s="1129"/>
      <c r="L10265" s="1127"/>
    </row>
    <row r="10266" spans="1:12" x14ac:dyDescent="0.2">
      <c r="A10266" s="997">
        <f t="shared" si="160"/>
        <v>10265</v>
      </c>
      <c r="B10266" s="1129" t="s">
        <v>2725</v>
      </c>
      <c r="C10266" s="1139"/>
      <c r="D10266" s="1129"/>
      <c r="E10266" s="1129"/>
      <c r="F10266" s="1129"/>
      <c r="G10266" s="1129"/>
      <c r="H10266" s="1129" t="s">
        <v>2478</v>
      </c>
      <c r="I10266" s="1129"/>
      <c r="J10266" s="1129"/>
      <c r="K10266" s="1129"/>
      <c r="L10266" s="1127"/>
    </row>
    <row r="10267" spans="1:12" x14ac:dyDescent="0.2">
      <c r="A10267" s="997">
        <f t="shared" si="160"/>
        <v>10266</v>
      </c>
      <c r="B10267" s="1129" t="s">
        <v>2725</v>
      </c>
      <c r="C10267" s="1139"/>
      <c r="D10267" s="1129"/>
      <c r="E10267" s="1129"/>
      <c r="F10267" s="1129"/>
      <c r="G10267" s="1129"/>
      <c r="H10267" s="1129" t="str">
        <f>CONCATENATE("&lt;valeur&gt;",Cellule_1269_2,"&lt;/valeur&gt;")</f>
        <v>&lt;valeur&gt;ssfsfsfs&lt;/valeur&gt;</v>
      </c>
      <c r="I10267" s="1129"/>
      <c r="J10267" s="1129"/>
      <c r="K10267" s="1129"/>
      <c r="L10267" s="1127"/>
    </row>
    <row r="10268" spans="1:12" x14ac:dyDescent="0.2">
      <c r="A10268" s="997">
        <f t="shared" si="160"/>
        <v>10267</v>
      </c>
      <c r="B10268" s="1129" t="s">
        <v>2725</v>
      </c>
      <c r="C10268" s="1138"/>
      <c r="D10268" s="1129"/>
      <c r="E10268" s="1129"/>
      <c r="F10268" s="1129"/>
      <c r="G10268" s="1129"/>
      <c r="H10268" s="1129" t="s">
        <v>2735</v>
      </c>
      <c r="I10268" s="1129"/>
      <c r="J10268" s="1129"/>
      <c r="K10268" s="1129"/>
      <c r="L10268" s="1127"/>
    </row>
    <row r="10269" spans="1:12" x14ac:dyDescent="0.2">
      <c r="A10269" s="997">
        <f t="shared" si="160"/>
        <v>10268</v>
      </c>
      <c r="B10269" s="1129" t="s">
        <v>2725</v>
      </c>
      <c r="C10269" s="1138"/>
      <c r="D10269" s="1129"/>
      <c r="E10269" s="1129"/>
      <c r="F10269" s="1129"/>
      <c r="G10269" s="1129" t="s">
        <v>1109</v>
      </c>
      <c r="H10269" s="1129"/>
      <c r="I10269" s="1129"/>
      <c r="J10269" s="1129"/>
      <c r="K10269" s="1129"/>
      <c r="L10269" s="1127"/>
    </row>
    <row r="10270" spans="1:12" x14ac:dyDescent="0.2">
      <c r="A10270" s="997">
        <f t="shared" si="160"/>
        <v>10269</v>
      </c>
      <c r="B10270" s="1129" t="s">
        <v>2725</v>
      </c>
      <c r="C10270" s="1139"/>
      <c r="D10270" s="1129"/>
      <c r="E10270" s="1129"/>
      <c r="F10270" s="1129"/>
      <c r="G10270" s="1129" t="s">
        <v>1106</v>
      </c>
      <c r="H10270" s="1129"/>
      <c r="I10270" s="1129"/>
      <c r="J10270" s="1129"/>
      <c r="K10270" s="1129"/>
      <c r="L10270" s="1127"/>
    </row>
    <row r="10271" spans="1:12" x14ac:dyDescent="0.2">
      <c r="A10271" s="997">
        <f t="shared" si="160"/>
        <v>10270</v>
      </c>
      <c r="B10271" s="1129" t="s">
        <v>2725</v>
      </c>
      <c r="C10271" s="1140"/>
      <c r="D10271" s="1129"/>
      <c r="E10271" s="1129"/>
      <c r="F10271" s="1129"/>
      <c r="G10271" s="1129"/>
      <c r="H10271" s="1129" t="s">
        <v>2479</v>
      </c>
      <c r="I10271" s="1129"/>
      <c r="J10271" s="1129"/>
      <c r="K10271" s="1129"/>
      <c r="L10271" s="1127"/>
    </row>
    <row r="10272" spans="1:12" x14ac:dyDescent="0.2">
      <c r="A10272" s="997">
        <f t="shared" si="160"/>
        <v>10271</v>
      </c>
      <c r="B10272" s="1129" t="s">
        <v>2725</v>
      </c>
      <c r="C10272" s="1139"/>
      <c r="D10272" s="1129"/>
      <c r="E10272" s="1129"/>
      <c r="F10272" s="1129"/>
      <c r="G10272" s="1129"/>
      <c r="H10272" s="1129" t="str">
        <f>CONCATENATE("&lt;valeur&gt;",Cellule_1270_2,"&lt;/valeur&gt;")</f>
        <v>&lt;valeur&gt;&lt;/valeur&gt;</v>
      </c>
      <c r="I10272" s="1129"/>
      <c r="J10272" s="1129"/>
      <c r="K10272" s="1129"/>
      <c r="L10272" s="1127"/>
    </row>
    <row r="10273" spans="1:12" x14ac:dyDescent="0.2">
      <c r="A10273" s="997">
        <f t="shared" si="160"/>
        <v>10272</v>
      </c>
      <c r="B10273" s="1129" t="s">
        <v>2725</v>
      </c>
      <c r="C10273" s="1139"/>
      <c r="D10273" s="1129"/>
      <c r="E10273" s="1129"/>
      <c r="F10273" s="1129"/>
      <c r="G10273" s="1129"/>
      <c r="H10273" s="1129" t="s">
        <v>2735</v>
      </c>
      <c r="I10273" s="1129"/>
      <c r="J10273" s="1129"/>
      <c r="K10273" s="1129"/>
      <c r="L10273" s="1127"/>
    </row>
    <row r="10274" spans="1:12" x14ac:dyDescent="0.2">
      <c r="A10274" s="997">
        <f t="shared" si="160"/>
        <v>10273</v>
      </c>
      <c r="B10274" s="1129" t="s">
        <v>2725</v>
      </c>
      <c r="C10274" s="1139"/>
      <c r="D10274" s="1129"/>
      <c r="E10274" s="1129"/>
      <c r="F10274" s="1129"/>
      <c r="G10274" s="1129" t="s">
        <v>1109</v>
      </c>
      <c r="H10274" s="1129"/>
      <c r="I10274" s="1129"/>
      <c r="J10274" s="1129"/>
      <c r="K10274" s="1129"/>
      <c r="L10274" s="1127"/>
    </row>
    <row r="10275" spans="1:12" x14ac:dyDescent="0.2">
      <c r="A10275" s="997">
        <f t="shared" si="160"/>
        <v>10274</v>
      </c>
      <c r="B10275" s="1129" t="s">
        <v>2725</v>
      </c>
      <c r="C10275" s="1138"/>
      <c r="D10275" s="1129"/>
      <c r="E10275" s="1129"/>
      <c r="F10275" s="1129"/>
      <c r="G10275" s="1129" t="s">
        <v>1106</v>
      </c>
      <c r="H10275" s="1129"/>
      <c r="I10275" s="1129"/>
      <c r="J10275" s="1129"/>
      <c r="K10275" s="1129"/>
      <c r="L10275" s="1127"/>
    </row>
    <row r="10276" spans="1:12" x14ac:dyDescent="0.2">
      <c r="A10276" s="997">
        <f t="shared" si="160"/>
        <v>10275</v>
      </c>
      <c r="B10276" s="1129" t="s">
        <v>2725</v>
      </c>
      <c r="C10276" s="1138"/>
      <c r="D10276" s="1129"/>
      <c r="E10276" s="1129"/>
      <c r="F10276" s="1129"/>
      <c r="G10276" s="1129"/>
      <c r="H10276" s="1129" t="s">
        <v>2480</v>
      </c>
      <c r="I10276" s="1129"/>
      <c r="J10276" s="1129"/>
      <c r="K10276" s="1129"/>
      <c r="L10276" s="1127"/>
    </row>
    <row r="10277" spans="1:12" x14ac:dyDescent="0.2">
      <c r="A10277" s="997">
        <f t="shared" si="160"/>
        <v>10276</v>
      </c>
      <c r="B10277" s="1129" t="s">
        <v>2725</v>
      </c>
      <c r="C10277" s="1139"/>
      <c r="D10277" s="1129"/>
      <c r="E10277" s="1129"/>
      <c r="F10277" s="1129"/>
      <c r="G10277" s="1129"/>
      <c r="H10277" s="1129" t="str">
        <f>CONCATENATE("&lt;valeur&gt;",Cellule_1271_2,"&lt;/valeur&gt;")</f>
        <v>&lt;valeur&gt;&lt;/valeur&gt;</v>
      </c>
      <c r="I10277" s="1129"/>
      <c r="J10277" s="1129"/>
      <c r="K10277" s="1129"/>
      <c r="L10277" s="1127"/>
    </row>
    <row r="10278" spans="1:12" x14ac:dyDescent="0.2">
      <c r="A10278" s="997">
        <f t="shared" si="160"/>
        <v>10277</v>
      </c>
      <c r="B10278" s="1129" t="s">
        <v>2725</v>
      </c>
      <c r="C10278" s="1140"/>
      <c r="D10278" s="1129"/>
      <c r="E10278" s="1129"/>
      <c r="F10278" s="1129"/>
      <c r="G10278" s="1129"/>
      <c r="H10278" s="1129" t="s">
        <v>2735</v>
      </c>
      <c r="I10278" s="1129"/>
      <c r="J10278" s="1129"/>
      <c r="K10278" s="1129"/>
      <c r="L10278" s="1127"/>
    </row>
    <row r="10279" spans="1:12" x14ac:dyDescent="0.2">
      <c r="A10279" s="997">
        <f t="shared" si="160"/>
        <v>10278</v>
      </c>
      <c r="B10279" s="1129" t="s">
        <v>2725</v>
      </c>
      <c r="C10279" s="1139"/>
      <c r="D10279" s="1129"/>
      <c r="E10279" s="1129"/>
      <c r="F10279" s="1129"/>
      <c r="G10279" s="1129" t="s">
        <v>1109</v>
      </c>
      <c r="H10279" s="1129"/>
      <c r="I10279" s="1129"/>
      <c r="J10279" s="1129"/>
      <c r="K10279" s="1129"/>
      <c r="L10279" s="1127"/>
    </row>
    <row r="10280" spans="1:12" x14ac:dyDescent="0.2">
      <c r="A10280" s="997">
        <f t="shared" si="160"/>
        <v>10279</v>
      </c>
      <c r="B10280" s="1129" t="s">
        <v>2725</v>
      </c>
      <c r="C10280" s="1139"/>
      <c r="D10280" s="1129"/>
      <c r="E10280" s="1129"/>
      <c r="F10280" s="1129"/>
      <c r="G10280" s="1129" t="s">
        <v>1106</v>
      </c>
      <c r="H10280" s="1129"/>
      <c r="I10280" s="1129"/>
      <c r="J10280" s="1129"/>
      <c r="K10280" s="1129"/>
      <c r="L10280" s="1127"/>
    </row>
    <row r="10281" spans="1:12" x14ac:dyDescent="0.2">
      <c r="A10281" s="997">
        <f t="shared" si="160"/>
        <v>10280</v>
      </c>
      <c r="B10281" s="1129" t="s">
        <v>2725</v>
      </c>
      <c r="C10281" s="1139"/>
      <c r="D10281" s="1129"/>
      <c r="E10281" s="1129"/>
      <c r="F10281" s="1129"/>
      <c r="G10281" s="1129"/>
      <c r="H10281" s="1129" t="s">
        <v>2481</v>
      </c>
      <c r="I10281" s="1129"/>
      <c r="J10281" s="1129"/>
      <c r="K10281" s="1129"/>
      <c r="L10281" s="1127"/>
    </row>
    <row r="10282" spans="1:12" x14ac:dyDescent="0.2">
      <c r="A10282" s="997">
        <f t="shared" si="160"/>
        <v>10281</v>
      </c>
      <c r="B10282" s="1129" t="s">
        <v>2725</v>
      </c>
      <c r="C10282" s="1138"/>
      <c r="D10282" s="1129"/>
      <c r="E10282" s="1129"/>
      <c r="F10282" s="1129"/>
      <c r="G10282" s="1129"/>
      <c r="H10282" s="1129" t="str">
        <f>CONCATENATE("&lt;valeur&gt;",Cellule_1272_2,"&lt;/valeur&gt;")</f>
        <v>&lt;valeur&gt;&lt;/valeur&gt;</v>
      </c>
      <c r="I10282" s="1129"/>
      <c r="J10282" s="1129"/>
      <c r="K10282" s="1129"/>
      <c r="L10282" s="1127"/>
    </row>
    <row r="10283" spans="1:12" x14ac:dyDescent="0.2">
      <c r="A10283" s="997">
        <f t="shared" si="160"/>
        <v>10282</v>
      </c>
      <c r="B10283" s="1129" t="s">
        <v>2725</v>
      </c>
      <c r="C10283" s="1138"/>
      <c r="D10283" s="1129"/>
      <c r="E10283" s="1129"/>
      <c r="F10283" s="1129"/>
      <c r="G10283" s="1129"/>
      <c r="H10283" s="1129" t="s">
        <v>2735</v>
      </c>
      <c r="I10283" s="1129"/>
      <c r="J10283" s="1129"/>
      <c r="K10283" s="1129"/>
      <c r="L10283" s="1127"/>
    </row>
    <row r="10284" spans="1:12" x14ac:dyDescent="0.2">
      <c r="A10284" s="997">
        <f t="shared" si="160"/>
        <v>10283</v>
      </c>
      <c r="B10284" s="1129" t="s">
        <v>2725</v>
      </c>
      <c r="C10284" s="1139"/>
      <c r="D10284" s="1129"/>
      <c r="E10284" s="1129"/>
      <c r="F10284" s="1129"/>
      <c r="G10284" s="1129" t="s">
        <v>1109</v>
      </c>
      <c r="H10284" s="1129"/>
      <c r="I10284" s="1129"/>
      <c r="J10284" s="1129"/>
      <c r="K10284" s="1129"/>
      <c r="L10284" s="1127"/>
    </row>
    <row r="10285" spans="1:12" x14ac:dyDescent="0.2">
      <c r="A10285" s="997">
        <f t="shared" si="160"/>
        <v>10284</v>
      </c>
      <c r="B10285" s="1129" t="s">
        <v>2725</v>
      </c>
      <c r="C10285" s="1140"/>
      <c r="D10285" s="1129"/>
      <c r="E10285" s="1129"/>
      <c r="F10285" s="1129"/>
      <c r="G10285" s="1129" t="s">
        <v>1106</v>
      </c>
      <c r="H10285" s="1129"/>
      <c r="I10285" s="1129"/>
      <c r="J10285" s="1129"/>
      <c r="K10285" s="1129"/>
      <c r="L10285" s="1127"/>
    </row>
    <row r="10286" spans="1:12" x14ac:dyDescent="0.2">
      <c r="A10286" s="997">
        <f t="shared" si="160"/>
        <v>10285</v>
      </c>
      <c r="B10286" s="1129" t="s">
        <v>2725</v>
      </c>
      <c r="C10286" s="1139"/>
      <c r="D10286" s="1129"/>
      <c r="E10286" s="1129"/>
      <c r="F10286" s="1129"/>
      <c r="G10286" s="1129"/>
      <c r="H10286" s="1129" t="s">
        <v>2482</v>
      </c>
      <c r="I10286" s="1129"/>
      <c r="J10286" s="1129"/>
      <c r="K10286" s="1129"/>
      <c r="L10286" s="1127"/>
    </row>
    <row r="10287" spans="1:12" x14ac:dyDescent="0.2">
      <c r="A10287" s="997">
        <f t="shared" si="160"/>
        <v>10286</v>
      </c>
      <c r="B10287" s="1129" t="s">
        <v>2725</v>
      </c>
      <c r="C10287" s="1139"/>
      <c r="D10287" s="1129"/>
      <c r="E10287" s="1129"/>
      <c r="F10287" s="1129"/>
      <c r="G10287" s="1129"/>
      <c r="H10287" s="1129" t="str">
        <f>CONCATENATE("&lt;valeur&gt;",Cellule_1273_2,"&lt;/valeur&gt;")</f>
        <v>&lt;valeur&gt;&lt;/valeur&gt;</v>
      </c>
      <c r="I10287" s="1129"/>
      <c r="J10287" s="1129"/>
      <c r="K10287" s="1129"/>
      <c r="L10287" s="1127"/>
    </row>
    <row r="10288" spans="1:12" x14ac:dyDescent="0.2">
      <c r="A10288" s="997">
        <f t="shared" si="160"/>
        <v>10287</v>
      </c>
      <c r="B10288" s="1129" t="s">
        <v>2725</v>
      </c>
      <c r="C10288" s="1139"/>
      <c r="D10288" s="1129"/>
      <c r="E10288" s="1129"/>
      <c r="F10288" s="1129"/>
      <c r="G10288" s="1129"/>
      <c r="H10288" s="1129" t="s">
        <v>2735</v>
      </c>
      <c r="I10288" s="1129"/>
      <c r="J10288" s="1129"/>
      <c r="K10288" s="1129"/>
      <c r="L10288" s="1127"/>
    </row>
    <row r="10289" spans="1:12" x14ac:dyDescent="0.2">
      <c r="A10289" s="997">
        <f t="shared" si="160"/>
        <v>10288</v>
      </c>
      <c r="B10289" s="1129" t="s">
        <v>2725</v>
      </c>
      <c r="C10289" s="1138"/>
      <c r="D10289" s="1129"/>
      <c r="E10289" s="1129"/>
      <c r="F10289" s="1129"/>
      <c r="G10289" s="1129" t="s">
        <v>1109</v>
      </c>
      <c r="H10289" s="1129"/>
      <c r="I10289" s="1129"/>
      <c r="J10289" s="1129"/>
      <c r="K10289" s="1129"/>
      <c r="L10289" s="1127"/>
    </row>
    <row r="10290" spans="1:12" x14ac:dyDescent="0.2">
      <c r="A10290" s="997">
        <f t="shared" si="160"/>
        <v>10289</v>
      </c>
      <c r="B10290" s="1129" t="s">
        <v>2725</v>
      </c>
      <c r="C10290" s="1138"/>
      <c r="D10290" s="1129"/>
      <c r="E10290" s="1129"/>
      <c r="F10290" s="1129"/>
      <c r="G10290" s="1129" t="s">
        <v>1106</v>
      </c>
      <c r="H10290" s="1129"/>
      <c r="I10290" s="1129"/>
      <c r="J10290" s="1129"/>
      <c r="K10290" s="1129"/>
      <c r="L10290" s="1127"/>
    </row>
    <row r="10291" spans="1:12" x14ac:dyDescent="0.2">
      <c r="A10291" s="997">
        <f t="shared" si="160"/>
        <v>10290</v>
      </c>
      <c r="B10291" s="1129" t="s">
        <v>2725</v>
      </c>
      <c r="C10291" s="1139"/>
      <c r="D10291" s="1129"/>
      <c r="E10291" s="1129"/>
      <c r="F10291" s="1129"/>
      <c r="G10291" s="1129"/>
      <c r="H10291" s="1129" t="s">
        <v>2483</v>
      </c>
      <c r="I10291" s="1129"/>
      <c r="J10291" s="1129"/>
      <c r="K10291" s="1129"/>
      <c r="L10291" s="1127"/>
    </row>
    <row r="10292" spans="1:12" x14ac:dyDescent="0.2">
      <c r="A10292" s="997">
        <f t="shared" si="160"/>
        <v>10291</v>
      </c>
      <c r="B10292" s="1129" t="s">
        <v>2725</v>
      </c>
      <c r="C10292" s="1140"/>
      <c r="D10292" s="1129"/>
      <c r="E10292" s="1129"/>
      <c r="F10292" s="1129"/>
      <c r="G10292" s="1129"/>
      <c r="H10292" s="1129" t="str">
        <f>CONCATENATE("&lt;valeur&gt;",Cellule_1274_2,"&lt;/valeur&gt;")</f>
        <v>&lt;valeur&gt;&lt;/valeur&gt;</v>
      </c>
      <c r="I10292" s="1129"/>
      <c r="J10292" s="1129"/>
      <c r="K10292" s="1129"/>
      <c r="L10292" s="1127"/>
    </row>
    <row r="10293" spans="1:12" x14ac:dyDescent="0.2">
      <c r="A10293" s="997">
        <f t="shared" si="160"/>
        <v>10292</v>
      </c>
      <c r="B10293" s="1129" t="s">
        <v>2725</v>
      </c>
      <c r="C10293" s="1139"/>
      <c r="D10293" s="1129"/>
      <c r="E10293" s="1129"/>
      <c r="F10293" s="1129"/>
      <c r="G10293" s="1129"/>
      <c r="H10293" s="1129" t="s">
        <v>2735</v>
      </c>
      <c r="I10293" s="1129"/>
      <c r="J10293" s="1129"/>
      <c r="K10293" s="1129"/>
      <c r="L10293" s="1127"/>
    </row>
    <row r="10294" spans="1:12" x14ac:dyDescent="0.2">
      <c r="A10294" s="997">
        <f t="shared" si="160"/>
        <v>10293</v>
      </c>
      <c r="B10294" s="1130" t="s">
        <v>2725</v>
      </c>
      <c r="C10294" s="1144"/>
      <c r="D10294" s="1130"/>
      <c r="E10294" s="1130"/>
      <c r="F10294" s="1130"/>
      <c r="G10294" s="1130" t="s">
        <v>1109</v>
      </c>
      <c r="H10294" s="1130"/>
      <c r="I10294" s="1130"/>
      <c r="J10294" s="1130"/>
      <c r="K10294" s="1130"/>
      <c r="L10294" s="1142"/>
    </row>
    <row r="10295" spans="1:12" x14ac:dyDescent="0.2">
      <c r="A10295" s="997">
        <f t="shared" si="160"/>
        <v>10294</v>
      </c>
      <c r="B10295" s="1128" t="s">
        <v>2725</v>
      </c>
      <c r="C10295" s="1137"/>
      <c r="D10295" s="1128"/>
      <c r="E10295" s="1128"/>
      <c r="F10295" s="1128"/>
      <c r="G10295" s="1128" t="s">
        <v>1106</v>
      </c>
      <c r="H10295" s="1128"/>
      <c r="I10295" s="1128"/>
      <c r="J10295" s="1128"/>
      <c r="K10295" s="1128"/>
      <c r="L10295" s="1124"/>
    </row>
    <row r="10296" spans="1:12" x14ac:dyDescent="0.2">
      <c r="A10296" s="997">
        <f t="shared" si="160"/>
        <v>10295</v>
      </c>
      <c r="B10296" s="1129" t="s">
        <v>2725</v>
      </c>
      <c r="C10296" s="1139"/>
      <c r="D10296" s="1129"/>
      <c r="E10296" s="1129"/>
      <c r="F10296" s="1129"/>
      <c r="G10296" s="1129"/>
      <c r="H10296" s="1129" t="s">
        <v>2476</v>
      </c>
      <c r="I10296" s="1129"/>
      <c r="J10296" s="1129"/>
      <c r="K10296" s="1129"/>
      <c r="L10296" s="1127"/>
    </row>
    <row r="10297" spans="1:12" x14ac:dyDescent="0.2">
      <c r="A10297" s="997">
        <f t="shared" si="160"/>
        <v>10296</v>
      </c>
      <c r="B10297" s="1129" t="s">
        <v>2725</v>
      </c>
      <c r="C10297" s="1140"/>
      <c r="D10297" s="1129"/>
      <c r="E10297" s="1129"/>
      <c r="F10297" s="1129"/>
      <c r="G10297" s="1129"/>
      <c r="H10297" s="1129" t="str">
        <f>CONCATENATE("&lt;valeur&gt;",Cellule_1267_3,"&lt;/valeur&gt;")</f>
        <v>&lt;valeur&gt;&lt;/valeur&gt;</v>
      </c>
      <c r="I10297" s="1129"/>
      <c r="J10297" s="1129"/>
      <c r="K10297" s="1129"/>
      <c r="L10297" s="1127"/>
    </row>
    <row r="10298" spans="1:12" x14ac:dyDescent="0.2">
      <c r="A10298" s="997">
        <f t="shared" si="160"/>
        <v>10297</v>
      </c>
      <c r="B10298" s="1129" t="s">
        <v>2725</v>
      </c>
      <c r="C10298" s="1139"/>
      <c r="D10298" s="1129"/>
      <c r="E10298" s="1129"/>
      <c r="F10298" s="1129"/>
      <c r="G10298" s="1129"/>
      <c r="H10298" s="1129" t="s">
        <v>2736</v>
      </c>
      <c r="I10298" s="1129"/>
      <c r="J10298" s="1129"/>
      <c r="K10298" s="1129"/>
      <c r="L10298" s="1127"/>
    </row>
    <row r="10299" spans="1:12" x14ac:dyDescent="0.2">
      <c r="A10299" s="997">
        <f t="shared" si="160"/>
        <v>10298</v>
      </c>
      <c r="B10299" s="1129" t="s">
        <v>2725</v>
      </c>
      <c r="C10299" s="1139"/>
      <c r="D10299" s="1129"/>
      <c r="E10299" s="1129"/>
      <c r="F10299" s="1129"/>
      <c r="G10299" s="1129" t="s">
        <v>1109</v>
      </c>
      <c r="H10299" s="1129"/>
      <c r="I10299" s="1129"/>
      <c r="J10299" s="1129"/>
      <c r="K10299" s="1129"/>
      <c r="L10299" s="1127"/>
    </row>
    <row r="10300" spans="1:12" x14ac:dyDescent="0.2">
      <c r="A10300" s="997">
        <f t="shared" si="160"/>
        <v>10299</v>
      </c>
      <c r="B10300" s="1129" t="s">
        <v>2725</v>
      </c>
      <c r="C10300" s="1139"/>
      <c r="D10300" s="1129"/>
      <c r="E10300" s="1129"/>
      <c r="F10300" s="1129"/>
      <c r="G10300" s="1129" t="s">
        <v>1106</v>
      </c>
      <c r="H10300" s="1129"/>
      <c r="I10300" s="1129"/>
      <c r="J10300" s="1129"/>
      <c r="K10300" s="1129"/>
      <c r="L10300" s="1127"/>
    </row>
    <row r="10301" spans="1:12" x14ac:dyDescent="0.2">
      <c r="A10301" s="997">
        <f t="shared" si="160"/>
        <v>10300</v>
      </c>
      <c r="B10301" s="1129" t="s">
        <v>2725</v>
      </c>
      <c r="C10301" s="1138"/>
      <c r="D10301" s="1129"/>
      <c r="E10301" s="1129"/>
      <c r="F10301" s="1129"/>
      <c r="G10301" s="1129"/>
      <c r="H10301" s="1129" t="s">
        <v>2477</v>
      </c>
      <c r="I10301" s="1129"/>
      <c r="J10301" s="1129"/>
      <c r="K10301" s="1129"/>
      <c r="L10301" s="1127"/>
    </row>
    <row r="10302" spans="1:12" x14ac:dyDescent="0.2">
      <c r="A10302" s="997">
        <f t="shared" si="160"/>
        <v>10301</v>
      </c>
      <c r="B10302" s="1129" t="s">
        <v>2725</v>
      </c>
      <c r="C10302" s="1138"/>
      <c r="D10302" s="1129"/>
      <c r="E10302" s="1129"/>
      <c r="F10302" s="1129"/>
      <c r="G10302" s="1129"/>
      <c r="H10302" s="1129" t="str">
        <f>CONCATENATE("&lt;valeur&gt;",Cellule_1268_3,"&lt;/valeur&gt;")</f>
        <v>&lt;valeur&gt;&lt;/valeur&gt;</v>
      </c>
      <c r="I10302" s="1129"/>
      <c r="J10302" s="1129"/>
      <c r="K10302" s="1129"/>
      <c r="L10302" s="1127"/>
    </row>
    <row r="10303" spans="1:12" x14ac:dyDescent="0.2">
      <c r="A10303" s="997">
        <f t="shared" si="160"/>
        <v>10302</v>
      </c>
      <c r="B10303" s="1129" t="s">
        <v>2725</v>
      </c>
      <c r="C10303" s="1139"/>
      <c r="D10303" s="1129"/>
      <c r="E10303" s="1129"/>
      <c r="F10303" s="1129"/>
      <c r="G10303" s="1129"/>
      <c r="H10303" s="1129" t="s">
        <v>2736</v>
      </c>
      <c r="I10303" s="1129"/>
      <c r="J10303" s="1129"/>
      <c r="K10303" s="1129"/>
      <c r="L10303" s="1127"/>
    </row>
    <row r="10304" spans="1:12" x14ac:dyDescent="0.2">
      <c r="A10304" s="997">
        <f t="shared" si="160"/>
        <v>10303</v>
      </c>
      <c r="B10304" s="1129" t="s">
        <v>2725</v>
      </c>
      <c r="C10304" s="1140"/>
      <c r="D10304" s="1129"/>
      <c r="E10304" s="1129"/>
      <c r="F10304" s="1129"/>
      <c r="G10304" s="1129" t="s">
        <v>1109</v>
      </c>
      <c r="H10304" s="1129"/>
      <c r="I10304" s="1129"/>
      <c r="J10304" s="1129"/>
      <c r="K10304" s="1129"/>
      <c r="L10304" s="1127"/>
    </row>
    <row r="10305" spans="1:12" x14ac:dyDescent="0.2">
      <c r="A10305" s="997">
        <f t="shared" si="160"/>
        <v>10304</v>
      </c>
      <c r="B10305" s="1129" t="s">
        <v>2725</v>
      </c>
      <c r="C10305" s="1139"/>
      <c r="D10305" s="1129"/>
      <c r="E10305" s="1129"/>
      <c r="F10305" s="1129"/>
      <c r="G10305" s="1129" t="s">
        <v>1106</v>
      </c>
      <c r="H10305" s="1129"/>
      <c r="I10305" s="1129"/>
      <c r="J10305" s="1129"/>
      <c r="K10305" s="1129"/>
      <c r="L10305" s="1127"/>
    </row>
    <row r="10306" spans="1:12" x14ac:dyDescent="0.2">
      <c r="A10306" s="997">
        <f t="shared" si="160"/>
        <v>10305</v>
      </c>
      <c r="B10306" s="1129" t="s">
        <v>2725</v>
      </c>
      <c r="C10306" s="1139"/>
      <c r="D10306" s="1129"/>
      <c r="E10306" s="1129"/>
      <c r="F10306" s="1129"/>
      <c r="G10306" s="1129"/>
      <c r="H10306" s="1129" t="s">
        <v>2478</v>
      </c>
      <c r="I10306" s="1129"/>
      <c r="J10306" s="1129"/>
      <c r="K10306" s="1129"/>
      <c r="L10306" s="1127"/>
    </row>
    <row r="10307" spans="1:12" x14ac:dyDescent="0.2">
      <c r="A10307" s="997">
        <f t="shared" si="160"/>
        <v>10306</v>
      </c>
      <c r="B10307" s="1129" t="s">
        <v>2725</v>
      </c>
      <c r="C10307" s="1139"/>
      <c r="D10307" s="1129"/>
      <c r="E10307" s="1129"/>
      <c r="F10307" s="1129"/>
      <c r="G10307" s="1129"/>
      <c r="H10307" s="1129" t="str">
        <f>CONCATENATE("&lt;valeur&gt;",Cellule_1269_3,"&lt;/valeur&gt;")</f>
        <v>&lt;valeur&gt;CINN°PB4536&lt;/valeur&gt;</v>
      </c>
      <c r="I10307" s="1129"/>
      <c r="J10307" s="1129"/>
      <c r="K10307" s="1129"/>
      <c r="L10307" s="1127"/>
    </row>
    <row r="10308" spans="1:12" x14ac:dyDescent="0.2">
      <c r="A10308" s="997">
        <f t="shared" ref="A10308:A10371" si="161">+A10307+1</f>
        <v>10307</v>
      </c>
      <c r="B10308" s="1129" t="s">
        <v>2725</v>
      </c>
      <c r="C10308" s="1138"/>
      <c r="D10308" s="1129"/>
      <c r="E10308" s="1129"/>
      <c r="F10308" s="1129"/>
      <c r="G10308" s="1129"/>
      <c r="H10308" s="1129" t="s">
        <v>2736</v>
      </c>
      <c r="I10308" s="1129"/>
      <c r="J10308" s="1129"/>
      <c r="K10308" s="1129"/>
      <c r="L10308" s="1127"/>
    </row>
    <row r="10309" spans="1:12" x14ac:dyDescent="0.2">
      <c r="A10309" s="997">
        <f t="shared" si="161"/>
        <v>10308</v>
      </c>
      <c r="B10309" s="1129" t="s">
        <v>2725</v>
      </c>
      <c r="C10309" s="1138"/>
      <c r="D10309" s="1129"/>
      <c r="E10309" s="1129"/>
      <c r="F10309" s="1129"/>
      <c r="G10309" s="1129" t="s">
        <v>1109</v>
      </c>
      <c r="H10309" s="1129"/>
      <c r="I10309" s="1129"/>
      <c r="J10309" s="1129"/>
      <c r="K10309" s="1129"/>
      <c r="L10309" s="1127"/>
    </row>
    <row r="10310" spans="1:12" x14ac:dyDescent="0.2">
      <c r="A10310" s="997">
        <f t="shared" si="161"/>
        <v>10309</v>
      </c>
      <c r="B10310" s="1129" t="s">
        <v>2725</v>
      </c>
      <c r="C10310" s="1139"/>
      <c r="D10310" s="1129"/>
      <c r="E10310" s="1129"/>
      <c r="F10310" s="1129"/>
      <c r="G10310" s="1129" t="s">
        <v>1106</v>
      </c>
      <c r="H10310" s="1129"/>
      <c r="I10310" s="1129"/>
      <c r="J10310" s="1129"/>
      <c r="K10310" s="1129"/>
      <c r="L10310" s="1127"/>
    </row>
    <row r="10311" spans="1:12" x14ac:dyDescent="0.2">
      <c r="A10311" s="997">
        <f t="shared" si="161"/>
        <v>10310</v>
      </c>
      <c r="B10311" s="1129" t="s">
        <v>2725</v>
      </c>
      <c r="C10311" s="1140"/>
      <c r="D10311" s="1129"/>
      <c r="E10311" s="1129"/>
      <c r="F10311" s="1129"/>
      <c r="G10311" s="1129"/>
      <c r="H10311" s="1129" t="s">
        <v>2479</v>
      </c>
      <c r="I10311" s="1129"/>
      <c r="J10311" s="1129"/>
      <c r="K10311" s="1129"/>
      <c r="L10311" s="1127"/>
    </row>
    <row r="10312" spans="1:12" x14ac:dyDescent="0.2">
      <c r="A10312" s="997">
        <f t="shared" si="161"/>
        <v>10311</v>
      </c>
      <c r="B10312" s="1129" t="s">
        <v>2725</v>
      </c>
      <c r="C10312" s="1139"/>
      <c r="D10312" s="1129"/>
      <c r="E10312" s="1129"/>
      <c r="F10312" s="1129"/>
      <c r="G10312" s="1129"/>
      <c r="H10312" s="1129" t="str">
        <f>CONCATENATE("&lt;valeur&gt;",Cellule_1270_3,"&lt;/valeur&gt;")</f>
        <v>&lt;valeur&gt;&lt;/valeur&gt;</v>
      </c>
      <c r="I10312" s="1129"/>
      <c r="J10312" s="1129"/>
      <c r="K10312" s="1129"/>
      <c r="L10312" s="1127"/>
    </row>
    <row r="10313" spans="1:12" x14ac:dyDescent="0.2">
      <c r="A10313" s="997">
        <f t="shared" si="161"/>
        <v>10312</v>
      </c>
      <c r="B10313" s="1129" t="s">
        <v>2725</v>
      </c>
      <c r="C10313" s="1139"/>
      <c r="D10313" s="1129"/>
      <c r="E10313" s="1129"/>
      <c r="F10313" s="1129"/>
      <c r="G10313" s="1129"/>
      <c r="H10313" s="1129" t="s">
        <v>2736</v>
      </c>
      <c r="I10313" s="1129"/>
      <c r="J10313" s="1129"/>
      <c r="K10313" s="1129"/>
      <c r="L10313" s="1127"/>
    </row>
    <row r="10314" spans="1:12" x14ac:dyDescent="0.2">
      <c r="A10314" s="997">
        <f t="shared" si="161"/>
        <v>10313</v>
      </c>
      <c r="B10314" s="1129" t="s">
        <v>2725</v>
      </c>
      <c r="C10314" s="1139"/>
      <c r="D10314" s="1129"/>
      <c r="E10314" s="1129"/>
      <c r="F10314" s="1129"/>
      <c r="G10314" s="1129" t="s">
        <v>1109</v>
      </c>
      <c r="H10314" s="1129"/>
      <c r="I10314" s="1129"/>
      <c r="J10314" s="1129"/>
      <c r="K10314" s="1129"/>
      <c r="L10314" s="1127"/>
    </row>
    <row r="10315" spans="1:12" x14ac:dyDescent="0.2">
      <c r="A10315" s="997">
        <f t="shared" si="161"/>
        <v>10314</v>
      </c>
      <c r="B10315" s="1129" t="s">
        <v>2725</v>
      </c>
      <c r="C10315" s="1138"/>
      <c r="D10315" s="1129"/>
      <c r="E10315" s="1129"/>
      <c r="F10315" s="1129"/>
      <c r="G10315" s="1129" t="s">
        <v>1106</v>
      </c>
      <c r="H10315" s="1129"/>
      <c r="I10315" s="1129"/>
      <c r="J10315" s="1129"/>
      <c r="K10315" s="1129"/>
      <c r="L10315" s="1127"/>
    </row>
    <row r="10316" spans="1:12" x14ac:dyDescent="0.2">
      <c r="A10316" s="997">
        <f t="shared" si="161"/>
        <v>10315</v>
      </c>
      <c r="B10316" s="1129" t="s">
        <v>2725</v>
      </c>
      <c r="C10316" s="1138"/>
      <c r="D10316" s="1129"/>
      <c r="E10316" s="1129"/>
      <c r="F10316" s="1129"/>
      <c r="G10316" s="1129"/>
      <c r="H10316" s="1129" t="s">
        <v>2480</v>
      </c>
      <c r="I10316" s="1129"/>
      <c r="J10316" s="1129"/>
      <c r="K10316" s="1129"/>
      <c r="L10316" s="1127"/>
    </row>
    <row r="10317" spans="1:12" x14ac:dyDescent="0.2">
      <c r="A10317" s="997">
        <f t="shared" si="161"/>
        <v>10316</v>
      </c>
      <c r="B10317" s="1129" t="s">
        <v>2725</v>
      </c>
      <c r="C10317" s="1139"/>
      <c r="D10317" s="1129"/>
      <c r="E10317" s="1129"/>
      <c r="F10317" s="1129"/>
      <c r="G10317" s="1129"/>
      <c r="H10317" s="1129" t="str">
        <f>CONCATENATE("&lt;valeur&gt;",Cellule_1271_3,"&lt;/valeur&gt;")</f>
        <v>&lt;valeur&gt;&lt;/valeur&gt;</v>
      </c>
      <c r="I10317" s="1129"/>
      <c r="J10317" s="1129"/>
      <c r="K10317" s="1129"/>
      <c r="L10317" s="1127"/>
    </row>
    <row r="10318" spans="1:12" x14ac:dyDescent="0.2">
      <c r="A10318" s="997">
        <f t="shared" si="161"/>
        <v>10317</v>
      </c>
      <c r="B10318" s="1129" t="s">
        <v>2725</v>
      </c>
      <c r="C10318" s="1140"/>
      <c r="D10318" s="1129"/>
      <c r="E10318" s="1129"/>
      <c r="F10318" s="1129"/>
      <c r="G10318" s="1129"/>
      <c r="H10318" s="1129" t="s">
        <v>2736</v>
      </c>
      <c r="I10318" s="1129"/>
      <c r="J10318" s="1129"/>
      <c r="K10318" s="1129"/>
      <c r="L10318" s="1127"/>
    </row>
    <row r="10319" spans="1:12" x14ac:dyDescent="0.2">
      <c r="A10319" s="997">
        <f t="shared" si="161"/>
        <v>10318</v>
      </c>
      <c r="B10319" s="1129" t="s">
        <v>2725</v>
      </c>
      <c r="C10319" s="1139"/>
      <c r="D10319" s="1129"/>
      <c r="E10319" s="1129"/>
      <c r="F10319" s="1129"/>
      <c r="G10319" s="1129" t="s">
        <v>1109</v>
      </c>
      <c r="H10319" s="1129"/>
      <c r="I10319" s="1129"/>
      <c r="J10319" s="1129"/>
      <c r="K10319" s="1129"/>
      <c r="L10319" s="1127"/>
    </row>
    <row r="10320" spans="1:12" x14ac:dyDescent="0.2">
      <c r="A10320" s="997">
        <f t="shared" si="161"/>
        <v>10319</v>
      </c>
      <c r="B10320" s="1129" t="s">
        <v>2725</v>
      </c>
      <c r="C10320" s="1139"/>
      <c r="D10320" s="1129"/>
      <c r="E10320" s="1129"/>
      <c r="F10320" s="1129"/>
      <c r="G10320" s="1129" t="s">
        <v>1106</v>
      </c>
      <c r="H10320" s="1129"/>
      <c r="I10320" s="1129"/>
      <c r="J10320" s="1129"/>
      <c r="K10320" s="1129"/>
      <c r="L10320" s="1127"/>
    </row>
    <row r="10321" spans="1:12" x14ac:dyDescent="0.2">
      <c r="A10321" s="997">
        <f t="shared" si="161"/>
        <v>10320</v>
      </c>
      <c r="B10321" s="1129" t="s">
        <v>2725</v>
      </c>
      <c r="C10321" s="1139"/>
      <c r="D10321" s="1129"/>
      <c r="E10321" s="1129"/>
      <c r="F10321" s="1129"/>
      <c r="G10321" s="1129"/>
      <c r="H10321" s="1129" t="s">
        <v>2481</v>
      </c>
      <c r="I10321" s="1129"/>
      <c r="J10321" s="1129"/>
      <c r="K10321" s="1129"/>
      <c r="L10321" s="1127"/>
    </row>
    <row r="10322" spans="1:12" x14ac:dyDescent="0.2">
      <c r="A10322" s="997">
        <f t="shared" si="161"/>
        <v>10321</v>
      </c>
      <c r="B10322" s="1129" t="s">
        <v>2725</v>
      </c>
      <c r="C10322" s="1138"/>
      <c r="D10322" s="1129"/>
      <c r="E10322" s="1129"/>
      <c r="F10322" s="1129"/>
      <c r="G10322" s="1129"/>
      <c r="H10322" s="1129" t="str">
        <f>CONCATENATE("&lt;valeur&gt;",Cellule_1272_3,"&lt;/valeur&gt;")</f>
        <v>&lt;valeur&gt;&lt;/valeur&gt;</v>
      </c>
      <c r="I10322" s="1129"/>
      <c r="J10322" s="1129"/>
      <c r="K10322" s="1129"/>
      <c r="L10322" s="1127"/>
    </row>
    <row r="10323" spans="1:12" x14ac:dyDescent="0.2">
      <c r="A10323" s="997">
        <f t="shared" si="161"/>
        <v>10322</v>
      </c>
      <c r="B10323" s="1129" t="s">
        <v>2725</v>
      </c>
      <c r="C10323" s="1138"/>
      <c r="D10323" s="1129"/>
      <c r="E10323" s="1129"/>
      <c r="F10323" s="1129"/>
      <c r="G10323" s="1129"/>
      <c r="H10323" s="1129" t="s">
        <v>2736</v>
      </c>
      <c r="I10323" s="1129"/>
      <c r="J10323" s="1129"/>
      <c r="K10323" s="1129"/>
      <c r="L10323" s="1127"/>
    </row>
    <row r="10324" spans="1:12" x14ac:dyDescent="0.2">
      <c r="A10324" s="997">
        <f t="shared" si="161"/>
        <v>10323</v>
      </c>
      <c r="B10324" s="1129" t="s">
        <v>2725</v>
      </c>
      <c r="C10324" s="1139"/>
      <c r="D10324" s="1129"/>
      <c r="E10324" s="1129"/>
      <c r="F10324" s="1129"/>
      <c r="G10324" s="1129" t="s">
        <v>1109</v>
      </c>
      <c r="H10324" s="1129"/>
      <c r="I10324" s="1129"/>
      <c r="J10324" s="1129"/>
      <c r="K10324" s="1129"/>
      <c r="L10324" s="1127"/>
    </row>
    <row r="10325" spans="1:12" x14ac:dyDescent="0.2">
      <c r="A10325" s="997">
        <f t="shared" si="161"/>
        <v>10324</v>
      </c>
      <c r="B10325" s="1129" t="s">
        <v>2725</v>
      </c>
      <c r="C10325" s="1140"/>
      <c r="D10325" s="1129"/>
      <c r="E10325" s="1129"/>
      <c r="F10325" s="1129"/>
      <c r="G10325" s="1129" t="s">
        <v>1106</v>
      </c>
      <c r="H10325" s="1129"/>
      <c r="I10325" s="1129"/>
      <c r="J10325" s="1129"/>
      <c r="K10325" s="1129"/>
      <c r="L10325" s="1127"/>
    </row>
    <row r="10326" spans="1:12" x14ac:dyDescent="0.2">
      <c r="A10326" s="997">
        <f t="shared" si="161"/>
        <v>10325</v>
      </c>
      <c r="B10326" s="1129" t="s">
        <v>2725</v>
      </c>
      <c r="C10326" s="1139"/>
      <c r="D10326" s="1129"/>
      <c r="E10326" s="1129"/>
      <c r="F10326" s="1129"/>
      <c r="G10326" s="1129"/>
      <c r="H10326" s="1129" t="s">
        <v>2482</v>
      </c>
      <c r="I10326" s="1129"/>
      <c r="J10326" s="1129"/>
      <c r="K10326" s="1129"/>
      <c r="L10326" s="1127"/>
    </row>
    <row r="10327" spans="1:12" x14ac:dyDescent="0.2">
      <c r="A10327" s="997">
        <f t="shared" si="161"/>
        <v>10326</v>
      </c>
      <c r="B10327" s="1129" t="s">
        <v>2725</v>
      </c>
      <c r="C10327" s="1139"/>
      <c r="D10327" s="1129"/>
      <c r="E10327" s="1129"/>
      <c r="F10327" s="1129"/>
      <c r="G10327" s="1129"/>
      <c r="H10327" s="1129" t="str">
        <f>CONCATENATE("&lt;valeur&gt;",Cellule_1273_3,"&lt;/valeur&gt;")</f>
        <v>&lt;valeur&gt;&lt;/valeur&gt;</v>
      </c>
      <c r="I10327" s="1129"/>
      <c r="J10327" s="1129"/>
      <c r="K10327" s="1129"/>
      <c r="L10327" s="1127"/>
    </row>
    <row r="10328" spans="1:12" x14ac:dyDescent="0.2">
      <c r="A10328" s="997">
        <f t="shared" si="161"/>
        <v>10327</v>
      </c>
      <c r="B10328" s="1129" t="s">
        <v>2725</v>
      </c>
      <c r="C10328" s="1139"/>
      <c r="D10328" s="1129"/>
      <c r="E10328" s="1129"/>
      <c r="F10328" s="1129"/>
      <c r="G10328" s="1129"/>
      <c r="H10328" s="1129" t="s">
        <v>2736</v>
      </c>
      <c r="I10328" s="1129"/>
      <c r="J10328" s="1129"/>
      <c r="K10328" s="1129"/>
      <c r="L10328" s="1127"/>
    </row>
    <row r="10329" spans="1:12" x14ac:dyDescent="0.2">
      <c r="A10329" s="997">
        <f t="shared" si="161"/>
        <v>10328</v>
      </c>
      <c r="B10329" s="1129" t="s">
        <v>2725</v>
      </c>
      <c r="C10329" s="1138"/>
      <c r="D10329" s="1129"/>
      <c r="E10329" s="1129"/>
      <c r="F10329" s="1129"/>
      <c r="G10329" s="1129" t="s">
        <v>1109</v>
      </c>
      <c r="H10329" s="1129"/>
      <c r="I10329" s="1129"/>
      <c r="J10329" s="1129"/>
      <c r="K10329" s="1129"/>
      <c r="L10329" s="1127"/>
    </row>
    <row r="10330" spans="1:12" x14ac:dyDescent="0.2">
      <c r="A10330" s="997">
        <f t="shared" si="161"/>
        <v>10329</v>
      </c>
      <c r="B10330" s="1129" t="s">
        <v>2725</v>
      </c>
      <c r="C10330" s="1138"/>
      <c r="D10330" s="1129"/>
      <c r="E10330" s="1129"/>
      <c r="F10330" s="1129"/>
      <c r="G10330" s="1129" t="s">
        <v>1106</v>
      </c>
      <c r="H10330" s="1129"/>
      <c r="I10330" s="1129"/>
      <c r="J10330" s="1129"/>
      <c r="K10330" s="1129"/>
      <c r="L10330" s="1127"/>
    </row>
    <row r="10331" spans="1:12" x14ac:dyDescent="0.2">
      <c r="A10331" s="997">
        <f t="shared" si="161"/>
        <v>10330</v>
      </c>
      <c r="B10331" s="1129" t="s">
        <v>2725</v>
      </c>
      <c r="C10331" s="1139"/>
      <c r="D10331" s="1129"/>
      <c r="E10331" s="1129"/>
      <c r="F10331" s="1129"/>
      <c r="G10331" s="1129"/>
      <c r="H10331" s="1129" t="s">
        <v>2483</v>
      </c>
      <c r="I10331" s="1129"/>
      <c r="J10331" s="1129"/>
      <c r="K10331" s="1129"/>
      <c r="L10331" s="1127"/>
    </row>
    <row r="10332" spans="1:12" x14ac:dyDescent="0.2">
      <c r="A10332" s="997">
        <f t="shared" si="161"/>
        <v>10331</v>
      </c>
      <c r="B10332" s="1129" t="s">
        <v>2725</v>
      </c>
      <c r="C10332" s="1140"/>
      <c r="D10332" s="1129"/>
      <c r="E10332" s="1129"/>
      <c r="F10332" s="1129"/>
      <c r="G10332" s="1129"/>
      <c r="H10332" s="1129" t="str">
        <f>CONCATENATE("&lt;valeur&gt;",Cellule_1274_3,"&lt;/valeur&gt;")</f>
        <v>&lt;valeur&gt;&lt;/valeur&gt;</v>
      </c>
      <c r="I10332" s="1129"/>
      <c r="J10332" s="1129"/>
      <c r="K10332" s="1129"/>
      <c r="L10332" s="1127"/>
    </row>
    <row r="10333" spans="1:12" x14ac:dyDescent="0.2">
      <c r="A10333" s="997">
        <f t="shared" si="161"/>
        <v>10332</v>
      </c>
      <c r="B10333" s="1129" t="s">
        <v>2725</v>
      </c>
      <c r="C10333" s="1139"/>
      <c r="D10333" s="1129"/>
      <c r="E10333" s="1129"/>
      <c r="F10333" s="1129"/>
      <c r="G10333" s="1129"/>
      <c r="H10333" s="1129" t="s">
        <v>2736</v>
      </c>
      <c r="I10333" s="1129"/>
      <c r="J10333" s="1129"/>
      <c r="K10333" s="1129"/>
      <c r="L10333" s="1127"/>
    </row>
    <row r="10334" spans="1:12" x14ac:dyDescent="0.2">
      <c r="A10334" s="997">
        <f t="shared" si="161"/>
        <v>10333</v>
      </c>
      <c r="B10334" s="1130" t="s">
        <v>2725</v>
      </c>
      <c r="C10334" s="1144"/>
      <c r="D10334" s="1130"/>
      <c r="E10334" s="1130"/>
      <c r="F10334" s="1130"/>
      <c r="G10334" s="1130" t="s">
        <v>1109</v>
      </c>
      <c r="H10334" s="1130"/>
      <c r="I10334" s="1130"/>
      <c r="J10334" s="1130"/>
      <c r="K10334" s="1130"/>
      <c r="L10334" s="1142"/>
    </row>
    <row r="10335" spans="1:12" x14ac:dyDescent="0.2">
      <c r="A10335" s="997">
        <f t="shared" si="161"/>
        <v>10334</v>
      </c>
      <c r="B10335" s="1128" t="s">
        <v>2725</v>
      </c>
      <c r="C10335" s="1137"/>
      <c r="D10335" s="1128"/>
      <c r="E10335" s="1128"/>
      <c r="F10335" s="1128"/>
      <c r="G10335" s="1128" t="s">
        <v>1106</v>
      </c>
      <c r="H10335" s="1128"/>
      <c r="I10335" s="1128"/>
      <c r="J10335" s="1128"/>
      <c r="K10335" s="1128"/>
      <c r="L10335" s="1124"/>
    </row>
    <row r="10336" spans="1:12" x14ac:dyDescent="0.2">
      <c r="A10336" s="997">
        <f t="shared" si="161"/>
        <v>10335</v>
      </c>
      <c r="B10336" s="1129" t="s">
        <v>2725</v>
      </c>
      <c r="C10336" s="1139"/>
      <c r="D10336" s="1129"/>
      <c r="E10336" s="1129"/>
      <c r="F10336" s="1129"/>
      <c r="G10336" s="1129"/>
      <c r="H10336" s="1129" t="s">
        <v>2476</v>
      </c>
      <c r="I10336" s="1129"/>
      <c r="J10336" s="1129"/>
      <c r="K10336" s="1129"/>
      <c r="L10336" s="1127"/>
    </row>
    <row r="10337" spans="1:12" x14ac:dyDescent="0.2">
      <c r="A10337" s="997">
        <f t="shared" si="161"/>
        <v>10336</v>
      </c>
      <c r="B10337" s="1129" t="s">
        <v>2725</v>
      </c>
      <c r="C10337" s="1140"/>
      <c r="D10337" s="1129"/>
      <c r="E10337" s="1129"/>
      <c r="F10337" s="1129"/>
      <c r="G10337" s="1129"/>
      <c r="H10337" s="1129" t="str">
        <f>CONCATENATE("&lt;valeur&gt;",Cellule_1267_4,"&lt;/valeur&gt;")</f>
        <v>&lt;valeur&gt;&lt;/valeur&gt;</v>
      </c>
      <c r="I10337" s="1129"/>
      <c r="J10337" s="1129"/>
      <c r="K10337" s="1129"/>
      <c r="L10337" s="1127"/>
    </row>
    <row r="10338" spans="1:12" x14ac:dyDescent="0.2">
      <c r="A10338" s="997">
        <f t="shared" si="161"/>
        <v>10337</v>
      </c>
      <c r="B10338" s="1129" t="s">
        <v>2725</v>
      </c>
      <c r="C10338" s="1139"/>
      <c r="D10338" s="1129"/>
      <c r="E10338" s="1129"/>
      <c r="F10338" s="1129"/>
      <c r="G10338" s="1129"/>
      <c r="H10338" s="1129" t="s">
        <v>2737</v>
      </c>
      <c r="I10338" s="1129"/>
      <c r="J10338" s="1129"/>
      <c r="K10338" s="1129"/>
      <c r="L10338" s="1127"/>
    </row>
    <row r="10339" spans="1:12" x14ac:dyDescent="0.2">
      <c r="A10339" s="997">
        <f t="shared" si="161"/>
        <v>10338</v>
      </c>
      <c r="B10339" s="1129" t="s">
        <v>2725</v>
      </c>
      <c r="C10339" s="1139"/>
      <c r="D10339" s="1129"/>
      <c r="E10339" s="1129"/>
      <c r="F10339" s="1129"/>
      <c r="G10339" s="1129" t="s">
        <v>1109</v>
      </c>
      <c r="H10339" s="1129"/>
      <c r="I10339" s="1129"/>
      <c r="J10339" s="1129"/>
      <c r="K10339" s="1129"/>
      <c r="L10339" s="1127"/>
    </row>
    <row r="10340" spans="1:12" x14ac:dyDescent="0.2">
      <c r="A10340" s="997">
        <f t="shared" si="161"/>
        <v>10339</v>
      </c>
      <c r="B10340" s="1129" t="s">
        <v>2725</v>
      </c>
      <c r="C10340" s="1139"/>
      <c r="D10340" s="1129"/>
      <c r="E10340" s="1129"/>
      <c r="F10340" s="1129"/>
      <c r="G10340" s="1129" t="s">
        <v>1106</v>
      </c>
      <c r="H10340" s="1129"/>
      <c r="I10340" s="1129"/>
      <c r="J10340" s="1129"/>
      <c r="K10340" s="1129"/>
      <c r="L10340" s="1127"/>
    </row>
    <row r="10341" spans="1:12" x14ac:dyDescent="0.2">
      <c r="A10341" s="997">
        <f t="shared" si="161"/>
        <v>10340</v>
      </c>
      <c r="B10341" s="1129" t="s">
        <v>2725</v>
      </c>
      <c r="C10341" s="1138"/>
      <c r="D10341" s="1129"/>
      <c r="E10341" s="1129"/>
      <c r="F10341" s="1129"/>
      <c r="G10341" s="1129"/>
      <c r="H10341" s="1129" t="s">
        <v>2477</v>
      </c>
      <c r="I10341" s="1129"/>
      <c r="J10341" s="1129"/>
      <c r="K10341" s="1129"/>
      <c r="L10341" s="1127"/>
    </row>
    <row r="10342" spans="1:12" x14ac:dyDescent="0.2">
      <c r="A10342" s="997">
        <f t="shared" si="161"/>
        <v>10341</v>
      </c>
      <c r="B10342" s="1129" t="s">
        <v>2725</v>
      </c>
      <c r="C10342" s="1138"/>
      <c r="D10342" s="1129"/>
      <c r="E10342" s="1129"/>
      <c r="F10342" s="1129"/>
      <c r="G10342" s="1129"/>
      <c r="H10342" s="1129" t="str">
        <f>CONCATENATE("&lt;valeur&gt;",Cellule_1268_4,"&lt;/valeur&gt;")</f>
        <v>&lt;valeur&gt;&lt;/valeur&gt;</v>
      </c>
      <c r="I10342" s="1129"/>
      <c r="J10342" s="1129"/>
      <c r="K10342" s="1129"/>
      <c r="L10342" s="1127"/>
    </row>
    <row r="10343" spans="1:12" x14ac:dyDescent="0.2">
      <c r="A10343" s="997">
        <f t="shared" si="161"/>
        <v>10342</v>
      </c>
      <c r="B10343" s="1129" t="s">
        <v>2725</v>
      </c>
      <c r="C10343" s="1139"/>
      <c r="D10343" s="1129"/>
      <c r="E10343" s="1129"/>
      <c r="F10343" s="1129"/>
      <c r="G10343" s="1129"/>
      <c r="H10343" s="1129" t="s">
        <v>2737</v>
      </c>
      <c r="I10343" s="1129"/>
      <c r="J10343" s="1129"/>
      <c r="K10343" s="1129"/>
      <c r="L10343" s="1127"/>
    </row>
    <row r="10344" spans="1:12" x14ac:dyDescent="0.2">
      <c r="A10344" s="997">
        <f t="shared" si="161"/>
        <v>10343</v>
      </c>
      <c r="B10344" s="1129" t="s">
        <v>2725</v>
      </c>
      <c r="C10344" s="1140"/>
      <c r="D10344" s="1129"/>
      <c r="E10344" s="1129"/>
      <c r="F10344" s="1129"/>
      <c r="G10344" s="1129" t="s">
        <v>1109</v>
      </c>
      <c r="H10344" s="1129"/>
      <c r="I10344" s="1129"/>
      <c r="J10344" s="1129"/>
      <c r="K10344" s="1129"/>
      <c r="L10344" s="1127"/>
    </row>
    <row r="10345" spans="1:12" x14ac:dyDescent="0.2">
      <c r="A10345" s="997">
        <f t="shared" si="161"/>
        <v>10344</v>
      </c>
      <c r="B10345" s="1129" t="s">
        <v>2725</v>
      </c>
      <c r="C10345" s="1139"/>
      <c r="D10345" s="1129"/>
      <c r="E10345" s="1129"/>
      <c r="F10345" s="1129"/>
      <c r="G10345" s="1129" t="s">
        <v>1106</v>
      </c>
      <c r="H10345" s="1129"/>
      <c r="I10345" s="1129"/>
      <c r="J10345" s="1129"/>
      <c r="K10345" s="1129"/>
      <c r="L10345" s="1127"/>
    </row>
    <row r="10346" spans="1:12" x14ac:dyDescent="0.2">
      <c r="A10346" s="997">
        <f t="shared" si="161"/>
        <v>10345</v>
      </c>
      <c r="B10346" s="1129" t="s">
        <v>2725</v>
      </c>
      <c r="C10346" s="1139"/>
      <c r="D10346" s="1129"/>
      <c r="E10346" s="1129"/>
      <c r="F10346" s="1129"/>
      <c r="G10346" s="1129"/>
      <c r="H10346" s="1129" t="s">
        <v>2478</v>
      </c>
      <c r="I10346" s="1129"/>
      <c r="J10346" s="1129"/>
      <c r="K10346" s="1129"/>
      <c r="L10346" s="1127"/>
    </row>
    <row r="10347" spans="1:12" x14ac:dyDescent="0.2">
      <c r="A10347" s="997">
        <f t="shared" si="161"/>
        <v>10346</v>
      </c>
      <c r="B10347" s="1129" t="s">
        <v>2725</v>
      </c>
      <c r="C10347" s="1139"/>
      <c r="D10347" s="1129"/>
      <c r="E10347" s="1129"/>
      <c r="F10347" s="1129"/>
      <c r="G10347" s="1129"/>
      <c r="H10347" s="1129" t="str">
        <f>CONCATENATE("&lt;valeur&gt;",Cellule_1269_4,"&lt;/valeur&gt;")</f>
        <v>&lt;valeur&gt;&lt;/valeur&gt;</v>
      </c>
      <c r="I10347" s="1129"/>
      <c r="J10347" s="1129"/>
      <c r="K10347" s="1129"/>
      <c r="L10347" s="1127"/>
    </row>
    <row r="10348" spans="1:12" x14ac:dyDescent="0.2">
      <c r="A10348" s="997">
        <f t="shared" si="161"/>
        <v>10347</v>
      </c>
      <c r="B10348" s="1129" t="s">
        <v>2725</v>
      </c>
      <c r="C10348" s="1138"/>
      <c r="D10348" s="1129"/>
      <c r="E10348" s="1129"/>
      <c r="F10348" s="1129"/>
      <c r="G10348" s="1129"/>
      <c r="H10348" s="1129" t="s">
        <v>2737</v>
      </c>
      <c r="I10348" s="1129"/>
      <c r="J10348" s="1129"/>
      <c r="K10348" s="1129"/>
      <c r="L10348" s="1127"/>
    </row>
    <row r="10349" spans="1:12" x14ac:dyDescent="0.2">
      <c r="A10349" s="997">
        <f t="shared" si="161"/>
        <v>10348</v>
      </c>
      <c r="B10349" s="1129" t="s">
        <v>2725</v>
      </c>
      <c r="C10349" s="1138"/>
      <c r="D10349" s="1129"/>
      <c r="E10349" s="1129"/>
      <c r="F10349" s="1129"/>
      <c r="G10349" s="1129" t="s">
        <v>1109</v>
      </c>
      <c r="H10349" s="1129"/>
      <c r="I10349" s="1129"/>
      <c r="J10349" s="1129"/>
      <c r="K10349" s="1129"/>
      <c r="L10349" s="1127"/>
    </row>
    <row r="10350" spans="1:12" x14ac:dyDescent="0.2">
      <c r="A10350" s="997">
        <f t="shared" si="161"/>
        <v>10349</v>
      </c>
      <c r="B10350" s="1129" t="s">
        <v>2725</v>
      </c>
      <c r="C10350" s="1139"/>
      <c r="D10350" s="1129"/>
      <c r="E10350" s="1129"/>
      <c r="F10350" s="1129"/>
      <c r="G10350" s="1129" t="s">
        <v>1106</v>
      </c>
      <c r="H10350" s="1129"/>
      <c r="I10350" s="1129"/>
      <c r="J10350" s="1129"/>
      <c r="K10350" s="1129"/>
      <c r="L10350" s="1127"/>
    </row>
    <row r="10351" spans="1:12" x14ac:dyDescent="0.2">
      <c r="A10351" s="997">
        <f t="shared" si="161"/>
        <v>10350</v>
      </c>
      <c r="B10351" s="1129" t="s">
        <v>2725</v>
      </c>
      <c r="C10351" s="1140"/>
      <c r="D10351" s="1129"/>
      <c r="E10351" s="1129"/>
      <c r="F10351" s="1129"/>
      <c r="G10351" s="1129"/>
      <c r="H10351" s="1129" t="s">
        <v>2479</v>
      </c>
      <c r="I10351" s="1129"/>
      <c r="J10351" s="1129"/>
      <c r="K10351" s="1129"/>
      <c r="L10351" s="1127"/>
    </row>
    <row r="10352" spans="1:12" x14ac:dyDescent="0.2">
      <c r="A10352" s="997">
        <f t="shared" si="161"/>
        <v>10351</v>
      </c>
      <c r="B10352" s="1129" t="s">
        <v>2725</v>
      </c>
      <c r="C10352" s="1139"/>
      <c r="D10352" s="1129"/>
      <c r="E10352" s="1129"/>
      <c r="F10352" s="1129"/>
      <c r="G10352" s="1129"/>
      <c r="H10352" s="1129" t="str">
        <f>CONCATENATE("&lt;valeur&gt;",Cellule_1270_4,"&lt;/valeur&gt;")</f>
        <v>&lt;valeur&gt;&lt;/valeur&gt;</v>
      </c>
      <c r="I10352" s="1129"/>
      <c r="J10352" s="1129"/>
      <c r="K10352" s="1129"/>
      <c r="L10352" s="1127"/>
    </row>
    <row r="10353" spans="1:12" x14ac:dyDescent="0.2">
      <c r="A10353" s="997">
        <f t="shared" si="161"/>
        <v>10352</v>
      </c>
      <c r="B10353" s="1129" t="s">
        <v>2725</v>
      </c>
      <c r="C10353" s="1139"/>
      <c r="D10353" s="1129"/>
      <c r="E10353" s="1129"/>
      <c r="F10353" s="1129"/>
      <c r="G10353" s="1129"/>
      <c r="H10353" s="1129" t="s">
        <v>2737</v>
      </c>
      <c r="I10353" s="1129"/>
      <c r="J10353" s="1129"/>
      <c r="K10353" s="1129"/>
      <c r="L10353" s="1127"/>
    </row>
    <row r="10354" spans="1:12" x14ac:dyDescent="0.2">
      <c r="A10354" s="997">
        <f t="shared" si="161"/>
        <v>10353</v>
      </c>
      <c r="B10354" s="1129" t="s">
        <v>2725</v>
      </c>
      <c r="C10354" s="1139"/>
      <c r="D10354" s="1129"/>
      <c r="E10354" s="1129"/>
      <c r="F10354" s="1129"/>
      <c r="G10354" s="1129" t="s">
        <v>1109</v>
      </c>
      <c r="H10354" s="1129"/>
      <c r="I10354" s="1129"/>
      <c r="J10354" s="1129"/>
      <c r="K10354" s="1129"/>
      <c r="L10354" s="1127"/>
    </row>
    <row r="10355" spans="1:12" x14ac:dyDescent="0.2">
      <c r="A10355" s="997">
        <f t="shared" si="161"/>
        <v>10354</v>
      </c>
      <c r="B10355" s="1129" t="s">
        <v>2725</v>
      </c>
      <c r="C10355" s="1138"/>
      <c r="D10355" s="1129"/>
      <c r="E10355" s="1129"/>
      <c r="F10355" s="1129"/>
      <c r="G10355" s="1129" t="s">
        <v>1106</v>
      </c>
      <c r="H10355" s="1129"/>
      <c r="I10355" s="1129"/>
      <c r="J10355" s="1129"/>
      <c r="K10355" s="1129"/>
      <c r="L10355" s="1127"/>
    </row>
    <row r="10356" spans="1:12" x14ac:dyDescent="0.2">
      <c r="A10356" s="997">
        <f t="shared" si="161"/>
        <v>10355</v>
      </c>
      <c r="B10356" s="1129" t="s">
        <v>2725</v>
      </c>
      <c r="C10356" s="1138"/>
      <c r="D10356" s="1129"/>
      <c r="E10356" s="1129"/>
      <c r="F10356" s="1129"/>
      <c r="G10356" s="1129"/>
      <c r="H10356" s="1129" t="s">
        <v>2480</v>
      </c>
      <c r="I10356" s="1129"/>
      <c r="J10356" s="1129"/>
      <c r="K10356" s="1129"/>
      <c r="L10356" s="1127"/>
    </row>
    <row r="10357" spans="1:12" x14ac:dyDescent="0.2">
      <c r="A10357" s="997">
        <f t="shared" si="161"/>
        <v>10356</v>
      </c>
      <c r="B10357" s="1129" t="s">
        <v>2725</v>
      </c>
      <c r="C10357" s="1139"/>
      <c r="D10357" s="1129"/>
      <c r="E10357" s="1129"/>
      <c r="F10357" s="1129"/>
      <c r="G10357" s="1129"/>
      <c r="H10357" s="1129" t="str">
        <f>CONCATENATE("&lt;valeur&gt;",Cellule_1271_4,"&lt;/valeur&gt;")</f>
        <v>&lt;valeur&gt;&lt;/valeur&gt;</v>
      </c>
      <c r="I10357" s="1129"/>
      <c r="J10357" s="1129"/>
      <c r="K10357" s="1129"/>
      <c r="L10357" s="1127"/>
    </row>
    <row r="10358" spans="1:12" x14ac:dyDescent="0.2">
      <c r="A10358" s="997">
        <f t="shared" si="161"/>
        <v>10357</v>
      </c>
      <c r="B10358" s="1129" t="s">
        <v>2725</v>
      </c>
      <c r="C10358" s="1140"/>
      <c r="D10358" s="1129"/>
      <c r="E10358" s="1129"/>
      <c r="F10358" s="1129"/>
      <c r="G10358" s="1129"/>
      <c r="H10358" s="1129" t="s">
        <v>2737</v>
      </c>
      <c r="I10358" s="1129"/>
      <c r="J10358" s="1129"/>
      <c r="K10358" s="1129"/>
      <c r="L10358" s="1127"/>
    </row>
    <row r="10359" spans="1:12" x14ac:dyDescent="0.2">
      <c r="A10359" s="997">
        <f t="shared" si="161"/>
        <v>10358</v>
      </c>
      <c r="B10359" s="1129" t="s">
        <v>2725</v>
      </c>
      <c r="C10359" s="1139"/>
      <c r="D10359" s="1129"/>
      <c r="E10359" s="1129"/>
      <c r="F10359" s="1129"/>
      <c r="G10359" s="1129" t="s">
        <v>1109</v>
      </c>
      <c r="H10359" s="1129"/>
      <c r="I10359" s="1129"/>
      <c r="J10359" s="1129"/>
      <c r="K10359" s="1129"/>
      <c r="L10359" s="1127"/>
    </row>
    <row r="10360" spans="1:12" x14ac:dyDescent="0.2">
      <c r="A10360" s="997">
        <f t="shared" si="161"/>
        <v>10359</v>
      </c>
      <c r="B10360" s="1129" t="s">
        <v>2725</v>
      </c>
      <c r="C10360" s="1139"/>
      <c r="D10360" s="1129"/>
      <c r="E10360" s="1129"/>
      <c r="F10360" s="1129"/>
      <c r="G10360" s="1129" t="s">
        <v>1106</v>
      </c>
      <c r="H10360" s="1129"/>
      <c r="I10360" s="1129"/>
      <c r="J10360" s="1129"/>
      <c r="K10360" s="1129"/>
      <c r="L10360" s="1127"/>
    </row>
    <row r="10361" spans="1:12" x14ac:dyDescent="0.2">
      <c r="A10361" s="997">
        <f t="shared" si="161"/>
        <v>10360</v>
      </c>
      <c r="B10361" s="1129" t="s">
        <v>2725</v>
      </c>
      <c r="C10361" s="1139"/>
      <c r="D10361" s="1129"/>
      <c r="E10361" s="1129"/>
      <c r="F10361" s="1129"/>
      <c r="G10361" s="1129"/>
      <c r="H10361" s="1129" t="s">
        <v>2481</v>
      </c>
      <c r="I10361" s="1129"/>
      <c r="J10361" s="1129"/>
      <c r="K10361" s="1129"/>
      <c r="L10361" s="1127"/>
    </row>
    <row r="10362" spans="1:12" x14ac:dyDescent="0.2">
      <c r="A10362" s="997">
        <f t="shared" si="161"/>
        <v>10361</v>
      </c>
      <c r="B10362" s="1129" t="s">
        <v>2725</v>
      </c>
      <c r="C10362" s="1138"/>
      <c r="D10362" s="1129"/>
      <c r="E10362" s="1129"/>
      <c r="F10362" s="1129"/>
      <c r="G10362" s="1129"/>
      <c r="H10362" s="1129" t="str">
        <f>CONCATENATE("&lt;valeur&gt;",Cellule_1272_4,"&lt;/valeur&gt;")</f>
        <v>&lt;valeur&gt;&lt;/valeur&gt;</v>
      </c>
      <c r="I10362" s="1129"/>
      <c r="J10362" s="1129"/>
      <c r="K10362" s="1129"/>
      <c r="L10362" s="1127"/>
    </row>
    <row r="10363" spans="1:12" x14ac:dyDescent="0.2">
      <c r="A10363" s="997">
        <f t="shared" si="161"/>
        <v>10362</v>
      </c>
      <c r="B10363" s="1129" t="s">
        <v>2725</v>
      </c>
      <c r="C10363" s="1138"/>
      <c r="D10363" s="1129"/>
      <c r="E10363" s="1129"/>
      <c r="F10363" s="1129"/>
      <c r="G10363" s="1129"/>
      <c r="H10363" s="1129" t="s">
        <v>2737</v>
      </c>
      <c r="I10363" s="1129"/>
      <c r="J10363" s="1129"/>
      <c r="K10363" s="1129"/>
      <c r="L10363" s="1127"/>
    </row>
    <row r="10364" spans="1:12" x14ac:dyDescent="0.2">
      <c r="A10364" s="997">
        <f t="shared" si="161"/>
        <v>10363</v>
      </c>
      <c r="B10364" s="1129" t="s">
        <v>2725</v>
      </c>
      <c r="C10364" s="1139"/>
      <c r="D10364" s="1129"/>
      <c r="E10364" s="1129"/>
      <c r="F10364" s="1129"/>
      <c r="G10364" s="1129" t="s">
        <v>1109</v>
      </c>
      <c r="H10364" s="1129"/>
      <c r="I10364" s="1129"/>
      <c r="J10364" s="1129"/>
      <c r="K10364" s="1129"/>
      <c r="L10364" s="1127"/>
    </row>
    <row r="10365" spans="1:12" x14ac:dyDescent="0.2">
      <c r="A10365" s="997">
        <f t="shared" si="161"/>
        <v>10364</v>
      </c>
      <c r="B10365" s="1129" t="s">
        <v>2725</v>
      </c>
      <c r="C10365" s="1140"/>
      <c r="D10365" s="1129"/>
      <c r="E10365" s="1129"/>
      <c r="F10365" s="1129"/>
      <c r="G10365" s="1129" t="s">
        <v>1106</v>
      </c>
      <c r="H10365" s="1129"/>
      <c r="I10365" s="1129"/>
      <c r="J10365" s="1129"/>
      <c r="K10365" s="1129"/>
      <c r="L10365" s="1127"/>
    </row>
    <row r="10366" spans="1:12" x14ac:dyDescent="0.2">
      <c r="A10366" s="997">
        <f t="shared" si="161"/>
        <v>10365</v>
      </c>
      <c r="B10366" s="1129" t="s">
        <v>2725</v>
      </c>
      <c r="C10366" s="1139"/>
      <c r="D10366" s="1129"/>
      <c r="E10366" s="1129"/>
      <c r="F10366" s="1129"/>
      <c r="G10366" s="1129"/>
      <c r="H10366" s="1129" t="s">
        <v>2482</v>
      </c>
      <c r="I10366" s="1129"/>
      <c r="J10366" s="1129"/>
      <c r="K10366" s="1129"/>
      <c r="L10366" s="1127"/>
    </row>
    <row r="10367" spans="1:12" x14ac:dyDescent="0.2">
      <c r="A10367" s="997">
        <f t="shared" si="161"/>
        <v>10366</v>
      </c>
      <c r="B10367" s="1129" t="s">
        <v>2725</v>
      </c>
      <c r="C10367" s="1139"/>
      <c r="D10367" s="1129"/>
      <c r="E10367" s="1129"/>
      <c r="F10367" s="1129"/>
      <c r="G10367" s="1129"/>
      <c r="H10367" s="1129" t="str">
        <f>CONCATENATE("&lt;valeur&gt;",Cellule_1273_4,"&lt;/valeur&gt;")</f>
        <v>&lt;valeur&gt;&lt;/valeur&gt;</v>
      </c>
      <c r="I10367" s="1129"/>
      <c r="J10367" s="1129"/>
      <c r="K10367" s="1129"/>
      <c r="L10367" s="1127"/>
    </row>
    <row r="10368" spans="1:12" x14ac:dyDescent="0.2">
      <c r="A10368" s="997">
        <f t="shared" si="161"/>
        <v>10367</v>
      </c>
      <c r="B10368" s="1129" t="s">
        <v>2725</v>
      </c>
      <c r="C10368" s="1139"/>
      <c r="D10368" s="1129"/>
      <c r="E10368" s="1129"/>
      <c r="F10368" s="1129"/>
      <c r="G10368" s="1129"/>
      <c r="H10368" s="1129" t="s">
        <v>2737</v>
      </c>
      <c r="I10368" s="1129"/>
      <c r="J10368" s="1129"/>
      <c r="K10368" s="1129"/>
      <c r="L10368" s="1127"/>
    </row>
    <row r="10369" spans="1:12" x14ac:dyDescent="0.2">
      <c r="A10369" s="997">
        <f t="shared" si="161"/>
        <v>10368</v>
      </c>
      <c r="B10369" s="1129" t="s">
        <v>2725</v>
      </c>
      <c r="C10369" s="1138"/>
      <c r="D10369" s="1129"/>
      <c r="E10369" s="1129"/>
      <c r="F10369" s="1129"/>
      <c r="G10369" s="1129" t="s">
        <v>1109</v>
      </c>
      <c r="H10369" s="1129"/>
      <c r="I10369" s="1129"/>
      <c r="J10369" s="1129"/>
      <c r="K10369" s="1129"/>
      <c r="L10369" s="1127"/>
    </row>
    <row r="10370" spans="1:12" x14ac:dyDescent="0.2">
      <c r="A10370" s="997">
        <f t="shared" si="161"/>
        <v>10369</v>
      </c>
      <c r="B10370" s="1129" t="s">
        <v>2725</v>
      </c>
      <c r="C10370" s="1138"/>
      <c r="D10370" s="1129"/>
      <c r="E10370" s="1129"/>
      <c r="F10370" s="1129"/>
      <c r="G10370" s="1129" t="s">
        <v>1106</v>
      </c>
      <c r="H10370" s="1129"/>
      <c r="I10370" s="1129"/>
      <c r="J10370" s="1129"/>
      <c r="K10370" s="1129"/>
      <c r="L10370" s="1127"/>
    </row>
    <row r="10371" spans="1:12" x14ac:dyDescent="0.2">
      <c r="A10371" s="997">
        <f t="shared" si="161"/>
        <v>10370</v>
      </c>
      <c r="B10371" s="1129" t="s">
        <v>2725</v>
      </c>
      <c r="C10371" s="1139"/>
      <c r="D10371" s="1129"/>
      <c r="E10371" s="1129"/>
      <c r="F10371" s="1129"/>
      <c r="G10371" s="1129"/>
      <c r="H10371" s="1129" t="s">
        <v>2483</v>
      </c>
      <c r="I10371" s="1129"/>
      <c r="J10371" s="1129"/>
      <c r="K10371" s="1129"/>
      <c r="L10371" s="1127"/>
    </row>
    <row r="10372" spans="1:12" x14ac:dyDescent="0.2">
      <c r="A10372" s="997">
        <f t="shared" ref="A10372:A10435" si="162">+A10371+1</f>
        <v>10371</v>
      </c>
      <c r="B10372" s="1129" t="s">
        <v>2725</v>
      </c>
      <c r="C10372" s="1140"/>
      <c r="D10372" s="1129"/>
      <c r="E10372" s="1129"/>
      <c r="F10372" s="1129"/>
      <c r="G10372" s="1129"/>
      <c r="H10372" s="1129" t="str">
        <f>CONCATENATE("&lt;valeur&gt;",Cellule_1274_4,"&lt;/valeur&gt;")</f>
        <v>&lt;valeur&gt;&lt;/valeur&gt;</v>
      </c>
      <c r="I10372" s="1129"/>
      <c r="J10372" s="1129"/>
      <c r="K10372" s="1129"/>
      <c r="L10372" s="1127"/>
    </row>
    <row r="10373" spans="1:12" x14ac:dyDescent="0.2">
      <c r="A10373" s="997">
        <f t="shared" si="162"/>
        <v>10372</v>
      </c>
      <c r="B10373" s="1129" t="s">
        <v>2725</v>
      </c>
      <c r="C10373" s="1139"/>
      <c r="D10373" s="1129"/>
      <c r="E10373" s="1129"/>
      <c r="F10373" s="1129"/>
      <c r="G10373" s="1129"/>
      <c r="H10373" s="1129" t="s">
        <v>2737</v>
      </c>
      <c r="I10373" s="1129"/>
      <c r="J10373" s="1129"/>
      <c r="K10373" s="1129"/>
      <c r="L10373" s="1127"/>
    </row>
    <row r="10374" spans="1:12" x14ac:dyDescent="0.2">
      <c r="A10374" s="997">
        <f t="shared" si="162"/>
        <v>10373</v>
      </c>
      <c r="B10374" s="1130" t="s">
        <v>2725</v>
      </c>
      <c r="C10374" s="1144"/>
      <c r="D10374" s="1130"/>
      <c r="E10374" s="1130"/>
      <c r="F10374" s="1130"/>
      <c r="G10374" s="1130" t="s">
        <v>1109</v>
      </c>
      <c r="H10374" s="1130"/>
      <c r="I10374" s="1130"/>
      <c r="J10374" s="1130"/>
      <c r="K10374" s="1130"/>
      <c r="L10374" s="1142"/>
    </row>
    <row r="10375" spans="1:12" x14ac:dyDescent="0.2">
      <c r="A10375" s="997">
        <f t="shared" si="162"/>
        <v>10374</v>
      </c>
      <c r="B10375" s="1128" t="s">
        <v>2725</v>
      </c>
      <c r="C10375" s="1137"/>
      <c r="D10375" s="1128"/>
      <c r="E10375" s="1128"/>
      <c r="F10375" s="1128"/>
      <c r="G10375" s="1128" t="s">
        <v>1106</v>
      </c>
      <c r="H10375" s="1128"/>
      <c r="I10375" s="1128"/>
      <c r="J10375" s="1128"/>
      <c r="K10375" s="1128"/>
      <c r="L10375" s="1124"/>
    </row>
    <row r="10376" spans="1:12" x14ac:dyDescent="0.2">
      <c r="A10376" s="997">
        <f t="shared" si="162"/>
        <v>10375</v>
      </c>
      <c r="B10376" s="1129" t="s">
        <v>2725</v>
      </c>
      <c r="C10376" s="1139"/>
      <c r="D10376" s="1129"/>
      <c r="E10376" s="1129"/>
      <c r="F10376" s="1129"/>
      <c r="G10376" s="1129"/>
      <c r="H10376" s="1129" t="s">
        <v>2476</v>
      </c>
      <c r="I10376" s="1129"/>
      <c r="J10376" s="1129"/>
      <c r="K10376" s="1129"/>
      <c r="L10376" s="1127"/>
    </row>
    <row r="10377" spans="1:12" x14ac:dyDescent="0.2">
      <c r="A10377" s="997">
        <f t="shared" si="162"/>
        <v>10376</v>
      </c>
      <c r="B10377" s="1129" t="s">
        <v>2725</v>
      </c>
      <c r="C10377" s="1140"/>
      <c r="D10377" s="1129"/>
      <c r="E10377" s="1129"/>
      <c r="F10377" s="1129"/>
      <c r="G10377" s="1129"/>
      <c r="H10377" s="1129" t="str">
        <f>CONCATENATE("&lt;valeur&gt;",Cellule_1267_5,"&lt;/valeur&gt;")</f>
        <v>&lt;valeur&gt;&lt;/valeur&gt;</v>
      </c>
      <c r="I10377" s="1129"/>
      <c r="J10377" s="1129"/>
      <c r="K10377" s="1129"/>
      <c r="L10377" s="1127"/>
    </row>
    <row r="10378" spans="1:12" x14ac:dyDescent="0.2">
      <c r="A10378" s="997">
        <f t="shared" si="162"/>
        <v>10377</v>
      </c>
      <c r="B10378" s="1129" t="s">
        <v>2725</v>
      </c>
      <c r="C10378" s="1139"/>
      <c r="D10378" s="1129"/>
      <c r="E10378" s="1129"/>
      <c r="F10378" s="1129"/>
      <c r="G10378" s="1129"/>
      <c r="H10378" s="1129" t="s">
        <v>2738</v>
      </c>
      <c r="I10378" s="1129"/>
      <c r="J10378" s="1129"/>
      <c r="K10378" s="1129"/>
      <c r="L10378" s="1127"/>
    </row>
    <row r="10379" spans="1:12" x14ac:dyDescent="0.2">
      <c r="A10379" s="997">
        <f t="shared" si="162"/>
        <v>10378</v>
      </c>
      <c r="B10379" s="1129" t="s">
        <v>2725</v>
      </c>
      <c r="C10379" s="1139"/>
      <c r="D10379" s="1129"/>
      <c r="E10379" s="1129"/>
      <c r="F10379" s="1129"/>
      <c r="G10379" s="1129" t="s">
        <v>1109</v>
      </c>
      <c r="H10379" s="1129"/>
      <c r="I10379" s="1129"/>
      <c r="J10379" s="1129"/>
      <c r="K10379" s="1129"/>
      <c r="L10379" s="1127"/>
    </row>
    <row r="10380" spans="1:12" x14ac:dyDescent="0.2">
      <c r="A10380" s="997">
        <f t="shared" si="162"/>
        <v>10379</v>
      </c>
      <c r="B10380" s="1129" t="s">
        <v>2725</v>
      </c>
      <c r="C10380" s="1139"/>
      <c r="D10380" s="1129"/>
      <c r="E10380" s="1129"/>
      <c r="F10380" s="1129"/>
      <c r="G10380" s="1129" t="s">
        <v>1106</v>
      </c>
      <c r="H10380" s="1129"/>
      <c r="I10380" s="1129"/>
      <c r="J10380" s="1129"/>
      <c r="K10380" s="1129"/>
      <c r="L10380" s="1127"/>
    </row>
    <row r="10381" spans="1:12" x14ac:dyDescent="0.2">
      <c r="A10381" s="997">
        <f t="shared" si="162"/>
        <v>10380</v>
      </c>
      <c r="B10381" s="1129" t="s">
        <v>2725</v>
      </c>
      <c r="C10381" s="1138"/>
      <c r="D10381" s="1129"/>
      <c r="E10381" s="1129"/>
      <c r="F10381" s="1129"/>
      <c r="G10381" s="1129"/>
      <c r="H10381" s="1129" t="s">
        <v>2477</v>
      </c>
      <c r="I10381" s="1129"/>
      <c r="J10381" s="1129"/>
      <c r="K10381" s="1129"/>
      <c r="L10381" s="1127"/>
    </row>
    <row r="10382" spans="1:12" x14ac:dyDescent="0.2">
      <c r="A10382" s="997">
        <f t="shared" si="162"/>
        <v>10381</v>
      </c>
      <c r="B10382" s="1129" t="s">
        <v>2725</v>
      </c>
      <c r="C10382" s="1138"/>
      <c r="D10382" s="1129"/>
      <c r="E10382" s="1129"/>
      <c r="F10382" s="1129"/>
      <c r="G10382" s="1129"/>
      <c r="H10382" s="1129" t="str">
        <f>CONCATENATE("&lt;valeur&gt;",Cellule_1268_5,"&lt;/valeur&gt;")</f>
        <v>&lt;valeur&gt;&lt;/valeur&gt;</v>
      </c>
      <c r="I10382" s="1129"/>
      <c r="J10382" s="1129"/>
      <c r="K10382" s="1129"/>
      <c r="L10382" s="1127"/>
    </row>
    <row r="10383" spans="1:12" x14ac:dyDescent="0.2">
      <c r="A10383" s="997">
        <f t="shared" si="162"/>
        <v>10382</v>
      </c>
      <c r="B10383" s="1129" t="s">
        <v>2725</v>
      </c>
      <c r="C10383" s="1139"/>
      <c r="D10383" s="1129"/>
      <c r="E10383" s="1129"/>
      <c r="F10383" s="1129"/>
      <c r="G10383" s="1129"/>
      <c r="H10383" s="1129" t="s">
        <v>2738</v>
      </c>
      <c r="I10383" s="1129"/>
      <c r="J10383" s="1129"/>
      <c r="K10383" s="1129"/>
      <c r="L10383" s="1127"/>
    </row>
    <row r="10384" spans="1:12" x14ac:dyDescent="0.2">
      <c r="A10384" s="997">
        <f t="shared" si="162"/>
        <v>10383</v>
      </c>
      <c r="B10384" s="1129" t="s">
        <v>2725</v>
      </c>
      <c r="C10384" s="1140"/>
      <c r="D10384" s="1129"/>
      <c r="E10384" s="1129"/>
      <c r="F10384" s="1129"/>
      <c r="G10384" s="1129" t="s">
        <v>1109</v>
      </c>
      <c r="H10384" s="1129"/>
      <c r="I10384" s="1129"/>
      <c r="J10384" s="1129"/>
      <c r="K10384" s="1129"/>
      <c r="L10384" s="1127"/>
    </row>
    <row r="10385" spans="1:12" x14ac:dyDescent="0.2">
      <c r="A10385" s="997">
        <f t="shared" si="162"/>
        <v>10384</v>
      </c>
      <c r="B10385" s="1129" t="s">
        <v>2725</v>
      </c>
      <c r="C10385" s="1139"/>
      <c r="D10385" s="1129"/>
      <c r="E10385" s="1129"/>
      <c r="F10385" s="1129"/>
      <c r="G10385" s="1129" t="s">
        <v>1106</v>
      </c>
      <c r="H10385" s="1129"/>
      <c r="I10385" s="1129"/>
      <c r="J10385" s="1129"/>
      <c r="K10385" s="1129"/>
      <c r="L10385" s="1127"/>
    </row>
    <row r="10386" spans="1:12" x14ac:dyDescent="0.2">
      <c r="A10386" s="997">
        <f t="shared" si="162"/>
        <v>10385</v>
      </c>
      <c r="B10386" s="1129" t="s">
        <v>2725</v>
      </c>
      <c r="C10386" s="1139"/>
      <c r="D10386" s="1129"/>
      <c r="E10386" s="1129"/>
      <c r="F10386" s="1129"/>
      <c r="G10386" s="1129"/>
      <c r="H10386" s="1129" t="s">
        <v>2478</v>
      </c>
      <c r="I10386" s="1129"/>
      <c r="J10386" s="1129"/>
      <c r="K10386" s="1129"/>
      <c r="L10386" s="1127"/>
    </row>
    <row r="10387" spans="1:12" x14ac:dyDescent="0.2">
      <c r="A10387" s="997">
        <f t="shared" si="162"/>
        <v>10386</v>
      </c>
      <c r="B10387" s="1129" t="s">
        <v>2725</v>
      </c>
      <c r="C10387" s="1139"/>
      <c r="D10387" s="1129"/>
      <c r="E10387" s="1129"/>
      <c r="F10387" s="1129"/>
      <c r="G10387" s="1129"/>
      <c r="H10387" s="1129" t="str">
        <f>CONCATENATE("&lt;valeur&gt;",Cellule_1269_5,"&lt;/valeur&gt;")</f>
        <v>&lt;valeur&gt;&lt;/valeur&gt;</v>
      </c>
      <c r="I10387" s="1129"/>
      <c r="J10387" s="1129"/>
      <c r="K10387" s="1129"/>
      <c r="L10387" s="1127"/>
    </row>
    <row r="10388" spans="1:12" x14ac:dyDescent="0.2">
      <c r="A10388" s="997">
        <f t="shared" si="162"/>
        <v>10387</v>
      </c>
      <c r="B10388" s="1129" t="s">
        <v>2725</v>
      </c>
      <c r="C10388" s="1138"/>
      <c r="D10388" s="1129"/>
      <c r="E10388" s="1129"/>
      <c r="F10388" s="1129"/>
      <c r="G10388" s="1129"/>
      <c r="H10388" s="1129" t="s">
        <v>2738</v>
      </c>
      <c r="I10388" s="1129"/>
      <c r="J10388" s="1129"/>
      <c r="K10388" s="1129"/>
      <c r="L10388" s="1127"/>
    </row>
    <row r="10389" spans="1:12" x14ac:dyDescent="0.2">
      <c r="A10389" s="997">
        <f t="shared" si="162"/>
        <v>10388</v>
      </c>
      <c r="B10389" s="1129" t="s">
        <v>2725</v>
      </c>
      <c r="C10389" s="1138"/>
      <c r="D10389" s="1129"/>
      <c r="E10389" s="1129"/>
      <c r="F10389" s="1129"/>
      <c r="G10389" s="1129" t="s">
        <v>1109</v>
      </c>
      <c r="H10389" s="1129"/>
      <c r="I10389" s="1129"/>
      <c r="J10389" s="1129"/>
      <c r="K10389" s="1129"/>
      <c r="L10389" s="1127"/>
    </row>
    <row r="10390" spans="1:12" x14ac:dyDescent="0.2">
      <c r="A10390" s="997">
        <f t="shared" si="162"/>
        <v>10389</v>
      </c>
      <c r="B10390" s="1129" t="s">
        <v>2725</v>
      </c>
      <c r="C10390" s="1139"/>
      <c r="D10390" s="1129"/>
      <c r="E10390" s="1129"/>
      <c r="F10390" s="1129"/>
      <c r="G10390" s="1129" t="s">
        <v>1106</v>
      </c>
      <c r="H10390" s="1129"/>
      <c r="I10390" s="1129"/>
      <c r="J10390" s="1129"/>
      <c r="K10390" s="1129"/>
      <c r="L10390" s="1127"/>
    </row>
    <row r="10391" spans="1:12" x14ac:dyDescent="0.2">
      <c r="A10391" s="997">
        <f t="shared" si="162"/>
        <v>10390</v>
      </c>
      <c r="B10391" s="1129" t="s">
        <v>2725</v>
      </c>
      <c r="C10391" s="1140"/>
      <c r="D10391" s="1129"/>
      <c r="E10391" s="1129"/>
      <c r="F10391" s="1129"/>
      <c r="G10391" s="1129"/>
      <c r="H10391" s="1129" t="s">
        <v>2479</v>
      </c>
      <c r="I10391" s="1129"/>
      <c r="J10391" s="1129"/>
      <c r="K10391" s="1129"/>
      <c r="L10391" s="1127"/>
    </row>
    <row r="10392" spans="1:12" x14ac:dyDescent="0.2">
      <c r="A10392" s="997">
        <f t="shared" si="162"/>
        <v>10391</v>
      </c>
      <c r="B10392" s="1129" t="s">
        <v>2725</v>
      </c>
      <c r="C10392" s="1139"/>
      <c r="D10392" s="1129"/>
      <c r="E10392" s="1129"/>
      <c r="F10392" s="1129"/>
      <c r="G10392" s="1129"/>
      <c r="H10392" s="1129" t="str">
        <f>CONCATENATE("&lt;valeur&gt;",Cellule_1270_5,"&lt;/valeur&gt;")</f>
        <v>&lt;valeur&gt;&lt;/valeur&gt;</v>
      </c>
      <c r="I10392" s="1129"/>
      <c r="J10392" s="1129"/>
      <c r="K10392" s="1129"/>
      <c r="L10392" s="1127"/>
    </row>
    <row r="10393" spans="1:12" x14ac:dyDescent="0.2">
      <c r="A10393" s="997">
        <f t="shared" si="162"/>
        <v>10392</v>
      </c>
      <c r="B10393" s="1129" t="s">
        <v>2725</v>
      </c>
      <c r="C10393" s="1139"/>
      <c r="D10393" s="1129"/>
      <c r="E10393" s="1129"/>
      <c r="F10393" s="1129"/>
      <c r="G10393" s="1129"/>
      <c r="H10393" s="1129" t="s">
        <v>2738</v>
      </c>
      <c r="I10393" s="1129"/>
      <c r="J10393" s="1129"/>
      <c r="K10393" s="1129"/>
      <c r="L10393" s="1127"/>
    </row>
    <row r="10394" spans="1:12" x14ac:dyDescent="0.2">
      <c r="A10394" s="997">
        <f t="shared" si="162"/>
        <v>10393</v>
      </c>
      <c r="B10394" s="1129" t="s">
        <v>2725</v>
      </c>
      <c r="C10394" s="1139"/>
      <c r="D10394" s="1129"/>
      <c r="E10394" s="1129"/>
      <c r="F10394" s="1129"/>
      <c r="G10394" s="1129" t="s">
        <v>1109</v>
      </c>
      <c r="H10394" s="1129"/>
      <c r="I10394" s="1129"/>
      <c r="J10394" s="1129"/>
      <c r="K10394" s="1129"/>
      <c r="L10394" s="1127"/>
    </row>
    <row r="10395" spans="1:12" x14ac:dyDescent="0.2">
      <c r="A10395" s="997">
        <f t="shared" si="162"/>
        <v>10394</v>
      </c>
      <c r="B10395" s="1129" t="s">
        <v>2725</v>
      </c>
      <c r="C10395" s="1138"/>
      <c r="D10395" s="1129"/>
      <c r="E10395" s="1129"/>
      <c r="F10395" s="1129"/>
      <c r="G10395" s="1129" t="s">
        <v>1106</v>
      </c>
      <c r="H10395" s="1129"/>
      <c r="I10395" s="1129"/>
      <c r="J10395" s="1129"/>
      <c r="K10395" s="1129"/>
      <c r="L10395" s="1127"/>
    </row>
    <row r="10396" spans="1:12" x14ac:dyDescent="0.2">
      <c r="A10396" s="997">
        <f t="shared" si="162"/>
        <v>10395</v>
      </c>
      <c r="B10396" s="1129" t="s">
        <v>2725</v>
      </c>
      <c r="C10396" s="1138"/>
      <c r="D10396" s="1129"/>
      <c r="E10396" s="1129"/>
      <c r="F10396" s="1129"/>
      <c r="G10396" s="1129"/>
      <c r="H10396" s="1129" t="s">
        <v>2480</v>
      </c>
      <c r="I10396" s="1129"/>
      <c r="J10396" s="1129"/>
      <c r="K10396" s="1129"/>
      <c r="L10396" s="1127"/>
    </row>
    <row r="10397" spans="1:12" x14ac:dyDescent="0.2">
      <c r="A10397" s="997">
        <f t="shared" si="162"/>
        <v>10396</v>
      </c>
      <c r="B10397" s="1129" t="s">
        <v>2725</v>
      </c>
      <c r="C10397" s="1139"/>
      <c r="D10397" s="1129"/>
      <c r="E10397" s="1129"/>
      <c r="F10397" s="1129"/>
      <c r="G10397" s="1129"/>
      <c r="H10397" s="1129" t="str">
        <f>CONCATENATE("&lt;valeur&gt;",Cellule_1271_5,"&lt;/valeur&gt;")</f>
        <v>&lt;valeur&gt;&lt;/valeur&gt;</v>
      </c>
      <c r="I10397" s="1129"/>
      <c r="J10397" s="1129"/>
      <c r="K10397" s="1129"/>
      <c r="L10397" s="1127"/>
    </row>
    <row r="10398" spans="1:12" x14ac:dyDescent="0.2">
      <c r="A10398" s="997">
        <f t="shared" si="162"/>
        <v>10397</v>
      </c>
      <c r="B10398" s="1129" t="s">
        <v>2725</v>
      </c>
      <c r="C10398" s="1140"/>
      <c r="D10398" s="1129"/>
      <c r="E10398" s="1129"/>
      <c r="F10398" s="1129"/>
      <c r="G10398" s="1129"/>
      <c r="H10398" s="1129" t="s">
        <v>2738</v>
      </c>
      <c r="I10398" s="1129"/>
      <c r="J10398" s="1129"/>
      <c r="K10398" s="1129"/>
      <c r="L10398" s="1127"/>
    </row>
    <row r="10399" spans="1:12" x14ac:dyDescent="0.2">
      <c r="A10399" s="997">
        <f t="shared" si="162"/>
        <v>10398</v>
      </c>
      <c r="B10399" s="1129" t="s">
        <v>2725</v>
      </c>
      <c r="C10399" s="1139"/>
      <c r="D10399" s="1129"/>
      <c r="E10399" s="1129"/>
      <c r="F10399" s="1129"/>
      <c r="G10399" s="1129" t="s">
        <v>1109</v>
      </c>
      <c r="H10399" s="1129"/>
      <c r="I10399" s="1129"/>
      <c r="J10399" s="1129"/>
      <c r="K10399" s="1129"/>
      <c r="L10399" s="1127"/>
    </row>
    <row r="10400" spans="1:12" x14ac:dyDescent="0.2">
      <c r="A10400" s="997">
        <f t="shared" si="162"/>
        <v>10399</v>
      </c>
      <c r="B10400" s="1129" t="s">
        <v>2725</v>
      </c>
      <c r="C10400" s="1139"/>
      <c r="D10400" s="1129"/>
      <c r="E10400" s="1129"/>
      <c r="F10400" s="1129"/>
      <c r="G10400" s="1129" t="s">
        <v>1106</v>
      </c>
      <c r="H10400" s="1129"/>
      <c r="I10400" s="1129"/>
      <c r="J10400" s="1129"/>
      <c r="K10400" s="1129"/>
      <c r="L10400" s="1127"/>
    </row>
    <row r="10401" spans="1:12" x14ac:dyDescent="0.2">
      <c r="A10401" s="997">
        <f t="shared" si="162"/>
        <v>10400</v>
      </c>
      <c r="B10401" s="1129" t="s">
        <v>2725</v>
      </c>
      <c r="C10401" s="1139"/>
      <c r="D10401" s="1129"/>
      <c r="E10401" s="1129"/>
      <c r="F10401" s="1129"/>
      <c r="G10401" s="1129"/>
      <c r="H10401" s="1129" t="s">
        <v>2481</v>
      </c>
      <c r="I10401" s="1129"/>
      <c r="J10401" s="1129"/>
      <c r="K10401" s="1129"/>
      <c r="L10401" s="1127"/>
    </row>
    <row r="10402" spans="1:12" x14ac:dyDescent="0.2">
      <c r="A10402" s="997">
        <f t="shared" si="162"/>
        <v>10401</v>
      </c>
      <c r="B10402" s="1129" t="s">
        <v>2725</v>
      </c>
      <c r="C10402" s="1138"/>
      <c r="D10402" s="1129"/>
      <c r="E10402" s="1129"/>
      <c r="F10402" s="1129"/>
      <c r="G10402" s="1129"/>
      <c r="H10402" s="1129" t="str">
        <f>CONCATENATE("&lt;valeur&gt;",Cellule_1272_5,"&lt;/valeur&gt;")</f>
        <v>&lt;valeur&gt;&lt;/valeur&gt;</v>
      </c>
      <c r="I10402" s="1129"/>
      <c r="J10402" s="1129"/>
      <c r="K10402" s="1129"/>
      <c r="L10402" s="1127"/>
    </row>
    <row r="10403" spans="1:12" x14ac:dyDescent="0.2">
      <c r="A10403" s="997">
        <f t="shared" si="162"/>
        <v>10402</v>
      </c>
      <c r="B10403" s="1129" t="s">
        <v>2725</v>
      </c>
      <c r="C10403" s="1138"/>
      <c r="D10403" s="1129"/>
      <c r="E10403" s="1129"/>
      <c r="F10403" s="1129"/>
      <c r="G10403" s="1129"/>
      <c r="H10403" s="1129" t="s">
        <v>2738</v>
      </c>
      <c r="I10403" s="1129"/>
      <c r="J10403" s="1129"/>
      <c r="K10403" s="1129"/>
      <c r="L10403" s="1127"/>
    </row>
    <row r="10404" spans="1:12" x14ac:dyDescent="0.2">
      <c r="A10404" s="997">
        <f t="shared" si="162"/>
        <v>10403</v>
      </c>
      <c r="B10404" s="1129" t="s">
        <v>2725</v>
      </c>
      <c r="C10404" s="1139"/>
      <c r="D10404" s="1129"/>
      <c r="E10404" s="1129"/>
      <c r="F10404" s="1129"/>
      <c r="G10404" s="1129" t="s">
        <v>1109</v>
      </c>
      <c r="H10404" s="1129"/>
      <c r="I10404" s="1129"/>
      <c r="J10404" s="1129"/>
      <c r="K10404" s="1129"/>
      <c r="L10404" s="1127"/>
    </row>
    <row r="10405" spans="1:12" x14ac:dyDescent="0.2">
      <c r="A10405" s="997">
        <f t="shared" si="162"/>
        <v>10404</v>
      </c>
      <c r="B10405" s="1129" t="s">
        <v>2725</v>
      </c>
      <c r="C10405" s="1140"/>
      <c r="D10405" s="1129"/>
      <c r="E10405" s="1129"/>
      <c r="F10405" s="1129"/>
      <c r="G10405" s="1129" t="s">
        <v>1106</v>
      </c>
      <c r="H10405" s="1129"/>
      <c r="I10405" s="1129"/>
      <c r="J10405" s="1129"/>
      <c r="K10405" s="1129"/>
      <c r="L10405" s="1127"/>
    </row>
    <row r="10406" spans="1:12" x14ac:dyDescent="0.2">
      <c r="A10406" s="997">
        <f t="shared" si="162"/>
        <v>10405</v>
      </c>
      <c r="B10406" s="1129" t="s">
        <v>2725</v>
      </c>
      <c r="C10406" s="1139"/>
      <c r="D10406" s="1129"/>
      <c r="E10406" s="1129"/>
      <c r="F10406" s="1129"/>
      <c r="G10406" s="1129"/>
      <c r="H10406" s="1129" t="s">
        <v>2482</v>
      </c>
      <c r="I10406" s="1129"/>
      <c r="J10406" s="1129"/>
      <c r="K10406" s="1129"/>
      <c r="L10406" s="1127"/>
    </row>
    <row r="10407" spans="1:12" x14ac:dyDescent="0.2">
      <c r="A10407" s="997">
        <f t="shared" si="162"/>
        <v>10406</v>
      </c>
      <c r="B10407" s="1129" t="s">
        <v>2725</v>
      </c>
      <c r="C10407" s="1139"/>
      <c r="D10407" s="1129"/>
      <c r="E10407" s="1129"/>
      <c r="F10407" s="1129"/>
      <c r="G10407" s="1129"/>
      <c r="H10407" s="1129" t="str">
        <f>CONCATENATE("&lt;valeur&gt;",Cellule_1273_5,"&lt;/valeur&gt;")</f>
        <v>&lt;valeur&gt;&lt;/valeur&gt;</v>
      </c>
      <c r="I10407" s="1129"/>
      <c r="J10407" s="1129"/>
      <c r="K10407" s="1129"/>
      <c r="L10407" s="1127"/>
    </row>
    <row r="10408" spans="1:12" x14ac:dyDescent="0.2">
      <c r="A10408" s="997">
        <f t="shared" si="162"/>
        <v>10407</v>
      </c>
      <c r="B10408" s="1129" t="s">
        <v>2725</v>
      </c>
      <c r="C10408" s="1139"/>
      <c r="D10408" s="1129"/>
      <c r="E10408" s="1129"/>
      <c r="F10408" s="1129"/>
      <c r="G10408" s="1129"/>
      <c r="H10408" s="1129" t="s">
        <v>2738</v>
      </c>
      <c r="I10408" s="1129"/>
      <c r="J10408" s="1129"/>
      <c r="K10408" s="1129"/>
      <c r="L10408" s="1127"/>
    </row>
    <row r="10409" spans="1:12" x14ac:dyDescent="0.2">
      <c r="A10409" s="997">
        <f t="shared" si="162"/>
        <v>10408</v>
      </c>
      <c r="B10409" s="1129" t="s">
        <v>2725</v>
      </c>
      <c r="C10409" s="1138"/>
      <c r="D10409" s="1129"/>
      <c r="E10409" s="1129"/>
      <c r="F10409" s="1129"/>
      <c r="G10409" s="1129" t="s">
        <v>1109</v>
      </c>
      <c r="H10409" s="1129"/>
      <c r="I10409" s="1129"/>
      <c r="J10409" s="1129"/>
      <c r="K10409" s="1129"/>
      <c r="L10409" s="1127"/>
    </row>
    <row r="10410" spans="1:12" x14ac:dyDescent="0.2">
      <c r="A10410" s="997">
        <f t="shared" si="162"/>
        <v>10409</v>
      </c>
      <c r="B10410" s="1129" t="s">
        <v>2725</v>
      </c>
      <c r="C10410" s="1138"/>
      <c r="D10410" s="1129"/>
      <c r="E10410" s="1129"/>
      <c r="F10410" s="1129"/>
      <c r="G10410" s="1129" t="s">
        <v>1106</v>
      </c>
      <c r="H10410" s="1129"/>
      <c r="I10410" s="1129"/>
      <c r="J10410" s="1129"/>
      <c r="K10410" s="1129"/>
      <c r="L10410" s="1127"/>
    </row>
    <row r="10411" spans="1:12" x14ac:dyDescent="0.2">
      <c r="A10411" s="997">
        <f t="shared" si="162"/>
        <v>10410</v>
      </c>
      <c r="B10411" s="1129" t="s">
        <v>2725</v>
      </c>
      <c r="C10411" s="1139"/>
      <c r="D10411" s="1129"/>
      <c r="E10411" s="1129"/>
      <c r="F10411" s="1129"/>
      <c r="G10411" s="1129"/>
      <c r="H10411" s="1129" t="s">
        <v>2483</v>
      </c>
      <c r="I10411" s="1129"/>
      <c r="J10411" s="1129"/>
      <c r="K10411" s="1129"/>
      <c r="L10411" s="1127"/>
    </row>
    <row r="10412" spans="1:12" x14ac:dyDescent="0.2">
      <c r="A10412" s="997">
        <f t="shared" si="162"/>
        <v>10411</v>
      </c>
      <c r="B10412" s="1129" t="s">
        <v>2725</v>
      </c>
      <c r="C10412" s="1140"/>
      <c r="D10412" s="1129"/>
      <c r="E10412" s="1129"/>
      <c r="F10412" s="1129"/>
      <c r="G10412" s="1129"/>
      <c r="H10412" s="1129" t="str">
        <f>CONCATENATE("&lt;valeur&gt;",Cellule_1274_5,"&lt;/valeur&gt;")</f>
        <v>&lt;valeur&gt;&lt;/valeur&gt;</v>
      </c>
      <c r="I10412" s="1129"/>
      <c r="J10412" s="1129"/>
      <c r="K10412" s="1129"/>
      <c r="L10412" s="1127"/>
    </row>
    <row r="10413" spans="1:12" x14ac:dyDescent="0.2">
      <c r="A10413" s="997">
        <f t="shared" si="162"/>
        <v>10412</v>
      </c>
      <c r="B10413" s="1129" t="s">
        <v>2725</v>
      </c>
      <c r="C10413" s="1139"/>
      <c r="D10413" s="1129"/>
      <c r="E10413" s="1129"/>
      <c r="F10413" s="1129"/>
      <c r="G10413" s="1129"/>
      <c r="H10413" s="1129" t="s">
        <v>2738</v>
      </c>
      <c r="I10413" s="1129"/>
      <c r="J10413" s="1129"/>
      <c r="K10413" s="1129"/>
      <c r="L10413" s="1127"/>
    </row>
    <row r="10414" spans="1:12" x14ac:dyDescent="0.2">
      <c r="A10414" s="997">
        <f t="shared" si="162"/>
        <v>10413</v>
      </c>
      <c r="B10414" s="1130" t="s">
        <v>2725</v>
      </c>
      <c r="C10414" s="1144"/>
      <c r="D10414" s="1130"/>
      <c r="E10414" s="1130"/>
      <c r="F10414" s="1130"/>
      <c r="G10414" s="1130" t="s">
        <v>1109</v>
      </c>
      <c r="H10414" s="1130"/>
      <c r="I10414" s="1130"/>
      <c r="J10414" s="1130"/>
      <c r="K10414" s="1130"/>
      <c r="L10414" s="1142"/>
    </row>
    <row r="10415" spans="1:12" x14ac:dyDescent="0.2">
      <c r="A10415" s="997">
        <f t="shared" si="162"/>
        <v>10414</v>
      </c>
      <c r="B10415" s="1128" t="s">
        <v>2725</v>
      </c>
      <c r="C10415" s="1137"/>
      <c r="D10415" s="1128"/>
      <c r="E10415" s="1128"/>
      <c r="F10415" s="1128"/>
      <c r="G10415" s="1128" t="s">
        <v>1106</v>
      </c>
      <c r="H10415" s="1128"/>
      <c r="I10415" s="1128"/>
      <c r="J10415" s="1128"/>
      <c r="K10415" s="1128"/>
      <c r="L10415" s="1124"/>
    </row>
    <row r="10416" spans="1:12" x14ac:dyDescent="0.2">
      <c r="A10416" s="997">
        <f t="shared" si="162"/>
        <v>10415</v>
      </c>
      <c r="B10416" s="1129" t="s">
        <v>2725</v>
      </c>
      <c r="C10416" s="1139"/>
      <c r="D10416" s="1129"/>
      <c r="E10416" s="1129"/>
      <c r="F10416" s="1129"/>
      <c r="G10416" s="1129"/>
      <c r="H10416" s="1129" t="s">
        <v>2476</v>
      </c>
      <c r="I10416" s="1129"/>
      <c r="J10416" s="1129"/>
      <c r="K10416" s="1129"/>
      <c r="L10416" s="1127"/>
    </row>
    <row r="10417" spans="1:12" x14ac:dyDescent="0.2">
      <c r="A10417" s="997">
        <f t="shared" si="162"/>
        <v>10416</v>
      </c>
      <c r="B10417" s="1129" t="s">
        <v>2725</v>
      </c>
      <c r="C10417" s="1140"/>
      <c r="D10417" s="1129"/>
      <c r="E10417" s="1129"/>
      <c r="F10417" s="1129"/>
      <c r="G10417" s="1129"/>
      <c r="H10417" s="1129" t="str">
        <f>CONCATENATE("&lt;valeur&gt;",Cellule_1267_6,"&lt;/valeur&gt;")</f>
        <v>&lt;valeur&gt;&lt;/valeur&gt;</v>
      </c>
      <c r="I10417" s="1129"/>
      <c r="J10417" s="1129"/>
      <c r="K10417" s="1129"/>
      <c r="L10417" s="1127"/>
    </row>
    <row r="10418" spans="1:12" x14ac:dyDescent="0.2">
      <c r="A10418" s="997">
        <f t="shared" si="162"/>
        <v>10417</v>
      </c>
      <c r="B10418" s="1129" t="s">
        <v>2725</v>
      </c>
      <c r="C10418" s="1139"/>
      <c r="D10418" s="1129"/>
      <c r="E10418" s="1129"/>
      <c r="F10418" s="1129"/>
      <c r="G10418" s="1129"/>
      <c r="H10418" s="1129" t="s">
        <v>2739</v>
      </c>
      <c r="I10418" s="1129"/>
      <c r="J10418" s="1129"/>
      <c r="K10418" s="1129"/>
      <c r="L10418" s="1127"/>
    </row>
    <row r="10419" spans="1:12" x14ac:dyDescent="0.2">
      <c r="A10419" s="997">
        <f t="shared" si="162"/>
        <v>10418</v>
      </c>
      <c r="B10419" s="1129" t="s">
        <v>2725</v>
      </c>
      <c r="C10419" s="1139"/>
      <c r="D10419" s="1129"/>
      <c r="E10419" s="1129"/>
      <c r="F10419" s="1129"/>
      <c r="G10419" s="1129" t="s">
        <v>1109</v>
      </c>
      <c r="H10419" s="1129"/>
      <c r="I10419" s="1129"/>
      <c r="J10419" s="1129"/>
      <c r="K10419" s="1129"/>
      <c r="L10419" s="1127"/>
    </row>
    <row r="10420" spans="1:12" x14ac:dyDescent="0.2">
      <c r="A10420" s="997">
        <f t="shared" si="162"/>
        <v>10419</v>
      </c>
      <c r="B10420" s="1129" t="s">
        <v>2725</v>
      </c>
      <c r="C10420" s="1139"/>
      <c r="D10420" s="1129"/>
      <c r="E10420" s="1129"/>
      <c r="F10420" s="1129"/>
      <c r="G10420" s="1129" t="s">
        <v>1106</v>
      </c>
      <c r="H10420" s="1129"/>
      <c r="I10420" s="1129"/>
      <c r="J10420" s="1129"/>
      <c r="K10420" s="1129"/>
      <c r="L10420" s="1127"/>
    </row>
    <row r="10421" spans="1:12" x14ac:dyDescent="0.2">
      <c r="A10421" s="997">
        <f t="shared" si="162"/>
        <v>10420</v>
      </c>
      <c r="B10421" s="1129" t="s">
        <v>2725</v>
      </c>
      <c r="C10421" s="1138"/>
      <c r="D10421" s="1129"/>
      <c r="E10421" s="1129"/>
      <c r="F10421" s="1129"/>
      <c r="G10421" s="1129"/>
      <c r="H10421" s="1129" t="s">
        <v>2477</v>
      </c>
      <c r="I10421" s="1129"/>
      <c r="J10421" s="1129"/>
      <c r="K10421" s="1129"/>
      <c r="L10421" s="1127"/>
    </row>
    <row r="10422" spans="1:12" x14ac:dyDescent="0.2">
      <c r="A10422" s="997">
        <f t="shared" si="162"/>
        <v>10421</v>
      </c>
      <c r="B10422" s="1129" t="s">
        <v>2725</v>
      </c>
      <c r="C10422" s="1138"/>
      <c r="D10422" s="1129"/>
      <c r="E10422" s="1129"/>
      <c r="F10422" s="1129"/>
      <c r="G10422" s="1129"/>
      <c r="H10422" s="1129" t="str">
        <f>CONCATENATE("&lt;valeur&gt;",Cellule_1268_6,"&lt;/valeur&gt;")</f>
        <v>&lt;valeur&gt;&lt;/valeur&gt;</v>
      </c>
      <c r="I10422" s="1129"/>
      <c r="J10422" s="1129"/>
      <c r="K10422" s="1129"/>
      <c r="L10422" s="1127"/>
    </row>
    <row r="10423" spans="1:12" x14ac:dyDescent="0.2">
      <c r="A10423" s="997">
        <f t="shared" si="162"/>
        <v>10422</v>
      </c>
      <c r="B10423" s="1129" t="s">
        <v>2725</v>
      </c>
      <c r="C10423" s="1139"/>
      <c r="D10423" s="1129"/>
      <c r="E10423" s="1129"/>
      <c r="F10423" s="1129"/>
      <c r="G10423" s="1129"/>
      <c r="H10423" s="1129" t="s">
        <v>2739</v>
      </c>
      <c r="I10423" s="1129"/>
      <c r="J10423" s="1129"/>
      <c r="K10423" s="1129"/>
      <c r="L10423" s="1127"/>
    </row>
    <row r="10424" spans="1:12" x14ac:dyDescent="0.2">
      <c r="A10424" s="997">
        <f t="shared" si="162"/>
        <v>10423</v>
      </c>
      <c r="B10424" s="1129" t="s">
        <v>2725</v>
      </c>
      <c r="C10424" s="1140"/>
      <c r="D10424" s="1129"/>
      <c r="E10424" s="1129"/>
      <c r="F10424" s="1129"/>
      <c r="G10424" s="1129" t="s">
        <v>1109</v>
      </c>
      <c r="H10424" s="1129"/>
      <c r="I10424" s="1129"/>
      <c r="J10424" s="1129"/>
      <c r="K10424" s="1129"/>
      <c r="L10424" s="1127"/>
    </row>
    <row r="10425" spans="1:12" x14ac:dyDescent="0.2">
      <c r="A10425" s="997">
        <f t="shared" si="162"/>
        <v>10424</v>
      </c>
      <c r="B10425" s="1129" t="s">
        <v>2725</v>
      </c>
      <c r="C10425" s="1139"/>
      <c r="D10425" s="1129"/>
      <c r="E10425" s="1129"/>
      <c r="F10425" s="1129"/>
      <c r="G10425" s="1129" t="s">
        <v>1106</v>
      </c>
      <c r="H10425" s="1129"/>
      <c r="I10425" s="1129"/>
      <c r="J10425" s="1129"/>
      <c r="K10425" s="1129"/>
      <c r="L10425" s="1127"/>
    </row>
    <row r="10426" spans="1:12" x14ac:dyDescent="0.2">
      <c r="A10426" s="997">
        <f t="shared" si="162"/>
        <v>10425</v>
      </c>
      <c r="B10426" s="1129" t="s">
        <v>2725</v>
      </c>
      <c r="C10426" s="1139"/>
      <c r="D10426" s="1129"/>
      <c r="E10426" s="1129"/>
      <c r="F10426" s="1129"/>
      <c r="G10426" s="1129"/>
      <c r="H10426" s="1129" t="s">
        <v>2478</v>
      </c>
      <c r="I10426" s="1129"/>
      <c r="J10426" s="1129"/>
      <c r="K10426" s="1129"/>
      <c r="L10426" s="1127"/>
    </row>
    <row r="10427" spans="1:12" x14ac:dyDescent="0.2">
      <c r="A10427" s="997">
        <f t="shared" si="162"/>
        <v>10426</v>
      </c>
      <c r="B10427" s="1129" t="s">
        <v>2725</v>
      </c>
      <c r="C10427" s="1139"/>
      <c r="D10427" s="1129"/>
      <c r="E10427" s="1129"/>
      <c r="F10427" s="1129"/>
      <c r="G10427" s="1129"/>
      <c r="H10427" s="1129" t="str">
        <f>CONCATENATE("&lt;valeur&gt;",Cellule_1269_6,"&lt;/valeur&gt;")</f>
        <v>&lt;valeur&gt;&lt;/valeur&gt;</v>
      </c>
      <c r="I10427" s="1129"/>
      <c r="J10427" s="1129"/>
      <c r="K10427" s="1129"/>
      <c r="L10427" s="1127"/>
    </row>
    <row r="10428" spans="1:12" x14ac:dyDescent="0.2">
      <c r="A10428" s="997">
        <f t="shared" si="162"/>
        <v>10427</v>
      </c>
      <c r="B10428" s="1129" t="s">
        <v>2725</v>
      </c>
      <c r="C10428" s="1138"/>
      <c r="D10428" s="1129"/>
      <c r="E10428" s="1129"/>
      <c r="F10428" s="1129"/>
      <c r="G10428" s="1129"/>
      <c r="H10428" s="1129" t="s">
        <v>2739</v>
      </c>
      <c r="I10428" s="1129"/>
      <c r="J10428" s="1129"/>
      <c r="K10428" s="1129"/>
      <c r="L10428" s="1127"/>
    </row>
    <row r="10429" spans="1:12" x14ac:dyDescent="0.2">
      <c r="A10429" s="997">
        <f t="shared" si="162"/>
        <v>10428</v>
      </c>
      <c r="B10429" s="1129" t="s">
        <v>2725</v>
      </c>
      <c r="C10429" s="1138"/>
      <c r="D10429" s="1129"/>
      <c r="E10429" s="1129"/>
      <c r="F10429" s="1129"/>
      <c r="G10429" s="1129" t="s">
        <v>1109</v>
      </c>
      <c r="H10429" s="1129"/>
      <c r="I10429" s="1129"/>
      <c r="J10429" s="1129"/>
      <c r="K10429" s="1129"/>
      <c r="L10429" s="1127"/>
    </row>
    <row r="10430" spans="1:12" x14ac:dyDescent="0.2">
      <c r="A10430" s="997">
        <f t="shared" si="162"/>
        <v>10429</v>
      </c>
      <c r="B10430" s="1129" t="s">
        <v>2725</v>
      </c>
      <c r="C10430" s="1139"/>
      <c r="D10430" s="1129"/>
      <c r="E10430" s="1129"/>
      <c r="F10430" s="1129"/>
      <c r="G10430" s="1129" t="s">
        <v>1106</v>
      </c>
      <c r="H10430" s="1129"/>
      <c r="I10430" s="1129"/>
      <c r="J10430" s="1129"/>
      <c r="K10430" s="1129"/>
      <c r="L10430" s="1127"/>
    </row>
    <row r="10431" spans="1:12" x14ac:dyDescent="0.2">
      <c r="A10431" s="997">
        <f t="shared" si="162"/>
        <v>10430</v>
      </c>
      <c r="B10431" s="1129" t="s">
        <v>2725</v>
      </c>
      <c r="C10431" s="1140"/>
      <c r="D10431" s="1129"/>
      <c r="E10431" s="1129"/>
      <c r="F10431" s="1129"/>
      <c r="G10431" s="1129"/>
      <c r="H10431" s="1129" t="s">
        <v>2479</v>
      </c>
      <c r="I10431" s="1129"/>
      <c r="J10431" s="1129"/>
      <c r="K10431" s="1129"/>
      <c r="L10431" s="1127"/>
    </row>
    <row r="10432" spans="1:12" x14ac:dyDescent="0.2">
      <c r="A10432" s="997">
        <f t="shared" si="162"/>
        <v>10431</v>
      </c>
      <c r="B10432" s="1129" t="s">
        <v>2725</v>
      </c>
      <c r="C10432" s="1139"/>
      <c r="D10432" s="1129"/>
      <c r="E10432" s="1129"/>
      <c r="F10432" s="1129"/>
      <c r="G10432" s="1129"/>
      <c r="H10432" s="1129" t="str">
        <f>CONCATENATE("&lt;valeur&gt;",Cellule_1270_6,"&lt;/valeur&gt;")</f>
        <v>&lt;valeur&gt;&lt;/valeur&gt;</v>
      </c>
      <c r="I10432" s="1129"/>
      <c r="J10432" s="1129"/>
      <c r="K10432" s="1129"/>
      <c r="L10432" s="1127"/>
    </row>
    <row r="10433" spans="1:12" x14ac:dyDescent="0.2">
      <c r="A10433" s="997">
        <f t="shared" si="162"/>
        <v>10432</v>
      </c>
      <c r="B10433" s="1129" t="s">
        <v>2725</v>
      </c>
      <c r="C10433" s="1139"/>
      <c r="D10433" s="1129"/>
      <c r="E10433" s="1129"/>
      <c r="F10433" s="1129"/>
      <c r="G10433" s="1129"/>
      <c r="H10433" s="1129" t="s">
        <v>2739</v>
      </c>
      <c r="I10433" s="1129"/>
      <c r="J10433" s="1129"/>
      <c r="K10433" s="1129"/>
      <c r="L10433" s="1127"/>
    </row>
    <row r="10434" spans="1:12" x14ac:dyDescent="0.2">
      <c r="A10434" s="997">
        <f t="shared" si="162"/>
        <v>10433</v>
      </c>
      <c r="B10434" s="1129" t="s">
        <v>2725</v>
      </c>
      <c r="C10434" s="1139"/>
      <c r="D10434" s="1129"/>
      <c r="E10434" s="1129"/>
      <c r="F10434" s="1129"/>
      <c r="G10434" s="1129" t="s">
        <v>1109</v>
      </c>
      <c r="H10434" s="1129"/>
      <c r="I10434" s="1129"/>
      <c r="J10434" s="1129"/>
      <c r="K10434" s="1129"/>
      <c r="L10434" s="1127"/>
    </row>
    <row r="10435" spans="1:12" x14ac:dyDescent="0.2">
      <c r="A10435" s="997">
        <f t="shared" si="162"/>
        <v>10434</v>
      </c>
      <c r="B10435" s="1129" t="s">
        <v>2725</v>
      </c>
      <c r="C10435" s="1138"/>
      <c r="D10435" s="1129"/>
      <c r="E10435" s="1129"/>
      <c r="F10435" s="1129"/>
      <c r="G10435" s="1129" t="s">
        <v>1106</v>
      </c>
      <c r="H10435" s="1129"/>
      <c r="I10435" s="1129"/>
      <c r="J10435" s="1129"/>
      <c r="K10435" s="1129"/>
      <c r="L10435" s="1127"/>
    </row>
    <row r="10436" spans="1:12" x14ac:dyDescent="0.2">
      <c r="A10436" s="997">
        <f t="shared" ref="A10436:A10499" si="163">+A10435+1</f>
        <v>10435</v>
      </c>
      <c r="B10436" s="1129" t="s">
        <v>2725</v>
      </c>
      <c r="C10436" s="1138"/>
      <c r="D10436" s="1129"/>
      <c r="E10436" s="1129"/>
      <c r="F10436" s="1129"/>
      <c r="G10436" s="1129"/>
      <c r="H10436" s="1129" t="s">
        <v>2480</v>
      </c>
      <c r="I10436" s="1129"/>
      <c r="J10436" s="1129"/>
      <c r="K10436" s="1129"/>
      <c r="L10436" s="1127"/>
    </row>
    <row r="10437" spans="1:12" x14ac:dyDescent="0.2">
      <c r="A10437" s="997">
        <f t="shared" si="163"/>
        <v>10436</v>
      </c>
      <c r="B10437" s="1129" t="s">
        <v>2725</v>
      </c>
      <c r="C10437" s="1139"/>
      <c r="D10437" s="1129"/>
      <c r="E10437" s="1129"/>
      <c r="F10437" s="1129"/>
      <c r="G10437" s="1129"/>
      <c r="H10437" s="1129" t="str">
        <f>CONCATENATE("&lt;valeur&gt;",Cellule_1271_6,"&lt;/valeur&gt;")</f>
        <v>&lt;valeur&gt;&lt;/valeur&gt;</v>
      </c>
      <c r="I10437" s="1129"/>
      <c r="J10437" s="1129"/>
      <c r="K10437" s="1129"/>
      <c r="L10437" s="1127"/>
    </row>
    <row r="10438" spans="1:12" x14ac:dyDescent="0.2">
      <c r="A10438" s="997">
        <f t="shared" si="163"/>
        <v>10437</v>
      </c>
      <c r="B10438" s="1129" t="s">
        <v>2725</v>
      </c>
      <c r="C10438" s="1140"/>
      <c r="D10438" s="1129"/>
      <c r="E10438" s="1129"/>
      <c r="F10438" s="1129"/>
      <c r="G10438" s="1129"/>
      <c r="H10438" s="1129" t="s">
        <v>2739</v>
      </c>
      <c r="I10438" s="1129"/>
      <c r="J10438" s="1129"/>
      <c r="K10438" s="1129"/>
      <c r="L10438" s="1127"/>
    </row>
    <row r="10439" spans="1:12" x14ac:dyDescent="0.2">
      <c r="A10439" s="997">
        <f t="shared" si="163"/>
        <v>10438</v>
      </c>
      <c r="B10439" s="1129" t="s">
        <v>2725</v>
      </c>
      <c r="C10439" s="1139"/>
      <c r="D10439" s="1129"/>
      <c r="E10439" s="1129"/>
      <c r="F10439" s="1129"/>
      <c r="G10439" s="1129" t="s">
        <v>1109</v>
      </c>
      <c r="H10439" s="1129"/>
      <c r="I10439" s="1129"/>
      <c r="J10439" s="1129"/>
      <c r="K10439" s="1129"/>
      <c r="L10439" s="1127"/>
    </row>
    <row r="10440" spans="1:12" x14ac:dyDescent="0.2">
      <c r="A10440" s="997">
        <f t="shared" si="163"/>
        <v>10439</v>
      </c>
      <c r="B10440" s="1129" t="s">
        <v>2725</v>
      </c>
      <c r="C10440" s="1139"/>
      <c r="D10440" s="1129"/>
      <c r="E10440" s="1129"/>
      <c r="F10440" s="1129"/>
      <c r="G10440" s="1129" t="s">
        <v>1106</v>
      </c>
      <c r="H10440" s="1129"/>
      <c r="I10440" s="1129"/>
      <c r="J10440" s="1129"/>
      <c r="K10440" s="1129"/>
      <c r="L10440" s="1127"/>
    </row>
    <row r="10441" spans="1:12" x14ac:dyDescent="0.2">
      <c r="A10441" s="997">
        <f t="shared" si="163"/>
        <v>10440</v>
      </c>
      <c r="B10441" s="1129" t="s">
        <v>2725</v>
      </c>
      <c r="C10441" s="1139"/>
      <c r="D10441" s="1129"/>
      <c r="E10441" s="1129"/>
      <c r="F10441" s="1129"/>
      <c r="G10441" s="1129"/>
      <c r="H10441" s="1129" t="s">
        <v>2481</v>
      </c>
      <c r="I10441" s="1129"/>
      <c r="J10441" s="1129"/>
      <c r="K10441" s="1129"/>
      <c r="L10441" s="1127"/>
    </row>
    <row r="10442" spans="1:12" x14ac:dyDescent="0.2">
      <c r="A10442" s="997">
        <f t="shared" si="163"/>
        <v>10441</v>
      </c>
      <c r="B10442" s="1129" t="s">
        <v>2725</v>
      </c>
      <c r="C10442" s="1138"/>
      <c r="D10442" s="1129"/>
      <c r="E10442" s="1129"/>
      <c r="F10442" s="1129"/>
      <c r="G10442" s="1129"/>
      <c r="H10442" s="1129" t="str">
        <f>CONCATENATE("&lt;valeur&gt;",Cellule_1272_6,"&lt;/valeur&gt;")</f>
        <v>&lt;valeur&gt;&lt;/valeur&gt;</v>
      </c>
      <c r="I10442" s="1129"/>
      <c r="J10442" s="1129"/>
      <c r="K10442" s="1129"/>
      <c r="L10442" s="1127"/>
    </row>
    <row r="10443" spans="1:12" x14ac:dyDescent="0.2">
      <c r="A10443" s="997">
        <f t="shared" si="163"/>
        <v>10442</v>
      </c>
      <c r="B10443" s="1129" t="s">
        <v>2725</v>
      </c>
      <c r="C10443" s="1138"/>
      <c r="D10443" s="1129"/>
      <c r="E10443" s="1129"/>
      <c r="F10443" s="1129"/>
      <c r="G10443" s="1129"/>
      <c r="H10443" s="1129" t="s">
        <v>2739</v>
      </c>
      <c r="I10443" s="1129"/>
      <c r="J10443" s="1129"/>
      <c r="K10443" s="1129"/>
      <c r="L10443" s="1127"/>
    </row>
    <row r="10444" spans="1:12" x14ac:dyDescent="0.2">
      <c r="A10444" s="997">
        <f t="shared" si="163"/>
        <v>10443</v>
      </c>
      <c r="B10444" s="1129" t="s">
        <v>2725</v>
      </c>
      <c r="C10444" s="1139"/>
      <c r="D10444" s="1129"/>
      <c r="E10444" s="1129"/>
      <c r="F10444" s="1129"/>
      <c r="G10444" s="1129" t="s">
        <v>1109</v>
      </c>
      <c r="H10444" s="1129"/>
      <c r="I10444" s="1129"/>
      <c r="J10444" s="1129"/>
      <c r="K10444" s="1129"/>
      <c r="L10444" s="1127"/>
    </row>
    <row r="10445" spans="1:12" x14ac:dyDescent="0.2">
      <c r="A10445" s="997">
        <f t="shared" si="163"/>
        <v>10444</v>
      </c>
      <c r="B10445" s="1129" t="s">
        <v>2725</v>
      </c>
      <c r="C10445" s="1140"/>
      <c r="D10445" s="1129"/>
      <c r="E10445" s="1129"/>
      <c r="F10445" s="1129"/>
      <c r="G10445" s="1129" t="s">
        <v>1106</v>
      </c>
      <c r="H10445" s="1129"/>
      <c r="I10445" s="1129"/>
      <c r="J10445" s="1129"/>
      <c r="K10445" s="1129"/>
      <c r="L10445" s="1127"/>
    </row>
    <row r="10446" spans="1:12" x14ac:dyDescent="0.2">
      <c r="A10446" s="997">
        <f t="shared" si="163"/>
        <v>10445</v>
      </c>
      <c r="B10446" s="1129" t="s">
        <v>2725</v>
      </c>
      <c r="C10446" s="1139"/>
      <c r="D10446" s="1129"/>
      <c r="E10446" s="1129"/>
      <c r="F10446" s="1129"/>
      <c r="G10446" s="1129"/>
      <c r="H10446" s="1129" t="s">
        <v>2482</v>
      </c>
      <c r="I10446" s="1129"/>
      <c r="J10446" s="1129"/>
      <c r="K10446" s="1129"/>
      <c r="L10446" s="1127"/>
    </row>
    <row r="10447" spans="1:12" x14ac:dyDescent="0.2">
      <c r="A10447" s="997">
        <f t="shared" si="163"/>
        <v>10446</v>
      </c>
      <c r="B10447" s="1129" t="s">
        <v>2725</v>
      </c>
      <c r="C10447" s="1139"/>
      <c r="D10447" s="1129"/>
      <c r="E10447" s="1129"/>
      <c r="F10447" s="1129"/>
      <c r="G10447" s="1129"/>
      <c r="H10447" s="1129" t="str">
        <f>CONCATENATE("&lt;valeur&gt;",Cellule_1273_6,"&lt;/valeur&gt;")</f>
        <v>&lt;valeur&gt;&lt;/valeur&gt;</v>
      </c>
      <c r="I10447" s="1129"/>
      <c r="J10447" s="1129"/>
      <c r="K10447" s="1129"/>
      <c r="L10447" s="1127"/>
    </row>
    <row r="10448" spans="1:12" x14ac:dyDescent="0.2">
      <c r="A10448" s="997">
        <f t="shared" si="163"/>
        <v>10447</v>
      </c>
      <c r="B10448" s="1129" t="s">
        <v>2725</v>
      </c>
      <c r="C10448" s="1139"/>
      <c r="D10448" s="1129"/>
      <c r="E10448" s="1129"/>
      <c r="F10448" s="1129"/>
      <c r="G10448" s="1129"/>
      <c r="H10448" s="1129" t="s">
        <v>2739</v>
      </c>
      <c r="I10448" s="1129"/>
      <c r="J10448" s="1129"/>
      <c r="K10448" s="1129"/>
      <c r="L10448" s="1127"/>
    </row>
    <row r="10449" spans="1:12" x14ac:dyDescent="0.2">
      <c r="A10449" s="997">
        <f t="shared" si="163"/>
        <v>10448</v>
      </c>
      <c r="B10449" s="1129" t="s">
        <v>2725</v>
      </c>
      <c r="C10449" s="1138"/>
      <c r="D10449" s="1129"/>
      <c r="E10449" s="1129"/>
      <c r="F10449" s="1129"/>
      <c r="G10449" s="1129" t="s">
        <v>1109</v>
      </c>
      <c r="H10449" s="1129"/>
      <c r="I10449" s="1129"/>
      <c r="J10449" s="1129"/>
      <c r="K10449" s="1129"/>
      <c r="L10449" s="1127"/>
    </row>
    <row r="10450" spans="1:12" x14ac:dyDescent="0.2">
      <c r="A10450" s="997">
        <f t="shared" si="163"/>
        <v>10449</v>
      </c>
      <c r="B10450" s="1129" t="s">
        <v>2725</v>
      </c>
      <c r="C10450" s="1138"/>
      <c r="D10450" s="1129"/>
      <c r="E10450" s="1129"/>
      <c r="F10450" s="1129"/>
      <c r="G10450" s="1129" t="s">
        <v>1106</v>
      </c>
      <c r="H10450" s="1129"/>
      <c r="I10450" s="1129"/>
      <c r="J10450" s="1129"/>
      <c r="K10450" s="1129"/>
      <c r="L10450" s="1127"/>
    </row>
    <row r="10451" spans="1:12" x14ac:dyDescent="0.2">
      <c r="A10451" s="997">
        <f t="shared" si="163"/>
        <v>10450</v>
      </c>
      <c r="B10451" s="1129" t="s">
        <v>2725</v>
      </c>
      <c r="C10451" s="1139"/>
      <c r="D10451" s="1129"/>
      <c r="E10451" s="1129"/>
      <c r="F10451" s="1129"/>
      <c r="G10451" s="1129"/>
      <c r="H10451" s="1129" t="s">
        <v>2483</v>
      </c>
      <c r="I10451" s="1129"/>
      <c r="J10451" s="1129"/>
      <c r="K10451" s="1129"/>
      <c r="L10451" s="1127"/>
    </row>
    <row r="10452" spans="1:12" x14ac:dyDescent="0.2">
      <c r="A10452" s="997">
        <f t="shared" si="163"/>
        <v>10451</v>
      </c>
      <c r="B10452" s="1129" t="s">
        <v>2725</v>
      </c>
      <c r="C10452" s="1140"/>
      <c r="D10452" s="1129"/>
      <c r="E10452" s="1129"/>
      <c r="F10452" s="1129"/>
      <c r="G10452" s="1129"/>
      <c r="H10452" s="1129" t="str">
        <f>CONCATENATE("&lt;valeur&gt;",Cellule_1274_6,"&lt;/valeur&gt;")</f>
        <v>&lt;valeur&gt;&lt;/valeur&gt;</v>
      </c>
      <c r="I10452" s="1129"/>
      <c r="J10452" s="1129"/>
      <c r="K10452" s="1129"/>
      <c r="L10452" s="1127"/>
    </row>
    <row r="10453" spans="1:12" x14ac:dyDescent="0.2">
      <c r="A10453" s="997">
        <f t="shared" si="163"/>
        <v>10452</v>
      </c>
      <c r="B10453" s="1129" t="s">
        <v>2725</v>
      </c>
      <c r="C10453" s="1139"/>
      <c r="D10453" s="1129"/>
      <c r="E10453" s="1129"/>
      <c r="F10453" s="1129"/>
      <c r="G10453" s="1129"/>
      <c r="H10453" s="1129" t="s">
        <v>2739</v>
      </c>
      <c r="I10453" s="1129"/>
      <c r="J10453" s="1129"/>
      <c r="K10453" s="1129"/>
      <c r="L10453" s="1127"/>
    </row>
    <row r="10454" spans="1:12" x14ac:dyDescent="0.2">
      <c r="A10454" s="997">
        <f t="shared" si="163"/>
        <v>10453</v>
      </c>
      <c r="B10454" s="1130" t="s">
        <v>2725</v>
      </c>
      <c r="C10454" s="1144"/>
      <c r="D10454" s="1130"/>
      <c r="E10454" s="1130"/>
      <c r="F10454" s="1130"/>
      <c r="G10454" s="1130" t="s">
        <v>1109</v>
      </c>
      <c r="H10454" s="1130"/>
      <c r="I10454" s="1130"/>
      <c r="J10454" s="1130"/>
      <c r="K10454" s="1130"/>
      <c r="L10454" s="1142"/>
    </row>
    <row r="10455" spans="1:12" x14ac:dyDescent="0.2">
      <c r="A10455" s="997">
        <f t="shared" si="163"/>
        <v>10454</v>
      </c>
      <c r="B10455" s="983" t="s">
        <v>2725</v>
      </c>
      <c r="C10455" s="1000"/>
      <c r="G10455" s="983" t="s">
        <v>1106</v>
      </c>
    </row>
    <row r="10456" spans="1:12" x14ac:dyDescent="0.2">
      <c r="A10456" s="997">
        <f t="shared" si="163"/>
        <v>10455</v>
      </c>
      <c r="B10456" s="983" t="s">
        <v>2725</v>
      </c>
      <c r="C10456" s="999"/>
      <c r="H10456" s="983" t="s">
        <v>1107</v>
      </c>
    </row>
    <row r="10457" spans="1:12" x14ac:dyDescent="0.2">
      <c r="A10457" s="997">
        <f t="shared" si="163"/>
        <v>10456</v>
      </c>
      <c r="B10457" s="983" t="s">
        <v>2725</v>
      </c>
      <c r="C10457" s="999"/>
      <c r="I10457" s="983" t="s">
        <v>2484</v>
      </c>
    </row>
    <row r="10458" spans="1:12" x14ac:dyDescent="0.2">
      <c r="A10458" s="997">
        <f t="shared" si="163"/>
        <v>10457</v>
      </c>
      <c r="B10458" s="983" t="s">
        <v>2725</v>
      </c>
      <c r="C10458" s="1000"/>
      <c r="H10458" s="983" t="s">
        <v>1108</v>
      </c>
    </row>
    <row r="10459" spans="1:12" x14ac:dyDescent="0.2">
      <c r="A10459" s="997">
        <f t="shared" si="163"/>
        <v>10458</v>
      </c>
      <c r="B10459" s="983" t="s">
        <v>2725</v>
      </c>
      <c r="C10459" s="1001"/>
      <c r="H10459" s="983" t="str">
        <f>CONCATENATE("&lt;valeur&gt;",Cellule_1279,"&lt;/valeur&gt;")</f>
        <v>&lt;valeur&gt;12000&lt;/valeur&gt;</v>
      </c>
    </row>
    <row r="10460" spans="1:12" x14ac:dyDescent="0.2">
      <c r="A10460" s="997">
        <f t="shared" si="163"/>
        <v>10459</v>
      </c>
      <c r="B10460" s="983" t="s">
        <v>2725</v>
      </c>
      <c r="C10460" s="1000"/>
      <c r="G10460" s="983" t="s">
        <v>1109</v>
      </c>
    </row>
    <row r="10461" spans="1:12" x14ac:dyDescent="0.2">
      <c r="A10461" s="997">
        <f t="shared" si="163"/>
        <v>10460</v>
      </c>
      <c r="B10461" s="983" t="s">
        <v>2725</v>
      </c>
      <c r="C10461" s="1000"/>
      <c r="G10461" s="983" t="s">
        <v>1106</v>
      </c>
    </row>
    <row r="10462" spans="1:12" x14ac:dyDescent="0.2">
      <c r="A10462" s="997">
        <f t="shared" si="163"/>
        <v>10461</v>
      </c>
      <c r="B10462" s="983" t="s">
        <v>2725</v>
      </c>
      <c r="C10462" s="1000"/>
      <c r="H10462" s="983" t="s">
        <v>1107</v>
      </c>
    </row>
    <row r="10463" spans="1:12" x14ac:dyDescent="0.2">
      <c r="A10463" s="997">
        <f t="shared" si="163"/>
        <v>10462</v>
      </c>
      <c r="B10463" s="983" t="s">
        <v>2725</v>
      </c>
      <c r="C10463" s="999"/>
      <c r="I10463" s="983" t="s">
        <v>2485</v>
      </c>
    </row>
    <row r="10464" spans="1:12" x14ac:dyDescent="0.2">
      <c r="A10464" s="997">
        <f t="shared" si="163"/>
        <v>10463</v>
      </c>
      <c r="B10464" s="983" t="s">
        <v>2725</v>
      </c>
      <c r="C10464" s="999"/>
      <c r="H10464" s="983" t="s">
        <v>1108</v>
      </c>
    </row>
    <row r="10465" spans="1:9" x14ac:dyDescent="0.2">
      <c r="A10465" s="997">
        <f t="shared" si="163"/>
        <v>10464</v>
      </c>
      <c r="B10465" s="983" t="s">
        <v>2725</v>
      </c>
      <c r="C10465" s="1000"/>
      <c r="H10465" s="983" t="str">
        <f>CONCATENATE("&lt;valeur&gt;",Cellule_1280,"&lt;/valeur&gt;")</f>
        <v>&lt;valeur&gt;12000&lt;/valeur&gt;</v>
      </c>
    </row>
    <row r="10466" spans="1:9" x14ac:dyDescent="0.2">
      <c r="A10466" s="997">
        <f t="shared" si="163"/>
        <v>10465</v>
      </c>
      <c r="B10466" s="983" t="s">
        <v>2725</v>
      </c>
      <c r="C10466" s="1001"/>
      <c r="G10466" s="983" t="s">
        <v>1109</v>
      </c>
    </row>
    <row r="10467" spans="1:9" x14ac:dyDescent="0.2">
      <c r="A10467" s="997">
        <f t="shared" si="163"/>
        <v>10466</v>
      </c>
      <c r="B10467" s="983" t="s">
        <v>2725</v>
      </c>
      <c r="C10467" s="1000"/>
      <c r="F10467" s="983" t="s">
        <v>1110</v>
      </c>
    </row>
    <row r="10468" spans="1:9" x14ac:dyDescent="0.2">
      <c r="A10468" s="997">
        <f t="shared" si="163"/>
        <v>10467</v>
      </c>
      <c r="B10468" s="983" t="s">
        <v>2725</v>
      </c>
      <c r="C10468" s="1000"/>
      <c r="F10468" s="983" t="s">
        <v>1111</v>
      </c>
    </row>
    <row r="10469" spans="1:9" x14ac:dyDescent="0.2">
      <c r="A10469" s="997">
        <f t="shared" si="163"/>
        <v>10468</v>
      </c>
      <c r="B10469" s="983" t="s">
        <v>2725</v>
      </c>
      <c r="C10469" s="999"/>
      <c r="F10469" s="983" t="s">
        <v>1112</v>
      </c>
    </row>
    <row r="10470" spans="1:9" x14ac:dyDescent="0.2">
      <c r="A10470" s="997">
        <f t="shared" si="163"/>
        <v>10469</v>
      </c>
      <c r="B10470" s="983" t="s">
        <v>2725</v>
      </c>
      <c r="C10470" s="999"/>
      <c r="E10470" s="983" t="s">
        <v>1113</v>
      </c>
    </row>
    <row r="10471" spans="1:9" x14ac:dyDescent="0.2">
      <c r="A10471" s="997">
        <f t="shared" si="163"/>
        <v>10470</v>
      </c>
      <c r="B10471" s="983" t="s">
        <v>2726</v>
      </c>
      <c r="C10471" s="1000"/>
      <c r="E10471" s="983" t="s">
        <v>1104</v>
      </c>
    </row>
    <row r="10472" spans="1:9" x14ac:dyDescent="0.2">
      <c r="A10472" s="997">
        <f t="shared" si="163"/>
        <v>10471</v>
      </c>
      <c r="B10472" s="983" t="s">
        <v>2726</v>
      </c>
      <c r="C10472" s="1001"/>
      <c r="F10472" s="983" t="s">
        <v>2486</v>
      </c>
    </row>
    <row r="10473" spans="1:9" x14ac:dyDescent="0.2">
      <c r="A10473" s="997">
        <f t="shared" si="163"/>
        <v>10472</v>
      </c>
      <c r="B10473" s="983" t="s">
        <v>2726</v>
      </c>
      <c r="C10473" s="1000"/>
      <c r="F10473" s="983" t="s">
        <v>1105</v>
      </c>
    </row>
    <row r="10474" spans="1:9" x14ac:dyDescent="0.2">
      <c r="A10474" s="997">
        <f t="shared" si="163"/>
        <v>10473</v>
      </c>
      <c r="B10474" s="983" t="s">
        <v>2726</v>
      </c>
      <c r="C10474" s="1062"/>
      <c r="G10474" s="983" t="s">
        <v>1106</v>
      </c>
    </row>
    <row r="10475" spans="1:9" x14ac:dyDescent="0.2">
      <c r="A10475" s="997">
        <f t="shared" si="163"/>
        <v>10474</v>
      </c>
      <c r="B10475" s="983" t="s">
        <v>2726</v>
      </c>
      <c r="C10475" s="1000"/>
      <c r="H10475" s="983" t="s">
        <v>1107</v>
      </c>
    </row>
    <row r="10476" spans="1:9" x14ac:dyDescent="0.2">
      <c r="A10476" s="997">
        <f t="shared" si="163"/>
        <v>10475</v>
      </c>
      <c r="B10476" s="983" t="s">
        <v>2726</v>
      </c>
      <c r="C10476" s="999"/>
      <c r="I10476" s="983" t="s">
        <v>2487</v>
      </c>
    </row>
    <row r="10477" spans="1:9" x14ac:dyDescent="0.2">
      <c r="A10477" s="997">
        <f t="shared" si="163"/>
        <v>10476</v>
      </c>
      <c r="B10477" s="983" t="s">
        <v>2726</v>
      </c>
      <c r="C10477" s="999"/>
      <c r="H10477" s="983" t="s">
        <v>1108</v>
      </c>
    </row>
    <row r="10478" spans="1:9" x14ac:dyDescent="0.2">
      <c r="A10478" s="997">
        <f t="shared" si="163"/>
        <v>10477</v>
      </c>
      <c r="B10478" s="983" t="s">
        <v>2726</v>
      </c>
      <c r="C10478" s="1000"/>
      <c r="H10478" s="983" t="str">
        <f>CONCATENATE("&lt;valeur&gt;",Cellule_1401,"&lt;/valeur&gt;")</f>
        <v>&lt;valeur&gt;&lt;/valeur&gt;</v>
      </c>
    </row>
    <row r="10479" spans="1:9" x14ac:dyDescent="0.2">
      <c r="A10479" s="997">
        <f t="shared" si="163"/>
        <v>10478</v>
      </c>
      <c r="B10479" s="983" t="s">
        <v>2726</v>
      </c>
      <c r="C10479" s="1001"/>
      <c r="G10479" s="983" t="s">
        <v>1109</v>
      </c>
    </row>
    <row r="10480" spans="1:9" x14ac:dyDescent="0.2">
      <c r="A10480" s="997">
        <f t="shared" si="163"/>
        <v>10479</v>
      </c>
      <c r="B10480" s="983" t="s">
        <v>2726</v>
      </c>
      <c r="C10480" s="1000"/>
      <c r="G10480" s="983" t="s">
        <v>1106</v>
      </c>
    </row>
    <row r="10481" spans="1:9" x14ac:dyDescent="0.2">
      <c r="A10481" s="997">
        <f t="shared" si="163"/>
        <v>10480</v>
      </c>
      <c r="B10481" s="983" t="s">
        <v>2726</v>
      </c>
      <c r="C10481" s="1000"/>
      <c r="H10481" s="983" t="s">
        <v>1107</v>
      </c>
    </row>
    <row r="10482" spans="1:9" x14ac:dyDescent="0.2">
      <c r="A10482" s="997">
        <f t="shared" si="163"/>
        <v>10481</v>
      </c>
      <c r="B10482" s="983" t="s">
        <v>2726</v>
      </c>
      <c r="C10482" s="1000"/>
      <c r="I10482" s="983" t="s">
        <v>2488</v>
      </c>
    </row>
    <row r="10483" spans="1:9" x14ac:dyDescent="0.2">
      <c r="A10483" s="997">
        <f t="shared" si="163"/>
        <v>10482</v>
      </c>
      <c r="B10483" s="983" t="s">
        <v>2726</v>
      </c>
      <c r="C10483" s="999"/>
      <c r="H10483" s="983" t="s">
        <v>1108</v>
      </c>
    </row>
    <row r="10484" spans="1:9" x14ac:dyDescent="0.2">
      <c r="A10484" s="997">
        <f t="shared" si="163"/>
        <v>10483</v>
      </c>
      <c r="B10484" s="983" t="s">
        <v>2726</v>
      </c>
      <c r="C10484" s="999"/>
      <c r="H10484" s="983" t="str">
        <f>CONCATENATE("&lt;valeur&gt;",Cellule_1409,"&lt;/valeur&gt;")</f>
        <v>&lt;valeur&gt;&lt;/valeur&gt;</v>
      </c>
    </row>
    <row r="10485" spans="1:9" x14ac:dyDescent="0.2">
      <c r="A10485" s="997">
        <f t="shared" si="163"/>
        <v>10484</v>
      </c>
      <c r="B10485" s="983" t="s">
        <v>2726</v>
      </c>
      <c r="C10485" s="1000"/>
      <c r="G10485" s="983" t="s">
        <v>1109</v>
      </c>
    </row>
    <row r="10486" spans="1:9" x14ac:dyDescent="0.2">
      <c r="A10486" s="997">
        <f t="shared" si="163"/>
        <v>10485</v>
      </c>
      <c r="B10486" s="983" t="s">
        <v>2726</v>
      </c>
      <c r="C10486" s="1001"/>
      <c r="G10486" s="983" t="s">
        <v>1106</v>
      </c>
    </row>
    <row r="10487" spans="1:9" x14ac:dyDescent="0.2">
      <c r="A10487" s="997">
        <f t="shared" si="163"/>
        <v>10486</v>
      </c>
      <c r="B10487" s="983" t="s">
        <v>2726</v>
      </c>
      <c r="C10487" s="1000"/>
      <c r="H10487" s="983" t="s">
        <v>1107</v>
      </c>
    </row>
    <row r="10488" spans="1:9" x14ac:dyDescent="0.2">
      <c r="A10488" s="997">
        <f t="shared" si="163"/>
        <v>10487</v>
      </c>
      <c r="B10488" s="983" t="s">
        <v>2726</v>
      </c>
      <c r="C10488" s="1000"/>
      <c r="I10488" s="983" t="s">
        <v>2489</v>
      </c>
    </row>
    <row r="10489" spans="1:9" x14ac:dyDescent="0.2">
      <c r="A10489" s="997">
        <f t="shared" si="163"/>
        <v>10488</v>
      </c>
      <c r="B10489" s="983" t="s">
        <v>2726</v>
      </c>
      <c r="C10489" s="1000"/>
      <c r="H10489" s="983" t="s">
        <v>1108</v>
      </c>
    </row>
    <row r="10490" spans="1:9" x14ac:dyDescent="0.2">
      <c r="A10490" s="997">
        <f t="shared" si="163"/>
        <v>10489</v>
      </c>
      <c r="B10490" s="983" t="s">
        <v>2726</v>
      </c>
      <c r="C10490" s="999"/>
      <c r="H10490" s="983" t="str">
        <f>CONCATENATE("&lt;valeur&gt;",Cellule_1417,"&lt;/valeur&gt;")</f>
        <v>&lt;valeur&gt;&lt;/valeur&gt;</v>
      </c>
    </row>
    <row r="10491" spans="1:9" x14ac:dyDescent="0.2">
      <c r="A10491" s="997">
        <f t="shared" si="163"/>
        <v>10490</v>
      </c>
      <c r="B10491" s="983" t="s">
        <v>2726</v>
      </c>
      <c r="C10491" s="999"/>
      <c r="G10491" s="983" t="s">
        <v>1109</v>
      </c>
    </row>
    <row r="10492" spans="1:9" x14ac:dyDescent="0.2">
      <c r="A10492" s="997">
        <f t="shared" si="163"/>
        <v>10491</v>
      </c>
      <c r="B10492" s="983" t="s">
        <v>2726</v>
      </c>
      <c r="C10492" s="1000"/>
      <c r="G10492" s="983" t="s">
        <v>1106</v>
      </c>
    </row>
    <row r="10493" spans="1:9" x14ac:dyDescent="0.2">
      <c r="A10493" s="997">
        <f t="shared" si="163"/>
        <v>10492</v>
      </c>
      <c r="B10493" s="983" t="s">
        <v>2726</v>
      </c>
      <c r="C10493" s="1001"/>
      <c r="H10493" s="983" t="s">
        <v>1107</v>
      </c>
    </row>
    <row r="10494" spans="1:9" x14ac:dyDescent="0.2">
      <c r="A10494" s="997">
        <f t="shared" si="163"/>
        <v>10493</v>
      </c>
      <c r="B10494" s="983" t="s">
        <v>2726</v>
      </c>
      <c r="C10494" s="1000"/>
      <c r="I10494" s="983" t="s">
        <v>2490</v>
      </c>
    </row>
    <row r="10495" spans="1:9" x14ac:dyDescent="0.2">
      <c r="A10495" s="997">
        <f t="shared" si="163"/>
        <v>10494</v>
      </c>
      <c r="B10495" s="983" t="s">
        <v>2726</v>
      </c>
      <c r="C10495" s="1000"/>
      <c r="H10495" s="983" t="s">
        <v>1108</v>
      </c>
    </row>
    <row r="10496" spans="1:9" x14ac:dyDescent="0.2">
      <c r="A10496" s="997">
        <f t="shared" si="163"/>
        <v>10495</v>
      </c>
      <c r="B10496" s="983" t="s">
        <v>2726</v>
      </c>
      <c r="C10496" s="1000"/>
      <c r="H10496" s="983" t="str">
        <f>CONCATENATE("&lt;valeur&gt;",Cellule_1425,"&lt;/valeur&gt;")</f>
        <v>&lt;valeur&gt;0&lt;/valeur&gt;</v>
      </c>
    </row>
    <row r="10497" spans="1:9" x14ac:dyDescent="0.2">
      <c r="A10497" s="997">
        <f t="shared" si="163"/>
        <v>10496</v>
      </c>
      <c r="B10497" s="983" t="s">
        <v>2726</v>
      </c>
      <c r="C10497" s="999"/>
      <c r="G10497" s="983" t="s">
        <v>1109</v>
      </c>
    </row>
    <row r="10498" spans="1:9" x14ac:dyDescent="0.2">
      <c r="A10498" s="997">
        <f t="shared" si="163"/>
        <v>10497</v>
      </c>
      <c r="B10498" s="983" t="s">
        <v>2726</v>
      </c>
      <c r="C10498" s="999"/>
      <c r="G10498" s="983" t="s">
        <v>1106</v>
      </c>
    </row>
    <row r="10499" spans="1:9" x14ac:dyDescent="0.2">
      <c r="A10499" s="997">
        <f t="shared" si="163"/>
        <v>10498</v>
      </c>
      <c r="B10499" s="983" t="s">
        <v>2726</v>
      </c>
      <c r="C10499" s="1000"/>
      <c r="H10499" s="983" t="s">
        <v>1107</v>
      </c>
    </row>
    <row r="10500" spans="1:9" x14ac:dyDescent="0.2">
      <c r="A10500" s="997">
        <f t="shared" ref="A10500:A10563" si="164">+A10499+1</f>
        <v>10499</v>
      </c>
      <c r="B10500" s="983" t="s">
        <v>2726</v>
      </c>
      <c r="C10500" s="1001"/>
      <c r="I10500" s="983" t="s">
        <v>2491</v>
      </c>
    </row>
    <row r="10501" spans="1:9" x14ac:dyDescent="0.2">
      <c r="A10501" s="997">
        <f t="shared" si="164"/>
        <v>10500</v>
      </c>
      <c r="B10501" s="983" t="s">
        <v>2726</v>
      </c>
      <c r="C10501" s="1000"/>
      <c r="H10501" s="983" t="s">
        <v>1108</v>
      </c>
    </row>
    <row r="10502" spans="1:9" x14ac:dyDescent="0.2">
      <c r="A10502" s="997">
        <f t="shared" si="164"/>
        <v>10501</v>
      </c>
      <c r="B10502" s="983" t="s">
        <v>2726</v>
      </c>
      <c r="C10502" s="1000"/>
      <c r="H10502" s="983" t="str">
        <f>CONCATENATE("&lt;valeur&gt;",Cellule_1433,"&lt;/valeur&gt;")</f>
        <v>&lt;valeur&gt;0&lt;/valeur&gt;</v>
      </c>
    </row>
    <row r="10503" spans="1:9" x14ac:dyDescent="0.2">
      <c r="A10503" s="997">
        <f t="shared" si="164"/>
        <v>10502</v>
      </c>
      <c r="B10503" s="983" t="s">
        <v>2726</v>
      </c>
      <c r="C10503" s="1000"/>
      <c r="G10503" s="983" t="s">
        <v>1109</v>
      </c>
    </row>
    <row r="10504" spans="1:9" x14ac:dyDescent="0.2">
      <c r="A10504" s="997">
        <f t="shared" si="164"/>
        <v>10503</v>
      </c>
      <c r="B10504" s="983" t="s">
        <v>2726</v>
      </c>
      <c r="C10504" s="999"/>
      <c r="G10504" s="983" t="s">
        <v>1106</v>
      </c>
    </row>
    <row r="10505" spans="1:9" x14ac:dyDescent="0.2">
      <c r="A10505" s="997">
        <f t="shared" si="164"/>
        <v>10504</v>
      </c>
      <c r="B10505" s="983" t="s">
        <v>2726</v>
      </c>
      <c r="C10505" s="999"/>
      <c r="H10505" s="983" t="s">
        <v>1107</v>
      </c>
    </row>
    <row r="10506" spans="1:9" x14ac:dyDescent="0.2">
      <c r="A10506" s="997">
        <f t="shared" si="164"/>
        <v>10505</v>
      </c>
      <c r="B10506" s="983" t="s">
        <v>2726</v>
      </c>
      <c r="C10506" s="1000"/>
      <c r="I10506" s="983" t="s">
        <v>2492</v>
      </c>
    </row>
    <row r="10507" spans="1:9" x14ac:dyDescent="0.2">
      <c r="A10507" s="997">
        <f t="shared" si="164"/>
        <v>10506</v>
      </c>
      <c r="B10507" s="983" t="s">
        <v>2726</v>
      </c>
      <c r="C10507" s="1001"/>
      <c r="H10507" s="983" t="s">
        <v>1108</v>
      </c>
    </row>
    <row r="10508" spans="1:9" x14ac:dyDescent="0.2">
      <c r="A10508" s="997">
        <f t="shared" si="164"/>
        <v>10507</v>
      </c>
      <c r="B10508" s="983" t="s">
        <v>2726</v>
      </c>
      <c r="C10508" s="1000"/>
      <c r="H10508" s="983" t="str">
        <f>CONCATENATE("&lt;valeur&gt;",Cellule_1449,"&lt;/valeur&gt;")</f>
        <v>&lt;valeur&gt;&lt;/valeur&gt;</v>
      </c>
    </row>
    <row r="10509" spans="1:9" x14ac:dyDescent="0.2">
      <c r="A10509" s="997">
        <f t="shared" si="164"/>
        <v>10508</v>
      </c>
      <c r="B10509" s="983" t="s">
        <v>2726</v>
      </c>
      <c r="C10509" s="1000"/>
      <c r="G10509" s="983" t="s">
        <v>1109</v>
      </c>
    </row>
    <row r="10510" spans="1:9" x14ac:dyDescent="0.2">
      <c r="A10510" s="997">
        <f t="shared" si="164"/>
        <v>10509</v>
      </c>
      <c r="B10510" s="983" t="s">
        <v>2726</v>
      </c>
      <c r="C10510" s="1000"/>
      <c r="G10510" s="983" t="s">
        <v>1106</v>
      </c>
    </row>
    <row r="10511" spans="1:9" x14ac:dyDescent="0.2">
      <c r="A10511" s="997">
        <f t="shared" si="164"/>
        <v>10510</v>
      </c>
      <c r="B10511" s="983" t="s">
        <v>2726</v>
      </c>
      <c r="C10511" s="999"/>
      <c r="H10511" s="983" t="s">
        <v>1107</v>
      </c>
    </row>
    <row r="10512" spans="1:9" x14ac:dyDescent="0.2">
      <c r="A10512" s="997">
        <f t="shared" si="164"/>
        <v>10511</v>
      </c>
      <c r="B10512" s="983" t="s">
        <v>2726</v>
      </c>
      <c r="C10512" s="999"/>
      <c r="I10512" s="983" t="s">
        <v>2493</v>
      </c>
    </row>
    <row r="10513" spans="1:9" x14ac:dyDescent="0.2">
      <c r="A10513" s="997">
        <f t="shared" si="164"/>
        <v>10512</v>
      </c>
      <c r="B10513" s="983" t="s">
        <v>2726</v>
      </c>
      <c r="C10513" s="1000"/>
      <c r="H10513" s="983" t="s">
        <v>1108</v>
      </c>
    </row>
    <row r="10514" spans="1:9" x14ac:dyDescent="0.2">
      <c r="A10514" s="997">
        <f t="shared" si="164"/>
        <v>10513</v>
      </c>
      <c r="B10514" s="983" t="s">
        <v>2726</v>
      </c>
      <c r="C10514" s="1001"/>
      <c r="H10514" s="983" t="str">
        <f>CONCATENATE("&lt;valeur&gt;",Cellule_1457,"&lt;/valeur&gt;")</f>
        <v>&lt;valeur&gt;0&lt;/valeur&gt;</v>
      </c>
    </row>
    <row r="10515" spans="1:9" x14ac:dyDescent="0.2">
      <c r="A10515" s="997">
        <f t="shared" si="164"/>
        <v>10514</v>
      </c>
      <c r="B10515" s="983" t="s">
        <v>2726</v>
      </c>
      <c r="C10515" s="1000"/>
      <c r="G10515" s="983" t="s">
        <v>1109</v>
      </c>
    </row>
    <row r="10516" spans="1:9" x14ac:dyDescent="0.2">
      <c r="A10516" s="997">
        <f t="shared" si="164"/>
        <v>10515</v>
      </c>
      <c r="B10516" s="983" t="s">
        <v>2726</v>
      </c>
      <c r="C10516" s="1000"/>
      <c r="G10516" s="983" t="s">
        <v>1106</v>
      </c>
    </row>
    <row r="10517" spans="1:9" x14ac:dyDescent="0.2">
      <c r="A10517" s="997">
        <f t="shared" si="164"/>
        <v>10516</v>
      </c>
      <c r="B10517" s="983" t="s">
        <v>2726</v>
      </c>
      <c r="C10517" s="1000"/>
      <c r="H10517" s="983" t="s">
        <v>1107</v>
      </c>
    </row>
    <row r="10518" spans="1:9" x14ac:dyDescent="0.2">
      <c r="A10518" s="997">
        <f t="shared" si="164"/>
        <v>10517</v>
      </c>
      <c r="B10518" s="983" t="s">
        <v>2726</v>
      </c>
      <c r="C10518" s="999"/>
      <c r="I10518" s="983" t="s">
        <v>2494</v>
      </c>
    </row>
    <row r="10519" spans="1:9" x14ac:dyDescent="0.2">
      <c r="A10519" s="997">
        <f t="shared" si="164"/>
        <v>10518</v>
      </c>
      <c r="B10519" s="983" t="s">
        <v>2726</v>
      </c>
      <c r="C10519" s="999"/>
      <c r="H10519" s="983" t="s">
        <v>1108</v>
      </c>
    </row>
    <row r="10520" spans="1:9" x14ac:dyDescent="0.2">
      <c r="A10520" s="997">
        <f t="shared" si="164"/>
        <v>10519</v>
      </c>
      <c r="B10520" s="983" t="s">
        <v>2726</v>
      </c>
      <c r="C10520" s="1000"/>
      <c r="H10520" s="983" t="str">
        <f>CONCATENATE("&lt;valeur&gt;",Cellule_1465,"&lt;/valeur&gt;")</f>
        <v>&lt;valeur&gt;0&lt;/valeur&gt;</v>
      </c>
    </row>
    <row r="10521" spans="1:9" x14ac:dyDescent="0.2">
      <c r="A10521" s="997">
        <f t="shared" si="164"/>
        <v>10520</v>
      </c>
      <c r="B10521" s="983" t="s">
        <v>2726</v>
      </c>
      <c r="C10521" s="1001"/>
      <c r="G10521" s="983" t="s">
        <v>1109</v>
      </c>
    </row>
    <row r="10522" spans="1:9" x14ac:dyDescent="0.2">
      <c r="A10522" s="997">
        <f t="shared" si="164"/>
        <v>10521</v>
      </c>
      <c r="B10522" s="983" t="s">
        <v>2726</v>
      </c>
      <c r="C10522" s="1000"/>
      <c r="G10522" s="983" t="s">
        <v>1106</v>
      </c>
    </row>
    <row r="10523" spans="1:9" x14ac:dyDescent="0.2">
      <c r="A10523" s="997">
        <f t="shared" si="164"/>
        <v>10522</v>
      </c>
      <c r="B10523" s="983" t="s">
        <v>2726</v>
      </c>
      <c r="C10523" s="1000"/>
      <c r="H10523" s="983" t="s">
        <v>1107</v>
      </c>
    </row>
    <row r="10524" spans="1:9" x14ac:dyDescent="0.2">
      <c r="A10524" s="997">
        <f t="shared" si="164"/>
        <v>10523</v>
      </c>
      <c r="B10524" s="983" t="s">
        <v>2726</v>
      </c>
      <c r="C10524" s="1000"/>
      <c r="I10524" s="983" t="s">
        <v>2495</v>
      </c>
    </row>
    <row r="10525" spans="1:9" x14ac:dyDescent="0.2">
      <c r="A10525" s="997">
        <f t="shared" si="164"/>
        <v>10524</v>
      </c>
      <c r="B10525" s="983" t="s">
        <v>2726</v>
      </c>
      <c r="C10525" s="999"/>
      <c r="H10525" s="983" t="s">
        <v>1108</v>
      </c>
    </row>
    <row r="10526" spans="1:9" x14ac:dyDescent="0.2">
      <c r="A10526" s="997">
        <f t="shared" si="164"/>
        <v>10525</v>
      </c>
      <c r="B10526" s="983" t="s">
        <v>2726</v>
      </c>
      <c r="C10526" s="999"/>
      <c r="H10526" s="983" t="str">
        <f>CONCATENATE("&lt;valeur&gt;",Cellule_1473,"&lt;/valeur&gt;")</f>
        <v>&lt;valeur&gt;&lt;/valeur&gt;</v>
      </c>
    </row>
    <row r="10527" spans="1:9" x14ac:dyDescent="0.2">
      <c r="A10527" s="997">
        <f t="shared" si="164"/>
        <v>10526</v>
      </c>
      <c r="B10527" s="983" t="s">
        <v>2726</v>
      </c>
      <c r="C10527" s="1000"/>
      <c r="G10527" s="983" t="s">
        <v>1109</v>
      </c>
    </row>
    <row r="10528" spans="1:9" x14ac:dyDescent="0.2">
      <c r="A10528" s="997">
        <f t="shared" si="164"/>
        <v>10527</v>
      </c>
      <c r="B10528" s="983" t="s">
        <v>2726</v>
      </c>
      <c r="C10528" s="1001"/>
      <c r="G10528" s="983" t="s">
        <v>1106</v>
      </c>
    </row>
    <row r="10529" spans="1:9" x14ac:dyDescent="0.2">
      <c r="A10529" s="997">
        <f t="shared" si="164"/>
        <v>10528</v>
      </c>
      <c r="B10529" s="983" t="s">
        <v>2726</v>
      </c>
      <c r="C10529" s="1000"/>
      <c r="H10529" s="983" t="s">
        <v>1107</v>
      </c>
    </row>
    <row r="10530" spans="1:9" x14ac:dyDescent="0.2">
      <c r="A10530" s="997">
        <f t="shared" si="164"/>
        <v>10529</v>
      </c>
      <c r="B10530" s="983" t="s">
        <v>2726</v>
      </c>
      <c r="C10530" s="1000"/>
      <c r="I10530" s="983" t="s">
        <v>2496</v>
      </c>
    </row>
    <row r="10531" spans="1:9" x14ac:dyDescent="0.2">
      <c r="A10531" s="997">
        <f t="shared" si="164"/>
        <v>10530</v>
      </c>
      <c r="B10531" s="983" t="s">
        <v>2726</v>
      </c>
      <c r="C10531" s="1000"/>
      <c r="H10531" s="983" t="s">
        <v>1108</v>
      </c>
    </row>
    <row r="10532" spans="1:9" x14ac:dyDescent="0.2">
      <c r="A10532" s="997">
        <f t="shared" si="164"/>
        <v>10531</v>
      </c>
      <c r="B10532" s="983" t="s">
        <v>2726</v>
      </c>
      <c r="C10532" s="999"/>
      <c r="H10532" s="983" t="str">
        <f>CONCATENATE("&lt;valeur&gt;",Cellule_1481,"&lt;/valeur&gt;")</f>
        <v>&lt;valeur&gt;&lt;/valeur&gt;</v>
      </c>
    </row>
    <row r="10533" spans="1:9" x14ac:dyDescent="0.2">
      <c r="A10533" s="997">
        <f t="shared" si="164"/>
        <v>10532</v>
      </c>
      <c r="B10533" s="983" t="s">
        <v>2726</v>
      </c>
      <c r="C10533" s="999"/>
      <c r="G10533" s="983" t="s">
        <v>1109</v>
      </c>
    </row>
    <row r="10534" spans="1:9" x14ac:dyDescent="0.2">
      <c r="A10534" s="997">
        <f t="shared" si="164"/>
        <v>10533</v>
      </c>
      <c r="B10534" s="983" t="s">
        <v>2726</v>
      </c>
      <c r="C10534" s="1000"/>
      <c r="G10534" s="983" t="s">
        <v>1106</v>
      </c>
    </row>
    <row r="10535" spans="1:9" x14ac:dyDescent="0.2">
      <c r="A10535" s="997">
        <f t="shared" si="164"/>
        <v>10534</v>
      </c>
      <c r="B10535" s="983" t="s">
        <v>2726</v>
      </c>
      <c r="C10535" s="1001"/>
      <c r="H10535" s="983" t="s">
        <v>1107</v>
      </c>
    </row>
    <row r="10536" spans="1:9" x14ac:dyDescent="0.2">
      <c r="A10536" s="997">
        <f t="shared" si="164"/>
        <v>10535</v>
      </c>
      <c r="B10536" s="983" t="s">
        <v>2726</v>
      </c>
      <c r="C10536" s="1000"/>
      <c r="I10536" s="983" t="s">
        <v>2497</v>
      </c>
    </row>
    <row r="10537" spans="1:9" x14ac:dyDescent="0.2">
      <c r="A10537" s="997">
        <f t="shared" si="164"/>
        <v>10536</v>
      </c>
      <c r="B10537" s="983" t="s">
        <v>2726</v>
      </c>
      <c r="C10537" s="1000"/>
      <c r="H10537" s="983" t="s">
        <v>1108</v>
      </c>
    </row>
    <row r="10538" spans="1:9" x14ac:dyDescent="0.2">
      <c r="A10538" s="997">
        <f t="shared" si="164"/>
        <v>10537</v>
      </c>
      <c r="B10538" s="983" t="s">
        <v>2726</v>
      </c>
      <c r="C10538" s="999"/>
      <c r="H10538" s="983" t="str">
        <f>CONCATENATE("&lt;valeur&gt;",Cellule_1555,"&lt;/valeur&gt;")</f>
        <v>&lt;valeur&gt;0&lt;/valeur&gt;</v>
      </c>
    </row>
    <row r="10539" spans="1:9" x14ac:dyDescent="0.2">
      <c r="A10539" s="997">
        <f t="shared" si="164"/>
        <v>10538</v>
      </c>
      <c r="B10539" s="983" t="s">
        <v>2726</v>
      </c>
      <c r="C10539" s="999"/>
      <c r="G10539" s="983" t="s">
        <v>1109</v>
      </c>
    </row>
    <row r="10540" spans="1:9" x14ac:dyDescent="0.2">
      <c r="A10540" s="997">
        <f t="shared" si="164"/>
        <v>10539</v>
      </c>
      <c r="B10540" s="983" t="s">
        <v>2726</v>
      </c>
      <c r="C10540" s="1000"/>
      <c r="G10540" s="983" t="s">
        <v>1106</v>
      </c>
    </row>
    <row r="10541" spans="1:9" x14ac:dyDescent="0.2">
      <c r="A10541" s="997">
        <f t="shared" si="164"/>
        <v>10540</v>
      </c>
      <c r="B10541" s="983" t="s">
        <v>2726</v>
      </c>
      <c r="C10541" s="1001"/>
      <c r="H10541" s="983" t="s">
        <v>1107</v>
      </c>
    </row>
    <row r="10542" spans="1:9" x14ac:dyDescent="0.2">
      <c r="A10542" s="997">
        <f t="shared" si="164"/>
        <v>10541</v>
      </c>
      <c r="B10542" s="983" t="s">
        <v>2726</v>
      </c>
      <c r="C10542" s="1000"/>
      <c r="I10542" s="983" t="s">
        <v>2498</v>
      </c>
    </row>
    <row r="10543" spans="1:9" x14ac:dyDescent="0.2">
      <c r="A10543" s="997">
        <f t="shared" si="164"/>
        <v>10542</v>
      </c>
      <c r="B10543" s="983" t="s">
        <v>2726</v>
      </c>
      <c r="C10543" s="1000"/>
      <c r="H10543" s="983" t="s">
        <v>1108</v>
      </c>
    </row>
    <row r="10544" spans="1:9" x14ac:dyDescent="0.2">
      <c r="A10544" s="997">
        <f t="shared" si="164"/>
        <v>10543</v>
      </c>
      <c r="B10544" s="983" t="s">
        <v>2726</v>
      </c>
      <c r="C10544" s="999"/>
      <c r="H10544" s="983" t="str">
        <f>CONCATENATE("&lt;valeur&gt;",Cellule_1596,"&lt;/valeur&gt;")</f>
        <v>&lt;valeur&gt;&lt;/valeur&gt;</v>
      </c>
    </row>
    <row r="10545" spans="1:9" x14ac:dyDescent="0.2">
      <c r="A10545" s="997">
        <f t="shared" si="164"/>
        <v>10544</v>
      </c>
      <c r="B10545" s="983" t="s">
        <v>2726</v>
      </c>
      <c r="C10545" s="999"/>
      <c r="G10545" s="983" t="s">
        <v>1109</v>
      </c>
    </row>
    <row r="10546" spans="1:9" x14ac:dyDescent="0.2">
      <c r="A10546" s="997">
        <f t="shared" si="164"/>
        <v>10545</v>
      </c>
      <c r="B10546" s="983" t="s">
        <v>2726</v>
      </c>
      <c r="C10546" s="1000"/>
      <c r="G10546" s="983" t="s">
        <v>1106</v>
      </c>
    </row>
    <row r="10547" spans="1:9" x14ac:dyDescent="0.2">
      <c r="A10547" s="997">
        <f t="shared" si="164"/>
        <v>10546</v>
      </c>
      <c r="B10547" s="983" t="s">
        <v>2726</v>
      </c>
      <c r="C10547" s="1001"/>
      <c r="H10547" s="983" t="s">
        <v>1107</v>
      </c>
    </row>
    <row r="10548" spans="1:9" x14ac:dyDescent="0.2">
      <c r="A10548" s="997">
        <f t="shared" si="164"/>
        <v>10547</v>
      </c>
      <c r="B10548" s="983" t="s">
        <v>2726</v>
      </c>
      <c r="C10548" s="1000"/>
      <c r="I10548" s="983" t="s">
        <v>2499</v>
      </c>
    </row>
    <row r="10549" spans="1:9" x14ac:dyDescent="0.2">
      <c r="A10549" s="997">
        <f t="shared" si="164"/>
        <v>10548</v>
      </c>
      <c r="B10549" s="983" t="s">
        <v>2726</v>
      </c>
      <c r="C10549" s="1000"/>
      <c r="H10549" s="983" t="s">
        <v>1108</v>
      </c>
    </row>
    <row r="10550" spans="1:9" x14ac:dyDescent="0.2">
      <c r="A10550" s="997">
        <f t="shared" si="164"/>
        <v>10549</v>
      </c>
      <c r="B10550" s="983" t="s">
        <v>2726</v>
      </c>
      <c r="C10550" s="999"/>
      <c r="H10550" s="983" t="str">
        <f>CONCATENATE("&lt;valeur&gt;",Cellule_1604,"&lt;/valeur&gt;")</f>
        <v>&lt;valeur&gt;0&lt;/valeur&gt;</v>
      </c>
    </row>
    <row r="10551" spans="1:9" x14ac:dyDescent="0.2">
      <c r="A10551" s="997">
        <f t="shared" si="164"/>
        <v>10550</v>
      </c>
      <c r="B10551" s="983" t="s">
        <v>2726</v>
      </c>
      <c r="C10551" s="999"/>
      <c r="G10551" s="983" t="s">
        <v>1109</v>
      </c>
    </row>
    <row r="10552" spans="1:9" x14ac:dyDescent="0.2">
      <c r="A10552" s="997">
        <f t="shared" si="164"/>
        <v>10551</v>
      </c>
      <c r="B10552" s="983" t="s">
        <v>2726</v>
      </c>
      <c r="C10552" s="1000"/>
      <c r="G10552" s="983" t="s">
        <v>1106</v>
      </c>
    </row>
    <row r="10553" spans="1:9" x14ac:dyDescent="0.2">
      <c r="A10553" s="997">
        <f t="shared" si="164"/>
        <v>10552</v>
      </c>
      <c r="B10553" s="983" t="s">
        <v>2726</v>
      </c>
      <c r="C10553" s="1001"/>
      <c r="H10553" s="983" t="s">
        <v>1107</v>
      </c>
    </row>
    <row r="10554" spans="1:9" x14ac:dyDescent="0.2">
      <c r="A10554" s="997">
        <f t="shared" si="164"/>
        <v>10553</v>
      </c>
      <c r="B10554" s="983" t="s">
        <v>2726</v>
      </c>
      <c r="C10554" s="1000"/>
      <c r="I10554" s="983" t="s">
        <v>2500</v>
      </c>
    </row>
    <row r="10555" spans="1:9" x14ac:dyDescent="0.2">
      <c r="A10555" s="997">
        <f t="shared" si="164"/>
        <v>10554</v>
      </c>
      <c r="B10555" s="983" t="s">
        <v>2726</v>
      </c>
      <c r="C10555" s="1000"/>
      <c r="H10555" s="983" t="s">
        <v>1108</v>
      </c>
    </row>
    <row r="10556" spans="1:9" x14ac:dyDescent="0.2">
      <c r="A10556" s="997">
        <f t="shared" si="164"/>
        <v>10555</v>
      </c>
      <c r="B10556" s="983" t="s">
        <v>2726</v>
      </c>
      <c r="C10556" s="999"/>
      <c r="H10556" s="983" t="str">
        <f>CONCATENATE("&lt;valeur&gt;",Cellule_1635,"&lt;/valeur&gt;")</f>
        <v>&lt;valeur&gt;&lt;/valeur&gt;</v>
      </c>
    </row>
    <row r="10557" spans="1:9" x14ac:dyDescent="0.2">
      <c r="A10557" s="997">
        <f t="shared" si="164"/>
        <v>10556</v>
      </c>
      <c r="B10557" s="983" t="s">
        <v>2726</v>
      </c>
      <c r="C10557" s="999"/>
      <c r="G10557" s="983" t="s">
        <v>1109</v>
      </c>
    </row>
    <row r="10558" spans="1:9" x14ac:dyDescent="0.2">
      <c r="A10558" s="997">
        <f t="shared" si="164"/>
        <v>10557</v>
      </c>
      <c r="B10558" s="983" t="s">
        <v>2726</v>
      </c>
      <c r="C10558" s="1000"/>
      <c r="G10558" s="983" t="s">
        <v>1106</v>
      </c>
    </row>
    <row r="10559" spans="1:9" x14ac:dyDescent="0.2">
      <c r="A10559" s="997">
        <f t="shared" si="164"/>
        <v>10558</v>
      </c>
      <c r="B10559" s="983" t="s">
        <v>2726</v>
      </c>
      <c r="C10559" s="1001"/>
      <c r="H10559" s="983" t="s">
        <v>1107</v>
      </c>
    </row>
    <row r="10560" spans="1:9" x14ac:dyDescent="0.2">
      <c r="A10560" s="997">
        <f t="shared" si="164"/>
        <v>10559</v>
      </c>
      <c r="B10560" s="983" t="s">
        <v>2726</v>
      </c>
      <c r="C10560" s="1000"/>
      <c r="I10560" s="983" t="s">
        <v>2501</v>
      </c>
    </row>
    <row r="10561" spans="1:9" x14ac:dyDescent="0.2">
      <c r="A10561" s="997">
        <f t="shared" si="164"/>
        <v>10560</v>
      </c>
      <c r="B10561" s="983" t="s">
        <v>2726</v>
      </c>
      <c r="C10561" s="1000"/>
      <c r="H10561" s="983" t="s">
        <v>1108</v>
      </c>
    </row>
    <row r="10562" spans="1:9" x14ac:dyDescent="0.2">
      <c r="A10562" s="997">
        <f t="shared" si="164"/>
        <v>10561</v>
      </c>
      <c r="B10562" s="983" t="s">
        <v>2726</v>
      </c>
      <c r="C10562" s="999"/>
      <c r="H10562" s="983" t="str">
        <f>CONCATENATE("&lt;valeur&gt;",Cellule_1643,"&lt;/valeur&gt;")</f>
        <v>&lt;valeur&gt;0&lt;/valeur&gt;</v>
      </c>
    </row>
    <row r="10563" spans="1:9" x14ac:dyDescent="0.2">
      <c r="A10563" s="997">
        <f t="shared" si="164"/>
        <v>10562</v>
      </c>
      <c r="B10563" s="983" t="s">
        <v>2726</v>
      </c>
      <c r="C10563" s="999"/>
      <c r="G10563" s="983" t="s">
        <v>1109</v>
      </c>
    </row>
    <row r="10564" spans="1:9" x14ac:dyDescent="0.2">
      <c r="A10564" s="997">
        <f t="shared" ref="A10564:A10627" si="165">+A10563+1</f>
        <v>10563</v>
      </c>
      <c r="B10564" s="983" t="s">
        <v>2726</v>
      </c>
      <c r="C10564" s="1000"/>
      <c r="G10564" s="983" t="s">
        <v>1106</v>
      </c>
    </row>
    <row r="10565" spans="1:9" x14ac:dyDescent="0.2">
      <c r="A10565" s="997">
        <f t="shared" si="165"/>
        <v>10564</v>
      </c>
      <c r="B10565" s="983" t="s">
        <v>2726</v>
      </c>
      <c r="C10565" s="1001"/>
      <c r="H10565" s="983" t="s">
        <v>1107</v>
      </c>
    </row>
    <row r="10566" spans="1:9" x14ac:dyDescent="0.2">
      <c r="A10566" s="997">
        <f t="shared" si="165"/>
        <v>10565</v>
      </c>
      <c r="B10566" s="983" t="s">
        <v>2726</v>
      </c>
      <c r="C10566" s="1000"/>
      <c r="I10566" s="983" t="s">
        <v>2502</v>
      </c>
    </row>
    <row r="10567" spans="1:9" x14ac:dyDescent="0.2">
      <c r="A10567" s="997">
        <f t="shared" si="165"/>
        <v>10566</v>
      </c>
      <c r="B10567" s="983" t="s">
        <v>2726</v>
      </c>
      <c r="C10567" s="1000"/>
      <c r="H10567" s="983" t="s">
        <v>1108</v>
      </c>
    </row>
    <row r="10568" spans="1:9" x14ac:dyDescent="0.2">
      <c r="A10568" s="997">
        <f t="shared" si="165"/>
        <v>10567</v>
      </c>
      <c r="B10568" s="983" t="s">
        <v>2726</v>
      </c>
      <c r="C10568" s="999"/>
      <c r="H10568" s="983" t="str">
        <f>CONCATENATE("&lt;valeur&gt;",Cellule_1656,"&lt;/valeur&gt;")</f>
        <v>&lt;valeur&gt;0&lt;/valeur&gt;</v>
      </c>
    </row>
    <row r="10569" spans="1:9" x14ac:dyDescent="0.2">
      <c r="A10569" s="997">
        <f t="shared" si="165"/>
        <v>10568</v>
      </c>
      <c r="B10569" s="983" t="s">
        <v>2726</v>
      </c>
      <c r="C10569" s="998"/>
      <c r="G10569" s="983" t="s">
        <v>1109</v>
      </c>
    </row>
    <row r="10570" spans="1:9" x14ac:dyDescent="0.2">
      <c r="A10570" s="997">
        <f t="shared" si="165"/>
        <v>10569</v>
      </c>
      <c r="B10570" s="983" t="s">
        <v>2726</v>
      </c>
      <c r="C10570" s="998"/>
      <c r="G10570" s="983" t="s">
        <v>1106</v>
      </c>
    </row>
    <row r="10571" spans="1:9" x14ac:dyDescent="0.2">
      <c r="A10571" s="997">
        <f t="shared" si="165"/>
        <v>10570</v>
      </c>
      <c r="B10571" s="983" t="s">
        <v>2726</v>
      </c>
      <c r="C10571" s="999"/>
      <c r="H10571" s="983" t="s">
        <v>1107</v>
      </c>
    </row>
    <row r="10572" spans="1:9" x14ac:dyDescent="0.2">
      <c r="A10572" s="997">
        <f t="shared" si="165"/>
        <v>10571</v>
      </c>
      <c r="B10572" s="983" t="s">
        <v>2726</v>
      </c>
      <c r="C10572" s="1000"/>
      <c r="I10572" s="983" t="s">
        <v>2503</v>
      </c>
    </row>
    <row r="10573" spans="1:9" x14ac:dyDescent="0.2">
      <c r="A10573" s="997">
        <f t="shared" si="165"/>
        <v>10572</v>
      </c>
      <c r="B10573" s="983" t="s">
        <v>2726</v>
      </c>
      <c r="C10573" s="1001"/>
      <c r="H10573" s="983" t="s">
        <v>1108</v>
      </c>
    </row>
    <row r="10574" spans="1:9" x14ac:dyDescent="0.2">
      <c r="A10574" s="997">
        <f t="shared" si="165"/>
        <v>10573</v>
      </c>
      <c r="B10574" s="983" t="s">
        <v>2726</v>
      </c>
      <c r="C10574" s="1000"/>
      <c r="H10574" s="983" t="str">
        <f>CONCATENATE("&lt;valeur&gt;",Cellule_1664,"&lt;/valeur&gt;")</f>
        <v>&lt;valeur&gt;0&lt;/valeur&gt;</v>
      </c>
    </row>
    <row r="10575" spans="1:9" x14ac:dyDescent="0.2">
      <c r="A10575" s="997">
        <f t="shared" si="165"/>
        <v>10574</v>
      </c>
      <c r="B10575" s="983" t="s">
        <v>2726</v>
      </c>
      <c r="C10575" s="1000"/>
      <c r="G10575" s="983" t="s">
        <v>1109</v>
      </c>
    </row>
    <row r="10576" spans="1:9" x14ac:dyDescent="0.2">
      <c r="A10576" s="997">
        <f t="shared" si="165"/>
        <v>10575</v>
      </c>
      <c r="B10576" s="983" t="s">
        <v>2726</v>
      </c>
      <c r="C10576" s="999"/>
      <c r="G10576" s="983" t="s">
        <v>1106</v>
      </c>
    </row>
    <row r="10577" spans="1:9" x14ac:dyDescent="0.2">
      <c r="A10577" s="997">
        <f t="shared" si="165"/>
        <v>10576</v>
      </c>
      <c r="B10577" s="983" t="s">
        <v>2726</v>
      </c>
      <c r="C10577" s="998"/>
      <c r="H10577" s="983" t="s">
        <v>1107</v>
      </c>
    </row>
    <row r="10578" spans="1:9" x14ac:dyDescent="0.2">
      <c r="A10578" s="997">
        <f t="shared" si="165"/>
        <v>10577</v>
      </c>
      <c r="B10578" s="983" t="s">
        <v>2726</v>
      </c>
      <c r="C10578" s="995"/>
      <c r="I10578" s="983" t="s">
        <v>2504</v>
      </c>
    </row>
    <row r="10579" spans="1:9" x14ac:dyDescent="0.2">
      <c r="A10579" s="997">
        <f t="shared" si="165"/>
        <v>10578</v>
      </c>
      <c r="B10579" s="983" t="s">
        <v>2726</v>
      </c>
      <c r="C10579" s="995"/>
      <c r="H10579" s="983" t="s">
        <v>1108</v>
      </c>
    </row>
    <row r="10580" spans="1:9" x14ac:dyDescent="0.2">
      <c r="A10580" s="997">
        <f t="shared" si="165"/>
        <v>10579</v>
      </c>
      <c r="B10580" s="983" t="s">
        <v>2726</v>
      </c>
      <c r="C10580" s="998"/>
      <c r="H10580" s="983" t="str">
        <f>CONCATENATE("&lt;valeur&gt;",Cellule_1612,"&lt;/valeur&gt;")</f>
        <v>&lt;valeur&gt;0&lt;/valeur&gt;</v>
      </c>
    </row>
    <row r="10581" spans="1:9" x14ac:dyDescent="0.2">
      <c r="A10581" s="997">
        <f t="shared" si="165"/>
        <v>10580</v>
      </c>
      <c r="B10581" s="983" t="s">
        <v>2726</v>
      </c>
      <c r="C10581" s="999"/>
      <c r="G10581" s="983" t="s">
        <v>1109</v>
      </c>
    </row>
    <row r="10582" spans="1:9" x14ac:dyDescent="0.2">
      <c r="A10582" s="997">
        <f t="shared" si="165"/>
        <v>10581</v>
      </c>
      <c r="B10582" s="983" t="s">
        <v>2726</v>
      </c>
      <c r="C10582" s="998"/>
      <c r="G10582" s="983" t="s">
        <v>1106</v>
      </c>
    </row>
    <row r="10583" spans="1:9" x14ac:dyDescent="0.2">
      <c r="A10583" s="997">
        <f t="shared" si="165"/>
        <v>10582</v>
      </c>
      <c r="B10583" s="983" t="s">
        <v>2726</v>
      </c>
      <c r="C10583" s="998"/>
      <c r="H10583" s="983" t="s">
        <v>1107</v>
      </c>
    </row>
    <row r="10584" spans="1:9" x14ac:dyDescent="0.2">
      <c r="A10584" s="997">
        <f t="shared" si="165"/>
        <v>10583</v>
      </c>
      <c r="B10584" s="983" t="s">
        <v>2726</v>
      </c>
      <c r="C10584" s="999"/>
      <c r="I10584" s="983" t="s">
        <v>2505</v>
      </c>
    </row>
    <row r="10585" spans="1:9" x14ac:dyDescent="0.2">
      <c r="A10585" s="997">
        <f t="shared" si="165"/>
        <v>10584</v>
      </c>
      <c r="B10585" s="983" t="s">
        <v>2726</v>
      </c>
      <c r="C10585" s="1000"/>
      <c r="H10585" s="983" t="s">
        <v>1108</v>
      </c>
    </row>
    <row r="10586" spans="1:9" x14ac:dyDescent="0.2">
      <c r="A10586" s="997">
        <f t="shared" si="165"/>
        <v>10585</v>
      </c>
      <c r="B10586" s="983" t="s">
        <v>2726</v>
      </c>
      <c r="C10586" s="1001"/>
      <c r="H10586" s="983" t="str">
        <f>CONCATENATE("&lt;valeur&gt;",Cellule_1685,"&lt;/valeur&gt;")</f>
        <v>&lt;valeur&gt;0&lt;/valeur&gt;</v>
      </c>
    </row>
    <row r="10587" spans="1:9" x14ac:dyDescent="0.2">
      <c r="A10587" s="997">
        <f t="shared" si="165"/>
        <v>10586</v>
      </c>
      <c r="B10587" s="983" t="s">
        <v>2726</v>
      </c>
      <c r="C10587" s="1000"/>
      <c r="G10587" s="983" t="s">
        <v>1109</v>
      </c>
    </row>
    <row r="10588" spans="1:9" x14ac:dyDescent="0.2">
      <c r="A10588" s="997">
        <f t="shared" si="165"/>
        <v>10587</v>
      </c>
      <c r="B10588" s="983" t="s">
        <v>2726</v>
      </c>
      <c r="C10588" s="1000"/>
      <c r="G10588" s="983" t="s">
        <v>1106</v>
      </c>
    </row>
    <row r="10589" spans="1:9" x14ac:dyDescent="0.2">
      <c r="A10589" s="997">
        <f t="shared" si="165"/>
        <v>10588</v>
      </c>
      <c r="B10589" s="983" t="s">
        <v>2726</v>
      </c>
      <c r="C10589" s="1000"/>
      <c r="H10589" s="983" t="s">
        <v>1107</v>
      </c>
    </row>
    <row r="10590" spans="1:9" x14ac:dyDescent="0.2">
      <c r="A10590" s="997">
        <f t="shared" si="165"/>
        <v>10589</v>
      </c>
      <c r="B10590" s="983" t="s">
        <v>2726</v>
      </c>
      <c r="C10590" s="999"/>
      <c r="I10590" s="983" t="s">
        <v>2506</v>
      </c>
    </row>
    <row r="10591" spans="1:9" x14ac:dyDescent="0.2">
      <c r="A10591" s="997">
        <f t="shared" si="165"/>
        <v>10590</v>
      </c>
      <c r="B10591" s="983" t="s">
        <v>2726</v>
      </c>
      <c r="C10591" s="999"/>
      <c r="H10591" s="983" t="s">
        <v>1108</v>
      </c>
    </row>
    <row r="10592" spans="1:9" x14ac:dyDescent="0.2">
      <c r="A10592" s="997">
        <f t="shared" si="165"/>
        <v>10591</v>
      </c>
      <c r="B10592" s="983" t="s">
        <v>2726</v>
      </c>
      <c r="C10592" s="1000"/>
      <c r="H10592" s="983" t="str">
        <f>CONCATENATE("&lt;valeur&gt;",Cellule_1672,"&lt;/valeur&gt;")</f>
        <v>&lt;valeur&gt;0&lt;/valeur&gt;</v>
      </c>
    </row>
    <row r="10593" spans="1:9" x14ac:dyDescent="0.2">
      <c r="A10593" s="997">
        <f t="shared" si="165"/>
        <v>10592</v>
      </c>
      <c r="B10593" s="983" t="s">
        <v>2726</v>
      </c>
      <c r="C10593" s="1001"/>
      <c r="G10593" s="983" t="s">
        <v>1109</v>
      </c>
    </row>
    <row r="10594" spans="1:9" x14ac:dyDescent="0.2">
      <c r="A10594" s="997">
        <f t="shared" si="165"/>
        <v>10593</v>
      </c>
      <c r="B10594" s="983" t="s">
        <v>2726</v>
      </c>
      <c r="C10594" s="1000"/>
      <c r="G10594" s="983" t="s">
        <v>1106</v>
      </c>
    </row>
    <row r="10595" spans="1:9" x14ac:dyDescent="0.2">
      <c r="A10595" s="997">
        <f t="shared" si="165"/>
        <v>10594</v>
      </c>
      <c r="B10595" s="983" t="s">
        <v>2726</v>
      </c>
      <c r="C10595" s="1000"/>
      <c r="H10595" s="983" t="s">
        <v>1107</v>
      </c>
    </row>
    <row r="10596" spans="1:9" x14ac:dyDescent="0.2">
      <c r="A10596" s="997">
        <f t="shared" si="165"/>
        <v>10595</v>
      </c>
      <c r="B10596" s="983" t="s">
        <v>2726</v>
      </c>
      <c r="C10596" s="1000"/>
      <c r="I10596" s="983" t="s">
        <v>2507</v>
      </c>
    </row>
    <row r="10597" spans="1:9" x14ac:dyDescent="0.2">
      <c r="A10597" s="997">
        <f t="shared" si="165"/>
        <v>10596</v>
      </c>
      <c r="B10597" s="983" t="s">
        <v>2726</v>
      </c>
      <c r="C10597" s="999"/>
      <c r="H10597" s="983" t="s">
        <v>1108</v>
      </c>
    </row>
    <row r="10598" spans="1:9" x14ac:dyDescent="0.2">
      <c r="A10598" s="997">
        <f t="shared" si="165"/>
        <v>10597</v>
      </c>
      <c r="B10598" s="983" t="s">
        <v>2726</v>
      </c>
      <c r="C10598" s="999"/>
      <c r="H10598" s="983" t="str">
        <f>CONCATENATE("&lt;valeur&gt;",Cellule_1736,"&lt;/valeur&gt;")</f>
        <v>&lt;valeur&gt;&lt;/valeur&gt;</v>
      </c>
    </row>
    <row r="10599" spans="1:9" x14ac:dyDescent="0.2">
      <c r="A10599" s="997">
        <f t="shared" si="165"/>
        <v>10598</v>
      </c>
      <c r="B10599" s="983" t="s">
        <v>2726</v>
      </c>
      <c r="C10599" s="1000"/>
      <c r="G10599" s="983" t="s">
        <v>1109</v>
      </c>
    </row>
    <row r="10600" spans="1:9" x14ac:dyDescent="0.2">
      <c r="A10600" s="997">
        <f t="shared" si="165"/>
        <v>10599</v>
      </c>
      <c r="B10600" s="983" t="s">
        <v>2726</v>
      </c>
      <c r="C10600" s="1001"/>
      <c r="G10600" s="983" t="s">
        <v>1106</v>
      </c>
    </row>
    <row r="10601" spans="1:9" x14ac:dyDescent="0.2">
      <c r="A10601" s="997">
        <f t="shared" si="165"/>
        <v>10600</v>
      </c>
      <c r="B10601" s="983" t="s">
        <v>2726</v>
      </c>
      <c r="C10601" s="1000"/>
      <c r="H10601" s="983" t="s">
        <v>1107</v>
      </c>
    </row>
    <row r="10602" spans="1:9" x14ac:dyDescent="0.2">
      <c r="A10602" s="997">
        <f t="shared" si="165"/>
        <v>10601</v>
      </c>
      <c r="B10602" s="983" t="s">
        <v>2726</v>
      </c>
      <c r="C10602" s="1000"/>
      <c r="I10602" s="983" t="s">
        <v>2508</v>
      </c>
    </row>
    <row r="10603" spans="1:9" x14ac:dyDescent="0.2">
      <c r="A10603" s="997">
        <f t="shared" si="165"/>
        <v>10602</v>
      </c>
      <c r="B10603" s="983" t="s">
        <v>2726</v>
      </c>
      <c r="C10603" s="1000"/>
      <c r="H10603" s="983" t="s">
        <v>1108</v>
      </c>
    </row>
    <row r="10604" spans="1:9" x14ac:dyDescent="0.2">
      <c r="A10604" s="997">
        <f t="shared" si="165"/>
        <v>10603</v>
      </c>
      <c r="B10604" s="983" t="s">
        <v>2726</v>
      </c>
      <c r="C10604" s="999"/>
      <c r="H10604" s="983" t="str">
        <f>CONCATENATE("&lt;valeur&gt;",Cellule_1757,"&lt;/valeur&gt;")</f>
        <v>&lt;valeur&gt;0&lt;/valeur&gt;</v>
      </c>
    </row>
    <row r="10605" spans="1:9" x14ac:dyDescent="0.2">
      <c r="A10605" s="997">
        <f t="shared" si="165"/>
        <v>10604</v>
      </c>
      <c r="B10605" s="983" t="s">
        <v>2726</v>
      </c>
      <c r="C10605" s="999"/>
      <c r="G10605" s="983" t="s">
        <v>1109</v>
      </c>
    </row>
    <row r="10606" spans="1:9" x14ac:dyDescent="0.2">
      <c r="A10606" s="997">
        <f t="shared" si="165"/>
        <v>10605</v>
      </c>
      <c r="B10606" s="983" t="s">
        <v>2726</v>
      </c>
      <c r="C10606" s="1000"/>
      <c r="G10606" s="983" t="s">
        <v>1106</v>
      </c>
    </row>
    <row r="10607" spans="1:9" x14ac:dyDescent="0.2">
      <c r="A10607" s="997">
        <f t="shared" si="165"/>
        <v>10606</v>
      </c>
      <c r="B10607" s="983" t="s">
        <v>2726</v>
      </c>
      <c r="C10607" s="1001"/>
      <c r="H10607" s="983" t="s">
        <v>1107</v>
      </c>
    </row>
    <row r="10608" spans="1:9" x14ac:dyDescent="0.2">
      <c r="A10608" s="997">
        <f t="shared" si="165"/>
        <v>10607</v>
      </c>
      <c r="B10608" s="983" t="s">
        <v>2726</v>
      </c>
      <c r="C10608" s="1000"/>
      <c r="I10608" s="983" t="s">
        <v>2509</v>
      </c>
    </row>
    <row r="10609" spans="1:9" x14ac:dyDescent="0.2">
      <c r="A10609" s="997">
        <f t="shared" si="165"/>
        <v>10608</v>
      </c>
      <c r="B10609" s="983" t="s">
        <v>2726</v>
      </c>
      <c r="C10609" s="1062"/>
      <c r="H10609" s="983" t="s">
        <v>1108</v>
      </c>
    </row>
    <row r="10610" spans="1:9" x14ac:dyDescent="0.2">
      <c r="A10610" s="997">
        <f t="shared" si="165"/>
        <v>10609</v>
      </c>
      <c r="B10610" s="983" t="s">
        <v>2726</v>
      </c>
      <c r="C10610" s="1000"/>
      <c r="H10610" s="983" t="str">
        <f>CONCATENATE("&lt;valeur&gt;",Cellule_1769,"&lt;/valeur&gt;")</f>
        <v>&lt;valeur&gt;&lt;/valeur&gt;</v>
      </c>
    </row>
    <row r="10611" spans="1:9" x14ac:dyDescent="0.2">
      <c r="A10611" s="997">
        <f t="shared" si="165"/>
        <v>10610</v>
      </c>
      <c r="B10611" s="983" t="s">
        <v>2726</v>
      </c>
      <c r="C10611" s="999"/>
      <c r="G10611" s="983" t="s">
        <v>1109</v>
      </c>
    </row>
    <row r="10612" spans="1:9" x14ac:dyDescent="0.2">
      <c r="A10612" s="997">
        <f t="shared" si="165"/>
        <v>10611</v>
      </c>
      <c r="B10612" s="983" t="s">
        <v>2726</v>
      </c>
      <c r="C10612" s="999"/>
      <c r="G10612" s="983" t="s">
        <v>1106</v>
      </c>
    </row>
    <row r="10613" spans="1:9" x14ac:dyDescent="0.2">
      <c r="A10613" s="997">
        <f t="shared" si="165"/>
        <v>10612</v>
      </c>
      <c r="B10613" s="983" t="s">
        <v>2726</v>
      </c>
      <c r="C10613" s="1000"/>
      <c r="H10613" s="983" t="s">
        <v>1107</v>
      </c>
    </row>
    <row r="10614" spans="1:9" x14ac:dyDescent="0.2">
      <c r="A10614" s="997">
        <f t="shared" si="165"/>
        <v>10613</v>
      </c>
      <c r="B10614" s="983" t="s">
        <v>2726</v>
      </c>
      <c r="C10614" s="1001"/>
      <c r="I10614" s="983" t="s">
        <v>2510</v>
      </c>
    </row>
    <row r="10615" spans="1:9" x14ac:dyDescent="0.2">
      <c r="A10615" s="997">
        <f t="shared" si="165"/>
        <v>10614</v>
      </c>
      <c r="B10615" s="983" t="s">
        <v>2726</v>
      </c>
      <c r="C10615" s="1000"/>
      <c r="H10615" s="983" t="s">
        <v>1108</v>
      </c>
    </row>
    <row r="10616" spans="1:9" x14ac:dyDescent="0.2">
      <c r="A10616" s="997">
        <f t="shared" si="165"/>
        <v>10615</v>
      </c>
      <c r="B10616" s="983" t="s">
        <v>2726</v>
      </c>
      <c r="C10616" s="1000"/>
      <c r="H10616" s="983" t="str">
        <f>CONCATENATE("&lt;valeur&gt;",Cellule_1800,"&lt;/valeur&gt;")</f>
        <v>&lt;valeur&gt;0&lt;/valeur&gt;</v>
      </c>
    </row>
    <row r="10617" spans="1:9" x14ac:dyDescent="0.2">
      <c r="A10617" s="997">
        <f t="shared" si="165"/>
        <v>10616</v>
      </c>
      <c r="B10617" s="983" t="s">
        <v>2726</v>
      </c>
      <c r="C10617" s="1000"/>
      <c r="G10617" s="983" t="s">
        <v>1109</v>
      </c>
    </row>
    <row r="10618" spans="1:9" x14ac:dyDescent="0.2">
      <c r="A10618" s="997">
        <f t="shared" si="165"/>
        <v>10617</v>
      </c>
      <c r="B10618" s="983" t="s">
        <v>2726</v>
      </c>
      <c r="C10618" s="999"/>
      <c r="G10618" s="983" t="s">
        <v>1106</v>
      </c>
    </row>
    <row r="10619" spans="1:9" x14ac:dyDescent="0.2">
      <c r="A10619" s="997">
        <f t="shared" si="165"/>
        <v>10618</v>
      </c>
      <c r="B10619" s="983" t="s">
        <v>2726</v>
      </c>
      <c r="C10619" s="999"/>
      <c r="H10619" s="983" t="s">
        <v>1107</v>
      </c>
    </row>
    <row r="10620" spans="1:9" x14ac:dyDescent="0.2">
      <c r="A10620" s="997">
        <f t="shared" si="165"/>
        <v>10619</v>
      </c>
      <c r="B10620" s="983" t="s">
        <v>2726</v>
      </c>
      <c r="C10620" s="1000"/>
      <c r="I10620" s="983" t="s">
        <v>2511</v>
      </c>
    </row>
    <row r="10621" spans="1:9" x14ac:dyDescent="0.2">
      <c r="A10621" s="997">
        <f t="shared" si="165"/>
        <v>10620</v>
      </c>
      <c r="B10621" s="983" t="s">
        <v>2726</v>
      </c>
      <c r="C10621" s="1001"/>
      <c r="H10621" s="983" t="s">
        <v>1108</v>
      </c>
    </row>
    <row r="10622" spans="1:9" x14ac:dyDescent="0.2">
      <c r="A10622" s="997">
        <f t="shared" si="165"/>
        <v>10621</v>
      </c>
      <c r="B10622" s="983" t="s">
        <v>2726</v>
      </c>
      <c r="C10622" s="1000"/>
      <c r="H10622" s="983" t="str">
        <f>CONCATENATE("&lt;valeur&gt;",Cellule_1819,"&lt;/valeur&gt;")</f>
        <v>&lt;valeur&gt;&lt;/valeur&gt;</v>
      </c>
    </row>
    <row r="10623" spans="1:9" x14ac:dyDescent="0.2">
      <c r="A10623" s="997">
        <f t="shared" si="165"/>
        <v>10622</v>
      </c>
      <c r="B10623" s="983" t="s">
        <v>2726</v>
      </c>
      <c r="C10623" s="1000"/>
      <c r="G10623" s="983" t="s">
        <v>1109</v>
      </c>
    </row>
    <row r="10624" spans="1:9" x14ac:dyDescent="0.2">
      <c r="A10624" s="997">
        <f t="shared" si="165"/>
        <v>10623</v>
      </c>
      <c r="B10624" s="983" t="s">
        <v>2726</v>
      </c>
      <c r="C10624" s="1000"/>
      <c r="G10624" s="983" t="s">
        <v>1106</v>
      </c>
    </row>
    <row r="10625" spans="1:9" x14ac:dyDescent="0.2">
      <c r="A10625" s="997">
        <f t="shared" si="165"/>
        <v>10624</v>
      </c>
      <c r="B10625" s="983" t="s">
        <v>2726</v>
      </c>
      <c r="C10625" s="999"/>
      <c r="H10625" s="983" t="s">
        <v>1107</v>
      </c>
    </row>
    <row r="10626" spans="1:9" x14ac:dyDescent="0.2">
      <c r="A10626" s="997">
        <f t="shared" si="165"/>
        <v>10625</v>
      </c>
      <c r="B10626" s="983" t="s">
        <v>2726</v>
      </c>
      <c r="C10626" s="999"/>
      <c r="I10626" s="983" t="s">
        <v>2512</v>
      </c>
    </row>
    <row r="10627" spans="1:9" x14ac:dyDescent="0.2">
      <c r="A10627" s="997">
        <f t="shared" si="165"/>
        <v>10626</v>
      </c>
      <c r="B10627" s="983" t="s">
        <v>2726</v>
      </c>
      <c r="C10627" s="1000"/>
      <c r="H10627" s="983" t="s">
        <v>1108</v>
      </c>
    </row>
    <row r="10628" spans="1:9" x14ac:dyDescent="0.2">
      <c r="A10628" s="997">
        <f t="shared" ref="A10628:A10691" si="166">+A10627+1</f>
        <v>10627</v>
      </c>
      <c r="B10628" s="983" t="s">
        <v>2726</v>
      </c>
      <c r="C10628" s="1001"/>
      <c r="H10628" s="983" t="str">
        <f>CONCATENATE("&lt;valeur&gt;",Cellule_1836,"&lt;/valeur&gt;")</f>
        <v>&lt;valeur&gt;0&lt;/valeur&gt;</v>
      </c>
    </row>
    <row r="10629" spans="1:9" x14ac:dyDescent="0.2">
      <c r="A10629" s="997">
        <f t="shared" si="166"/>
        <v>10628</v>
      </c>
      <c r="B10629" s="983" t="s">
        <v>2726</v>
      </c>
      <c r="C10629" s="1000"/>
      <c r="G10629" s="983" t="s">
        <v>1109</v>
      </c>
    </row>
    <row r="10630" spans="1:9" x14ac:dyDescent="0.2">
      <c r="A10630" s="997">
        <f t="shared" si="166"/>
        <v>10629</v>
      </c>
      <c r="B10630" s="983" t="s">
        <v>2726</v>
      </c>
      <c r="C10630" s="1000"/>
      <c r="G10630" s="983" t="s">
        <v>1106</v>
      </c>
    </row>
    <row r="10631" spans="1:9" x14ac:dyDescent="0.2">
      <c r="A10631" s="997">
        <f t="shared" si="166"/>
        <v>10630</v>
      </c>
      <c r="B10631" s="983" t="s">
        <v>2726</v>
      </c>
      <c r="C10631" s="1000"/>
      <c r="H10631" s="983" t="s">
        <v>1107</v>
      </c>
    </row>
    <row r="10632" spans="1:9" x14ac:dyDescent="0.2">
      <c r="A10632" s="997">
        <f t="shared" si="166"/>
        <v>10631</v>
      </c>
      <c r="B10632" s="983" t="s">
        <v>2726</v>
      </c>
      <c r="C10632" s="999"/>
      <c r="I10632" s="983" t="s">
        <v>2513</v>
      </c>
    </row>
    <row r="10633" spans="1:9" x14ac:dyDescent="0.2">
      <c r="A10633" s="997">
        <f t="shared" si="166"/>
        <v>10632</v>
      </c>
      <c r="B10633" s="983" t="s">
        <v>2726</v>
      </c>
      <c r="C10633" s="999"/>
      <c r="H10633" s="983" t="s">
        <v>1108</v>
      </c>
    </row>
    <row r="10634" spans="1:9" x14ac:dyDescent="0.2">
      <c r="A10634" s="997">
        <f t="shared" si="166"/>
        <v>10633</v>
      </c>
      <c r="B10634" s="983" t="s">
        <v>2726</v>
      </c>
      <c r="C10634" s="1000"/>
      <c r="H10634" s="983" t="str">
        <f>CONCATENATE("&lt;valeur&gt;",Cellule_1861,"&lt;/valeur&gt;")</f>
        <v>&lt;valeur&gt;0&lt;/valeur&gt;</v>
      </c>
    </row>
    <row r="10635" spans="1:9" x14ac:dyDescent="0.2">
      <c r="A10635" s="997">
        <f t="shared" si="166"/>
        <v>10634</v>
      </c>
      <c r="B10635" s="983" t="s">
        <v>2726</v>
      </c>
      <c r="C10635" s="1001"/>
      <c r="G10635" s="983" t="s">
        <v>1109</v>
      </c>
    </row>
    <row r="10636" spans="1:9" x14ac:dyDescent="0.2">
      <c r="A10636" s="997">
        <f t="shared" si="166"/>
        <v>10635</v>
      </c>
      <c r="B10636" s="983" t="s">
        <v>2726</v>
      </c>
      <c r="C10636" s="1000"/>
      <c r="G10636" s="983" t="s">
        <v>1106</v>
      </c>
    </row>
    <row r="10637" spans="1:9" x14ac:dyDescent="0.2">
      <c r="A10637" s="997">
        <f t="shared" si="166"/>
        <v>10636</v>
      </c>
      <c r="B10637" s="983" t="s">
        <v>2726</v>
      </c>
      <c r="C10637" s="1000"/>
      <c r="H10637" s="983" t="s">
        <v>1107</v>
      </c>
    </row>
    <row r="10638" spans="1:9" x14ac:dyDescent="0.2">
      <c r="A10638" s="997">
        <f t="shared" si="166"/>
        <v>10637</v>
      </c>
      <c r="B10638" s="983" t="s">
        <v>2726</v>
      </c>
      <c r="C10638" s="1000"/>
      <c r="I10638" s="983" t="s">
        <v>2514</v>
      </c>
    </row>
    <row r="10639" spans="1:9" x14ac:dyDescent="0.2">
      <c r="A10639" s="997">
        <f t="shared" si="166"/>
        <v>10638</v>
      </c>
      <c r="B10639" s="983" t="s">
        <v>2726</v>
      </c>
      <c r="C10639" s="999"/>
      <c r="H10639" s="983" t="s">
        <v>1108</v>
      </c>
    </row>
    <row r="10640" spans="1:9" x14ac:dyDescent="0.2">
      <c r="A10640" s="997">
        <f t="shared" si="166"/>
        <v>10639</v>
      </c>
      <c r="B10640" s="983" t="s">
        <v>2726</v>
      </c>
      <c r="C10640" s="999"/>
      <c r="H10640" s="983" t="str">
        <f>CONCATENATE("&lt;valeur&gt;",Cellule_1869,"&lt;/valeur&gt;")</f>
        <v>&lt;valeur&gt;0&lt;/valeur&gt;</v>
      </c>
    </row>
    <row r="10641" spans="1:9" x14ac:dyDescent="0.2">
      <c r="A10641" s="997">
        <f t="shared" si="166"/>
        <v>10640</v>
      </c>
      <c r="B10641" s="983" t="s">
        <v>2726</v>
      </c>
      <c r="C10641" s="1000"/>
      <c r="G10641" s="983" t="s">
        <v>1109</v>
      </c>
    </row>
    <row r="10642" spans="1:9" x14ac:dyDescent="0.2">
      <c r="A10642" s="997">
        <f t="shared" si="166"/>
        <v>10641</v>
      </c>
      <c r="B10642" s="983" t="s">
        <v>2726</v>
      </c>
      <c r="C10642" s="1001"/>
      <c r="G10642" s="983" t="s">
        <v>1106</v>
      </c>
    </row>
    <row r="10643" spans="1:9" x14ac:dyDescent="0.2">
      <c r="A10643" s="997">
        <f t="shared" si="166"/>
        <v>10642</v>
      </c>
      <c r="B10643" s="983" t="s">
        <v>2726</v>
      </c>
      <c r="C10643" s="1000"/>
      <c r="H10643" s="983" t="s">
        <v>1107</v>
      </c>
    </row>
    <row r="10644" spans="1:9" x14ac:dyDescent="0.2">
      <c r="A10644" s="997">
        <f t="shared" si="166"/>
        <v>10643</v>
      </c>
      <c r="B10644" s="983" t="s">
        <v>2726</v>
      </c>
      <c r="C10644" s="1000"/>
      <c r="I10644" s="983" t="s">
        <v>2515</v>
      </c>
    </row>
    <row r="10645" spans="1:9" x14ac:dyDescent="0.2">
      <c r="A10645" s="997">
        <f t="shared" si="166"/>
        <v>10644</v>
      </c>
      <c r="B10645" s="983" t="s">
        <v>2726</v>
      </c>
      <c r="C10645" s="999"/>
      <c r="H10645" s="983" t="s">
        <v>1108</v>
      </c>
    </row>
    <row r="10646" spans="1:9" x14ac:dyDescent="0.2">
      <c r="A10646" s="997">
        <f t="shared" si="166"/>
        <v>10645</v>
      </c>
      <c r="B10646" s="983" t="s">
        <v>2726</v>
      </c>
      <c r="C10646" s="999"/>
      <c r="H10646" s="983" t="str">
        <f>CONCATENATE("&lt;valeur&gt;",Cellule_1886,"&lt;/valeur&gt;")</f>
        <v>&lt;valeur&gt;0&lt;/valeur&gt;</v>
      </c>
    </row>
    <row r="10647" spans="1:9" x14ac:dyDescent="0.2">
      <c r="A10647" s="997">
        <f t="shared" si="166"/>
        <v>10646</v>
      </c>
      <c r="B10647" s="983" t="s">
        <v>2726</v>
      </c>
      <c r="C10647" s="1000"/>
      <c r="G10647" s="983" t="s">
        <v>1109</v>
      </c>
    </row>
    <row r="10648" spans="1:9" x14ac:dyDescent="0.2">
      <c r="A10648" s="997">
        <f t="shared" si="166"/>
        <v>10647</v>
      </c>
      <c r="B10648" s="983" t="s">
        <v>2726</v>
      </c>
      <c r="C10648" s="1001"/>
      <c r="G10648" s="983" t="s">
        <v>1106</v>
      </c>
    </row>
    <row r="10649" spans="1:9" x14ac:dyDescent="0.2">
      <c r="A10649" s="997">
        <f t="shared" si="166"/>
        <v>10648</v>
      </c>
      <c r="B10649" s="983" t="s">
        <v>2726</v>
      </c>
      <c r="C10649" s="1000"/>
      <c r="H10649" s="983" t="s">
        <v>1107</v>
      </c>
    </row>
    <row r="10650" spans="1:9" x14ac:dyDescent="0.2">
      <c r="A10650" s="997">
        <f t="shared" si="166"/>
        <v>10649</v>
      </c>
      <c r="B10650" s="983" t="s">
        <v>2726</v>
      </c>
      <c r="C10650" s="1000"/>
      <c r="I10650" s="983" t="s">
        <v>2516</v>
      </c>
    </row>
    <row r="10651" spans="1:9" x14ac:dyDescent="0.2">
      <c r="A10651" s="997">
        <f t="shared" si="166"/>
        <v>10650</v>
      </c>
      <c r="B10651" s="983" t="s">
        <v>2726</v>
      </c>
      <c r="C10651" s="999"/>
      <c r="H10651" s="983" t="s">
        <v>1108</v>
      </c>
    </row>
    <row r="10652" spans="1:9" x14ac:dyDescent="0.2">
      <c r="A10652" s="997">
        <f t="shared" si="166"/>
        <v>10651</v>
      </c>
      <c r="B10652" s="983" t="s">
        <v>2726</v>
      </c>
      <c r="C10652" s="998"/>
      <c r="H10652" s="983" t="str">
        <f>CONCATENATE("&lt;valeur&gt;",Cellule_1853,"&lt;/valeur&gt;")</f>
        <v>&lt;valeur&gt;0&lt;/valeur&gt;</v>
      </c>
    </row>
    <row r="10653" spans="1:9" x14ac:dyDescent="0.2">
      <c r="A10653" s="997">
        <f t="shared" si="166"/>
        <v>10652</v>
      </c>
      <c r="B10653" s="983" t="s">
        <v>2726</v>
      </c>
      <c r="C10653" s="998"/>
      <c r="G10653" s="983" t="s">
        <v>1109</v>
      </c>
    </row>
    <row r="10654" spans="1:9" x14ac:dyDescent="0.2">
      <c r="A10654" s="997">
        <f t="shared" si="166"/>
        <v>10653</v>
      </c>
      <c r="B10654" s="983" t="s">
        <v>2726</v>
      </c>
      <c r="C10654" s="995"/>
      <c r="G10654" s="983" t="s">
        <v>1106</v>
      </c>
    </row>
    <row r="10655" spans="1:9" x14ac:dyDescent="0.2">
      <c r="A10655" s="997">
        <f t="shared" si="166"/>
        <v>10654</v>
      </c>
      <c r="B10655" s="983" t="s">
        <v>2726</v>
      </c>
      <c r="C10655" s="995"/>
      <c r="H10655" s="983" t="s">
        <v>1107</v>
      </c>
    </row>
    <row r="10656" spans="1:9" x14ac:dyDescent="0.2">
      <c r="A10656" s="997">
        <f t="shared" si="166"/>
        <v>10655</v>
      </c>
      <c r="B10656" s="983" t="s">
        <v>2726</v>
      </c>
      <c r="C10656" s="998"/>
      <c r="I10656" s="983" t="s">
        <v>2517</v>
      </c>
    </row>
    <row r="10657" spans="1:9" x14ac:dyDescent="0.2">
      <c r="A10657" s="997">
        <f t="shared" si="166"/>
        <v>10656</v>
      </c>
      <c r="B10657" s="983" t="s">
        <v>2726</v>
      </c>
      <c r="C10657" s="999"/>
      <c r="H10657" s="983" t="s">
        <v>1108</v>
      </c>
    </row>
    <row r="10658" spans="1:9" x14ac:dyDescent="0.2">
      <c r="A10658" s="997">
        <f t="shared" si="166"/>
        <v>10657</v>
      </c>
      <c r="B10658" s="983" t="s">
        <v>2726</v>
      </c>
      <c r="C10658" s="998"/>
      <c r="H10658" s="983" t="str">
        <f>CONCATENATE("&lt;valeur&gt;",Cellule_1402,"&lt;/valeur&gt;")</f>
        <v>&lt;valeur&gt;&lt;/valeur&gt;</v>
      </c>
    </row>
    <row r="10659" spans="1:9" x14ac:dyDescent="0.2">
      <c r="A10659" s="997">
        <f t="shared" si="166"/>
        <v>10658</v>
      </c>
      <c r="B10659" s="983" t="s">
        <v>2726</v>
      </c>
      <c r="C10659" s="998"/>
      <c r="G10659" s="983" t="s">
        <v>1109</v>
      </c>
    </row>
    <row r="10660" spans="1:9" x14ac:dyDescent="0.2">
      <c r="A10660" s="997">
        <f t="shared" si="166"/>
        <v>10659</v>
      </c>
      <c r="B10660" s="983" t="s">
        <v>2726</v>
      </c>
      <c r="C10660" s="999"/>
      <c r="G10660" s="983" t="s">
        <v>1106</v>
      </c>
    </row>
    <row r="10661" spans="1:9" x14ac:dyDescent="0.2">
      <c r="A10661" s="997">
        <f t="shared" si="166"/>
        <v>10660</v>
      </c>
      <c r="B10661" s="983" t="s">
        <v>2726</v>
      </c>
      <c r="C10661" s="1000"/>
      <c r="H10661" s="983" t="s">
        <v>1107</v>
      </c>
    </row>
    <row r="10662" spans="1:9" x14ac:dyDescent="0.2">
      <c r="A10662" s="997">
        <f t="shared" si="166"/>
        <v>10661</v>
      </c>
      <c r="B10662" s="983" t="s">
        <v>2726</v>
      </c>
      <c r="C10662" s="1001"/>
      <c r="I10662" s="983" t="s">
        <v>2518</v>
      </c>
    </row>
    <row r="10663" spans="1:9" x14ac:dyDescent="0.2">
      <c r="A10663" s="997">
        <f t="shared" si="166"/>
        <v>10662</v>
      </c>
      <c r="B10663" s="983" t="s">
        <v>2726</v>
      </c>
      <c r="C10663" s="1000"/>
      <c r="H10663" s="983" t="s">
        <v>1108</v>
      </c>
    </row>
    <row r="10664" spans="1:9" x14ac:dyDescent="0.2">
      <c r="A10664" s="997">
        <f t="shared" si="166"/>
        <v>10663</v>
      </c>
      <c r="B10664" s="983" t="s">
        <v>2726</v>
      </c>
      <c r="C10664" s="1000"/>
      <c r="H10664" s="983" t="str">
        <f>CONCATENATE("&lt;valeur&gt;",Cellule_1410,"&lt;/valeur&gt;")</f>
        <v>&lt;valeur&gt;&lt;/valeur&gt;</v>
      </c>
    </row>
    <row r="10665" spans="1:9" x14ac:dyDescent="0.2">
      <c r="A10665" s="997">
        <f t="shared" si="166"/>
        <v>10664</v>
      </c>
      <c r="B10665" s="983" t="s">
        <v>2726</v>
      </c>
      <c r="C10665" s="999"/>
      <c r="G10665" s="983" t="s">
        <v>1109</v>
      </c>
    </row>
    <row r="10666" spans="1:9" x14ac:dyDescent="0.2">
      <c r="A10666" s="997">
        <f t="shared" si="166"/>
        <v>10665</v>
      </c>
      <c r="B10666" s="983" t="s">
        <v>2726</v>
      </c>
      <c r="C10666" s="999"/>
      <c r="G10666" s="983" t="s">
        <v>1106</v>
      </c>
    </row>
    <row r="10667" spans="1:9" x14ac:dyDescent="0.2">
      <c r="A10667" s="997">
        <f t="shared" si="166"/>
        <v>10666</v>
      </c>
      <c r="B10667" s="983" t="s">
        <v>2726</v>
      </c>
      <c r="C10667" s="1000"/>
      <c r="H10667" s="983" t="s">
        <v>1107</v>
      </c>
    </row>
    <row r="10668" spans="1:9" x14ac:dyDescent="0.2">
      <c r="A10668" s="997">
        <f t="shared" si="166"/>
        <v>10667</v>
      </c>
      <c r="B10668" s="983" t="s">
        <v>2726</v>
      </c>
      <c r="C10668" s="1001"/>
      <c r="I10668" s="983" t="s">
        <v>2519</v>
      </c>
    </row>
    <row r="10669" spans="1:9" x14ac:dyDescent="0.2">
      <c r="A10669" s="997">
        <f t="shared" si="166"/>
        <v>10668</v>
      </c>
      <c r="B10669" s="983" t="s">
        <v>2726</v>
      </c>
      <c r="C10669" s="1000"/>
      <c r="H10669" s="983" t="s">
        <v>1108</v>
      </c>
    </row>
    <row r="10670" spans="1:9" x14ac:dyDescent="0.2">
      <c r="A10670" s="997">
        <f t="shared" si="166"/>
        <v>10669</v>
      </c>
      <c r="B10670" s="983" t="s">
        <v>2726</v>
      </c>
      <c r="C10670" s="1000"/>
      <c r="H10670" s="983" t="str">
        <f>CONCATENATE("&lt;valeur&gt;",Cellule_1418,"&lt;/valeur&gt;")</f>
        <v>&lt;valeur&gt;&lt;/valeur&gt;</v>
      </c>
    </row>
    <row r="10671" spans="1:9" x14ac:dyDescent="0.2">
      <c r="A10671" s="997">
        <f t="shared" si="166"/>
        <v>10670</v>
      </c>
      <c r="B10671" s="983" t="s">
        <v>2726</v>
      </c>
      <c r="C10671" s="999"/>
      <c r="G10671" s="983" t="s">
        <v>1109</v>
      </c>
    </row>
    <row r="10672" spans="1:9" x14ac:dyDescent="0.2">
      <c r="A10672" s="997">
        <f t="shared" si="166"/>
        <v>10671</v>
      </c>
      <c r="B10672" s="983" t="s">
        <v>2726</v>
      </c>
      <c r="C10672" s="999"/>
      <c r="G10672" s="983" t="s">
        <v>1106</v>
      </c>
    </row>
    <row r="10673" spans="1:9" x14ac:dyDescent="0.2">
      <c r="A10673" s="997">
        <f t="shared" si="166"/>
        <v>10672</v>
      </c>
      <c r="B10673" s="983" t="s">
        <v>2726</v>
      </c>
      <c r="C10673" s="1000"/>
      <c r="H10673" s="983" t="s">
        <v>1107</v>
      </c>
    </row>
    <row r="10674" spans="1:9" x14ac:dyDescent="0.2">
      <c r="A10674" s="997">
        <f t="shared" si="166"/>
        <v>10673</v>
      </c>
      <c r="B10674" s="983" t="s">
        <v>2726</v>
      </c>
      <c r="C10674" s="1001"/>
      <c r="I10674" s="983" t="s">
        <v>2520</v>
      </c>
    </row>
    <row r="10675" spans="1:9" x14ac:dyDescent="0.2">
      <c r="A10675" s="997">
        <f t="shared" si="166"/>
        <v>10674</v>
      </c>
      <c r="B10675" s="983" t="s">
        <v>2726</v>
      </c>
      <c r="C10675" s="1000"/>
      <c r="H10675" s="983" t="s">
        <v>1108</v>
      </c>
    </row>
    <row r="10676" spans="1:9" x14ac:dyDescent="0.2">
      <c r="A10676" s="997">
        <f t="shared" si="166"/>
        <v>10675</v>
      </c>
      <c r="B10676" s="983" t="s">
        <v>2726</v>
      </c>
      <c r="C10676" s="1000"/>
      <c r="H10676" s="983" t="str">
        <f>CONCATENATE("&lt;valeur&gt;",Cellule_1426,"&lt;/valeur&gt;")</f>
        <v>&lt;valeur&gt;0&lt;/valeur&gt;</v>
      </c>
    </row>
    <row r="10677" spans="1:9" x14ac:dyDescent="0.2">
      <c r="A10677" s="997">
        <f t="shared" si="166"/>
        <v>10676</v>
      </c>
      <c r="B10677" s="983" t="s">
        <v>2726</v>
      </c>
      <c r="C10677" s="999"/>
      <c r="G10677" s="983" t="s">
        <v>1109</v>
      </c>
    </row>
    <row r="10678" spans="1:9" x14ac:dyDescent="0.2">
      <c r="A10678" s="997">
        <f t="shared" si="166"/>
        <v>10677</v>
      </c>
      <c r="B10678" s="983" t="s">
        <v>2726</v>
      </c>
      <c r="C10678" s="999"/>
      <c r="G10678" s="983" t="s">
        <v>1106</v>
      </c>
    </row>
    <row r="10679" spans="1:9" x14ac:dyDescent="0.2">
      <c r="A10679" s="997">
        <f t="shared" si="166"/>
        <v>10678</v>
      </c>
      <c r="B10679" s="983" t="s">
        <v>2726</v>
      </c>
      <c r="C10679" s="1000"/>
      <c r="H10679" s="983" t="s">
        <v>1107</v>
      </c>
    </row>
    <row r="10680" spans="1:9" x14ac:dyDescent="0.2">
      <c r="A10680" s="997">
        <f t="shared" si="166"/>
        <v>10679</v>
      </c>
      <c r="B10680" s="983" t="s">
        <v>2726</v>
      </c>
      <c r="C10680" s="1001"/>
      <c r="I10680" s="983" t="s">
        <v>2521</v>
      </c>
    </row>
    <row r="10681" spans="1:9" x14ac:dyDescent="0.2">
      <c r="A10681" s="997">
        <f t="shared" si="166"/>
        <v>10680</v>
      </c>
      <c r="B10681" s="983" t="s">
        <v>2726</v>
      </c>
      <c r="C10681" s="1000"/>
      <c r="H10681" s="983" t="s">
        <v>1108</v>
      </c>
    </row>
    <row r="10682" spans="1:9" x14ac:dyDescent="0.2">
      <c r="A10682" s="997">
        <f t="shared" si="166"/>
        <v>10681</v>
      </c>
      <c r="B10682" s="983" t="s">
        <v>2726</v>
      </c>
      <c r="C10682" s="1000"/>
      <c r="H10682" s="983" t="str">
        <f>CONCATENATE("&lt;valeur&gt;",Cellule_1434,"&lt;/valeur&gt;")</f>
        <v>&lt;valeur&gt;0&lt;/valeur&gt;</v>
      </c>
    </row>
    <row r="10683" spans="1:9" x14ac:dyDescent="0.2">
      <c r="A10683" s="997">
        <f t="shared" si="166"/>
        <v>10682</v>
      </c>
      <c r="B10683" s="983" t="s">
        <v>2726</v>
      </c>
      <c r="C10683" s="999"/>
      <c r="G10683" s="983" t="s">
        <v>1109</v>
      </c>
    </row>
    <row r="10684" spans="1:9" x14ac:dyDescent="0.2">
      <c r="A10684" s="997">
        <f t="shared" si="166"/>
        <v>10683</v>
      </c>
      <c r="B10684" s="983" t="s">
        <v>2726</v>
      </c>
      <c r="C10684" s="999"/>
      <c r="G10684" s="983" t="s">
        <v>1106</v>
      </c>
    </row>
    <row r="10685" spans="1:9" x14ac:dyDescent="0.2">
      <c r="A10685" s="997">
        <f t="shared" si="166"/>
        <v>10684</v>
      </c>
      <c r="B10685" s="983" t="s">
        <v>2726</v>
      </c>
      <c r="C10685" s="1000"/>
      <c r="H10685" s="983" t="s">
        <v>1107</v>
      </c>
    </row>
    <row r="10686" spans="1:9" x14ac:dyDescent="0.2">
      <c r="A10686" s="997">
        <f t="shared" si="166"/>
        <v>10685</v>
      </c>
      <c r="B10686" s="983" t="s">
        <v>2726</v>
      </c>
      <c r="C10686" s="1001"/>
      <c r="I10686" s="983" t="s">
        <v>2522</v>
      </c>
    </row>
    <row r="10687" spans="1:9" x14ac:dyDescent="0.2">
      <c r="A10687" s="997">
        <f t="shared" si="166"/>
        <v>10686</v>
      </c>
      <c r="B10687" s="983" t="s">
        <v>2726</v>
      </c>
      <c r="C10687" s="1000"/>
      <c r="H10687" s="983" t="s">
        <v>1108</v>
      </c>
    </row>
    <row r="10688" spans="1:9" x14ac:dyDescent="0.2">
      <c r="A10688" s="997">
        <f t="shared" si="166"/>
        <v>10687</v>
      </c>
      <c r="B10688" s="983" t="s">
        <v>2726</v>
      </c>
      <c r="C10688" s="1000"/>
      <c r="H10688" s="983" t="str">
        <f>CONCATENATE("&lt;valeur&gt;",Cellule_1450,"&lt;/valeur&gt;")</f>
        <v>&lt;valeur&gt;&lt;/valeur&gt;</v>
      </c>
    </row>
    <row r="10689" spans="1:9" x14ac:dyDescent="0.2">
      <c r="A10689" s="997">
        <f t="shared" si="166"/>
        <v>10688</v>
      </c>
      <c r="B10689" s="983" t="s">
        <v>2726</v>
      </c>
      <c r="C10689" s="999"/>
      <c r="G10689" s="983" t="s">
        <v>1109</v>
      </c>
    </row>
    <row r="10690" spans="1:9" x14ac:dyDescent="0.2">
      <c r="A10690" s="997">
        <f t="shared" si="166"/>
        <v>10689</v>
      </c>
      <c r="B10690" s="983" t="s">
        <v>2726</v>
      </c>
      <c r="C10690" s="999"/>
      <c r="G10690" s="983" t="s">
        <v>1106</v>
      </c>
    </row>
    <row r="10691" spans="1:9" x14ac:dyDescent="0.2">
      <c r="A10691" s="997">
        <f t="shared" si="166"/>
        <v>10690</v>
      </c>
      <c r="B10691" s="983" t="s">
        <v>2726</v>
      </c>
      <c r="C10691" s="1000"/>
      <c r="H10691" s="983" t="s">
        <v>1107</v>
      </c>
    </row>
    <row r="10692" spans="1:9" x14ac:dyDescent="0.2">
      <c r="A10692" s="997">
        <f t="shared" ref="A10692:A10755" si="167">+A10691+1</f>
        <v>10691</v>
      </c>
      <c r="B10692" s="983" t="s">
        <v>2726</v>
      </c>
      <c r="C10692" s="1001"/>
      <c r="I10692" s="983" t="s">
        <v>2523</v>
      </c>
    </row>
    <row r="10693" spans="1:9" x14ac:dyDescent="0.2">
      <c r="A10693" s="997">
        <f t="shared" si="167"/>
        <v>10692</v>
      </c>
      <c r="B10693" s="983" t="s">
        <v>2726</v>
      </c>
      <c r="C10693" s="1000"/>
      <c r="H10693" s="983" t="s">
        <v>1108</v>
      </c>
    </row>
    <row r="10694" spans="1:9" x14ac:dyDescent="0.2">
      <c r="A10694" s="997">
        <f t="shared" si="167"/>
        <v>10693</v>
      </c>
      <c r="B10694" s="983" t="s">
        <v>2726</v>
      </c>
      <c r="C10694" s="1000"/>
      <c r="H10694" s="983" t="str">
        <f>CONCATENATE("&lt;valeur&gt;",Cellule_1458,"&lt;/valeur&gt;")</f>
        <v>&lt;valeur&gt;0&lt;/valeur&gt;</v>
      </c>
    </row>
    <row r="10695" spans="1:9" x14ac:dyDescent="0.2">
      <c r="A10695" s="997">
        <f t="shared" si="167"/>
        <v>10694</v>
      </c>
      <c r="B10695" s="983" t="s">
        <v>2726</v>
      </c>
      <c r="C10695" s="999"/>
      <c r="G10695" s="983" t="s">
        <v>1109</v>
      </c>
    </row>
    <row r="10696" spans="1:9" x14ac:dyDescent="0.2">
      <c r="A10696" s="997">
        <f t="shared" si="167"/>
        <v>10695</v>
      </c>
      <c r="B10696" s="983" t="s">
        <v>2726</v>
      </c>
      <c r="C10696" s="999"/>
      <c r="G10696" s="983" t="s">
        <v>1106</v>
      </c>
    </row>
    <row r="10697" spans="1:9" x14ac:dyDescent="0.2">
      <c r="A10697" s="997">
        <f t="shared" si="167"/>
        <v>10696</v>
      </c>
      <c r="B10697" s="983" t="s">
        <v>2726</v>
      </c>
      <c r="C10697" s="1000"/>
      <c r="H10697" s="983" t="s">
        <v>1107</v>
      </c>
    </row>
    <row r="10698" spans="1:9" x14ac:dyDescent="0.2">
      <c r="A10698" s="997">
        <f t="shared" si="167"/>
        <v>10697</v>
      </c>
      <c r="B10698" s="983" t="s">
        <v>2726</v>
      </c>
      <c r="C10698" s="1001"/>
      <c r="I10698" s="983" t="s">
        <v>2524</v>
      </c>
    </row>
    <row r="10699" spans="1:9" x14ac:dyDescent="0.2">
      <c r="A10699" s="997">
        <f t="shared" si="167"/>
        <v>10698</v>
      </c>
      <c r="B10699" s="983" t="s">
        <v>2726</v>
      </c>
      <c r="C10699" s="1000"/>
      <c r="H10699" s="983" t="s">
        <v>1108</v>
      </c>
    </row>
    <row r="10700" spans="1:9" x14ac:dyDescent="0.2">
      <c r="A10700" s="997">
        <f t="shared" si="167"/>
        <v>10699</v>
      </c>
      <c r="B10700" s="983" t="s">
        <v>2726</v>
      </c>
      <c r="C10700" s="1000"/>
      <c r="H10700" s="983" t="str">
        <f>CONCATENATE("&lt;valeur&gt;",Cellule_1466,"&lt;/valeur&gt;")</f>
        <v>&lt;valeur&gt;0&lt;/valeur&gt;</v>
      </c>
    </row>
    <row r="10701" spans="1:9" x14ac:dyDescent="0.2">
      <c r="A10701" s="997">
        <f t="shared" si="167"/>
        <v>10700</v>
      </c>
      <c r="B10701" s="983" t="s">
        <v>2726</v>
      </c>
      <c r="C10701" s="999"/>
      <c r="G10701" s="983" t="s">
        <v>1109</v>
      </c>
    </row>
    <row r="10702" spans="1:9" x14ac:dyDescent="0.2">
      <c r="A10702" s="997">
        <f t="shared" si="167"/>
        <v>10701</v>
      </c>
      <c r="B10702" s="983" t="s">
        <v>2726</v>
      </c>
      <c r="C10702" s="999"/>
      <c r="G10702" s="983" t="s">
        <v>1106</v>
      </c>
    </row>
    <row r="10703" spans="1:9" x14ac:dyDescent="0.2">
      <c r="A10703" s="997">
        <f t="shared" si="167"/>
        <v>10702</v>
      </c>
      <c r="B10703" s="983" t="s">
        <v>2726</v>
      </c>
      <c r="C10703" s="1000"/>
      <c r="H10703" s="983" t="s">
        <v>1107</v>
      </c>
    </row>
    <row r="10704" spans="1:9" x14ac:dyDescent="0.2">
      <c r="A10704" s="997">
        <f t="shared" si="167"/>
        <v>10703</v>
      </c>
      <c r="B10704" s="983" t="s">
        <v>2726</v>
      </c>
      <c r="C10704" s="1001"/>
      <c r="I10704" s="983" t="s">
        <v>2525</v>
      </c>
    </row>
    <row r="10705" spans="1:9" x14ac:dyDescent="0.2">
      <c r="A10705" s="997">
        <f t="shared" si="167"/>
        <v>10704</v>
      </c>
      <c r="B10705" s="983" t="s">
        <v>2726</v>
      </c>
      <c r="C10705" s="1000"/>
      <c r="H10705" s="983" t="s">
        <v>1108</v>
      </c>
    </row>
    <row r="10706" spans="1:9" x14ac:dyDescent="0.2">
      <c r="A10706" s="997">
        <f t="shared" si="167"/>
        <v>10705</v>
      </c>
      <c r="B10706" s="983" t="s">
        <v>2726</v>
      </c>
      <c r="C10706" s="1000"/>
      <c r="H10706" s="983" t="str">
        <f>CONCATENATE("&lt;valeur&gt;",Cellule_1474,"&lt;/valeur&gt;")</f>
        <v>&lt;valeur&gt;&lt;/valeur&gt;</v>
      </c>
    </row>
    <row r="10707" spans="1:9" x14ac:dyDescent="0.2">
      <c r="A10707" s="997">
        <f t="shared" si="167"/>
        <v>10706</v>
      </c>
      <c r="B10707" s="983" t="s">
        <v>2726</v>
      </c>
      <c r="C10707" s="999"/>
      <c r="G10707" s="983" t="s">
        <v>1109</v>
      </c>
    </row>
    <row r="10708" spans="1:9" x14ac:dyDescent="0.2">
      <c r="A10708" s="997">
        <f t="shared" si="167"/>
        <v>10707</v>
      </c>
      <c r="B10708" s="983" t="s">
        <v>2726</v>
      </c>
      <c r="C10708" s="999"/>
      <c r="G10708" s="983" t="s">
        <v>1106</v>
      </c>
    </row>
    <row r="10709" spans="1:9" x14ac:dyDescent="0.2">
      <c r="A10709" s="997">
        <f t="shared" si="167"/>
        <v>10708</v>
      </c>
      <c r="B10709" s="983" t="s">
        <v>2726</v>
      </c>
      <c r="C10709" s="1000"/>
      <c r="H10709" s="983" t="s">
        <v>1107</v>
      </c>
    </row>
    <row r="10710" spans="1:9" x14ac:dyDescent="0.2">
      <c r="A10710" s="997">
        <f t="shared" si="167"/>
        <v>10709</v>
      </c>
      <c r="B10710" s="983" t="s">
        <v>2726</v>
      </c>
      <c r="C10710" s="1001"/>
      <c r="I10710" s="983" t="s">
        <v>2526</v>
      </c>
    </row>
    <row r="10711" spans="1:9" x14ac:dyDescent="0.2">
      <c r="A10711" s="997">
        <f t="shared" si="167"/>
        <v>10710</v>
      </c>
      <c r="B10711" s="983" t="s">
        <v>2726</v>
      </c>
      <c r="C10711" s="1000"/>
      <c r="H10711" s="983" t="s">
        <v>1108</v>
      </c>
    </row>
    <row r="10712" spans="1:9" x14ac:dyDescent="0.2">
      <c r="A10712" s="997">
        <f t="shared" si="167"/>
        <v>10711</v>
      </c>
      <c r="B10712" s="983" t="s">
        <v>2726</v>
      </c>
      <c r="C10712" s="1000"/>
      <c r="H10712" s="983" t="str">
        <f>CONCATENATE("&lt;valeur&gt;",Cellule_1482,"&lt;/valeur&gt;")</f>
        <v>&lt;valeur&gt;&lt;/valeur&gt;</v>
      </c>
    </row>
    <row r="10713" spans="1:9" x14ac:dyDescent="0.2">
      <c r="A10713" s="997">
        <f t="shared" si="167"/>
        <v>10712</v>
      </c>
      <c r="B10713" s="983" t="s">
        <v>2726</v>
      </c>
      <c r="C10713" s="999"/>
      <c r="G10713" s="983" t="s">
        <v>1109</v>
      </c>
    </row>
    <row r="10714" spans="1:9" x14ac:dyDescent="0.2">
      <c r="A10714" s="997">
        <f t="shared" si="167"/>
        <v>10713</v>
      </c>
      <c r="B10714" s="983" t="s">
        <v>2726</v>
      </c>
      <c r="C10714" s="999"/>
      <c r="G10714" s="983" t="s">
        <v>1106</v>
      </c>
    </row>
    <row r="10715" spans="1:9" x14ac:dyDescent="0.2">
      <c r="A10715" s="997">
        <f t="shared" si="167"/>
        <v>10714</v>
      </c>
      <c r="B10715" s="983" t="s">
        <v>2726</v>
      </c>
      <c r="C10715" s="1000"/>
      <c r="H10715" s="983" t="s">
        <v>1107</v>
      </c>
    </row>
    <row r="10716" spans="1:9" x14ac:dyDescent="0.2">
      <c r="A10716" s="997">
        <f t="shared" si="167"/>
        <v>10715</v>
      </c>
      <c r="B10716" s="983" t="s">
        <v>2726</v>
      </c>
      <c r="C10716" s="1001"/>
      <c r="I10716" s="983" t="s">
        <v>2527</v>
      </c>
    </row>
    <row r="10717" spans="1:9" x14ac:dyDescent="0.2">
      <c r="A10717" s="997">
        <f t="shared" si="167"/>
        <v>10716</v>
      </c>
      <c r="B10717" s="983" t="s">
        <v>2726</v>
      </c>
      <c r="C10717" s="1000"/>
      <c r="H10717" s="983" t="s">
        <v>1108</v>
      </c>
    </row>
    <row r="10718" spans="1:9" x14ac:dyDescent="0.2">
      <c r="A10718" s="997">
        <f t="shared" si="167"/>
        <v>10717</v>
      </c>
      <c r="B10718" s="983" t="s">
        <v>2726</v>
      </c>
      <c r="C10718" s="1000"/>
      <c r="H10718" s="983" t="str">
        <f>CONCATENATE("&lt;valeur&gt;",Cellule_1556,"&lt;/valeur&gt;")</f>
        <v>&lt;valeur&gt;0&lt;/valeur&gt;</v>
      </c>
    </row>
    <row r="10719" spans="1:9" x14ac:dyDescent="0.2">
      <c r="A10719" s="997">
        <f t="shared" si="167"/>
        <v>10718</v>
      </c>
      <c r="B10719" s="983" t="s">
        <v>2726</v>
      </c>
      <c r="C10719" s="999"/>
      <c r="G10719" s="983" t="s">
        <v>1109</v>
      </c>
    </row>
    <row r="10720" spans="1:9" x14ac:dyDescent="0.2">
      <c r="A10720" s="997">
        <f t="shared" si="167"/>
        <v>10719</v>
      </c>
      <c r="B10720" s="983" t="s">
        <v>2726</v>
      </c>
      <c r="C10720" s="999"/>
      <c r="G10720" s="983" t="s">
        <v>1106</v>
      </c>
    </row>
    <row r="10721" spans="1:9" x14ac:dyDescent="0.2">
      <c r="A10721" s="997">
        <f t="shared" si="167"/>
        <v>10720</v>
      </c>
      <c r="B10721" s="983" t="s">
        <v>2726</v>
      </c>
      <c r="C10721" s="1000"/>
      <c r="H10721" s="983" t="s">
        <v>1107</v>
      </c>
    </row>
    <row r="10722" spans="1:9" x14ac:dyDescent="0.2">
      <c r="A10722" s="997">
        <f t="shared" si="167"/>
        <v>10721</v>
      </c>
      <c r="B10722" s="983" t="s">
        <v>2726</v>
      </c>
      <c r="C10722" s="1001"/>
      <c r="I10722" s="983" t="s">
        <v>2528</v>
      </c>
    </row>
    <row r="10723" spans="1:9" x14ac:dyDescent="0.2">
      <c r="A10723" s="997">
        <f t="shared" si="167"/>
        <v>10722</v>
      </c>
      <c r="B10723" s="983" t="s">
        <v>2726</v>
      </c>
      <c r="C10723" s="1000"/>
      <c r="H10723" s="983" t="s">
        <v>1108</v>
      </c>
    </row>
    <row r="10724" spans="1:9" x14ac:dyDescent="0.2">
      <c r="A10724" s="997">
        <f t="shared" si="167"/>
        <v>10723</v>
      </c>
      <c r="B10724" s="983" t="s">
        <v>2726</v>
      </c>
      <c r="C10724" s="1000"/>
      <c r="H10724" s="983" t="str">
        <f>CONCATENATE("&lt;valeur&gt;",Cellule_1597,"&lt;/valeur&gt;")</f>
        <v>&lt;valeur&gt;&lt;/valeur&gt;</v>
      </c>
    </row>
    <row r="10725" spans="1:9" x14ac:dyDescent="0.2">
      <c r="A10725" s="997">
        <f t="shared" si="167"/>
        <v>10724</v>
      </c>
      <c r="B10725" s="983" t="s">
        <v>2726</v>
      </c>
      <c r="C10725" s="999"/>
      <c r="G10725" s="983" t="s">
        <v>1109</v>
      </c>
    </row>
    <row r="10726" spans="1:9" x14ac:dyDescent="0.2">
      <c r="A10726" s="997">
        <f t="shared" si="167"/>
        <v>10725</v>
      </c>
      <c r="B10726" s="983" t="s">
        <v>2726</v>
      </c>
      <c r="C10726" s="999"/>
      <c r="G10726" s="983" t="s">
        <v>1106</v>
      </c>
    </row>
    <row r="10727" spans="1:9" x14ac:dyDescent="0.2">
      <c r="A10727" s="997">
        <f t="shared" si="167"/>
        <v>10726</v>
      </c>
      <c r="B10727" s="983" t="s">
        <v>2726</v>
      </c>
      <c r="C10727" s="1000"/>
      <c r="H10727" s="983" t="s">
        <v>1107</v>
      </c>
    </row>
    <row r="10728" spans="1:9" x14ac:dyDescent="0.2">
      <c r="A10728" s="997">
        <f t="shared" si="167"/>
        <v>10727</v>
      </c>
      <c r="B10728" s="983" t="s">
        <v>2726</v>
      </c>
      <c r="C10728" s="1001"/>
      <c r="I10728" s="983" t="s">
        <v>2529</v>
      </c>
    </row>
    <row r="10729" spans="1:9" x14ac:dyDescent="0.2">
      <c r="A10729" s="997">
        <f t="shared" si="167"/>
        <v>10728</v>
      </c>
      <c r="B10729" s="983" t="s">
        <v>2726</v>
      </c>
      <c r="C10729" s="1000"/>
      <c r="H10729" s="983" t="s">
        <v>1108</v>
      </c>
    </row>
    <row r="10730" spans="1:9" x14ac:dyDescent="0.2">
      <c r="A10730" s="997">
        <f t="shared" si="167"/>
        <v>10729</v>
      </c>
      <c r="B10730" s="983" t="s">
        <v>2726</v>
      </c>
      <c r="C10730" s="1000"/>
      <c r="H10730" s="983" t="str">
        <f>CONCATENATE("&lt;valeur&gt;",Cellule_1605,"&lt;/valeur&gt;")</f>
        <v>&lt;valeur&gt;0&lt;/valeur&gt;</v>
      </c>
    </row>
    <row r="10731" spans="1:9" x14ac:dyDescent="0.2">
      <c r="A10731" s="997">
        <f t="shared" si="167"/>
        <v>10730</v>
      </c>
      <c r="B10731" s="983" t="s">
        <v>2726</v>
      </c>
      <c r="C10731" s="999"/>
      <c r="G10731" s="983" t="s">
        <v>1109</v>
      </c>
    </row>
    <row r="10732" spans="1:9" x14ac:dyDescent="0.2">
      <c r="A10732" s="997">
        <f t="shared" si="167"/>
        <v>10731</v>
      </c>
      <c r="B10732" s="983" t="s">
        <v>2726</v>
      </c>
      <c r="C10732" s="999"/>
      <c r="G10732" s="983" t="s">
        <v>1106</v>
      </c>
    </row>
    <row r="10733" spans="1:9" x14ac:dyDescent="0.2">
      <c r="A10733" s="997">
        <f t="shared" si="167"/>
        <v>10732</v>
      </c>
      <c r="B10733" s="983" t="s">
        <v>2726</v>
      </c>
      <c r="C10733" s="1000"/>
      <c r="H10733" s="983" t="s">
        <v>1107</v>
      </c>
    </row>
    <row r="10734" spans="1:9" x14ac:dyDescent="0.2">
      <c r="A10734" s="997">
        <f t="shared" si="167"/>
        <v>10733</v>
      </c>
      <c r="B10734" s="983" t="s">
        <v>2726</v>
      </c>
      <c r="C10734" s="1001"/>
      <c r="I10734" s="983" t="s">
        <v>2530</v>
      </c>
    </row>
    <row r="10735" spans="1:9" x14ac:dyDescent="0.2">
      <c r="A10735" s="997">
        <f t="shared" si="167"/>
        <v>10734</v>
      </c>
      <c r="B10735" s="983" t="s">
        <v>2726</v>
      </c>
      <c r="C10735" s="1000"/>
      <c r="H10735" s="983" t="s">
        <v>1108</v>
      </c>
    </row>
    <row r="10736" spans="1:9" x14ac:dyDescent="0.2">
      <c r="A10736" s="997">
        <f t="shared" si="167"/>
        <v>10735</v>
      </c>
      <c r="B10736" s="983" t="s">
        <v>2726</v>
      </c>
      <c r="C10736" s="1000"/>
      <c r="H10736" s="983" t="str">
        <f>CONCATENATE("&lt;valeur&gt;",Cellule_1636,"&lt;/valeur&gt;")</f>
        <v>&lt;valeur&gt;&lt;/valeur&gt;</v>
      </c>
    </row>
    <row r="10737" spans="1:9" x14ac:dyDescent="0.2">
      <c r="A10737" s="997">
        <f t="shared" si="167"/>
        <v>10736</v>
      </c>
      <c r="B10737" s="983" t="s">
        <v>2726</v>
      </c>
      <c r="C10737" s="999"/>
      <c r="G10737" s="983" t="s">
        <v>1109</v>
      </c>
    </row>
    <row r="10738" spans="1:9" x14ac:dyDescent="0.2">
      <c r="A10738" s="997">
        <f t="shared" si="167"/>
        <v>10737</v>
      </c>
      <c r="B10738" s="983" t="s">
        <v>2726</v>
      </c>
      <c r="C10738" s="999"/>
      <c r="G10738" s="983" t="s">
        <v>1106</v>
      </c>
    </row>
    <row r="10739" spans="1:9" x14ac:dyDescent="0.2">
      <c r="A10739" s="997">
        <f t="shared" si="167"/>
        <v>10738</v>
      </c>
      <c r="B10739" s="983" t="s">
        <v>2726</v>
      </c>
      <c r="C10739" s="1000"/>
      <c r="H10739" s="983" t="s">
        <v>1107</v>
      </c>
    </row>
    <row r="10740" spans="1:9" x14ac:dyDescent="0.2">
      <c r="A10740" s="997">
        <f t="shared" si="167"/>
        <v>10739</v>
      </c>
      <c r="B10740" s="983" t="s">
        <v>2726</v>
      </c>
      <c r="C10740" s="1001"/>
      <c r="I10740" s="983" t="s">
        <v>2531</v>
      </c>
    </row>
    <row r="10741" spans="1:9" x14ac:dyDescent="0.2">
      <c r="A10741" s="997">
        <f t="shared" si="167"/>
        <v>10740</v>
      </c>
      <c r="B10741" s="983" t="s">
        <v>2726</v>
      </c>
      <c r="C10741" s="1000"/>
      <c r="H10741" s="983" t="s">
        <v>1108</v>
      </c>
    </row>
    <row r="10742" spans="1:9" x14ac:dyDescent="0.2">
      <c r="A10742" s="997">
        <f t="shared" si="167"/>
        <v>10741</v>
      </c>
      <c r="B10742" s="983" t="s">
        <v>2726</v>
      </c>
      <c r="C10742" s="1000"/>
      <c r="H10742" s="983" t="str">
        <f>CONCATENATE("&lt;valeur&gt;",Cellule_1644,"&lt;/valeur&gt;")</f>
        <v>&lt;valeur&gt;0&lt;/valeur&gt;</v>
      </c>
    </row>
    <row r="10743" spans="1:9" x14ac:dyDescent="0.2">
      <c r="A10743" s="997">
        <f t="shared" si="167"/>
        <v>10742</v>
      </c>
      <c r="B10743" s="983" t="s">
        <v>2726</v>
      </c>
      <c r="C10743" s="999"/>
      <c r="G10743" s="983" t="s">
        <v>1109</v>
      </c>
    </row>
    <row r="10744" spans="1:9" x14ac:dyDescent="0.2">
      <c r="A10744" s="997">
        <f t="shared" si="167"/>
        <v>10743</v>
      </c>
      <c r="B10744" s="983" t="s">
        <v>2726</v>
      </c>
      <c r="C10744" s="999"/>
      <c r="G10744" s="983" t="s">
        <v>1106</v>
      </c>
    </row>
    <row r="10745" spans="1:9" x14ac:dyDescent="0.2">
      <c r="A10745" s="997">
        <f t="shared" si="167"/>
        <v>10744</v>
      </c>
      <c r="B10745" s="983" t="s">
        <v>2726</v>
      </c>
      <c r="C10745" s="1000"/>
      <c r="H10745" s="983" t="s">
        <v>1107</v>
      </c>
    </row>
    <row r="10746" spans="1:9" x14ac:dyDescent="0.2">
      <c r="A10746" s="997">
        <f t="shared" si="167"/>
        <v>10745</v>
      </c>
      <c r="B10746" s="983" t="s">
        <v>2726</v>
      </c>
      <c r="C10746" s="1001"/>
      <c r="I10746" s="983" t="s">
        <v>2532</v>
      </c>
    </row>
    <row r="10747" spans="1:9" x14ac:dyDescent="0.2">
      <c r="A10747" s="997">
        <f t="shared" si="167"/>
        <v>10746</v>
      </c>
      <c r="B10747" s="983" t="s">
        <v>2726</v>
      </c>
      <c r="C10747" s="1000"/>
      <c r="H10747" s="983" t="s">
        <v>1108</v>
      </c>
    </row>
    <row r="10748" spans="1:9" x14ac:dyDescent="0.2">
      <c r="A10748" s="997">
        <f t="shared" si="167"/>
        <v>10747</v>
      </c>
      <c r="B10748" s="983" t="s">
        <v>2726</v>
      </c>
      <c r="C10748" s="1000"/>
      <c r="H10748" s="983" t="str">
        <f>CONCATENATE("&lt;valeur&gt;",Cellule_1657,"&lt;/valeur&gt;")</f>
        <v>&lt;valeur&gt;0&lt;/valeur&gt;</v>
      </c>
    </row>
    <row r="10749" spans="1:9" x14ac:dyDescent="0.2">
      <c r="A10749" s="997">
        <f t="shared" si="167"/>
        <v>10748</v>
      </c>
      <c r="B10749" s="983" t="s">
        <v>2726</v>
      </c>
      <c r="C10749" s="999"/>
      <c r="G10749" s="983" t="s">
        <v>1109</v>
      </c>
    </row>
    <row r="10750" spans="1:9" x14ac:dyDescent="0.2">
      <c r="A10750" s="997">
        <f t="shared" si="167"/>
        <v>10749</v>
      </c>
      <c r="B10750" s="983" t="s">
        <v>2726</v>
      </c>
      <c r="C10750" s="999"/>
      <c r="G10750" s="983" t="s">
        <v>1106</v>
      </c>
    </row>
    <row r="10751" spans="1:9" x14ac:dyDescent="0.2">
      <c r="A10751" s="997">
        <f t="shared" si="167"/>
        <v>10750</v>
      </c>
      <c r="B10751" s="983" t="s">
        <v>2726</v>
      </c>
      <c r="C10751" s="1000"/>
      <c r="H10751" s="983" t="s">
        <v>1107</v>
      </c>
    </row>
    <row r="10752" spans="1:9" x14ac:dyDescent="0.2">
      <c r="A10752" s="997">
        <f t="shared" si="167"/>
        <v>10751</v>
      </c>
      <c r="B10752" s="983" t="s">
        <v>2726</v>
      </c>
      <c r="C10752" s="1001"/>
      <c r="I10752" s="983" t="s">
        <v>2533</v>
      </c>
    </row>
    <row r="10753" spans="1:9" x14ac:dyDescent="0.2">
      <c r="A10753" s="997">
        <f t="shared" si="167"/>
        <v>10752</v>
      </c>
      <c r="B10753" s="983" t="s">
        <v>2726</v>
      </c>
      <c r="C10753" s="1000"/>
      <c r="H10753" s="983" t="s">
        <v>1108</v>
      </c>
    </row>
    <row r="10754" spans="1:9" x14ac:dyDescent="0.2">
      <c r="A10754" s="997">
        <f t="shared" si="167"/>
        <v>10753</v>
      </c>
      <c r="B10754" s="983" t="s">
        <v>2726</v>
      </c>
      <c r="C10754" s="1000"/>
      <c r="H10754" s="983" t="str">
        <f>CONCATENATE("&lt;valeur&gt;",Cellule_1665,"&lt;/valeur&gt;")</f>
        <v>&lt;valeur&gt;0&lt;/valeur&gt;</v>
      </c>
    </row>
    <row r="10755" spans="1:9" x14ac:dyDescent="0.2">
      <c r="A10755" s="997">
        <f t="shared" si="167"/>
        <v>10754</v>
      </c>
      <c r="B10755" s="983" t="s">
        <v>2726</v>
      </c>
      <c r="C10755" s="999"/>
      <c r="G10755" s="983" t="s">
        <v>1109</v>
      </c>
    </row>
    <row r="10756" spans="1:9" x14ac:dyDescent="0.2">
      <c r="A10756" s="997">
        <f t="shared" ref="A10756:A10819" si="168">+A10755+1</f>
        <v>10755</v>
      </c>
      <c r="B10756" s="983" t="s">
        <v>2726</v>
      </c>
      <c r="C10756" s="999"/>
      <c r="G10756" s="983" t="s">
        <v>1106</v>
      </c>
    </row>
    <row r="10757" spans="1:9" x14ac:dyDescent="0.2">
      <c r="A10757" s="997">
        <f t="shared" si="168"/>
        <v>10756</v>
      </c>
      <c r="B10757" s="983" t="s">
        <v>2726</v>
      </c>
      <c r="C10757" s="1000"/>
      <c r="H10757" s="983" t="s">
        <v>1107</v>
      </c>
    </row>
    <row r="10758" spans="1:9" x14ac:dyDescent="0.2">
      <c r="A10758" s="997">
        <f t="shared" si="168"/>
        <v>10757</v>
      </c>
      <c r="B10758" s="983" t="s">
        <v>2726</v>
      </c>
      <c r="C10758" s="1001"/>
      <c r="I10758" s="983" t="s">
        <v>2534</v>
      </c>
    </row>
    <row r="10759" spans="1:9" x14ac:dyDescent="0.2">
      <c r="A10759" s="997">
        <f t="shared" si="168"/>
        <v>10758</v>
      </c>
      <c r="B10759" s="983" t="s">
        <v>2726</v>
      </c>
      <c r="C10759" s="1000"/>
      <c r="H10759" s="983" t="s">
        <v>1108</v>
      </c>
    </row>
    <row r="10760" spans="1:9" x14ac:dyDescent="0.2">
      <c r="A10760" s="997">
        <f t="shared" si="168"/>
        <v>10759</v>
      </c>
      <c r="B10760" s="983" t="s">
        <v>2726</v>
      </c>
      <c r="C10760" s="1000"/>
      <c r="H10760" s="983" t="str">
        <f>CONCATENATE("&lt;valeur&gt;",Cellule_1613,"&lt;/valeur&gt;")</f>
        <v>&lt;valeur&gt;0&lt;/valeur&gt;</v>
      </c>
    </row>
    <row r="10761" spans="1:9" x14ac:dyDescent="0.2">
      <c r="A10761" s="997">
        <f t="shared" si="168"/>
        <v>10760</v>
      </c>
      <c r="B10761" s="983" t="s">
        <v>2726</v>
      </c>
      <c r="C10761" s="999"/>
      <c r="G10761" s="983" t="s">
        <v>1109</v>
      </c>
    </row>
    <row r="10762" spans="1:9" x14ac:dyDescent="0.2">
      <c r="A10762" s="997">
        <f t="shared" si="168"/>
        <v>10761</v>
      </c>
      <c r="B10762" s="983" t="s">
        <v>2726</v>
      </c>
      <c r="C10762" s="999"/>
      <c r="G10762" s="983" t="s">
        <v>1106</v>
      </c>
    </row>
    <row r="10763" spans="1:9" x14ac:dyDescent="0.2">
      <c r="A10763" s="997">
        <f t="shared" si="168"/>
        <v>10762</v>
      </c>
      <c r="B10763" s="983" t="s">
        <v>2726</v>
      </c>
      <c r="C10763" s="1000"/>
      <c r="H10763" s="983" t="s">
        <v>1107</v>
      </c>
    </row>
    <row r="10764" spans="1:9" x14ac:dyDescent="0.2">
      <c r="A10764" s="997">
        <f t="shared" si="168"/>
        <v>10763</v>
      </c>
      <c r="B10764" s="983" t="s">
        <v>2726</v>
      </c>
      <c r="C10764" s="1001"/>
      <c r="I10764" s="983" t="s">
        <v>2535</v>
      </c>
    </row>
    <row r="10765" spans="1:9" x14ac:dyDescent="0.2">
      <c r="A10765" s="997">
        <f t="shared" si="168"/>
        <v>10764</v>
      </c>
      <c r="B10765" s="983" t="s">
        <v>2726</v>
      </c>
      <c r="C10765" s="1000"/>
      <c r="H10765" s="983" t="s">
        <v>1108</v>
      </c>
    </row>
    <row r="10766" spans="1:9" x14ac:dyDescent="0.2">
      <c r="A10766" s="997">
        <f t="shared" si="168"/>
        <v>10765</v>
      </c>
      <c r="B10766" s="983" t="s">
        <v>2726</v>
      </c>
      <c r="C10766" s="1000"/>
      <c r="H10766" s="983" t="str">
        <f>CONCATENATE("&lt;valeur&gt;",Cellule_1686,"&lt;/valeur&gt;")</f>
        <v>&lt;valeur&gt;0&lt;/valeur&gt;</v>
      </c>
    </row>
    <row r="10767" spans="1:9" x14ac:dyDescent="0.2">
      <c r="A10767" s="997">
        <f t="shared" si="168"/>
        <v>10766</v>
      </c>
      <c r="B10767" s="983" t="s">
        <v>2726</v>
      </c>
      <c r="C10767" s="999"/>
      <c r="G10767" s="983" t="s">
        <v>1109</v>
      </c>
    </row>
    <row r="10768" spans="1:9" x14ac:dyDescent="0.2">
      <c r="A10768" s="997">
        <f t="shared" si="168"/>
        <v>10767</v>
      </c>
      <c r="B10768" s="983" t="s">
        <v>2726</v>
      </c>
      <c r="C10768" s="999"/>
      <c r="G10768" s="983" t="s">
        <v>1106</v>
      </c>
    </row>
    <row r="10769" spans="1:9" x14ac:dyDescent="0.2">
      <c r="A10769" s="997">
        <f t="shared" si="168"/>
        <v>10768</v>
      </c>
      <c r="B10769" s="983" t="s">
        <v>2726</v>
      </c>
      <c r="C10769" s="1000"/>
      <c r="H10769" s="983" t="s">
        <v>1107</v>
      </c>
    </row>
    <row r="10770" spans="1:9" x14ac:dyDescent="0.2">
      <c r="A10770" s="997">
        <f t="shared" si="168"/>
        <v>10769</v>
      </c>
      <c r="B10770" s="983" t="s">
        <v>2726</v>
      </c>
      <c r="C10770" s="1001"/>
      <c r="I10770" s="983" t="s">
        <v>2536</v>
      </c>
    </row>
    <row r="10771" spans="1:9" x14ac:dyDescent="0.2">
      <c r="A10771" s="997">
        <f t="shared" si="168"/>
        <v>10770</v>
      </c>
      <c r="B10771" s="983" t="s">
        <v>2726</v>
      </c>
      <c r="C10771" s="1000"/>
      <c r="H10771" s="983" t="s">
        <v>1108</v>
      </c>
    </row>
    <row r="10772" spans="1:9" x14ac:dyDescent="0.2">
      <c r="A10772" s="997">
        <f t="shared" si="168"/>
        <v>10771</v>
      </c>
      <c r="B10772" s="983" t="s">
        <v>2726</v>
      </c>
      <c r="C10772" s="1000"/>
      <c r="H10772" s="983" t="str">
        <f>CONCATENATE("&lt;valeur&gt;",Cellule_1673,"&lt;/valeur&gt;")</f>
        <v>&lt;valeur&gt;0&lt;/valeur&gt;</v>
      </c>
    </row>
    <row r="10773" spans="1:9" x14ac:dyDescent="0.2">
      <c r="A10773" s="997">
        <f t="shared" si="168"/>
        <v>10772</v>
      </c>
      <c r="B10773" s="983" t="s">
        <v>2726</v>
      </c>
      <c r="C10773" s="999"/>
      <c r="G10773" s="983" t="s">
        <v>1109</v>
      </c>
    </row>
    <row r="10774" spans="1:9" x14ac:dyDescent="0.2">
      <c r="A10774" s="997">
        <f t="shared" si="168"/>
        <v>10773</v>
      </c>
      <c r="B10774" s="983" t="s">
        <v>2726</v>
      </c>
      <c r="C10774" s="999"/>
      <c r="G10774" s="983" t="s">
        <v>1106</v>
      </c>
    </row>
    <row r="10775" spans="1:9" x14ac:dyDescent="0.2">
      <c r="A10775" s="997">
        <f t="shared" si="168"/>
        <v>10774</v>
      </c>
      <c r="B10775" s="983" t="s">
        <v>2726</v>
      </c>
      <c r="C10775" s="1000"/>
      <c r="H10775" s="983" t="s">
        <v>1107</v>
      </c>
    </row>
    <row r="10776" spans="1:9" x14ac:dyDescent="0.2">
      <c r="A10776" s="997">
        <f t="shared" si="168"/>
        <v>10775</v>
      </c>
      <c r="B10776" s="983" t="s">
        <v>2726</v>
      </c>
      <c r="C10776" s="1001"/>
      <c r="I10776" s="983" t="s">
        <v>2537</v>
      </c>
    </row>
    <row r="10777" spans="1:9" x14ac:dyDescent="0.2">
      <c r="A10777" s="997">
        <f t="shared" si="168"/>
        <v>10776</v>
      </c>
      <c r="B10777" s="983" t="s">
        <v>2726</v>
      </c>
      <c r="C10777" s="1000"/>
      <c r="H10777" s="983" t="s">
        <v>1108</v>
      </c>
    </row>
    <row r="10778" spans="1:9" x14ac:dyDescent="0.2">
      <c r="A10778" s="997">
        <f t="shared" si="168"/>
        <v>10777</v>
      </c>
      <c r="B10778" s="983" t="s">
        <v>2726</v>
      </c>
      <c r="C10778" s="1000"/>
      <c r="H10778" s="983" t="str">
        <f>CONCATENATE("&lt;valeur&gt;",Cellule_1737,"&lt;/valeur&gt;")</f>
        <v>&lt;valeur&gt;&lt;/valeur&gt;</v>
      </c>
    </row>
    <row r="10779" spans="1:9" x14ac:dyDescent="0.2">
      <c r="A10779" s="997">
        <f t="shared" si="168"/>
        <v>10778</v>
      </c>
      <c r="B10779" s="983" t="s">
        <v>2726</v>
      </c>
      <c r="C10779" s="999"/>
      <c r="G10779" s="983" t="s">
        <v>1109</v>
      </c>
    </row>
    <row r="10780" spans="1:9" x14ac:dyDescent="0.2">
      <c r="A10780" s="997">
        <f t="shared" si="168"/>
        <v>10779</v>
      </c>
      <c r="B10780" s="983" t="s">
        <v>2726</v>
      </c>
      <c r="C10780" s="999"/>
      <c r="G10780" s="983" t="s">
        <v>1106</v>
      </c>
    </row>
    <row r="10781" spans="1:9" x14ac:dyDescent="0.2">
      <c r="A10781" s="997">
        <f t="shared" si="168"/>
        <v>10780</v>
      </c>
      <c r="B10781" s="983" t="s">
        <v>2726</v>
      </c>
      <c r="C10781" s="1000"/>
      <c r="H10781" s="983" t="s">
        <v>1107</v>
      </c>
    </row>
    <row r="10782" spans="1:9" x14ac:dyDescent="0.2">
      <c r="A10782" s="997">
        <f t="shared" si="168"/>
        <v>10781</v>
      </c>
      <c r="B10782" s="983" t="s">
        <v>2726</v>
      </c>
      <c r="C10782" s="1001"/>
      <c r="I10782" s="983" t="s">
        <v>2538</v>
      </c>
    </row>
    <row r="10783" spans="1:9" x14ac:dyDescent="0.2">
      <c r="A10783" s="997">
        <f t="shared" si="168"/>
        <v>10782</v>
      </c>
      <c r="B10783" s="983" t="s">
        <v>2726</v>
      </c>
      <c r="C10783" s="1000"/>
      <c r="H10783" s="983" t="s">
        <v>1108</v>
      </c>
    </row>
    <row r="10784" spans="1:9" x14ac:dyDescent="0.2">
      <c r="A10784" s="997">
        <f t="shared" si="168"/>
        <v>10783</v>
      </c>
      <c r="B10784" s="983" t="s">
        <v>2726</v>
      </c>
      <c r="C10784" s="1000"/>
      <c r="H10784" s="983" t="str">
        <f>CONCATENATE("&lt;valeur&gt;",Cellule_1758,"&lt;/valeur&gt;")</f>
        <v>&lt;valeur&gt;0&lt;/valeur&gt;</v>
      </c>
    </row>
    <row r="10785" spans="1:9" x14ac:dyDescent="0.2">
      <c r="A10785" s="997">
        <f t="shared" si="168"/>
        <v>10784</v>
      </c>
      <c r="B10785" s="983" t="s">
        <v>2726</v>
      </c>
      <c r="C10785" s="999"/>
      <c r="G10785" s="983" t="s">
        <v>1109</v>
      </c>
    </row>
    <row r="10786" spans="1:9" x14ac:dyDescent="0.2">
      <c r="A10786" s="997">
        <f t="shared" si="168"/>
        <v>10785</v>
      </c>
      <c r="B10786" s="983" t="s">
        <v>2726</v>
      </c>
      <c r="C10786" s="999"/>
      <c r="G10786" s="983" t="s">
        <v>1106</v>
      </c>
    </row>
    <row r="10787" spans="1:9" x14ac:dyDescent="0.2">
      <c r="A10787" s="997">
        <f t="shared" si="168"/>
        <v>10786</v>
      </c>
      <c r="B10787" s="983" t="s">
        <v>2726</v>
      </c>
      <c r="C10787" s="1000"/>
      <c r="H10787" s="983" t="s">
        <v>1107</v>
      </c>
    </row>
    <row r="10788" spans="1:9" x14ac:dyDescent="0.2">
      <c r="A10788" s="997">
        <f t="shared" si="168"/>
        <v>10787</v>
      </c>
      <c r="B10788" s="983" t="s">
        <v>2726</v>
      </c>
      <c r="C10788" s="1001"/>
      <c r="I10788" s="983" t="s">
        <v>2539</v>
      </c>
    </row>
    <row r="10789" spans="1:9" x14ac:dyDescent="0.2">
      <c r="A10789" s="997">
        <f t="shared" si="168"/>
        <v>10788</v>
      </c>
      <c r="B10789" s="983" t="s">
        <v>2726</v>
      </c>
      <c r="C10789" s="1000"/>
      <c r="H10789" s="983" t="s">
        <v>1108</v>
      </c>
    </row>
    <row r="10790" spans="1:9" x14ac:dyDescent="0.2">
      <c r="A10790" s="997">
        <f t="shared" si="168"/>
        <v>10789</v>
      </c>
      <c r="B10790" s="983" t="s">
        <v>2726</v>
      </c>
      <c r="C10790" s="1000"/>
      <c r="H10790" s="983" t="str">
        <f>CONCATENATE("&lt;valeur&gt;",Cellule_1770,"&lt;/valeur&gt;")</f>
        <v>&lt;valeur&gt;&lt;/valeur&gt;</v>
      </c>
    </row>
    <row r="10791" spans="1:9" x14ac:dyDescent="0.2">
      <c r="A10791" s="997">
        <f t="shared" si="168"/>
        <v>10790</v>
      </c>
      <c r="B10791" s="983" t="s">
        <v>2726</v>
      </c>
      <c r="C10791" s="999"/>
      <c r="G10791" s="983" t="s">
        <v>1109</v>
      </c>
    </row>
    <row r="10792" spans="1:9" x14ac:dyDescent="0.2">
      <c r="A10792" s="997">
        <f t="shared" si="168"/>
        <v>10791</v>
      </c>
      <c r="B10792" s="983" t="s">
        <v>2726</v>
      </c>
      <c r="C10792" s="999"/>
      <c r="G10792" s="983" t="s">
        <v>1106</v>
      </c>
    </row>
    <row r="10793" spans="1:9" x14ac:dyDescent="0.2">
      <c r="A10793" s="997">
        <f t="shared" si="168"/>
        <v>10792</v>
      </c>
      <c r="B10793" s="983" t="s">
        <v>2726</v>
      </c>
      <c r="C10793" s="1000"/>
      <c r="H10793" s="983" t="s">
        <v>1107</v>
      </c>
    </row>
    <row r="10794" spans="1:9" x14ac:dyDescent="0.2">
      <c r="A10794" s="997">
        <f t="shared" si="168"/>
        <v>10793</v>
      </c>
      <c r="B10794" s="983" t="s">
        <v>2726</v>
      </c>
      <c r="C10794" s="1001"/>
      <c r="I10794" s="983" t="s">
        <v>2540</v>
      </c>
    </row>
    <row r="10795" spans="1:9" x14ac:dyDescent="0.2">
      <c r="A10795" s="997">
        <f t="shared" si="168"/>
        <v>10794</v>
      </c>
      <c r="B10795" s="983" t="s">
        <v>2726</v>
      </c>
      <c r="C10795" s="1000"/>
      <c r="H10795" s="983" t="s">
        <v>1108</v>
      </c>
    </row>
    <row r="10796" spans="1:9" x14ac:dyDescent="0.2">
      <c r="A10796" s="997">
        <f t="shared" si="168"/>
        <v>10795</v>
      </c>
      <c r="B10796" s="983" t="s">
        <v>2726</v>
      </c>
      <c r="C10796" s="1000"/>
      <c r="H10796" s="983" t="str">
        <f>CONCATENATE("&lt;valeur&gt;",Cellule_1801,"&lt;/valeur&gt;")</f>
        <v>&lt;valeur&gt;0&lt;/valeur&gt;</v>
      </c>
    </row>
    <row r="10797" spans="1:9" x14ac:dyDescent="0.2">
      <c r="A10797" s="997">
        <f t="shared" si="168"/>
        <v>10796</v>
      </c>
      <c r="B10797" s="983" t="s">
        <v>2726</v>
      </c>
      <c r="C10797" s="999"/>
      <c r="G10797" s="983" t="s">
        <v>1109</v>
      </c>
    </row>
    <row r="10798" spans="1:9" x14ac:dyDescent="0.2">
      <c r="A10798" s="997">
        <f t="shared" si="168"/>
        <v>10797</v>
      </c>
      <c r="B10798" s="983" t="s">
        <v>2726</v>
      </c>
      <c r="C10798" s="999"/>
      <c r="G10798" s="983" t="s">
        <v>1106</v>
      </c>
    </row>
    <row r="10799" spans="1:9" x14ac:dyDescent="0.2">
      <c r="A10799" s="997">
        <f t="shared" si="168"/>
        <v>10798</v>
      </c>
      <c r="B10799" s="983" t="s">
        <v>2726</v>
      </c>
      <c r="C10799" s="1000"/>
      <c r="H10799" s="983" t="s">
        <v>1107</v>
      </c>
    </row>
    <row r="10800" spans="1:9" x14ac:dyDescent="0.2">
      <c r="A10800" s="997">
        <f t="shared" si="168"/>
        <v>10799</v>
      </c>
      <c r="B10800" s="983" t="s">
        <v>2726</v>
      </c>
      <c r="C10800" s="1001"/>
      <c r="I10800" s="983" t="s">
        <v>2541</v>
      </c>
    </row>
    <row r="10801" spans="1:9" x14ac:dyDescent="0.2">
      <c r="A10801" s="997">
        <f t="shared" si="168"/>
        <v>10800</v>
      </c>
      <c r="B10801" s="983" t="s">
        <v>2726</v>
      </c>
      <c r="C10801" s="1000"/>
      <c r="H10801" s="983" t="s">
        <v>1108</v>
      </c>
    </row>
    <row r="10802" spans="1:9" x14ac:dyDescent="0.2">
      <c r="A10802" s="997">
        <f t="shared" si="168"/>
        <v>10801</v>
      </c>
      <c r="B10802" s="983" t="s">
        <v>2726</v>
      </c>
      <c r="C10802" s="1000"/>
      <c r="H10802" s="983" t="str">
        <f>CONCATENATE("&lt;valeur&gt;",Cellule_1820,"&lt;/valeur&gt;")</f>
        <v>&lt;valeur&gt;&lt;/valeur&gt;</v>
      </c>
    </row>
    <row r="10803" spans="1:9" x14ac:dyDescent="0.2">
      <c r="A10803" s="997">
        <f t="shared" si="168"/>
        <v>10802</v>
      </c>
      <c r="B10803" s="983" t="s">
        <v>2726</v>
      </c>
      <c r="C10803" s="999"/>
      <c r="G10803" s="983" t="s">
        <v>1109</v>
      </c>
    </row>
    <row r="10804" spans="1:9" x14ac:dyDescent="0.2">
      <c r="A10804" s="997">
        <f t="shared" si="168"/>
        <v>10803</v>
      </c>
      <c r="B10804" s="983" t="s">
        <v>2726</v>
      </c>
      <c r="C10804" s="999"/>
      <c r="G10804" s="983" t="s">
        <v>1106</v>
      </c>
    </row>
    <row r="10805" spans="1:9" x14ac:dyDescent="0.2">
      <c r="A10805" s="997">
        <f t="shared" si="168"/>
        <v>10804</v>
      </c>
      <c r="B10805" s="983" t="s">
        <v>2726</v>
      </c>
      <c r="C10805" s="1000"/>
      <c r="H10805" s="983" t="s">
        <v>1107</v>
      </c>
    </row>
    <row r="10806" spans="1:9" x14ac:dyDescent="0.2">
      <c r="A10806" s="997">
        <f t="shared" si="168"/>
        <v>10805</v>
      </c>
      <c r="B10806" s="983" t="s">
        <v>2726</v>
      </c>
      <c r="C10806" s="1001"/>
      <c r="I10806" s="983" t="s">
        <v>2542</v>
      </c>
    </row>
    <row r="10807" spans="1:9" x14ac:dyDescent="0.2">
      <c r="A10807" s="997">
        <f t="shared" si="168"/>
        <v>10806</v>
      </c>
      <c r="B10807" s="983" t="s">
        <v>2726</v>
      </c>
      <c r="C10807" s="1000"/>
      <c r="H10807" s="983" t="s">
        <v>1108</v>
      </c>
    </row>
    <row r="10808" spans="1:9" x14ac:dyDescent="0.2">
      <c r="A10808" s="997">
        <f t="shared" si="168"/>
        <v>10807</v>
      </c>
      <c r="B10808" s="983" t="s">
        <v>2726</v>
      </c>
      <c r="C10808" s="1000"/>
      <c r="H10808" s="983" t="str">
        <f>CONCATENATE("&lt;valeur&gt;",Cellule_1837,"&lt;/valeur&gt;")</f>
        <v>&lt;valeur&gt;0&lt;/valeur&gt;</v>
      </c>
    </row>
    <row r="10809" spans="1:9" x14ac:dyDescent="0.2">
      <c r="A10809" s="997">
        <f t="shared" si="168"/>
        <v>10808</v>
      </c>
      <c r="B10809" s="983" t="s">
        <v>2726</v>
      </c>
      <c r="C10809" s="999"/>
      <c r="G10809" s="983" t="s">
        <v>1109</v>
      </c>
    </row>
    <row r="10810" spans="1:9" x14ac:dyDescent="0.2">
      <c r="A10810" s="997">
        <f t="shared" si="168"/>
        <v>10809</v>
      </c>
      <c r="B10810" s="983" t="s">
        <v>2726</v>
      </c>
      <c r="C10810" s="999"/>
      <c r="G10810" s="983" t="s">
        <v>1106</v>
      </c>
    </row>
    <row r="10811" spans="1:9" x14ac:dyDescent="0.2">
      <c r="A10811" s="997">
        <f t="shared" si="168"/>
        <v>10810</v>
      </c>
      <c r="B10811" s="983" t="s">
        <v>2726</v>
      </c>
      <c r="C10811" s="1000"/>
      <c r="H10811" s="983" t="s">
        <v>1107</v>
      </c>
    </row>
    <row r="10812" spans="1:9" x14ac:dyDescent="0.2">
      <c r="A10812" s="997">
        <f t="shared" si="168"/>
        <v>10811</v>
      </c>
      <c r="B10812" s="983" t="s">
        <v>2726</v>
      </c>
      <c r="C10812" s="1001"/>
      <c r="I10812" s="983" t="s">
        <v>2543</v>
      </c>
    </row>
    <row r="10813" spans="1:9" x14ac:dyDescent="0.2">
      <c r="A10813" s="997">
        <f t="shared" si="168"/>
        <v>10812</v>
      </c>
      <c r="B10813" s="983" t="s">
        <v>2726</v>
      </c>
      <c r="C10813" s="1000"/>
      <c r="H10813" s="983" t="s">
        <v>1108</v>
      </c>
    </row>
    <row r="10814" spans="1:9" x14ac:dyDescent="0.2">
      <c r="A10814" s="997">
        <f t="shared" si="168"/>
        <v>10813</v>
      </c>
      <c r="B10814" s="983" t="s">
        <v>2726</v>
      </c>
      <c r="C10814" s="1000"/>
      <c r="H10814" s="983" t="str">
        <f>CONCATENATE("&lt;valeur&gt;",Cellule_1854,"&lt;/valeur&gt;")</f>
        <v>&lt;valeur&gt;0&lt;/valeur&gt;</v>
      </c>
    </row>
    <row r="10815" spans="1:9" x14ac:dyDescent="0.2">
      <c r="A10815" s="997">
        <f t="shared" si="168"/>
        <v>10814</v>
      </c>
      <c r="B10815" s="983" t="s">
        <v>2726</v>
      </c>
      <c r="C10815" s="999"/>
      <c r="G10815" s="983" t="s">
        <v>1109</v>
      </c>
    </row>
    <row r="10816" spans="1:9" x14ac:dyDescent="0.2">
      <c r="A10816" s="997">
        <f t="shared" si="168"/>
        <v>10815</v>
      </c>
      <c r="B10816" s="983" t="s">
        <v>2726</v>
      </c>
      <c r="C10816" s="999"/>
      <c r="G10816" s="983" t="s">
        <v>1106</v>
      </c>
    </row>
    <row r="10817" spans="1:9" x14ac:dyDescent="0.2">
      <c r="A10817" s="997">
        <f t="shared" si="168"/>
        <v>10816</v>
      </c>
      <c r="B10817" s="983" t="s">
        <v>2726</v>
      </c>
      <c r="C10817" s="1000"/>
      <c r="H10817" s="983" t="s">
        <v>1107</v>
      </c>
    </row>
    <row r="10818" spans="1:9" x14ac:dyDescent="0.2">
      <c r="A10818" s="997">
        <f t="shared" si="168"/>
        <v>10817</v>
      </c>
      <c r="B10818" s="983" t="s">
        <v>2726</v>
      </c>
      <c r="C10818" s="1001"/>
      <c r="I10818" s="983" t="s">
        <v>2544</v>
      </c>
    </row>
    <row r="10819" spans="1:9" x14ac:dyDescent="0.2">
      <c r="A10819" s="997">
        <f t="shared" si="168"/>
        <v>10818</v>
      </c>
      <c r="B10819" s="983" t="s">
        <v>2726</v>
      </c>
      <c r="C10819" s="1000"/>
      <c r="H10819" s="983" t="s">
        <v>1108</v>
      </c>
    </row>
    <row r="10820" spans="1:9" x14ac:dyDescent="0.2">
      <c r="A10820" s="997">
        <f t="shared" ref="A10820:A10883" si="169">+A10819+1</f>
        <v>10819</v>
      </c>
      <c r="B10820" s="983" t="s">
        <v>2726</v>
      </c>
      <c r="C10820" s="1000"/>
      <c r="H10820" s="983" t="str">
        <f>CONCATENATE("&lt;valeur&gt;",Cellule_1862,"&lt;/valeur&gt;")</f>
        <v>&lt;valeur&gt;0&lt;/valeur&gt;</v>
      </c>
    </row>
    <row r="10821" spans="1:9" x14ac:dyDescent="0.2">
      <c r="A10821" s="997">
        <f t="shared" si="169"/>
        <v>10820</v>
      </c>
      <c r="B10821" s="983" t="s">
        <v>2726</v>
      </c>
      <c r="C10821" s="999"/>
      <c r="G10821" s="983" t="s">
        <v>1109</v>
      </c>
    </row>
    <row r="10822" spans="1:9" x14ac:dyDescent="0.2">
      <c r="A10822" s="997">
        <f t="shared" si="169"/>
        <v>10821</v>
      </c>
      <c r="B10822" s="983" t="s">
        <v>2726</v>
      </c>
      <c r="C10822" s="999"/>
      <c r="G10822" s="983" t="s">
        <v>1106</v>
      </c>
    </row>
    <row r="10823" spans="1:9" x14ac:dyDescent="0.2">
      <c r="A10823" s="997">
        <f t="shared" si="169"/>
        <v>10822</v>
      </c>
      <c r="B10823" s="983" t="s">
        <v>2726</v>
      </c>
      <c r="C10823" s="1000"/>
      <c r="H10823" s="983" t="s">
        <v>1107</v>
      </c>
    </row>
    <row r="10824" spans="1:9" x14ac:dyDescent="0.2">
      <c r="A10824" s="997">
        <f t="shared" si="169"/>
        <v>10823</v>
      </c>
      <c r="B10824" s="983" t="s">
        <v>2726</v>
      </c>
      <c r="C10824" s="1001"/>
      <c r="I10824" s="983" t="s">
        <v>2545</v>
      </c>
    </row>
    <row r="10825" spans="1:9" x14ac:dyDescent="0.2">
      <c r="A10825" s="997">
        <f t="shared" si="169"/>
        <v>10824</v>
      </c>
      <c r="B10825" s="983" t="s">
        <v>2726</v>
      </c>
      <c r="C10825" s="1000"/>
      <c r="H10825" s="983" t="s">
        <v>1108</v>
      </c>
    </row>
    <row r="10826" spans="1:9" x14ac:dyDescent="0.2">
      <c r="A10826" s="997">
        <f t="shared" si="169"/>
        <v>10825</v>
      </c>
      <c r="B10826" s="983" t="s">
        <v>2726</v>
      </c>
      <c r="C10826" s="1000"/>
      <c r="H10826" s="983" t="str">
        <f>CONCATENATE("&lt;valeur&gt;",Cellule_1870,"&lt;/valeur&gt;")</f>
        <v>&lt;valeur&gt;0&lt;/valeur&gt;</v>
      </c>
    </row>
    <row r="10827" spans="1:9" x14ac:dyDescent="0.2">
      <c r="A10827" s="997">
        <f t="shared" si="169"/>
        <v>10826</v>
      </c>
      <c r="B10827" s="983" t="s">
        <v>2726</v>
      </c>
      <c r="C10827" s="999"/>
      <c r="G10827" s="983" t="s">
        <v>1109</v>
      </c>
    </row>
    <row r="10828" spans="1:9" x14ac:dyDescent="0.2">
      <c r="A10828" s="997">
        <f t="shared" si="169"/>
        <v>10827</v>
      </c>
      <c r="B10828" s="983" t="s">
        <v>2726</v>
      </c>
      <c r="C10828" s="999"/>
      <c r="G10828" s="983" t="s">
        <v>1106</v>
      </c>
    </row>
    <row r="10829" spans="1:9" x14ac:dyDescent="0.2">
      <c r="A10829" s="997">
        <f t="shared" si="169"/>
        <v>10828</v>
      </c>
      <c r="B10829" s="983" t="s">
        <v>2726</v>
      </c>
      <c r="C10829" s="1000"/>
      <c r="H10829" s="983" t="s">
        <v>1107</v>
      </c>
    </row>
    <row r="10830" spans="1:9" x14ac:dyDescent="0.2">
      <c r="A10830" s="997">
        <f t="shared" si="169"/>
        <v>10829</v>
      </c>
      <c r="B10830" s="983" t="s">
        <v>2726</v>
      </c>
      <c r="C10830" s="1001"/>
      <c r="I10830" s="983" t="s">
        <v>2546</v>
      </c>
    </row>
    <row r="10831" spans="1:9" x14ac:dyDescent="0.2">
      <c r="A10831" s="997">
        <f t="shared" si="169"/>
        <v>10830</v>
      </c>
      <c r="B10831" s="983" t="s">
        <v>2726</v>
      </c>
      <c r="C10831" s="1000"/>
      <c r="H10831" s="983" t="s">
        <v>1108</v>
      </c>
    </row>
    <row r="10832" spans="1:9" x14ac:dyDescent="0.2">
      <c r="A10832" s="997">
        <f t="shared" si="169"/>
        <v>10831</v>
      </c>
      <c r="B10832" s="983" t="s">
        <v>2726</v>
      </c>
      <c r="C10832" s="1000"/>
      <c r="H10832" s="983" t="str">
        <f>CONCATENATE("&lt;valeur&gt;",Cellule_1887,"&lt;/valeur&gt;")</f>
        <v>&lt;valeur&gt;0&lt;/valeur&gt;</v>
      </c>
    </row>
    <row r="10833" spans="1:9" x14ac:dyDescent="0.2">
      <c r="A10833" s="997">
        <f t="shared" si="169"/>
        <v>10832</v>
      </c>
      <c r="B10833" s="983" t="s">
        <v>2726</v>
      </c>
      <c r="C10833" s="999"/>
      <c r="G10833" s="983" t="s">
        <v>1109</v>
      </c>
    </row>
    <row r="10834" spans="1:9" x14ac:dyDescent="0.2">
      <c r="A10834" s="997">
        <f t="shared" si="169"/>
        <v>10833</v>
      </c>
      <c r="B10834" s="983" t="s">
        <v>2726</v>
      </c>
      <c r="C10834" s="999"/>
      <c r="G10834" s="983" t="s">
        <v>1106</v>
      </c>
    </row>
    <row r="10835" spans="1:9" x14ac:dyDescent="0.2">
      <c r="A10835" s="997">
        <f t="shared" si="169"/>
        <v>10834</v>
      </c>
      <c r="B10835" s="983" t="s">
        <v>2726</v>
      </c>
      <c r="C10835" s="1000"/>
      <c r="H10835" s="983" t="s">
        <v>1107</v>
      </c>
    </row>
    <row r="10836" spans="1:9" x14ac:dyDescent="0.2">
      <c r="A10836" s="997">
        <f t="shared" si="169"/>
        <v>10835</v>
      </c>
      <c r="B10836" s="983" t="s">
        <v>2726</v>
      </c>
      <c r="C10836" s="1001"/>
      <c r="I10836" s="983" t="s">
        <v>2547</v>
      </c>
    </row>
    <row r="10837" spans="1:9" x14ac:dyDescent="0.2">
      <c r="A10837" s="997">
        <f t="shared" si="169"/>
        <v>10836</v>
      </c>
      <c r="B10837" s="983" t="s">
        <v>2726</v>
      </c>
      <c r="C10837" s="1000"/>
      <c r="H10837" s="983" t="s">
        <v>1108</v>
      </c>
    </row>
    <row r="10838" spans="1:9" x14ac:dyDescent="0.2">
      <c r="A10838" s="997">
        <f t="shared" si="169"/>
        <v>10837</v>
      </c>
      <c r="B10838" s="983" t="s">
        <v>2726</v>
      </c>
      <c r="C10838" s="1000"/>
      <c r="H10838" s="983" t="str">
        <f>CONCATENATE("&lt;valeur&gt;",Cellule_1403,"&lt;/valeur&gt;")</f>
        <v>&lt;valeur&gt;0&lt;/valeur&gt;</v>
      </c>
    </row>
    <row r="10839" spans="1:9" x14ac:dyDescent="0.2">
      <c r="A10839" s="997">
        <f t="shared" si="169"/>
        <v>10838</v>
      </c>
      <c r="B10839" s="983" t="s">
        <v>2726</v>
      </c>
      <c r="C10839" s="999"/>
      <c r="G10839" s="983" t="s">
        <v>1109</v>
      </c>
    </row>
    <row r="10840" spans="1:9" x14ac:dyDescent="0.2">
      <c r="A10840" s="997">
        <f t="shared" si="169"/>
        <v>10839</v>
      </c>
      <c r="B10840" s="983" t="s">
        <v>2726</v>
      </c>
      <c r="C10840" s="999"/>
      <c r="G10840" s="983" t="s">
        <v>1106</v>
      </c>
    </row>
    <row r="10841" spans="1:9" x14ac:dyDescent="0.2">
      <c r="A10841" s="997">
        <f t="shared" si="169"/>
        <v>10840</v>
      </c>
      <c r="B10841" s="983" t="s">
        <v>2726</v>
      </c>
      <c r="C10841" s="1000"/>
      <c r="H10841" s="983" t="s">
        <v>1107</v>
      </c>
    </row>
    <row r="10842" spans="1:9" x14ac:dyDescent="0.2">
      <c r="A10842" s="997">
        <f t="shared" si="169"/>
        <v>10841</v>
      </c>
      <c r="B10842" s="983" t="s">
        <v>2726</v>
      </c>
      <c r="C10842" s="1001"/>
      <c r="I10842" s="983" t="s">
        <v>2548</v>
      </c>
    </row>
    <row r="10843" spans="1:9" x14ac:dyDescent="0.2">
      <c r="A10843" s="997">
        <f t="shared" si="169"/>
        <v>10842</v>
      </c>
      <c r="B10843" s="983" t="s">
        <v>2726</v>
      </c>
      <c r="C10843" s="1000"/>
      <c r="H10843" s="983" t="s">
        <v>1108</v>
      </c>
    </row>
    <row r="10844" spans="1:9" x14ac:dyDescent="0.2">
      <c r="A10844" s="997">
        <f t="shared" si="169"/>
        <v>10843</v>
      </c>
      <c r="B10844" s="983" t="s">
        <v>2726</v>
      </c>
      <c r="C10844" s="1000"/>
      <c r="H10844" s="983" t="str">
        <f>CONCATENATE("&lt;valeur&gt;",Cellule_1411,"&lt;/valeur&gt;")</f>
        <v>&lt;valeur&gt;0&lt;/valeur&gt;</v>
      </c>
    </row>
    <row r="10845" spans="1:9" x14ac:dyDescent="0.2">
      <c r="A10845" s="997">
        <f t="shared" si="169"/>
        <v>10844</v>
      </c>
      <c r="B10845" s="983" t="s">
        <v>2726</v>
      </c>
      <c r="C10845" s="999"/>
      <c r="G10845" s="983" t="s">
        <v>1109</v>
      </c>
    </row>
    <row r="10846" spans="1:9" x14ac:dyDescent="0.2">
      <c r="A10846" s="997">
        <f t="shared" si="169"/>
        <v>10845</v>
      </c>
      <c r="B10846" s="983" t="s">
        <v>2726</v>
      </c>
      <c r="C10846" s="999"/>
      <c r="G10846" s="983" t="s">
        <v>1106</v>
      </c>
    </row>
    <row r="10847" spans="1:9" x14ac:dyDescent="0.2">
      <c r="A10847" s="997">
        <f t="shared" si="169"/>
        <v>10846</v>
      </c>
      <c r="B10847" s="983" t="s">
        <v>2726</v>
      </c>
      <c r="C10847" s="1000"/>
      <c r="H10847" s="983" t="s">
        <v>1107</v>
      </c>
    </row>
    <row r="10848" spans="1:9" x14ac:dyDescent="0.2">
      <c r="A10848" s="997">
        <f t="shared" si="169"/>
        <v>10847</v>
      </c>
      <c r="B10848" s="983" t="s">
        <v>2726</v>
      </c>
      <c r="C10848" s="1001"/>
      <c r="I10848" s="983" t="s">
        <v>2549</v>
      </c>
    </row>
    <row r="10849" spans="1:9" x14ac:dyDescent="0.2">
      <c r="A10849" s="997">
        <f t="shared" si="169"/>
        <v>10848</v>
      </c>
      <c r="B10849" s="983" t="s">
        <v>2726</v>
      </c>
      <c r="C10849" s="1000"/>
      <c r="H10849" s="983" t="s">
        <v>1108</v>
      </c>
    </row>
    <row r="10850" spans="1:9" x14ac:dyDescent="0.2">
      <c r="A10850" s="997">
        <f t="shared" si="169"/>
        <v>10849</v>
      </c>
      <c r="B10850" s="983" t="s">
        <v>2726</v>
      </c>
      <c r="C10850" s="1000"/>
      <c r="H10850" s="983" t="str">
        <f>CONCATENATE("&lt;valeur&gt;",Cellule_1419,"&lt;/valeur&gt;")</f>
        <v>&lt;valeur&gt;0&lt;/valeur&gt;</v>
      </c>
    </row>
    <row r="10851" spans="1:9" x14ac:dyDescent="0.2">
      <c r="A10851" s="997">
        <f t="shared" si="169"/>
        <v>10850</v>
      </c>
      <c r="B10851" s="983" t="s">
        <v>2726</v>
      </c>
      <c r="C10851" s="999"/>
      <c r="G10851" s="983" t="s">
        <v>1109</v>
      </c>
    </row>
    <row r="10852" spans="1:9" x14ac:dyDescent="0.2">
      <c r="A10852" s="997">
        <f t="shared" si="169"/>
        <v>10851</v>
      </c>
      <c r="B10852" s="983" t="s">
        <v>2726</v>
      </c>
      <c r="C10852" s="999"/>
      <c r="G10852" s="983" t="s">
        <v>1106</v>
      </c>
    </row>
    <row r="10853" spans="1:9" x14ac:dyDescent="0.2">
      <c r="A10853" s="997">
        <f t="shared" si="169"/>
        <v>10852</v>
      </c>
      <c r="B10853" s="983" t="s">
        <v>2726</v>
      </c>
      <c r="C10853" s="1000"/>
      <c r="H10853" s="983" t="s">
        <v>1107</v>
      </c>
    </row>
    <row r="10854" spans="1:9" x14ac:dyDescent="0.2">
      <c r="A10854" s="997">
        <f t="shared" si="169"/>
        <v>10853</v>
      </c>
      <c r="B10854" s="983" t="s">
        <v>2726</v>
      </c>
      <c r="C10854" s="1001"/>
      <c r="I10854" s="983" t="s">
        <v>2550</v>
      </c>
    </row>
    <row r="10855" spans="1:9" x14ac:dyDescent="0.2">
      <c r="A10855" s="997">
        <f t="shared" si="169"/>
        <v>10854</v>
      </c>
      <c r="B10855" s="983" t="s">
        <v>2726</v>
      </c>
      <c r="C10855" s="1000"/>
      <c r="H10855" s="983" t="s">
        <v>1108</v>
      </c>
    </row>
    <row r="10856" spans="1:9" x14ac:dyDescent="0.2">
      <c r="A10856" s="997">
        <f t="shared" si="169"/>
        <v>10855</v>
      </c>
      <c r="B10856" s="983" t="s">
        <v>2726</v>
      </c>
      <c r="C10856" s="1000"/>
      <c r="H10856" s="983" t="str">
        <f>CONCATENATE("&lt;valeur&gt;",Cellule_1427,"&lt;/valeur&gt;")</f>
        <v>&lt;valeur&gt;0&lt;/valeur&gt;</v>
      </c>
    </row>
    <row r="10857" spans="1:9" x14ac:dyDescent="0.2">
      <c r="A10857" s="997">
        <f t="shared" si="169"/>
        <v>10856</v>
      </c>
      <c r="B10857" s="983" t="s">
        <v>2726</v>
      </c>
      <c r="C10857" s="999"/>
      <c r="G10857" s="983" t="s">
        <v>1109</v>
      </c>
    </row>
    <row r="10858" spans="1:9" x14ac:dyDescent="0.2">
      <c r="A10858" s="997">
        <f t="shared" si="169"/>
        <v>10857</v>
      </c>
      <c r="B10858" s="983" t="s">
        <v>2726</v>
      </c>
      <c r="C10858" s="999"/>
      <c r="G10858" s="983" t="s">
        <v>1106</v>
      </c>
    </row>
    <row r="10859" spans="1:9" x14ac:dyDescent="0.2">
      <c r="A10859" s="997">
        <f t="shared" si="169"/>
        <v>10858</v>
      </c>
      <c r="B10859" s="983" t="s">
        <v>2726</v>
      </c>
      <c r="C10859" s="1000"/>
      <c r="H10859" s="983" t="s">
        <v>1107</v>
      </c>
    </row>
    <row r="10860" spans="1:9" x14ac:dyDescent="0.2">
      <c r="A10860" s="997">
        <f t="shared" si="169"/>
        <v>10859</v>
      </c>
      <c r="B10860" s="983" t="s">
        <v>2726</v>
      </c>
      <c r="C10860" s="1001"/>
      <c r="I10860" s="983" t="s">
        <v>2551</v>
      </c>
    </row>
    <row r="10861" spans="1:9" x14ac:dyDescent="0.2">
      <c r="A10861" s="997">
        <f t="shared" si="169"/>
        <v>10860</v>
      </c>
      <c r="B10861" s="983" t="s">
        <v>2726</v>
      </c>
      <c r="C10861" s="1000"/>
      <c r="H10861" s="983" t="s">
        <v>1108</v>
      </c>
    </row>
    <row r="10862" spans="1:9" x14ac:dyDescent="0.2">
      <c r="A10862" s="997">
        <f t="shared" si="169"/>
        <v>10861</v>
      </c>
      <c r="B10862" s="983" t="s">
        <v>2726</v>
      </c>
      <c r="C10862" s="1000"/>
      <c r="H10862" s="983" t="str">
        <f>CONCATENATE("&lt;valeur&gt;",Cellule_1435,"&lt;/valeur&gt;")</f>
        <v>&lt;valeur&gt;0&lt;/valeur&gt;</v>
      </c>
    </row>
    <row r="10863" spans="1:9" x14ac:dyDescent="0.2">
      <c r="A10863" s="997">
        <f t="shared" si="169"/>
        <v>10862</v>
      </c>
      <c r="B10863" s="983" t="s">
        <v>2726</v>
      </c>
      <c r="C10863" s="999"/>
      <c r="G10863" s="983" t="s">
        <v>1109</v>
      </c>
    </row>
    <row r="10864" spans="1:9" x14ac:dyDescent="0.2">
      <c r="A10864" s="997">
        <f t="shared" si="169"/>
        <v>10863</v>
      </c>
      <c r="B10864" s="983" t="s">
        <v>2726</v>
      </c>
      <c r="C10864" s="999"/>
      <c r="G10864" s="983" t="s">
        <v>1106</v>
      </c>
    </row>
    <row r="10865" spans="1:9" x14ac:dyDescent="0.2">
      <c r="A10865" s="997">
        <f t="shared" si="169"/>
        <v>10864</v>
      </c>
      <c r="B10865" s="983" t="s">
        <v>2726</v>
      </c>
      <c r="C10865" s="1000"/>
      <c r="H10865" s="983" t="s">
        <v>1107</v>
      </c>
    </row>
    <row r="10866" spans="1:9" x14ac:dyDescent="0.2">
      <c r="A10866" s="997">
        <f t="shared" si="169"/>
        <v>10865</v>
      </c>
      <c r="B10866" s="983" t="s">
        <v>2726</v>
      </c>
      <c r="C10866" s="1001"/>
      <c r="I10866" s="983" t="s">
        <v>2552</v>
      </c>
    </row>
    <row r="10867" spans="1:9" x14ac:dyDescent="0.2">
      <c r="A10867" s="997">
        <f t="shared" si="169"/>
        <v>10866</v>
      </c>
      <c r="B10867" s="983" t="s">
        <v>2726</v>
      </c>
      <c r="C10867" s="1000"/>
      <c r="H10867" s="983" t="s">
        <v>1108</v>
      </c>
    </row>
    <row r="10868" spans="1:9" x14ac:dyDescent="0.2">
      <c r="A10868" s="997">
        <f t="shared" si="169"/>
        <v>10867</v>
      </c>
      <c r="B10868" s="983" t="s">
        <v>2726</v>
      </c>
      <c r="C10868" s="1000"/>
      <c r="H10868" s="983" t="str">
        <f>CONCATENATE("&lt;valeur&gt;",Cellule_1451,"&lt;/valeur&gt;")</f>
        <v>&lt;valeur&gt;&lt;/valeur&gt;</v>
      </c>
    </row>
    <row r="10869" spans="1:9" x14ac:dyDescent="0.2">
      <c r="A10869" s="997">
        <f t="shared" si="169"/>
        <v>10868</v>
      </c>
      <c r="B10869" s="983" t="s">
        <v>2726</v>
      </c>
      <c r="C10869" s="999"/>
      <c r="G10869" s="983" t="s">
        <v>1109</v>
      </c>
    </row>
    <row r="10870" spans="1:9" x14ac:dyDescent="0.2">
      <c r="A10870" s="997">
        <f t="shared" si="169"/>
        <v>10869</v>
      </c>
      <c r="B10870" s="983" t="s">
        <v>2726</v>
      </c>
      <c r="C10870" s="999"/>
      <c r="G10870" s="983" t="s">
        <v>1106</v>
      </c>
    </row>
    <row r="10871" spans="1:9" x14ac:dyDescent="0.2">
      <c r="A10871" s="997">
        <f t="shared" si="169"/>
        <v>10870</v>
      </c>
      <c r="B10871" s="983" t="s">
        <v>2726</v>
      </c>
      <c r="C10871" s="1000"/>
      <c r="H10871" s="983" t="s">
        <v>1107</v>
      </c>
    </row>
    <row r="10872" spans="1:9" x14ac:dyDescent="0.2">
      <c r="A10872" s="997">
        <f t="shared" si="169"/>
        <v>10871</v>
      </c>
      <c r="B10872" s="983" t="s">
        <v>2726</v>
      </c>
      <c r="C10872" s="1001"/>
      <c r="I10872" s="983" t="s">
        <v>2553</v>
      </c>
    </row>
    <row r="10873" spans="1:9" x14ac:dyDescent="0.2">
      <c r="A10873" s="997">
        <f t="shared" si="169"/>
        <v>10872</v>
      </c>
      <c r="B10873" s="983" t="s">
        <v>2726</v>
      </c>
      <c r="C10873" s="1000"/>
      <c r="H10873" s="983" t="s">
        <v>1108</v>
      </c>
    </row>
    <row r="10874" spans="1:9" x14ac:dyDescent="0.2">
      <c r="A10874" s="997">
        <f t="shared" si="169"/>
        <v>10873</v>
      </c>
      <c r="B10874" s="983" t="s">
        <v>2726</v>
      </c>
      <c r="C10874" s="1000"/>
      <c r="H10874" s="983" t="str">
        <f>CONCATENATE("&lt;valeur&gt;",Cellule_1459,"&lt;/valeur&gt;")</f>
        <v>&lt;valeur&gt;0&lt;/valeur&gt;</v>
      </c>
    </row>
    <row r="10875" spans="1:9" x14ac:dyDescent="0.2">
      <c r="A10875" s="997">
        <f t="shared" si="169"/>
        <v>10874</v>
      </c>
      <c r="B10875" s="983" t="s">
        <v>2726</v>
      </c>
      <c r="C10875" s="999"/>
      <c r="G10875" s="983" t="s">
        <v>1109</v>
      </c>
    </row>
    <row r="10876" spans="1:9" x14ac:dyDescent="0.2">
      <c r="A10876" s="997">
        <f t="shared" si="169"/>
        <v>10875</v>
      </c>
      <c r="B10876" s="983" t="s">
        <v>2726</v>
      </c>
      <c r="C10876" s="999"/>
      <c r="G10876" s="983" t="s">
        <v>1106</v>
      </c>
    </row>
    <row r="10877" spans="1:9" x14ac:dyDescent="0.2">
      <c r="A10877" s="997">
        <f t="shared" si="169"/>
        <v>10876</v>
      </c>
      <c r="B10877" s="983" t="s">
        <v>2726</v>
      </c>
      <c r="C10877" s="1000"/>
      <c r="H10877" s="983" t="s">
        <v>1107</v>
      </c>
    </row>
    <row r="10878" spans="1:9" x14ac:dyDescent="0.2">
      <c r="A10878" s="997">
        <f t="shared" si="169"/>
        <v>10877</v>
      </c>
      <c r="B10878" s="983" t="s">
        <v>2726</v>
      </c>
      <c r="C10878" s="1001"/>
      <c r="I10878" s="983" t="s">
        <v>2554</v>
      </c>
    </row>
    <row r="10879" spans="1:9" x14ac:dyDescent="0.2">
      <c r="A10879" s="997">
        <f t="shared" si="169"/>
        <v>10878</v>
      </c>
      <c r="B10879" s="983" t="s">
        <v>2726</v>
      </c>
      <c r="C10879" s="1000"/>
      <c r="H10879" s="983" t="s">
        <v>1108</v>
      </c>
    </row>
    <row r="10880" spans="1:9" x14ac:dyDescent="0.2">
      <c r="A10880" s="997">
        <f t="shared" si="169"/>
        <v>10879</v>
      </c>
      <c r="B10880" s="983" t="s">
        <v>2726</v>
      </c>
      <c r="C10880" s="1000"/>
      <c r="H10880" s="983" t="str">
        <f>CONCATENATE("&lt;valeur&gt;",Cellule_1467,"&lt;/valeur&gt;")</f>
        <v>&lt;valeur&gt;0&lt;/valeur&gt;</v>
      </c>
    </row>
    <row r="10881" spans="1:9" x14ac:dyDescent="0.2">
      <c r="A10881" s="997">
        <f t="shared" si="169"/>
        <v>10880</v>
      </c>
      <c r="B10881" s="983" t="s">
        <v>2726</v>
      </c>
      <c r="C10881" s="999"/>
      <c r="G10881" s="983" t="s">
        <v>1109</v>
      </c>
    </row>
    <row r="10882" spans="1:9" x14ac:dyDescent="0.2">
      <c r="A10882" s="997">
        <f t="shared" si="169"/>
        <v>10881</v>
      </c>
      <c r="B10882" s="983" t="s">
        <v>2726</v>
      </c>
      <c r="C10882" s="999"/>
      <c r="G10882" s="983" t="s">
        <v>1106</v>
      </c>
    </row>
    <row r="10883" spans="1:9" x14ac:dyDescent="0.2">
      <c r="A10883" s="997">
        <f t="shared" si="169"/>
        <v>10882</v>
      </c>
      <c r="B10883" s="983" t="s">
        <v>2726</v>
      </c>
      <c r="C10883" s="1000"/>
      <c r="H10883" s="983" t="s">
        <v>1107</v>
      </c>
    </row>
    <row r="10884" spans="1:9" x14ac:dyDescent="0.2">
      <c r="A10884" s="997">
        <f t="shared" ref="A10884:A10947" si="170">+A10883+1</f>
        <v>10883</v>
      </c>
      <c r="B10884" s="983" t="s">
        <v>2726</v>
      </c>
      <c r="C10884" s="1001"/>
      <c r="I10884" s="983" t="s">
        <v>2555</v>
      </c>
    </row>
    <row r="10885" spans="1:9" x14ac:dyDescent="0.2">
      <c r="A10885" s="997">
        <f t="shared" si="170"/>
        <v>10884</v>
      </c>
      <c r="B10885" s="983" t="s">
        <v>2726</v>
      </c>
      <c r="C10885" s="1000"/>
      <c r="H10885" s="983" t="s">
        <v>1108</v>
      </c>
    </row>
    <row r="10886" spans="1:9" x14ac:dyDescent="0.2">
      <c r="A10886" s="997">
        <f t="shared" si="170"/>
        <v>10885</v>
      </c>
      <c r="B10886" s="983" t="s">
        <v>2726</v>
      </c>
      <c r="C10886" s="1000"/>
      <c r="H10886" s="983" t="str">
        <f>CONCATENATE("&lt;valeur&gt;",Cellule_1475,"&lt;/valeur&gt;")</f>
        <v>&lt;valeur&gt;0&lt;/valeur&gt;</v>
      </c>
    </row>
    <row r="10887" spans="1:9" x14ac:dyDescent="0.2">
      <c r="A10887" s="997">
        <f t="shared" si="170"/>
        <v>10886</v>
      </c>
      <c r="B10887" s="983" t="s">
        <v>2726</v>
      </c>
      <c r="C10887" s="999"/>
      <c r="G10887" s="983" t="s">
        <v>1109</v>
      </c>
    </row>
    <row r="10888" spans="1:9" x14ac:dyDescent="0.2">
      <c r="A10888" s="997">
        <f t="shared" si="170"/>
        <v>10887</v>
      </c>
      <c r="B10888" s="983" t="s">
        <v>2726</v>
      </c>
      <c r="C10888" s="999"/>
      <c r="G10888" s="983" t="s">
        <v>1106</v>
      </c>
    </row>
    <row r="10889" spans="1:9" x14ac:dyDescent="0.2">
      <c r="A10889" s="997">
        <f t="shared" si="170"/>
        <v>10888</v>
      </c>
      <c r="B10889" s="983" t="s">
        <v>2726</v>
      </c>
      <c r="C10889" s="1000"/>
      <c r="H10889" s="983" t="s">
        <v>1107</v>
      </c>
    </row>
    <row r="10890" spans="1:9" x14ac:dyDescent="0.2">
      <c r="A10890" s="997">
        <f t="shared" si="170"/>
        <v>10889</v>
      </c>
      <c r="B10890" s="983" t="s">
        <v>2726</v>
      </c>
      <c r="C10890" s="1001"/>
      <c r="I10890" s="983" t="s">
        <v>2556</v>
      </c>
    </row>
    <row r="10891" spans="1:9" x14ac:dyDescent="0.2">
      <c r="A10891" s="997">
        <f t="shared" si="170"/>
        <v>10890</v>
      </c>
      <c r="B10891" s="983" t="s">
        <v>2726</v>
      </c>
      <c r="C10891" s="1000"/>
      <c r="H10891" s="983" t="s">
        <v>1108</v>
      </c>
    </row>
    <row r="10892" spans="1:9" x14ac:dyDescent="0.2">
      <c r="A10892" s="997">
        <f t="shared" si="170"/>
        <v>10891</v>
      </c>
      <c r="B10892" s="983" t="s">
        <v>2726</v>
      </c>
      <c r="C10892" s="1000"/>
      <c r="H10892" s="983" t="str">
        <f>CONCATENATE("&lt;valeur&gt;",Cellule_1483,"&lt;/valeur&gt;")</f>
        <v>&lt;valeur&gt;0&lt;/valeur&gt;</v>
      </c>
    </row>
    <row r="10893" spans="1:9" x14ac:dyDescent="0.2">
      <c r="A10893" s="997">
        <f t="shared" si="170"/>
        <v>10892</v>
      </c>
      <c r="B10893" s="983" t="s">
        <v>2726</v>
      </c>
      <c r="C10893" s="999"/>
      <c r="G10893" s="983" t="s">
        <v>1109</v>
      </c>
    </row>
    <row r="10894" spans="1:9" x14ac:dyDescent="0.2">
      <c r="A10894" s="997">
        <f t="shared" si="170"/>
        <v>10893</v>
      </c>
      <c r="B10894" s="983" t="s">
        <v>2726</v>
      </c>
      <c r="C10894" s="999"/>
      <c r="G10894" s="983" t="s">
        <v>1106</v>
      </c>
    </row>
    <row r="10895" spans="1:9" x14ac:dyDescent="0.2">
      <c r="A10895" s="997">
        <f t="shared" si="170"/>
        <v>10894</v>
      </c>
      <c r="B10895" s="983" t="s">
        <v>2726</v>
      </c>
      <c r="C10895" s="1000"/>
      <c r="H10895" s="983" t="s">
        <v>1107</v>
      </c>
    </row>
    <row r="10896" spans="1:9" x14ac:dyDescent="0.2">
      <c r="A10896" s="997">
        <f t="shared" si="170"/>
        <v>10895</v>
      </c>
      <c r="B10896" s="983" t="s">
        <v>2726</v>
      </c>
      <c r="C10896" s="1001"/>
      <c r="I10896" s="983" t="s">
        <v>2557</v>
      </c>
    </row>
    <row r="10897" spans="1:9" x14ac:dyDescent="0.2">
      <c r="A10897" s="997">
        <f t="shared" si="170"/>
        <v>10896</v>
      </c>
      <c r="B10897" s="983" t="s">
        <v>2726</v>
      </c>
      <c r="C10897" s="1000"/>
      <c r="H10897" s="983" t="s">
        <v>1108</v>
      </c>
    </row>
    <row r="10898" spans="1:9" x14ac:dyDescent="0.2">
      <c r="A10898" s="997">
        <f t="shared" si="170"/>
        <v>10897</v>
      </c>
      <c r="B10898" s="983" t="s">
        <v>2726</v>
      </c>
      <c r="C10898" s="1000"/>
      <c r="H10898" s="983" t="str">
        <f>CONCATENATE("&lt;valeur&gt;",Cellule_1557,"&lt;/valeur&gt;")</f>
        <v>&lt;valeur&gt;0&lt;/valeur&gt;</v>
      </c>
    </row>
    <row r="10899" spans="1:9" x14ac:dyDescent="0.2">
      <c r="A10899" s="997">
        <f t="shared" si="170"/>
        <v>10898</v>
      </c>
      <c r="B10899" s="983" t="s">
        <v>2726</v>
      </c>
      <c r="C10899" s="999"/>
      <c r="G10899" s="983" t="s">
        <v>1109</v>
      </c>
    </row>
    <row r="10900" spans="1:9" x14ac:dyDescent="0.2">
      <c r="A10900" s="997">
        <f t="shared" si="170"/>
        <v>10899</v>
      </c>
      <c r="B10900" s="983" t="s">
        <v>2726</v>
      </c>
      <c r="C10900" s="999"/>
      <c r="G10900" s="983" t="s">
        <v>1106</v>
      </c>
    </row>
    <row r="10901" spans="1:9" x14ac:dyDescent="0.2">
      <c r="A10901" s="997">
        <f t="shared" si="170"/>
        <v>10900</v>
      </c>
      <c r="B10901" s="983" t="s">
        <v>2726</v>
      </c>
      <c r="C10901" s="1000"/>
      <c r="H10901" s="983" t="s">
        <v>1107</v>
      </c>
    </row>
    <row r="10902" spans="1:9" x14ac:dyDescent="0.2">
      <c r="A10902" s="997">
        <f t="shared" si="170"/>
        <v>10901</v>
      </c>
      <c r="B10902" s="983" t="s">
        <v>2726</v>
      </c>
      <c r="C10902" s="1001"/>
      <c r="I10902" s="983" t="s">
        <v>2558</v>
      </c>
    </row>
    <row r="10903" spans="1:9" x14ac:dyDescent="0.2">
      <c r="A10903" s="997">
        <f t="shared" si="170"/>
        <v>10902</v>
      </c>
      <c r="B10903" s="983" t="s">
        <v>2726</v>
      </c>
      <c r="C10903" s="1000"/>
      <c r="H10903" s="983" t="s">
        <v>1108</v>
      </c>
    </row>
    <row r="10904" spans="1:9" x14ac:dyDescent="0.2">
      <c r="A10904" s="997">
        <f t="shared" si="170"/>
        <v>10903</v>
      </c>
      <c r="B10904" s="983" t="s">
        <v>2726</v>
      </c>
      <c r="C10904" s="1000"/>
      <c r="H10904" s="983" t="str">
        <f>CONCATENATE("&lt;valeur&gt;",Cellule_1598,"&lt;/valeur&gt;")</f>
        <v>&lt;valeur&gt;0&lt;/valeur&gt;</v>
      </c>
    </row>
    <row r="10905" spans="1:9" x14ac:dyDescent="0.2">
      <c r="A10905" s="997">
        <f t="shared" si="170"/>
        <v>10904</v>
      </c>
      <c r="B10905" s="983" t="s">
        <v>2726</v>
      </c>
      <c r="C10905" s="999"/>
      <c r="G10905" s="983" t="s">
        <v>1109</v>
      </c>
    </row>
    <row r="10906" spans="1:9" x14ac:dyDescent="0.2">
      <c r="A10906" s="997">
        <f t="shared" si="170"/>
        <v>10905</v>
      </c>
      <c r="B10906" s="983" t="s">
        <v>2726</v>
      </c>
      <c r="C10906" s="999"/>
      <c r="G10906" s="983" t="s">
        <v>1106</v>
      </c>
    </row>
    <row r="10907" spans="1:9" x14ac:dyDescent="0.2">
      <c r="A10907" s="997">
        <f t="shared" si="170"/>
        <v>10906</v>
      </c>
      <c r="B10907" s="983" t="s">
        <v>2726</v>
      </c>
      <c r="C10907" s="1000"/>
      <c r="H10907" s="983" t="s">
        <v>1107</v>
      </c>
    </row>
    <row r="10908" spans="1:9" x14ac:dyDescent="0.2">
      <c r="A10908" s="997">
        <f t="shared" si="170"/>
        <v>10907</v>
      </c>
      <c r="B10908" s="983" t="s">
        <v>2726</v>
      </c>
      <c r="C10908" s="1001"/>
      <c r="I10908" s="983" t="s">
        <v>2559</v>
      </c>
    </row>
    <row r="10909" spans="1:9" x14ac:dyDescent="0.2">
      <c r="A10909" s="997">
        <f t="shared" si="170"/>
        <v>10908</v>
      </c>
      <c r="B10909" s="983" t="s">
        <v>2726</v>
      </c>
      <c r="C10909" s="1000"/>
      <c r="H10909" s="983" t="s">
        <v>1108</v>
      </c>
    </row>
    <row r="10910" spans="1:9" x14ac:dyDescent="0.2">
      <c r="A10910" s="997">
        <f t="shared" si="170"/>
        <v>10909</v>
      </c>
      <c r="B10910" s="983" t="s">
        <v>2726</v>
      </c>
      <c r="C10910" s="1000"/>
      <c r="H10910" s="983" t="str">
        <f>CONCATENATE("&lt;valeur&gt;",Cellule_1606,"&lt;/valeur&gt;")</f>
        <v>&lt;valeur&gt;0&lt;/valeur&gt;</v>
      </c>
    </row>
    <row r="10911" spans="1:9" x14ac:dyDescent="0.2">
      <c r="A10911" s="997">
        <f t="shared" si="170"/>
        <v>10910</v>
      </c>
      <c r="B10911" s="983" t="s">
        <v>2726</v>
      </c>
      <c r="C10911" s="999"/>
      <c r="G10911" s="983" t="s">
        <v>1109</v>
      </c>
    </row>
    <row r="10912" spans="1:9" x14ac:dyDescent="0.2">
      <c r="A10912" s="997">
        <f t="shared" si="170"/>
        <v>10911</v>
      </c>
      <c r="B10912" s="983" t="s">
        <v>2726</v>
      </c>
      <c r="C10912" s="999"/>
      <c r="G10912" s="983" t="s">
        <v>1106</v>
      </c>
    </row>
    <row r="10913" spans="1:9" x14ac:dyDescent="0.2">
      <c r="A10913" s="997">
        <f t="shared" si="170"/>
        <v>10912</v>
      </c>
      <c r="B10913" s="983" t="s">
        <v>2726</v>
      </c>
      <c r="C10913" s="1000"/>
      <c r="H10913" s="983" t="s">
        <v>1107</v>
      </c>
    </row>
    <row r="10914" spans="1:9" x14ac:dyDescent="0.2">
      <c r="A10914" s="997">
        <f t="shared" si="170"/>
        <v>10913</v>
      </c>
      <c r="B10914" s="983" t="s">
        <v>2726</v>
      </c>
      <c r="C10914" s="1001"/>
      <c r="I10914" s="983" t="s">
        <v>2560</v>
      </c>
    </row>
    <row r="10915" spans="1:9" x14ac:dyDescent="0.2">
      <c r="A10915" s="997">
        <f t="shared" si="170"/>
        <v>10914</v>
      </c>
      <c r="B10915" s="983" t="s">
        <v>2726</v>
      </c>
      <c r="C10915" s="1000"/>
      <c r="H10915" s="983" t="s">
        <v>1108</v>
      </c>
    </row>
    <row r="10916" spans="1:9" x14ac:dyDescent="0.2">
      <c r="A10916" s="997">
        <f t="shared" si="170"/>
        <v>10915</v>
      </c>
      <c r="B10916" s="983" t="s">
        <v>2726</v>
      </c>
      <c r="C10916" s="1000"/>
      <c r="H10916" s="983" t="str">
        <f>CONCATENATE("&lt;valeur&gt;",Cellule_1614,"&lt;/valeur&gt;")</f>
        <v>&lt;valeur&gt;0&lt;/valeur&gt;</v>
      </c>
    </row>
    <row r="10917" spans="1:9" x14ac:dyDescent="0.2">
      <c r="A10917" s="997">
        <f t="shared" si="170"/>
        <v>10916</v>
      </c>
      <c r="B10917" s="983" t="s">
        <v>2726</v>
      </c>
      <c r="C10917" s="999"/>
      <c r="G10917" s="983" t="s">
        <v>1109</v>
      </c>
    </row>
    <row r="10918" spans="1:9" x14ac:dyDescent="0.2">
      <c r="A10918" s="997">
        <f t="shared" si="170"/>
        <v>10917</v>
      </c>
      <c r="B10918" s="983" t="s">
        <v>2726</v>
      </c>
      <c r="C10918" s="999"/>
      <c r="G10918" s="983" t="s">
        <v>1106</v>
      </c>
    </row>
    <row r="10919" spans="1:9" x14ac:dyDescent="0.2">
      <c r="A10919" s="997">
        <f t="shared" si="170"/>
        <v>10918</v>
      </c>
      <c r="B10919" s="983" t="s">
        <v>2726</v>
      </c>
      <c r="C10919" s="1000"/>
      <c r="H10919" s="983" t="s">
        <v>1107</v>
      </c>
    </row>
    <row r="10920" spans="1:9" x14ac:dyDescent="0.2">
      <c r="A10920" s="997">
        <f t="shared" si="170"/>
        <v>10919</v>
      </c>
      <c r="B10920" s="983" t="s">
        <v>2726</v>
      </c>
      <c r="C10920" s="1001"/>
      <c r="I10920" s="983" t="s">
        <v>2561</v>
      </c>
    </row>
    <row r="10921" spans="1:9" x14ac:dyDescent="0.2">
      <c r="A10921" s="997">
        <f t="shared" si="170"/>
        <v>10920</v>
      </c>
      <c r="B10921" s="983" t="s">
        <v>2726</v>
      </c>
      <c r="C10921" s="1000"/>
      <c r="H10921" s="983" t="s">
        <v>1108</v>
      </c>
    </row>
    <row r="10922" spans="1:9" x14ac:dyDescent="0.2">
      <c r="A10922" s="997">
        <f t="shared" si="170"/>
        <v>10921</v>
      </c>
      <c r="B10922" s="983" t="s">
        <v>2726</v>
      </c>
      <c r="C10922" s="1000"/>
      <c r="H10922" s="983" t="str">
        <f>CONCATENATE("&lt;valeur&gt;",Cellule_1637,"&lt;/valeur&gt;")</f>
        <v>&lt;valeur&gt;&lt;/valeur&gt;</v>
      </c>
    </row>
    <row r="10923" spans="1:9" x14ac:dyDescent="0.2">
      <c r="A10923" s="997">
        <f t="shared" si="170"/>
        <v>10922</v>
      </c>
      <c r="B10923" s="983" t="s">
        <v>2726</v>
      </c>
      <c r="C10923" s="999"/>
      <c r="G10923" s="983" t="s">
        <v>1109</v>
      </c>
    </row>
    <row r="10924" spans="1:9" x14ac:dyDescent="0.2">
      <c r="A10924" s="997">
        <f t="shared" si="170"/>
        <v>10923</v>
      </c>
      <c r="B10924" s="983" t="s">
        <v>2726</v>
      </c>
      <c r="C10924" s="999"/>
      <c r="G10924" s="983" t="s">
        <v>1106</v>
      </c>
    </row>
    <row r="10925" spans="1:9" x14ac:dyDescent="0.2">
      <c r="A10925" s="997">
        <f t="shared" si="170"/>
        <v>10924</v>
      </c>
      <c r="B10925" s="983" t="s">
        <v>2726</v>
      </c>
      <c r="C10925" s="1000"/>
      <c r="H10925" s="983" t="s">
        <v>1107</v>
      </c>
    </row>
    <row r="10926" spans="1:9" x14ac:dyDescent="0.2">
      <c r="A10926" s="997">
        <f t="shared" si="170"/>
        <v>10925</v>
      </c>
      <c r="B10926" s="983" t="s">
        <v>2726</v>
      </c>
      <c r="C10926" s="1001"/>
      <c r="I10926" s="983" t="s">
        <v>2562</v>
      </c>
    </row>
    <row r="10927" spans="1:9" x14ac:dyDescent="0.2">
      <c r="A10927" s="997">
        <f t="shared" si="170"/>
        <v>10926</v>
      </c>
      <c r="B10927" s="983" t="s">
        <v>2726</v>
      </c>
      <c r="C10927" s="1000"/>
      <c r="H10927" s="983" t="s">
        <v>1108</v>
      </c>
    </row>
    <row r="10928" spans="1:9" x14ac:dyDescent="0.2">
      <c r="A10928" s="997">
        <f t="shared" si="170"/>
        <v>10927</v>
      </c>
      <c r="B10928" s="983" t="s">
        <v>2726</v>
      </c>
      <c r="C10928" s="1000"/>
      <c r="H10928" s="983" t="str">
        <f>CONCATENATE("&lt;valeur&gt;",Cellule_1645,"&lt;/valeur&gt;")</f>
        <v>&lt;valeur&gt;0&lt;/valeur&gt;</v>
      </c>
    </row>
    <row r="10929" spans="1:9" x14ac:dyDescent="0.2">
      <c r="A10929" s="997">
        <f t="shared" si="170"/>
        <v>10928</v>
      </c>
      <c r="B10929" s="983" t="s">
        <v>2726</v>
      </c>
      <c r="C10929" s="999"/>
      <c r="G10929" s="983" t="s">
        <v>1109</v>
      </c>
    </row>
    <row r="10930" spans="1:9" x14ac:dyDescent="0.2">
      <c r="A10930" s="997">
        <f t="shared" si="170"/>
        <v>10929</v>
      </c>
      <c r="B10930" s="983" t="s">
        <v>2726</v>
      </c>
      <c r="C10930" s="999"/>
      <c r="G10930" s="983" t="s">
        <v>1106</v>
      </c>
    </row>
    <row r="10931" spans="1:9" x14ac:dyDescent="0.2">
      <c r="A10931" s="997">
        <f t="shared" si="170"/>
        <v>10930</v>
      </c>
      <c r="B10931" s="983" t="s">
        <v>2726</v>
      </c>
      <c r="C10931" s="1000"/>
      <c r="H10931" s="983" t="s">
        <v>1107</v>
      </c>
    </row>
    <row r="10932" spans="1:9" x14ac:dyDescent="0.2">
      <c r="A10932" s="997">
        <f t="shared" si="170"/>
        <v>10931</v>
      </c>
      <c r="B10932" s="983" t="s">
        <v>2726</v>
      </c>
      <c r="C10932" s="1001"/>
      <c r="I10932" s="983" t="s">
        <v>2563</v>
      </c>
    </row>
    <row r="10933" spans="1:9" x14ac:dyDescent="0.2">
      <c r="A10933" s="997">
        <f t="shared" si="170"/>
        <v>10932</v>
      </c>
      <c r="B10933" s="983" t="s">
        <v>2726</v>
      </c>
      <c r="C10933" s="1000"/>
      <c r="H10933" s="983" t="s">
        <v>1108</v>
      </c>
    </row>
    <row r="10934" spans="1:9" x14ac:dyDescent="0.2">
      <c r="A10934" s="997">
        <f t="shared" si="170"/>
        <v>10933</v>
      </c>
      <c r="B10934" s="983" t="s">
        <v>2726</v>
      </c>
      <c r="C10934" s="1000"/>
      <c r="H10934" s="983" t="str">
        <f>CONCATENATE("&lt;valeur&gt;",Cellule_1658,"&lt;/valeur&gt;")</f>
        <v>&lt;valeur&gt;0&lt;/valeur&gt;</v>
      </c>
    </row>
    <row r="10935" spans="1:9" x14ac:dyDescent="0.2">
      <c r="A10935" s="997">
        <f t="shared" si="170"/>
        <v>10934</v>
      </c>
      <c r="B10935" s="983" t="s">
        <v>2726</v>
      </c>
      <c r="C10935" s="999"/>
      <c r="G10935" s="983" t="s">
        <v>1109</v>
      </c>
    </row>
    <row r="10936" spans="1:9" x14ac:dyDescent="0.2">
      <c r="A10936" s="997">
        <f t="shared" si="170"/>
        <v>10935</v>
      </c>
      <c r="B10936" s="983" t="s">
        <v>2726</v>
      </c>
      <c r="C10936" s="999"/>
      <c r="G10936" s="983" t="s">
        <v>1106</v>
      </c>
    </row>
    <row r="10937" spans="1:9" x14ac:dyDescent="0.2">
      <c r="A10937" s="997">
        <f t="shared" si="170"/>
        <v>10936</v>
      </c>
      <c r="B10937" s="983" t="s">
        <v>2726</v>
      </c>
      <c r="C10937" s="1000"/>
      <c r="H10937" s="983" t="s">
        <v>1107</v>
      </c>
    </row>
    <row r="10938" spans="1:9" x14ac:dyDescent="0.2">
      <c r="A10938" s="997">
        <f t="shared" si="170"/>
        <v>10937</v>
      </c>
      <c r="B10938" s="983" t="s">
        <v>2726</v>
      </c>
      <c r="C10938" s="1001"/>
      <c r="I10938" s="983" t="s">
        <v>2564</v>
      </c>
    </row>
    <row r="10939" spans="1:9" x14ac:dyDescent="0.2">
      <c r="A10939" s="997">
        <f t="shared" si="170"/>
        <v>10938</v>
      </c>
      <c r="B10939" s="983" t="s">
        <v>2726</v>
      </c>
      <c r="C10939" s="1000"/>
      <c r="H10939" s="983" t="s">
        <v>1108</v>
      </c>
    </row>
    <row r="10940" spans="1:9" x14ac:dyDescent="0.2">
      <c r="A10940" s="997">
        <f t="shared" si="170"/>
        <v>10939</v>
      </c>
      <c r="B10940" s="983" t="s">
        <v>2726</v>
      </c>
      <c r="C10940" s="1000"/>
      <c r="H10940" s="983" t="str">
        <f>CONCATENATE("&lt;valeur&gt;",Cellule_1666,"&lt;/valeur&gt;")</f>
        <v>&lt;valeur&gt;0&lt;/valeur&gt;</v>
      </c>
    </row>
    <row r="10941" spans="1:9" x14ac:dyDescent="0.2">
      <c r="A10941" s="997">
        <f t="shared" si="170"/>
        <v>10940</v>
      </c>
      <c r="B10941" s="983" t="s">
        <v>2726</v>
      </c>
      <c r="C10941" s="999"/>
      <c r="G10941" s="983" t="s">
        <v>1109</v>
      </c>
    </row>
    <row r="10942" spans="1:9" x14ac:dyDescent="0.2">
      <c r="A10942" s="997">
        <f t="shared" si="170"/>
        <v>10941</v>
      </c>
      <c r="B10942" s="983" t="s">
        <v>2726</v>
      </c>
      <c r="C10942" s="999"/>
      <c r="G10942" s="983" t="s">
        <v>1106</v>
      </c>
    </row>
    <row r="10943" spans="1:9" x14ac:dyDescent="0.2">
      <c r="A10943" s="997">
        <f t="shared" si="170"/>
        <v>10942</v>
      </c>
      <c r="B10943" s="983" t="s">
        <v>2726</v>
      </c>
      <c r="C10943" s="1000"/>
      <c r="H10943" s="983" t="s">
        <v>1107</v>
      </c>
    </row>
    <row r="10944" spans="1:9" x14ac:dyDescent="0.2">
      <c r="A10944" s="997">
        <f t="shared" si="170"/>
        <v>10943</v>
      </c>
      <c r="B10944" s="983" t="s">
        <v>2726</v>
      </c>
      <c r="C10944" s="1001"/>
      <c r="I10944" s="983" t="s">
        <v>2565</v>
      </c>
    </row>
    <row r="10945" spans="1:9" x14ac:dyDescent="0.2">
      <c r="A10945" s="997">
        <f t="shared" si="170"/>
        <v>10944</v>
      </c>
      <c r="B10945" s="983" t="s">
        <v>2726</v>
      </c>
      <c r="C10945" s="1000"/>
      <c r="H10945" s="983" t="s">
        <v>1108</v>
      </c>
    </row>
    <row r="10946" spans="1:9" x14ac:dyDescent="0.2">
      <c r="A10946" s="997">
        <f t="shared" si="170"/>
        <v>10945</v>
      </c>
      <c r="B10946" s="983" t="s">
        <v>2726</v>
      </c>
      <c r="C10946" s="1000"/>
      <c r="H10946" s="983" t="str">
        <f>CONCATENATE("&lt;valeur&gt;",Cellule_1674,"&lt;/valeur&gt;")</f>
        <v>&lt;valeur&gt;0&lt;/valeur&gt;</v>
      </c>
    </row>
    <row r="10947" spans="1:9" x14ac:dyDescent="0.2">
      <c r="A10947" s="997">
        <f t="shared" si="170"/>
        <v>10946</v>
      </c>
      <c r="B10947" s="983" t="s">
        <v>2726</v>
      </c>
      <c r="C10947" s="999"/>
      <c r="G10947" s="983" t="s">
        <v>1109</v>
      </c>
    </row>
    <row r="10948" spans="1:9" x14ac:dyDescent="0.2">
      <c r="A10948" s="997">
        <f t="shared" ref="A10948:A11011" si="171">+A10947+1</f>
        <v>10947</v>
      </c>
      <c r="B10948" s="983" t="s">
        <v>2726</v>
      </c>
      <c r="C10948" s="999"/>
      <c r="G10948" s="983" t="s">
        <v>1106</v>
      </c>
    </row>
    <row r="10949" spans="1:9" x14ac:dyDescent="0.2">
      <c r="A10949" s="997">
        <f t="shared" si="171"/>
        <v>10948</v>
      </c>
      <c r="B10949" s="983" t="s">
        <v>2726</v>
      </c>
      <c r="C10949" s="1000"/>
      <c r="H10949" s="983" t="s">
        <v>1107</v>
      </c>
    </row>
    <row r="10950" spans="1:9" x14ac:dyDescent="0.2">
      <c r="A10950" s="997">
        <f t="shared" si="171"/>
        <v>10949</v>
      </c>
      <c r="B10950" s="983" t="s">
        <v>2726</v>
      </c>
      <c r="C10950" s="1001"/>
      <c r="I10950" s="983" t="s">
        <v>2566</v>
      </c>
    </row>
    <row r="10951" spans="1:9" x14ac:dyDescent="0.2">
      <c r="A10951" s="997">
        <f t="shared" si="171"/>
        <v>10950</v>
      </c>
      <c r="B10951" s="983" t="s">
        <v>2726</v>
      </c>
      <c r="C10951" s="1000"/>
      <c r="H10951" s="983" t="s">
        <v>1108</v>
      </c>
    </row>
    <row r="10952" spans="1:9" x14ac:dyDescent="0.2">
      <c r="A10952" s="997">
        <f t="shared" si="171"/>
        <v>10951</v>
      </c>
      <c r="B10952" s="983" t="s">
        <v>2726</v>
      </c>
      <c r="C10952" s="1000"/>
      <c r="H10952" s="983" t="str">
        <f>CONCATENATE("&lt;valeur&gt;",Cellule_1687,"&lt;/valeur&gt;")</f>
        <v>&lt;valeur&gt;0&lt;/valeur&gt;</v>
      </c>
    </row>
    <row r="10953" spans="1:9" x14ac:dyDescent="0.2">
      <c r="A10953" s="997">
        <f t="shared" si="171"/>
        <v>10952</v>
      </c>
      <c r="B10953" s="983" t="s">
        <v>2726</v>
      </c>
      <c r="C10953" s="999"/>
      <c r="G10953" s="983" t="s">
        <v>1109</v>
      </c>
    </row>
    <row r="10954" spans="1:9" x14ac:dyDescent="0.2">
      <c r="A10954" s="997">
        <f t="shared" si="171"/>
        <v>10953</v>
      </c>
      <c r="B10954" s="983" t="s">
        <v>2726</v>
      </c>
      <c r="C10954" s="999"/>
      <c r="G10954" s="983" t="s">
        <v>1106</v>
      </c>
    </row>
    <row r="10955" spans="1:9" x14ac:dyDescent="0.2">
      <c r="A10955" s="997">
        <f t="shared" si="171"/>
        <v>10954</v>
      </c>
      <c r="B10955" s="983" t="s">
        <v>2726</v>
      </c>
      <c r="C10955" s="1000"/>
      <c r="H10955" s="983" t="s">
        <v>1107</v>
      </c>
    </row>
    <row r="10956" spans="1:9" x14ac:dyDescent="0.2">
      <c r="A10956" s="997">
        <f t="shared" si="171"/>
        <v>10955</v>
      </c>
      <c r="B10956" s="983" t="s">
        <v>2726</v>
      </c>
      <c r="C10956" s="1001"/>
      <c r="I10956" s="983" t="s">
        <v>2567</v>
      </c>
    </row>
    <row r="10957" spans="1:9" x14ac:dyDescent="0.2">
      <c r="A10957" s="997">
        <f t="shared" si="171"/>
        <v>10956</v>
      </c>
      <c r="B10957" s="983" t="s">
        <v>2726</v>
      </c>
      <c r="C10957" s="1000"/>
      <c r="H10957" s="983" t="s">
        <v>1108</v>
      </c>
    </row>
    <row r="10958" spans="1:9" x14ac:dyDescent="0.2">
      <c r="A10958" s="997">
        <f t="shared" si="171"/>
        <v>10957</v>
      </c>
      <c r="B10958" s="983" t="s">
        <v>2726</v>
      </c>
      <c r="C10958" s="1000"/>
      <c r="H10958" s="983" t="str">
        <f>CONCATENATE("&lt;valeur&gt;",Cellule_1738,"&lt;/valeur&gt;")</f>
        <v>&lt;valeur&gt;&lt;/valeur&gt;</v>
      </c>
    </row>
    <row r="10959" spans="1:9" x14ac:dyDescent="0.2">
      <c r="A10959" s="997">
        <f t="shared" si="171"/>
        <v>10958</v>
      </c>
      <c r="B10959" s="983" t="s">
        <v>2726</v>
      </c>
      <c r="C10959" s="999"/>
      <c r="G10959" s="983" t="s">
        <v>1109</v>
      </c>
    </row>
    <row r="10960" spans="1:9" x14ac:dyDescent="0.2">
      <c r="A10960" s="997">
        <f t="shared" si="171"/>
        <v>10959</v>
      </c>
      <c r="B10960" s="983" t="s">
        <v>2726</v>
      </c>
      <c r="C10960" s="999"/>
      <c r="G10960" s="983" t="s">
        <v>1106</v>
      </c>
    </row>
    <row r="10961" spans="1:9" x14ac:dyDescent="0.2">
      <c r="A10961" s="997">
        <f t="shared" si="171"/>
        <v>10960</v>
      </c>
      <c r="B10961" s="983" t="s">
        <v>2726</v>
      </c>
      <c r="C10961" s="1000"/>
      <c r="H10961" s="983" t="s">
        <v>1107</v>
      </c>
    </row>
    <row r="10962" spans="1:9" x14ac:dyDescent="0.2">
      <c r="A10962" s="997">
        <f t="shared" si="171"/>
        <v>10961</v>
      </c>
      <c r="B10962" s="983" t="s">
        <v>2726</v>
      </c>
      <c r="C10962" s="1001"/>
      <c r="I10962" s="983" t="s">
        <v>2568</v>
      </c>
    </row>
    <row r="10963" spans="1:9" x14ac:dyDescent="0.2">
      <c r="A10963" s="997">
        <f t="shared" si="171"/>
        <v>10962</v>
      </c>
      <c r="B10963" s="983" t="s">
        <v>2726</v>
      </c>
      <c r="C10963" s="1000"/>
      <c r="H10963" s="983" t="s">
        <v>1108</v>
      </c>
    </row>
    <row r="10964" spans="1:9" x14ac:dyDescent="0.2">
      <c r="A10964" s="997">
        <f t="shared" si="171"/>
        <v>10963</v>
      </c>
      <c r="B10964" s="983" t="s">
        <v>2726</v>
      </c>
      <c r="C10964" s="1000"/>
      <c r="H10964" s="983" t="str">
        <f>CONCATENATE("&lt;valeur&gt;",Cellule_1759,"&lt;/valeur&gt;")</f>
        <v>&lt;valeur&gt;0&lt;/valeur&gt;</v>
      </c>
    </row>
    <row r="10965" spans="1:9" x14ac:dyDescent="0.2">
      <c r="A10965" s="997">
        <f t="shared" si="171"/>
        <v>10964</v>
      </c>
      <c r="B10965" s="983" t="s">
        <v>2726</v>
      </c>
      <c r="C10965" s="999"/>
      <c r="G10965" s="983" t="s">
        <v>1109</v>
      </c>
    </row>
    <row r="10966" spans="1:9" x14ac:dyDescent="0.2">
      <c r="A10966" s="997">
        <f t="shared" si="171"/>
        <v>10965</v>
      </c>
      <c r="B10966" s="983" t="s">
        <v>2726</v>
      </c>
      <c r="C10966" s="999"/>
      <c r="G10966" s="983" t="s">
        <v>1106</v>
      </c>
    </row>
    <row r="10967" spans="1:9" x14ac:dyDescent="0.2">
      <c r="A10967" s="997">
        <f t="shared" si="171"/>
        <v>10966</v>
      </c>
      <c r="B10967" s="983" t="s">
        <v>2726</v>
      </c>
      <c r="C10967" s="1000"/>
      <c r="H10967" s="983" t="s">
        <v>1107</v>
      </c>
    </row>
    <row r="10968" spans="1:9" x14ac:dyDescent="0.2">
      <c r="A10968" s="997">
        <f t="shared" si="171"/>
        <v>10967</v>
      </c>
      <c r="B10968" s="983" t="s">
        <v>2726</v>
      </c>
      <c r="C10968" s="1001"/>
      <c r="I10968" s="983" t="s">
        <v>2569</v>
      </c>
    </row>
    <row r="10969" spans="1:9" x14ac:dyDescent="0.2">
      <c r="A10969" s="997">
        <f t="shared" si="171"/>
        <v>10968</v>
      </c>
      <c r="B10969" s="983" t="s">
        <v>2726</v>
      </c>
      <c r="C10969" s="1000"/>
      <c r="H10969" s="983" t="s">
        <v>1108</v>
      </c>
    </row>
    <row r="10970" spans="1:9" x14ac:dyDescent="0.2">
      <c r="A10970" s="997">
        <f t="shared" si="171"/>
        <v>10969</v>
      </c>
      <c r="B10970" s="983" t="s">
        <v>2726</v>
      </c>
      <c r="C10970" s="1000"/>
      <c r="H10970" s="983" t="str">
        <f>CONCATENATE("&lt;valeur&gt;",Cellule_1771,"&lt;/valeur&gt;")</f>
        <v>&lt;valeur&gt;0&lt;/valeur&gt;</v>
      </c>
    </row>
    <row r="10971" spans="1:9" x14ac:dyDescent="0.2">
      <c r="A10971" s="997">
        <f t="shared" si="171"/>
        <v>10970</v>
      </c>
      <c r="B10971" s="983" t="s">
        <v>2726</v>
      </c>
      <c r="C10971" s="999"/>
      <c r="G10971" s="983" t="s">
        <v>1109</v>
      </c>
    </row>
    <row r="10972" spans="1:9" x14ac:dyDescent="0.2">
      <c r="A10972" s="997">
        <f t="shared" si="171"/>
        <v>10971</v>
      </c>
      <c r="B10972" s="983" t="s">
        <v>2726</v>
      </c>
      <c r="C10972" s="999"/>
      <c r="G10972" s="983" t="s">
        <v>1106</v>
      </c>
    </row>
    <row r="10973" spans="1:9" x14ac:dyDescent="0.2">
      <c r="A10973" s="997">
        <f t="shared" si="171"/>
        <v>10972</v>
      </c>
      <c r="B10973" s="983" t="s">
        <v>2726</v>
      </c>
      <c r="C10973" s="1000"/>
      <c r="H10973" s="983" t="s">
        <v>1107</v>
      </c>
    </row>
    <row r="10974" spans="1:9" x14ac:dyDescent="0.2">
      <c r="A10974" s="997">
        <f t="shared" si="171"/>
        <v>10973</v>
      </c>
      <c r="B10974" s="983" t="s">
        <v>2726</v>
      </c>
      <c r="C10974" s="1001"/>
      <c r="I10974" s="983" t="s">
        <v>2570</v>
      </c>
    </row>
    <row r="10975" spans="1:9" x14ac:dyDescent="0.2">
      <c r="A10975" s="997">
        <f t="shared" si="171"/>
        <v>10974</v>
      </c>
      <c r="B10975" s="983" t="s">
        <v>2726</v>
      </c>
      <c r="C10975" s="1000"/>
      <c r="H10975" s="983" t="s">
        <v>1108</v>
      </c>
    </row>
    <row r="10976" spans="1:9" x14ac:dyDescent="0.2">
      <c r="A10976" s="997">
        <f t="shared" si="171"/>
        <v>10975</v>
      </c>
      <c r="B10976" s="983" t="s">
        <v>2726</v>
      </c>
      <c r="C10976" s="1000"/>
      <c r="H10976" s="983" t="str">
        <f>CONCATENATE("&lt;valeur&gt;",Cellule_1802,"&lt;/valeur&gt;")</f>
        <v>&lt;valeur&gt;0&lt;/valeur&gt;</v>
      </c>
    </row>
    <row r="10977" spans="1:9" x14ac:dyDescent="0.2">
      <c r="A10977" s="997">
        <f t="shared" si="171"/>
        <v>10976</v>
      </c>
      <c r="B10977" s="983" t="s">
        <v>2726</v>
      </c>
      <c r="C10977" s="999"/>
      <c r="G10977" s="983" t="s">
        <v>1109</v>
      </c>
    </row>
    <row r="10978" spans="1:9" x14ac:dyDescent="0.2">
      <c r="A10978" s="997">
        <f t="shared" si="171"/>
        <v>10977</v>
      </c>
      <c r="B10978" s="983" t="s">
        <v>2726</v>
      </c>
      <c r="C10978" s="999"/>
      <c r="G10978" s="983" t="s">
        <v>1106</v>
      </c>
    </row>
    <row r="10979" spans="1:9" x14ac:dyDescent="0.2">
      <c r="A10979" s="997">
        <f t="shared" si="171"/>
        <v>10978</v>
      </c>
      <c r="B10979" s="983" t="s">
        <v>2726</v>
      </c>
      <c r="C10979" s="1000"/>
      <c r="H10979" s="983" t="s">
        <v>1107</v>
      </c>
    </row>
    <row r="10980" spans="1:9" x14ac:dyDescent="0.2">
      <c r="A10980" s="997">
        <f t="shared" si="171"/>
        <v>10979</v>
      </c>
      <c r="B10980" s="983" t="s">
        <v>2726</v>
      </c>
      <c r="C10980" s="1001"/>
      <c r="I10980" s="983" t="s">
        <v>2571</v>
      </c>
    </row>
    <row r="10981" spans="1:9" x14ac:dyDescent="0.2">
      <c r="A10981" s="997">
        <f t="shared" si="171"/>
        <v>10980</v>
      </c>
      <c r="B10981" s="983" t="s">
        <v>2726</v>
      </c>
      <c r="C10981" s="1000"/>
      <c r="H10981" s="983" t="s">
        <v>1108</v>
      </c>
    </row>
    <row r="10982" spans="1:9" x14ac:dyDescent="0.2">
      <c r="A10982" s="997">
        <f t="shared" si="171"/>
        <v>10981</v>
      </c>
      <c r="B10982" s="983" t="s">
        <v>2726</v>
      </c>
      <c r="C10982" s="1000"/>
      <c r="H10982" s="983" t="str">
        <f>CONCATENATE("&lt;valeur&gt;",Cellule_1821,"&lt;/valeur&gt;")</f>
        <v>&lt;valeur&gt;&lt;/valeur&gt;</v>
      </c>
    </row>
    <row r="10983" spans="1:9" x14ac:dyDescent="0.2">
      <c r="A10983" s="997">
        <f t="shared" si="171"/>
        <v>10982</v>
      </c>
      <c r="B10983" s="983" t="s">
        <v>2726</v>
      </c>
      <c r="C10983" s="999"/>
      <c r="G10983" s="983" t="s">
        <v>1109</v>
      </c>
    </row>
    <row r="10984" spans="1:9" x14ac:dyDescent="0.2">
      <c r="A10984" s="997">
        <f t="shared" si="171"/>
        <v>10983</v>
      </c>
      <c r="B10984" s="983" t="s">
        <v>2726</v>
      </c>
      <c r="C10984" s="999"/>
      <c r="G10984" s="983" t="s">
        <v>1106</v>
      </c>
    </row>
    <row r="10985" spans="1:9" x14ac:dyDescent="0.2">
      <c r="A10985" s="997">
        <f t="shared" si="171"/>
        <v>10984</v>
      </c>
      <c r="B10985" s="983" t="s">
        <v>2726</v>
      </c>
      <c r="C10985" s="1000"/>
      <c r="H10985" s="983" t="s">
        <v>1107</v>
      </c>
    </row>
    <row r="10986" spans="1:9" x14ac:dyDescent="0.2">
      <c r="A10986" s="997">
        <f t="shared" si="171"/>
        <v>10985</v>
      </c>
      <c r="B10986" s="983" t="s">
        <v>2726</v>
      </c>
      <c r="C10986" s="1001"/>
      <c r="I10986" s="983" t="s">
        <v>2572</v>
      </c>
    </row>
    <row r="10987" spans="1:9" x14ac:dyDescent="0.2">
      <c r="A10987" s="997">
        <f t="shared" si="171"/>
        <v>10986</v>
      </c>
      <c r="B10987" s="983" t="s">
        <v>2726</v>
      </c>
      <c r="C10987" s="1000"/>
      <c r="H10987" s="983" t="s">
        <v>1108</v>
      </c>
    </row>
    <row r="10988" spans="1:9" x14ac:dyDescent="0.2">
      <c r="A10988" s="997">
        <f t="shared" si="171"/>
        <v>10987</v>
      </c>
      <c r="B10988" s="983" t="s">
        <v>2726</v>
      </c>
      <c r="C10988" s="1000"/>
      <c r="H10988" s="983" t="str">
        <f>CONCATENATE("&lt;valeur&gt;",Cellule_1838,"&lt;/valeur&gt;")</f>
        <v>&lt;valeur&gt;0&lt;/valeur&gt;</v>
      </c>
    </row>
    <row r="10989" spans="1:9" x14ac:dyDescent="0.2">
      <c r="A10989" s="997">
        <f t="shared" si="171"/>
        <v>10988</v>
      </c>
      <c r="B10989" s="983" t="s">
        <v>2726</v>
      </c>
      <c r="C10989" s="999"/>
      <c r="G10989" s="983" t="s">
        <v>1109</v>
      </c>
    </row>
    <row r="10990" spans="1:9" x14ac:dyDescent="0.2">
      <c r="A10990" s="997">
        <f t="shared" si="171"/>
        <v>10989</v>
      </c>
      <c r="B10990" s="983" t="s">
        <v>2726</v>
      </c>
      <c r="C10990" s="999"/>
      <c r="G10990" s="983" t="s">
        <v>1106</v>
      </c>
    </row>
    <row r="10991" spans="1:9" x14ac:dyDescent="0.2">
      <c r="A10991" s="997">
        <f t="shared" si="171"/>
        <v>10990</v>
      </c>
      <c r="B10991" s="983" t="s">
        <v>2726</v>
      </c>
      <c r="C10991" s="1000"/>
      <c r="H10991" s="983" t="s">
        <v>1107</v>
      </c>
    </row>
    <row r="10992" spans="1:9" x14ac:dyDescent="0.2">
      <c r="A10992" s="997">
        <f t="shared" si="171"/>
        <v>10991</v>
      </c>
      <c r="B10992" s="983" t="s">
        <v>2726</v>
      </c>
      <c r="C10992" s="1001"/>
      <c r="I10992" s="983" t="s">
        <v>2573</v>
      </c>
    </row>
    <row r="10993" spans="1:9" x14ac:dyDescent="0.2">
      <c r="A10993" s="997">
        <f t="shared" si="171"/>
        <v>10992</v>
      </c>
      <c r="B10993" s="983" t="s">
        <v>2726</v>
      </c>
      <c r="C10993" s="1000"/>
      <c r="H10993" s="983" t="s">
        <v>1108</v>
      </c>
    </row>
    <row r="10994" spans="1:9" x14ac:dyDescent="0.2">
      <c r="A10994" s="997">
        <f t="shared" si="171"/>
        <v>10993</v>
      </c>
      <c r="B10994" s="983" t="s">
        <v>2726</v>
      </c>
      <c r="C10994" s="1000"/>
      <c r="H10994" s="983" t="str">
        <f>CONCATENATE("&lt;valeur&gt;",Cellule_1855,"&lt;/valeur&gt;")</f>
        <v>&lt;valeur&gt;0&lt;/valeur&gt;</v>
      </c>
    </row>
    <row r="10995" spans="1:9" x14ac:dyDescent="0.2">
      <c r="A10995" s="997">
        <f t="shared" si="171"/>
        <v>10994</v>
      </c>
      <c r="B10995" s="983" t="s">
        <v>2726</v>
      </c>
      <c r="C10995" s="999"/>
      <c r="G10995" s="983" t="s">
        <v>1109</v>
      </c>
    </row>
    <row r="10996" spans="1:9" x14ac:dyDescent="0.2">
      <c r="A10996" s="997">
        <f t="shared" si="171"/>
        <v>10995</v>
      </c>
      <c r="B10996" s="983" t="s">
        <v>2726</v>
      </c>
      <c r="C10996" s="999"/>
      <c r="G10996" s="983" t="s">
        <v>1106</v>
      </c>
    </row>
    <row r="10997" spans="1:9" x14ac:dyDescent="0.2">
      <c r="A10997" s="997">
        <f t="shared" si="171"/>
        <v>10996</v>
      </c>
      <c r="B10997" s="983" t="s">
        <v>2726</v>
      </c>
      <c r="C10997" s="1000"/>
      <c r="H10997" s="983" t="s">
        <v>1107</v>
      </c>
    </row>
    <row r="10998" spans="1:9" x14ac:dyDescent="0.2">
      <c r="A10998" s="997">
        <f t="shared" si="171"/>
        <v>10997</v>
      </c>
      <c r="B10998" s="983" t="s">
        <v>2726</v>
      </c>
      <c r="C10998" s="1001"/>
      <c r="I10998" s="983" t="s">
        <v>2574</v>
      </c>
    </row>
    <row r="10999" spans="1:9" x14ac:dyDescent="0.2">
      <c r="A10999" s="997">
        <f t="shared" si="171"/>
        <v>10998</v>
      </c>
      <c r="B10999" s="983" t="s">
        <v>2726</v>
      </c>
      <c r="C10999" s="1000"/>
      <c r="H10999" s="983" t="s">
        <v>1108</v>
      </c>
    </row>
    <row r="11000" spans="1:9" x14ac:dyDescent="0.2">
      <c r="A11000" s="997">
        <f t="shared" si="171"/>
        <v>10999</v>
      </c>
      <c r="B11000" s="983" t="s">
        <v>2726</v>
      </c>
      <c r="C11000" s="1000"/>
      <c r="H11000" s="983" t="str">
        <f>CONCATENATE("&lt;valeur&gt;",Cellule_1863,"&lt;/valeur&gt;")</f>
        <v>&lt;valeur&gt;0&lt;/valeur&gt;</v>
      </c>
    </row>
    <row r="11001" spans="1:9" x14ac:dyDescent="0.2">
      <c r="A11001" s="997">
        <f t="shared" si="171"/>
        <v>11000</v>
      </c>
      <c r="B11001" s="983" t="s">
        <v>2726</v>
      </c>
      <c r="C11001" s="999"/>
      <c r="G11001" s="983" t="s">
        <v>1109</v>
      </c>
    </row>
    <row r="11002" spans="1:9" x14ac:dyDescent="0.2">
      <c r="A11002" s="997">
        <f t="shared" si="171"/>
        <v>11001</v>
      </c>
      <c r="B11002" s="983" t="s">
        <v>2726</v>
      </c>
      <c r="C11002" s="999"/>
      <c r="G11002" s="983" t="s">
        <v>1106</v>
      </c>
    </row>
    <row r="11003" spans="1:9" x14ac:dyDescent="0.2">
      <c r="A11003" s="997">
        <f t="shared" si="171"/>
        <v>11002</v>
      </c>
      <c r="B11003" s="983" t="s">
        <v>2726</v>
      </c>
      <c r="C11003" s="1000"/>
      <c r="H11003" s="983" t="s">
        <v>1107</v>
      </c>
    </row>
    <row r="11004" spans="1:9" x14ac:dyDescent="0.2">
      <c r="A11004" s="997">
        <f t="shared" si="171"/>
        <v>11003</v>
      </c>
      <c r="B11004" s="983" t="s">
        <v>2726</v>
      </c>
      <c r="C11004" s="1001"/>
      <c r="I11004" s="983" t="s">
        <v>2575</v>
      </c>
    </row>
    <row r="11005" spans="1:9" x14ac:dyDescent="0.2">
      <c r="A11005" s="997">
        <f t="shared" si="171"/>
        <v>11004</v>
      </c>
      <c r="B11005" s="983" t="s">
        <v>2726</v>
      </c>
      <c r="C11005" s="1000"/>
      <c r="H11005" s="983" t="s">
        <v>1108</v>
      </c>
    </row>
    <row r="11006" spans="1:9" x14ac:dyDescent="0.2">
      <c r="A11006" s="997">
        <f t="shared" si="171"/>
        <v>11005</v>
      </c>
      <c r="B11006" s="983" t="s">
        <v>2726</v>
      </c>
      <c r="C11006" s="1000"/>
      <c r="H11006" s="983" t="str">
        <f>CONCATENATE("&lt;valeur&gt;",Cellule_1871,"&lt;/valeur&gt;")</f>
        <v>&lt;valeur&gt;0&lt;/valeur&gt;</v>
      </c>
    </row>
    <row r="11007" spans="1:9" x14ac:dyDescent="0.2">
      <c r="A11007" s="997">
        <f t="shared" si="171"/>
        <v>11006</v>
      </c>
      <c r="B11007" s="983" t="s">
        <v>2726</v>
      </c>
      <c r="C11007" s="999"/>
      <c r="G11007" s="983" t="s">
        <v>1109</v>
      </c>
    </row>
    <row r="11008" spans="1:9" x14ac:dyDescent="0.2">
      <c r="A11008" s="997">
        <f t="shared" si="171"/>
        <v>11007</v>
      </c>
      <c r="B11008" s="983" t="s">
        <v>2726</v>
      </c>
      <c r="C11008" s="999"/>
      <c r="G11008" s="983" t="s">
        <v>1106</v>
      </c>
    </row>
    <row r="11009" spans="1:9" x14ac:dyDescent="0.2">
      <c r="A11009" s="997">
        <f t="shared" si="171"/>
        <v>11008</v>
      </c>
      <c r="B11009" s="983" t="s">
        <v>2726</v>
      </c>
      <c r="C11009" s="1000"/>
      <c r="H11009" s="983" t="s">
        <v>1107</v>
      </c>
    </row>
    <row r="11010" spans="1:9" x14ac:dyDescent="0.2">
      <c r="A11010" s="997">
        <f t="shared" si="171"/>
        <v>11009</v>
      </c>
      <c r="B11010" s="983" t="s">
        <v>2726</v>
      </c>
      <c r="C11010" s="1001"/>
      <c r="I11010" s="983" t="s">
        <v>2576</v>
      </c>
    </row>
    <row r="11011" spans="1:9" x14ac:dyDescent="0.2">
      <c r="A11011" s="997">
        <f t="shared" si="171"/>
        <v>11010</v>
      </c>
      <c r="B11011" s="983" t="s">
        <v>2726</v>
      </c>
      <c r="C11011" s="1000"/>
      <c r="H11011" s="983" t="s">
        <v>1108</v>
      </c>
    </row>
    <row r="11012" spans="1:9" x14ac:dyDescent="0.2">
      <c r="A11012" s="997">
        <f t="shared" ref="A11012:A11075" si="172">+A11011+1</f>
        <v>11011</v>
      </c>
      <c r="B11012" s="983" t="s">
        <v>2726</v>
      </c>
      <c r="C11012" s="1000"/>
      <c r="H11012" s="983" t="str">
        <f>CONCATENATE("&lt;valeur&gt;",Cellule_1888,"&lt;/valeur&gt;")</f>
        <v>&lt;valeur&gt;0&lt;/valeur&gt;</v>
      </c>
    </row>
    <row r="11013" spans="1:9" x14ac:dyDescent="0.2">
      <c r="A11013" s="997">
        <f t="shared" si="172"/>
        <v>11012</v>
      </c>
      <c r="B11013" s="983" t="s">
        <v>2726</v>
      </c>
      <c r="C11013" s="999"/>
      <c r="G11013" s="983" t="s">
        <v>1109</v>
      </c>
    </row>
    <row r="11014" spans="1:9" x14ac:dyDescent="0.2">
      <c r="A11014" s="997">
        <f t="shared" si="172"/>
        <v>11013</v>
      </c>
      <c r="B11014" s="983" t="s">
        <v>2726</v>
      </c>
      <c r="C11014" s="999"/>
      <c r="G11014" s="983" t="s">
        <v>1106</v>
      </c>
    </row>
    <row r="11015" spans="1:9" x14ac:dyDescent="0.2">
      <c r="A11015" s="997">
        <f t="shared" si="172"/>
        <v>11014</v>
      </c>
      <c r="B11015" s="983" t="s">
        <v>2726</v>
      </c>
      <c r="C11015" s="1000"/>
      <c r="H11015" s="983" t="s">
        <v>1107</v>
      </c>
    </row>
    <row r="11016" spans="1:9" x14ac:dyDescent="0.2">
      <c r="A11016" s="997">
        <f t="shared" si="172"/>
        <v>11015</v>
      </c>
      <c r="B11016" s="983" t="s">
        <v>2726</v>
      </c>
      <c r="C11016" s="1001"/>
      <c r="I11016" s="983" t="s">
        <v>2577</v>
      </c>
    </row>
    <row r="11017" spans="1:9" x14ac:dyDescent="0.2">
      <c r="A11017" s="997">
        <f t="shared" si="172"/>
        <v>11016</v>
      </c>
      <c r="B11017" s="983" t="s">
        <v>2726</v>
      </c>
      <c r="C11017" s="1000"/>
      <c r="H11017" s="983" t="s">
        <v>1108</v>
      </c>
    </row>
    <row r="11018" spans="1:9" x14ac:dyDescent="0.2">
      <c r="A11018" s="997">
        <f t="shared" si="172"/>
        <v>11017</v>
      </c>
      <c r="B11018" s="983" t="s">
        <v>2726</v>
      </c>
      <c r="C11018" s="1000"/>
      <c r="H11018" s="983" t="str">
        <f>CONCATENATE("&lt;valeur&gt;",Cellule_1404,"&lt;/valeur&gt;")</f>
        <v>&lt;valeur&gt;&lt;/valeur&gt;</v>
      </c>
    </row>
    <row r="11019" spans="1:9" x14ac:dyDescent="0.2">
      <c r="A11019" s="997">
        <f t="shared" si="172"/>
        <v>11018</v>
      </c>
      <c r="B11019" s="983" t="s">
        <v>2726</v>
      </c>
      <c r="C11019" s="999"/>
      <c r="G11019" s="983" t="s">
        <v>1109</v>
      </c>
    </row>
    <row r="11020" spans="1:9" x14ac:dyDescent="0.2">
      <c r="A11020" s="997">
        <f t="shared" si="172"/>
        <v>11019</v>
      </c>
      <c r="B11020" s="983" t="s">
        <v>2726</v>
      </c>
      <c r="C11020" s="999"/>
      <c r="G11020" s="983" t="s">
        <v>1106</v>
      </c>
    </row>
    <row r="11021" spans="1:9" x14ac:dyDescent="0.2">
      <c r="A11021" s="997">
        <f t="shared" si="172"/>
        <v>11020</v>
      </c>
      <c r="B11021" s="983" t="s">
        <v>2726</v>
      </c>
      <c r="C11021" s="1000"/>
      <c r="H11021" s="983" t="s">
        <v>1107</v>
      </c>
    </row>
    <row r="11022" spans="1:9" x14ac:dyDescent="0.2">
      <c r="A11022" s="997">
        <f t="shared" si="172"/>
        <v>11021</v>
      </c>
      <c r="B11022" s="983" t="s">
        <v>2726</v>
      </c>
      <c r="C11022" s="1001"/>
      <c r="I11022" s="983" t="s">
        <v>2578</v>
      </c>
    </row>
    <row r="11023" spans="1:9" x14ac:dyDescent="0.2">
      <c r="A11023" s="997">
        <f t="shared" si="172"/>
        <v>11022</v>
      </c>
      <c r="B11023" s="983" t="s">
        <v>2726</v>
      </c>
      <c r="C11023" s="1000"/>
      <c r="H11023" s="983" t="s">
        <v>1108</v>
      </c>
    </row>
    <row r="11024" spans="1:9" x14ac:dyDescent="0.2">
      <c r="A11024" s="997">
        <f t="shared" si="172"/>
        <v>11023</v>
      </c>
      <c r="B11024" s="983" t="s">
        <v>2726</v>
      </c>
      <c r="C11024" s="1000"/>
      <c r="H11024" s="983" t="str">
        <f>CONCATENATE("&lt;valeur&gt;",Cellule_1412,"&lt;/valeur&gt;")</f>
        <v>&lt;valeur&gt;&lt;/valeur&gt;</v>
      </c>
    </row>
    <row r="11025" spans="1:9" x14ac:dyDescent="0.2">
      <c r="A11025" s="997">
        <f t="shared" si="172"/>
        <v>11024</v>
      </c>
      <c r="B11025" s="983" t="s">
        <v>2726</v>
      </c>
      <c r="C11025" s="999"/>
      <c r="G11025" s="983" t="s">
        <v>1109</v>
      </c>
    </row>
    <row r="11026" spans="1:9" x14ac:dyDescent="0.2">
      <c r="A11026" s="997">
        <f t="shared" si="172"/>
        <v>11025</v>
      </c>
      <c r="B11026" s="983" t="s">
        <v>2726</v>
      </c>
      <c r="C11026" s="999"/>
      <c r="G11026" s="983" t="s">
        <v>1106</v>
      </c>
    </row>
    <row r="11027" spans="1:9" x14ac:dyDescent="0.2">
      <c r="A11027" s="997">
        <f t="shared" si="172"/>
        <v>11026</v>
      </c>
      <c r="B11027" s="983" t="s">
        <v>2726</v>
      </c>
      <c r="C11027" s="1000"/>
      <c r="H11027" s="983" t="s">
        <v>1107</v>
      </c>
    </row>
    <row r="11028" spans="1:9" x14ac:dyDescent="0.2">
      <c r="A11028" s="997">
        <f t="shared" si="172"/>
        <v>11027</v>
      </c>
      <c r="B11028" s="983" t="s">
        <v>2726</v>
      </c>
      <c r="C11028" s="1001"/>
      <c r="I11028" s="983" t="s">
        <v>2579</v>
      </c>
    </row>
    <row r="11029" spans="1:9" x14ac:dyDescent="0.2">
      <c r="A11029" s="997">
        <f t="shared" si="172"/>
        <v>11028</v>
      </c>
      <c r="B11029" s="983" t="s">
        <v>2726</v>
      </c>
      <c r="C11029" s="1000"/>
      <c r="H11029" s="983" t="s">
        <v>1108</v>
      </c>
    </row>
    <row r="11030" spans="1:9" x14ac:dyDescent="0.2">
      <c r="A11030" s="997">
        <f t="shared" si="172"/>
        <v>11029</v>
      </c>
      <c r="B11030" s="983" t="s">
        <v>2726</v>
      </c>
      <c r="C11030" s="1000"/>
      <c r="H11030" s="983" t="str">
        <f>CONCATENATE("&lt;valeur&gt;",Cellule_1420,"&lt;/valeur&gt;")</f>
        <v>&lt;valeur&gt;&lt;/valeur&gt;</v>
      </c>
    </row>
    <row r="11031" spans="1:9" x14ac:dyDescent="0.2">
      <c r="A11031" s="997">
        <f t="shared" si="172"/>
        <v>11030</v>
      </c>
      <c r="B11031" s="983" t="s">
        <v>2726</v>
      </c>
      <c r="C11031" s="999"/>
      <c r="G11031" s="983" t="s">
        <v>1109</v>
      </c>
    </row>
    <row r="11032" spans="1:9" x14ac:dyDescent="0.2">
      <c r="A11032" s="997">
        <f t="shared" si="172"/>
        <v>11031</v>
      </c>
      <c r="B11032" s="983" t="s">
        <v>2726</v>
      </c>
      <c r="C11032" s="999"/>
      <c r="G11032" s="983" t="s">
        <v>1106</v>
      </c>
    </row>
    <row r="11033" spans="1:9" x14ac:dyDescent="0.2">
      <c r="A11033" s="997">
        <f t="shared" si="172"/>
        <v>11032</v>
      </c>
      <c r="B11033" s="983" t="s">
        <v>2726</v>
      </c>
      <c r="C11033" s="1000"/>
      <c r="H11033" s="983" t="s">
        <v>1107</v>
      </c>
    </row>
    <row r="11034" spans="1:9" x14ac:dyDescent="0.2">
      <c r="A11034" s="997">
        <f t="shared" si="172"/>
        <v>11033</v>
      </c>
      <c r="B11034" s="983" t="s">
        <v>2726</v>
      </c>
      <c r="C11034" s="1001"/>
      <c r="I11034" s="983" t="s">
        <v>2580</v>
      </c>
    </row>
    <row r="11035" spans="1:9" x14ac:dyDescent="0.2">
      <c r="A11035" s="997">
        <f t="shared" si="172"/>
        <v>11034</v>
      </c>
      <c r="B11035" s="983" t="s">
        <v>2726</v>
      </c>
      <c r="C11035" s="1000"/>
      <c r="H11035" s="983" t="s">
        <v>1108</v>
      </c>
    </row>
    <row r="11036" spans="1:9" x14ac:dyDescent="0.2">
      <c r="A11036" s="997">
        <f t="shared" si="172"/>
        <v>11035</v>
      </c>
      <c r="B11036" s="983" t="s">
        <v>2726</v>
      </c>
      <c r="C11036" s="1000"/>
      <c r="H11036" s="983" t="str">
        <f>CONCATENATE("&lt;valeur&gt;",Cellule_1428,"&lt;/valeur&gt;")</f>
        <v>&lt;valeur&gt;0&lt;/valeur&gt;</v>
      </c>
    </row>
    <row r="11037" spans="1:9" x14ac:dyDescent="0.2">
      <c r="A11037" s="997">
        <f t="shared" si="172"/>
        <v>11036</v>
      </c>
      <c r="B11037" s="983" t="s">
        <v>2726</v>
      </c>
      <c r="C11037" s="999"/>
      <c r="G11037" s="983" t="s">
        <v>1109</v>
      </c>
    </row>
    <row r="11038" spans="1:9" x14ac:dyDescent="0.2">
      <c r="A11038" s="997">
        <f t="shared" si="172"/>
        <v>11037</v>
      </c>
      <c r="B11038" s="983" t="s">
        <v>2726</v>
      </c>
      <c r="C11038" s="999"/>
      <c r="G11038" s="983" t="s">
        <v>1106</v>
      </c>
    </row>
    <row r="11039" spans="1:9" x14ac:dyDescent="0.2">
      <c r="A11039" s="997">
        <f t="shared" si="172"/>
        <v>11038</v>
      </c>
      <c r="B11039" s="983" t="s">
        <v>2726</v>
      </c>
      <c r="C11039" s="1000"/>
      <c r="H11039" s="983" t="s">
        <v>1107</v>
      </c>
    </row>
    <row r="11040" spans="1:9" x14ac:dyDescent="0.2">
      <c r="A11040" s="997">
        <f t="shared" si="172"/>
        <v>11039</v>
      </c>
      <c r="B11040" s="983" t="s">
        <v>2726</v>
      </c>
      <c r="C11040" s="1001"/>
      <c r="I11040" s="983" t="s">
        <v>2581</v>
      </c>
    </row>
    <row r="11041" spans="1:9" x14ac:dyDescent="0.2">
      <c r="A11041" s="997">
        <f t="shared" si="172"/>
        <v>11040</v>
      </c>
      <c r="B11041" s="983" t="s">
        <v>2726</v>
      </c>
      <c r="C11041" s="1000"/>
      <c r="H11041" s="983" t="s">
        <v>1108</v>
      </c>
    </row>
    <row r="11042" spans="1:9" x14ac:dyDescent="0.2">
      <c r="A11042" s="997">
        <f t="shared" si="172"/>
        <v>11041</v>
      </c>
      <c r="B11042" s="983" t="s">
        <v>2726</v>
      </c>
      <c r="C11042" s="1000"/>
      <c r="H11042" s="983" t="str">
        <f>CONCATENATE("&lt;valeur&gt;",Cellule_1436,"&lt;/valeur&gt;")</f>
        <v>&lt;valeur&gt;0&lt;/valeur&gt;</v>
      </c>
    </row>
    <row r="11043" spans="1:9" x14ac:dyDescent="0.2">
      <c r="A11043" s="997">
        <f t="shared" si="172"/>
        <v>11042</v>
      </c>
      <c r="B11043" s="983" t="s">
        <v>2726</v>
      </c>
      <c r="C11043" s="999"/>
      <c r="G11043" s="983" t="s">
        <v>1109</v>
      </c>
    </row>
    <row r="11044" spans="1:9" x14ac:dyDescent="0.2">
      <c r="A11044" s="997">
        <f t="shared" si="172"/>
        <v>11043</v>
      </c>
      <c r="B11044" s="983" t="s">
        <v>2726</v>
      </c>
      <c r="C11044" s="999"/>
      <c r="G11044" s="983" t="s">
        <v>1106</v>
      </c>
    </row>
    <row r="11045" spans="1:9" x14ac:dyDescent="0.2">
      <c r="A11045" s="997">
        <f t="shared" si="172"/>
        <v>11044</v>
      </c>
      <c r="B11045" s="983" t="s">
        <v>2726</v>
      </c>
      <c r="C11045" s="1000"/>
      <c r="H11045" s="983" t="s">
        <v>1107</v>
      </c>
    </row>
    <row r="11046" spans="1:9" x14ac:dyDescent="0.2">
      <c r="A11046" s="997">
        <f t="shared" si="172"/>
        <v>11045</v>
      </c>
      <c r="B11046" s="983" t="s">
        <v>2726</v>
      </c>
      <c r="C11046" s="1001"/>
      <c r="I11046" s="983" t="s">
        <v>2582</v>
      </c>
    </row>
    <row r="11047" spans="1:9" x14ac:dyDescent="0.2">
      <c r="A11047" s="997">
        <f t="shared" si="172"/>
        <v>11046</v>
      </c>
      <c r="B11047" s="983" t="s">
        <v>2726</v>
      </c>
      <c r="C11047" s="1000"/>
      <c r="H11047" s="983" t="s">
        <v>1108</v>
      </c>
    </row>
    <row r="11048" spans="1:9" x14ac:dyDescent="0.2">
      <c r="A11048" s="997">
        <f t="shared" si="172"/>
        <v>11047</v>
      </c>
      <c r="B11048" s="983" t="s">
        <v>2726</v>
      </c>
      <c r="C11048" s="1000"/>
      <c r="H11048" s="983" t="str">
        <f>CONCATENATE("&lt;valeur&gt;",Cellule_1452,"&lt;/valeur&gt;")</f>
        <v>&lt;valeur&gt;&lt;/valeur&gt;</v>
      </c>
    </row>
    <row r="11049" spans="1:9" x14ac:dyDescent="0.2">
      <c r="A11049" s="997">
        <f t="shared" si="172"/>
        <v>11048</v>
      </c>
      <c r="B11049" s="983" t="s">
        <v>2726</v>
      </c>
      <c r="C11049" s="999"/>
      <c r="G11049" s="983" t="s">
        <v>1109</v>
      </c>
    </row>
    <row r="11050" spans="1:9" x14ac:dyDescent="0.2">
      <c r="A11050" s="997">
        <f t="shared" si="172"/>
        <v>11049</v>
      </c>
      <c r="B11050" s="983" t="s">
        <v>2726</v>
      </c>
      <c r="C11050" s="999"/>
      <c r="G11050" s="983" t="s">
        <v>1106</v>
      </c>
    </row>
    <row r="11051" spans="1:9" x14ac:dyDescent="0.2">
      <c r="A11051" s="997">
        <f t="shared" si="172"/>
        <v>11050</v>
      </c>
      <c r="B11051" s="983" t="s">
        <v>2726</v>
      </c>
      <c r="C11051" s="1000"/>
      <c r="H11051" s="983" t="s">
        <v>1107</v>
      </c>
    </row>
    <row r="11052" spans="1:9" x14ac:dyDescent="0.2">
      <c r="A11052" s="997">
        <f t="shared" si="172"/>
        <v>11051</v>
      </c>
      <c r="B11052" s="983" t="s">
        <v>2726</v>
      </c>
      <c r="C11052" s="1001"/>
      <c r="I11052" s="983" t="s">
        <v>2583</v>
      </c>
    </row>
    <row r="11053" spans="1:9" x14ac:dyDescent="0.2">
      <c r="A11053" s="997">
        <f t="shared" si="172"/>
        <v>11052</v>
      </c>
      <c r="B11053" s="983" t="s">
        <v>2726</v>
      </c>
      <c r="C11053" s="1000"/>
      <c r="H11053" s="983" t="s">
        <v>1108</v>
      </c>
    </row>
    <row r="11054" spans="1:9" x14ac:dyDescent="0.2">
      <c r="A11054" s="997">
        <f t="shared" si="172"/>
        <v>11053</v>
      </c>
      <c r="B11054" s="983" t="s">
        <v>2726</v>
      </c>
      <c r="C11054" s="1000"/>
      <c r="H11054" s="983" t="str">
        <f>CONCATENATE("&lt;valeur&gt;",Cellule_1460,"&lt;/valeur&gt;")</f>
        <v>&lt;valeur&gt;0&lt;/valeur&gt;</v>
      </c>
    </row>
    <row r="11055" spans="1:9" x14ac:dyDescent="0.2">
      <c r="A11055" s="997">
        <f t="shared" si="172"/>
        <v>11054</v>
      </c>
      <c r="B11055" s="983" t="s">
        <v>2726</v>
      </c>
      <c r="C11055" s="999"/>
      <c r="G11055" s="983" t="s">
        <v>1109</v>
      </c>
    </row>
    <row r="11056" spans="1:9" x14ac:dyDescent="0.2">
      <c r="A11056" s="997">
        <f t="shared" si="172"/>
        <v>11055</v>
      </c>
      <c r="B11056" s="983" t="s">
        <v>2726</v>
      </c>
      <c r="C11056" s="999"/>
      <c r="G11056" s="983" t="s">
        <v>1106</v>
      </c>
    </row>
    <row r="11057" spans="1:9" x14ac:dyDescent="0.2">
      <c r="A11057" s="997">
        <f t="shared" si="172"/>
        <v>11056</v>
      </c>
      <c r="B11057" s="983" t="s">
        <v>2726</v>
      </c>
      <c r="C11057" s="1000"/>
      <c r="H11057" s="983" t="s">
        <v>1107</v>
      </c>
    </row>
    <row r="11058" spans="1:9" x14ac:dyDescent="0.2">
      <c r="A11058" s="997">
        <f t="shared" si="172"/>
        <v>11057</v>
      </c>
      <c r="B11058" s="983" t="s">
        <v>2726</v>
      </c>
      <c r="C11058" s="1001"/>
      <c r="I11058" s="983" t="s">
        <v>2584</v>
      </c>
    </row>
    <row r="11059" spans="1:9" x14ac:dyDescent="0.2">
      <c r="A11059" s="997">
        <f t="shared" si="172"/>
        <v>11058</v>
      </c>
      <c r="B11059" s="983" t="s">
        <v>2726</v>
      </c>
      <c r="C11059" s="1000"/>
      <c r="H11059" s="983" t="s">
        <v>1108</v>
      </c>
    </row>
    <row r="11060" spans="1:9" x14ac:dyDescent="0.2">
      <c r="A11060" s="997">
        <f t="shared" si="172"/>
        <v>11059</v>
      </c>
      <c r="B11060" s="983" t="s">
        <v>2726</v>
      </c>
      <c r="C11060" s="1000"/>
      <c r="H11060" s="983" t="str">
        <f>CONCATENATE("&lt;valeur&gt;",Cellule_1468,"&lt;/valeur&gt;")</f>
        <v>&lt;valeur&gt;0&lt;/valeur&gt;</v>
      </c>
    </row>
    <row r="11061" spans="1:9" x14ac:dyDescent="0.2">
      <c r="A11061" s="997">
        <f t="shared" si="172"/>
        <v>11060</v>
      </c>
      <c r="B11061" s="983" t="s">
        <v>2726</v>
      </c>
      <c r="C11061" s="999"/>
      <c r="G11061" s="983" t="s">
        <v>1109</v>
      </c>
    </row>
    <row r="11062" spans="1:9" x14ac:dyDescent="0.2">
      <c r="A11062" s="997">
        <f t="shared" si="172"/>
        <v>11061</v>
      </c>
      <c r="B11062" s="983" t="s">
        <v>2726</v>
      </c>
      <c r="C11062" s="999"/>
      <c r="G11062" s="983" t="s">
        <v>1106</v>
      </c>
    </row>
    <row r="11063" spans="1:9" x14ac:dyDescent="0.2">
      <c r="A11063" s="997">
        <f t="shared" si="172"/>
        <v>11062</v>
      </c>
      <c r="B11063" s="983" t="s">
        <v>2726</v>
      </c>
      <c r="C11063" s="1000"/>
      <c r="H11063" s="983" t="s">
        <v>1107</v>
      </c>
    </row>
    <row r="11064" spans="1:9" x14ac:dyDescent="0.2">
      <c r="A11064" s="997">
        <f t="shared" si="172"/>
        <v>11063</v>
      </c>
      <c r="B11064" s="983" t="s">
        <v>2726</v>
      </c>
      <c r="C11064" s="1001"/>
      <c r="I11064" s="983" t="s">
        <v>2585</v>
      </c>
    </row>
    <row r="11065" spans="1:9" x14ac:dyDescent="0.2">
      <c r="A11065" s="997">
        <f t="shared" si="172"/>
        <v>11064</v>
      </c>
      <c r="B11065" s="983" t="s">
        <v>2726</v>
      </c>
      <c r="C11065" s="1000"/>
      <c r="H11065" s="983" t="s">
        <v>1108</v>
      </c>
    </row>
    <row r="11066" spans="1:9" x14ac:dyDescent="0.2">
      <c r="A11066" s="997">
        <f t="shared" si="172"/>
        <v>11065</v>
      </c>
      <c r="B11066" s="983" t="s">
        <v>2726</v>
      </c>
      <c r="C11066" s="1000"/>
      <c r="H11066" s="983" t="str">
        <f>CONCATENATE("&lt;valeur&gt;",Cellule_1476,"&lt;/valeur&gt;")</f>
        <v>&lt;valeur&gt;&lt;/valeur&gt;</v>
      </c>
    </row>
    <row r="11067" spans="1:9" x14ac:dyDescent="0.2">
      <c r="A11067" s="997">
        <f t="shared" si="172"/>
        <v>11066</v>
      </c>
      <c r="B11067" s="983" t="s">
        <v>2726</v>
      </c>
      <c r="C11067" s="999"/>
      <c r="G11067" s="983" t="s">
        <v>1109</v>
      </c>
    </row>
    <row r="11068" spans="1:9" x14ac:dyDescent="0.2">
      <c r="A11068" s="997">
        <f t="shared" si="172"/>
        <v>11067</v>
      </c>
      <c r="B11068" s="983" t="s">
        <v>2726</v>
      </c>
      <c r="C11068" s="999"/>
      <c r="G11068" s="983" t="s">
        <v>1106</v>
      </c>
    </row>
    <row r="11069" spans="1:9" x14ac:dyDescent="0.2">
      <c r="A11069" s="997">
        <f t="shared" si="172"/>
        <v>11068</v>
      </c>
      <c r="B11069" s="983" t="s">
        <v>2726</v>
      </c>
      <c r="C11069" s="1000"/>
      <c r="H11069" s="983" t="s">
        <v>1107</v>
      </c>
    </row>
    <row r="11070" spans="1:9" x14ac:dyDescent="0.2">
      <c r="A11070" s="997">
        <f t="shared" si="172"/>
        <v>11069</v>
      </c>
      <c r="B11070" s="983" t="s">
        <v>2726</v>
      </c>
      <c r="C11070" s="1001"/>
      <c r="I11070" s="983" t="s">
        <v>2586</v>
      </c>
    </row>
    <row r="11071" spans="1:9" x14ac:dyDescent="0.2">
      <c r="A11071" s="997">
        <f t="shared" si="172"/>
        <v>11070</v>
      </c>
      <c r="B11071" s="983" t="s">
        <v>2726</v>
      </c>
      <c r="C11071" s="1000"/>
      <c r="H11071" s="983" t="s">
        <v>1108</v>
      </c>
    </row>
    <row r="11072" spans="1:9" x14ac:dyDescent="0.2">
      <c r="A11072" s="997">
        <f t="shared" si="172"/>
        <v>11071</v>
      </c>
      <c r="B11072" s="983" t="s">
        <v>2726</v>
      </c>
      <c r="C11072" s="1000"/>
      <c r="H11072" s="983" t="str">
        <f>CONCATENATE("&lt;valeur&gt;",Cellule_1484,"&lt;/valeur&gt;")</f>
        <v>&lt;valeur&gt;&lt;/valeur&gt;</v>
      </c>
    </row>
    <row r="11073" spans="1:9" x14ac:dyDescent="0.2">
      <c r="A11073" s="997">
        <f t="shared" si="172"/>
        <v>11072</v>
      </c>
      <c r="B11073" s="983" t="s">
        <v>2726</v>
      </c>
      <c r="C11073" s="999"/>
      <c r="G11073" s="983" t="s">
        <v>1109</v>
      </c>
    </row>
    <row r="11074" spans="1:9" x14ac:dyDescent="0.2">
      <c r="A11074" s="997">
        <f t="shared" si="172"/>
        <v>11073</v>
      </c>
      <c r="B11074" s="983" t="s">
        <v>2726</v>
      </c>
      <c r="C11074" s="999"/>
      <c r="G11074" s="983" t="s">
        <v>1106</v>
      </c>
    </row>
    <row r="11075" spans="1:9" x14ac:dyDescent="0.2">
      <c r="A11075" s="997">
        <f t="shared" si="172"/>
        <v>11074</v>
      </c>
      <c r="B11075" s="983" t="s">
        <v>2726</v>
      </c>
      <c r="C11075" s="1000"/>
      <c r="H11075" s="983" t="s">
        <v>1107</v>
      </c>
    </row>
    <row r="11076" spans="1:9" x14ac:dyDescent="0.2">
      <c r="A11076" s="997">
        <f t="shared" ref="A11076:A11139" si="173">+A11075+1</f>
        <v>11075</v>
      </c>
      <c r="B11076" s="983" t="s">
        <v>2726</v>
      </c>
      <c r="C11076" s="1001"/>
      <c r="I11076" s="983" t="s">
        <v>2587</v>
      </c>
    </row>
    <row r="11077" spans="1:9" x14ac:dyDescent="0.2">
      <c r="A11077" s="997">
        <f t="shared" si="173"/>
        <v>11076</v>
      </c>
      <c r="B11077" s="983" t="s">
        <v>2726</v>
      </c>
      <c r="C11077" s="1000"/>
      <c r="H11077" s="983" t="s">
        <v>1108</v>
      </c>
    </row>
    <row r="11078" spans="1:9" x14ac:dyDescent="0.2">
      <c r="A11078" s="997">
        <f t="shared" si="173"/>
        <v>11077</v>
      </c>
      <c r="B11078" s="983" t="s">
        <v>2726</v>
      </c>
      <c r="C11078" s="1000"/>
      <c r="H11078" s="983" t="str">
        <f>CONCATENATE("&lt;valeur&gt;",Cellule_1558,"&lt;/valeur&gt;")</f>
        <v>&lt;valeur&gt;0&lt;/valeur&gt;</v>
      </c>
    </row>
    <row r="11079" spans="1:9" x14ac:dyDescent="0.2">
      <c r="A11079" s="997">
        <f t="shared" si="173"/>
        <v>11078</v>
      </c>
      <c r="B11079" s="983" t="s">
        <v>2726</v>
      </c>
      <c r="C11079" s="999"/>
      <c r="G11079" s="983" t="s">
        <v>1109</v>
      </c>
    </row>
    <row r="11080" spans="1:9" x14ac:dyDescent="0.2">
      <c r="A11080" s="997">
        <f t="shared" si="173"/>
        <v>11079</v>
      </c>
      <c r="B11080" s="983" t="s">
        <v>2726</v>
      </c>
      <c r="C11080" s="999"/>
      <c r="G11080" s="983" t="s">
        <v>1106</v>
      </c>
    </row>
    <row r="11081" spans="1:9" x14ac:dyDescent="0.2">
      <c r="A11081" s="997">
        <f t="shared" si="173"/>
        <v>11080</v>
      </c>
      <c r="B11081" s="983" t="s">
        <v>2726</v>
      </c>
      <c r="C11081" s="1000"/>
      <c r="H11081" s="983" t="s">
        <v>1107</v>
      </c>
    </row>
    <row r="11082" spans="1:9" x14ac:dyDescent="0.2">
      <c r="A11082" s="997">
        <f t="shared" si="173"/>
        <v>11081</v>
      </c>
      <c r="B11082" s="983" t="s">
        <v>2726</v>
      </c>
      <c r="C11082" s="1001"/>
      <c r="I11082" s="983" t="s">
        <v>2588</v>
      </c>
    </row>
    <row r="11083" spans="1:9" x14ac:dyDescent="0.2">
      <c r="A11083" s="997">
        <f t="shared" si="173"/>
        <v>11082</v>
      </c>
      <c r="B11083" s="983" t="s">
        <v>2726</v>
      </c>
      <c r="C11083" s="1000"/>
      <c r="H11083" s="983" t="s">
        <v>1108</v>
      </c>
    </row>
    <row r="11084" spans="1:9" x14ac:dyDescent="0.2">
      <c r="A11084" s="997">
        <f t="shared" si="173"/>
        <v>11083</v>
      </c>
      <c r="B11084" s="983" t="s">
        <v>2726</v>
      </c>
      <c r="C11084" s="1000"/>
      <c r="H11084" s="983" t="str">
        <f>CONCATENATE("&lt;valeur&gt;",Cellule_1599,"&lt;/valeur&gt;")</f>
        <v>&lt;valeur&gt;&lt;/valeur&gt;</v>
      </c>
    </row>
    <row r="11085" spans="1:9" x14ac:dyDescent="0.2">
      <c r="A11085" s="997">
        <f t="shared" si="173"/>
        <v>11084</v>
      </c>
      <c r="B11085" s="983" t="s">
        <v>2726</v>
      </c>
      <c r="C11085" s="999"/>
      <c r="G11085" s="983" t="s">
        <v>1109</v>
      </c>
    </row>
    <row r="11086" spans="1:9" x14ac:dyDescent="0.2">
      <c r="A11086" s="997">
        <f t="shared" si="173"/>
        <v>11085</v>
      </c>
      <c r="B11086" s="983" t="s">
        <v>2726</v>
      </c>
      <c r="C11086" s="999"/>
      <c r="G11086" s="983" t="s">
        <v>1106</v>
      </c>
    </row>
    <row r="11087" spans="1:9" x14ac:dyDescent="0.2">
      <c r="A11087" s="997">
        <f t="shared" si="173"/>
        <v>11086</v>
      </c>
      <c r="B11087" s="983" t="s">
        <v>2726</v>
      </c>
      <c r="C11087" s="1000"/>
      <c r="H11087" s="983" t="s">
        <v>1107</v>
      </c>
    </row>
    <row r="11088" spans="1:9" x14ac:dyDescent="0.2">
      <c r="A11088" s="997">
        <f t="shared" si="173"/>
        <v>11087</v>
      </c>
      <c r="B11088" s="983" t="s">
        <v>2726</v>
      </c>
      <c r="C11088" s="1001"/>
      <c r="I11088" s="983" t="s">
        <v>2589</v>
      </c>
    </row>
    <row r="11089" spans="1:9" x14ac:dyDescent="0.2">
      <c r="A11089" s="997">
        <f t="shared" si="173"/>
        <v>11088</v>
      </c>
      <c r="B11089" s="983" t="s">
        <v>2726</v>
      </c>
      <c r="C11089" s="1000"/>
      <c r="H11089" s="983" t="s">
        <v>1108</v>
      </c>
    </row>
    <row r="11090" spans="1:9" x14ac:dyDescent="0.2">
      <c r="A11090" s="997">
        <f t="shared" si="173"/>
        <v>11089</v>
      </c>
      <c r="B11090" s="983" t="s">
        <v>2726</v>
      </c>
      <c r="C11090" s="1000"/>
      <c r="H11090" s="983" t="str">
        <f>CONCATENATE("&lt;valeur&gt;",Cellule_1607,"&lt;/valeur&gt;")</f>
        <v>&lt;valeur&gt;0&lt;/valeur&gt;</v>
      </c>
    </row>
    <row r="11091" spans="1:9" x14ac:dyDescent="0.2">
      <c r="A11091" s="997">
        <f t="shared" si="173"/>
        <v>11090</v>
      </c>
      <c r="B11091" s="983" t="s">
        <v>2726</v>
      </c>
      <c r="C11091" s="999"/>
      <c r="G11091" s="983" t="s">
        <v>1109</v>
      </c>
    </row>
    <row r="11092" spans="1:9" x14ac:dyDescent="0.2">
      <c r="A11092" s="997">
        <f t="shared" si="173"/>
        <v>11091</v>
      </c>
      <c r="B11092" s="983" t="s">
        <v>2726</v>
      </c>
      <c r="C11092" s="999"/>
      <c r="G11092" s="983" t="s">
        <v>1106</v>
      </c>
    </row>
    <row r="11093" spans="1:9" x14ac:dyDescent="0.2">
      <c r="A11093" s="997">
        <f t="shared" si="173"/>
        <v>11092</v>
      </c>
      <c r="B11093" s="983" t="s">
        <v>2726</v>
      </c>
      <c r="C11093" s="1000"/>
      <c r="H11093" s="983" t="s">
        <v>1107</v>
      </c>
    </row>
    <row r="11094" spans="1:9" x14ac:dyDescent="0.2">
      <c r="A11094" s="997">
        <f t="shared" si="173"/>
        <v>11093</v>
      </c>
      <c r="B11094" s="983" t="s">
        <v>2726</v>
      </c>
      <c r="C11094" s="1001"/>
      <c r="I11094" s="983" t="s">
        <v>2590</v>
      </c>
    </row>
    <row r="11095" spans="1:9" x14ac:dyDescent="0.2">
      <c r="A11095" s="997">
        <f t="shared" si="173"/>
        <v>11094</v>
      </c>
      <c r="B11095" s="983" t="s">
        <v>2726</v>
      </c>
      <c r="C11095" s="1000"/>
      <c r="H11095" s="983" t="s">
        <v>1108</v>
      </c>
    </row>
    <row r="11096" spans="1:9" x14ac:dyDescent="0.2">
      <c r="A11096" s="997">
        <f t="shared" si="173"/>
        <v>11095</v>
      </c>
      <c r="B11096" s="983" t="s">
        <v>2726</v>
      </c>
      <c r="C11096" s="1000"/>
      <c r="H11096" s="983" t="str">
        <f>CONCATENATE("&lt;valeur&gt;",Cellule_1615,"&lt;/valeur&gt;")</f>
        <v>&lt;valeur&gt;0&lt;/valeur&gt;</v>
      </c>
    </row>
    <row r="11097" spans="1:9" x14ac:dyDescent="0.2">
      <c r="A11097" s="997">
        <f t="shared" si="173"/>
        <v>11096</v>
      </c>
      <c r="B11097" s="983" t="s">
        <v>2726</v>
      </c>
      <c r="C11097" s="999"/>
      <c r="G11097" s="983" t="s">
        <v>1109</v>
      </c>
    </row>
    <row r="11098" spans="1:9" x14ac:dyDescent="0.2">
      <c r="A11098" s="997">
        <f t="shared" si="173"/>
        <v>11097</v>
      </c>
      <c r="B11098" s="983" t="s">
        <v>2726</v>
      </c>
      <c r="C11098" s="999"/>
      <c r="G11098" s="983" t="s">
        <v>1106</v>
      </c>
    </row>
    <row r="11099" spans="1:9" x14ac:dyDescent="0.2">
      <c r="A11099" s="997">
        <f t="shared" si="173"/>
        <v>11098</v>
      </c>
      <c r="B11099" s="983" t="s">
        <v>2726</v>
      </c>
      <c r="C11099" s="1000"/>
      <c r="H11099" s="983" t="s">
        <v>1107</v>
      </c>
    </row>
    <row r="11100" spans="1:9" x14ac:dyDescent="0.2">
      <c r="A11100" s="997">
        <f t="shared" si="173"/>
        <v>11099</v>
      </c>
      <c r="B11100" s="983" t="s">
        <v>2726</v>
      </c>
      <c r="C11100" s="1001"/>
      <c r="I11100" s="983" t="s">
        <v>2591</v>
      </c>
    </row>
    <row r="11101" spans="1:9" x14ac:dyDescent="0.2">
      <c r="A11101" s="997">
        <f t="shared" si="173"/>
        <v>11100</v>
      </c>
      <c r="B11101" s="983" t="s">
        <v>2726</v>
      </c>
      <c r="C11101" s="1000"/>
      <c r="H11101" s="983" t="s">
        <v>1108</v>
      </c>
    </row>
    <row r="11102" spans="1:9" x14ac:dyDescent="0.2">
      <c r="A11102" s="997">
        <f t="shared" si="173"/>
        <v>11101</v>
      </c>
      <c r="B11102" s="983" t="s">
        <v>2726</v>
      </c>
      <c r="C11102" s="1000"/>
      <c r="H11102" s="983" t="str">
        <f>CONCATENATE("&lt;valeur&gt;",Cellule_1638,"&lt;/valeur&gt;")</f>
        <v>&lt;valeur&gt;&lt;/valeur&gt;</v>
      </c>
    </row>
    <row r="11103" spans="1:9" x14ac:dyDescent="0.2">
      <c r="A11103" s="997">
        <f t="shared" si="173"/>
        <v>11102</v>
      </c>
      <c r="B11103" s="983" t="s">
        <v>2726</v>
      </c>
      <c r="C11103" s="999"/>
      <c r="G11103" s="983" t="s">
        <v>1109</v>
      </c>
    </row>
    <row r="11104" spans="1:9" x14ac:dyDescent="0.2">
      <c r="A11104" s="997">
        <f t="shared" si="173"/>
        <v>11103</v>
      </c>
      <c r="B11104" s="983" t="s">
        <v>2726</v>
      </c>
      <c r="C11104" s="999"/>
      <c r="G11104" s="983" t="s">
        <v>1106</v>
      </c>
    </row>
    <row r="11105" spans="1:9" x14ac:dyDescent="0.2">
      <c r="A11105" s="997">
        <f t="shared" si="173"/>
        <v>11104</v>
      </c>
      <c r="B11105" s="983" t="s">
        <v>2726</v>
      </c>
      <c r="C11105" s="1000"/>
      <c r="H11105" s="983" t="s">
        <v>1107</v>
      </c>
    </row>
    <row r="11106" spans="1:9" x14ac:dyDescent="0.2">
      <c r="A11106" s="997">
        <f t="shared" si="173"/>
        <v>11105</v>
      </c>
      <c r="B11106" s="983" t="s">
        <v>2726</v>
      </c>
      <c r="C11106" s="1001"/>
      <c r="I11106" s="983" t="s">
        <v>2592</v>
      </c>
    </row>
    <row r="11107" spans="1:9" x14ac:dyDescent="0.2">
      <c r="A11107" s="997">
        <f t="shared" si="173"/>
        <v>11106</v>
      </c>
      <c r="B11107" s="983" t="s">
        <v>2726</v>
      </c>
      <c r="C11107" s="1000"/>
      <c r="H11107" s="983" t="s">
        <v>1108</v>
      </c>
    </row>
    <row r="11108" spans="1:9" x14ac:dyDescent="0.2">
      <c r="A11108" s="997">
        <f t="shared" si="173"/>
        <v>11107</v>
      </c>
      <c r="B11108" s="983" t="s">
        <v>2726</v>
      </c>
      <c r="C11108" s="1000"/>
      <c r="H11108" s="983" t="str">
        <f>CONCATENATE("&lt;valeur&gt;",Cellule_1646,"&lt;/valeur&gt;")</f>
        <v>&lt;valeur&gt;0&lt;/valeur&gt;</v>
      </c>
    </row>
    <row r="11109" spans="1:9" x14ac:dyDescent="0.2">
      <c r="A11109" s="997">
        <f t="shared" si="173"/>
        <v>11108</v>
      </c>
      <c r="B11109" s="983" t="s">
        <v>2726</v>
      </c>
      <c r="C11109" s="999"/>
      <c r="G11109" s="983" t="s">
        <v>1109</v>
      </c>
    </row>
    <row r="11110" spans="1:9" x14ac:dyDescent="0.2">
      <c r="A11110" s="997">
        <f t="shared" si="173"/>
        <v>11109</v>
      </c>
      <c r="B11110" s="983" t="s">
        <v>2726</v>
      </c>
      <c r="C11110" s="999"/>
      <c r="G11110" s="983" t="s">
        <v>1106</v>
      </c>
    </row>
    <row r="11111" spans="1:9" x14ac:dyDescent="0.2">
      <c r="A11111" s="997">
        <f t="shared" si="173"/>
        <v>11110</v>
      </c>
      <c r="B11111" s="983" t="s">
        <v>2726</v>
      </c>
      <c r="C11111" s="1000"/>
      <c r="H11111" s="983" t="s">
        <v>1107</v>
      </c>
    </row>
    <row r="11112" spans="1:9" x14ac:dyDescent="0.2">
      <c r="A11112" s="997">
        <f t="shared" si="173"/>
        <v>11111</v>
      </c>
      <c r="B11112" s="983" t="s">
        <v>2726</v>
      </c>
      <c r="C11112" s="1001"/>
      <c r="I11112" s="983" t="s">
        <v>2593</v>
      </c>
    </row>
    <row r="11113" spans="1:9" x14ac:dyDescent="0.2">
      <c r="A11113" s="997">
        <f t="shared" si="173"/>
        <v>11112</v>
      </c>
      <c r="B11113" s="983" t="s">
        <v>2726</v>
      </c>
      <c r="C11113" s="1000"/>
      <c r="H11113" s="983" t="s">
        <v>1108</v>
      </c>
    </row>
    <row r="11114" spans="1:9" x14ac:dyDescent="0.2">
      <c r="A11114" s="997">
        <f t="shared" si="173"/>
        <v>11113</v>
      </c>
      <c r="B11114" s="983" t="s">
        <v>2726</v>
      </c>
      <c r="C11114" s="1000"/>
      <c r="H11114" s="983" t="str">
        <f>CONCATENATE("&lt;valeur&gt;",Cellule_1659,"&lt;/valeur&gt;")</f>
        <v>&lt;valeur&gt;0&lt;/valeur&gt;</v>
      </c>
    </row>
    <row r="11115" spans="1:9" x14ac:dyDescent="0.2">
      <c r="A11115" s="997">
        <f t="shared" si="173"/>
        <v>11114</v>
      </c>
      <c r="B11115" s="983" t="s">
        <v>2726</v>
      </c>
      <c r="C11115" s="999"/>
      <c r="G11115" s="983" t="s">
        <v>1109</v>
      </c>
    </row>
    <row r="11116" spans="1:9" x14ac:dyDescent="0.2">
      <c r="A11116" s="997">
        <f t="shared" si="173"/>
        <v>11115</v>
      </c>
      <c r="B11116" s="983" t="s">
        <v>2726</v>
      </c>
      <c r="C11116" s="999"/>
      <c r="G11116" s="983" t="s">
        <v>1106</v>
      </c>
    </row>
    <row r="11117" spans="1:9" x14ac:dyDescent="0.2">
      <c r="A11117" s="997">
        <f t="shared" si="173"/>
        <v>11116</v>
      </c>
      <c r="B11117" s="983" t="s">
        <v>2726</v>
      </c>
      <c r="C11117" s="1000"/>
      <c r="H11117" s="983" t="s">
        <v>1107</v>
      </c>
    </row>
    <row r="11118" spans="1:9" x14ac:dyDescent="0.2">
      <c r="A11118" s="997">
        <f t="shared" si="173"/>
        <v>11117</v>
      </c>
      <c r="B11118" s="983" t="s">
        <v>2726</v>
      </c>
      <c r="C11118" s="1001"/>
      <c r="I11118" s="983" t="s">
        <v>2594</v>
      </c>
    </row>
    <row r="11119" spans="1:9" x14ac:dyDescent="0.2">
      <c r="A11119" s="997">
        <f t="shared" si="173"/>
        <v>11118</v>
      </c>
      <c r="B11119" s="983" t="s">
        <v>2726</v>
      </c>
      <c r="C11119" s="1000"/>
      <c r="H11119" s="983" t="s">
        <v>1108</v>
      </c>
    </row>
    <row r="11120" spans="1:9" x14ac:dyDescent="0.2">
      <c r="A11120" s="997">
        <f t="shared" si="173"/>
        <v>11119</v>
      </c>
      <c r="B11120" s="983" t="s">
        <v>2726</v>
      </c>
      <c r="C11120" s="1000"/>
      <c r="H11120" s="983" t="str">
        <f>CONCATENATE("&lt;valeur&gt;",Cellule_1667,"&lt;/valeur&gt;")</f>
        <v>&lt;valeur&gt;0&lt;/valeur&gt;</v>
      </c>
    </row>
    <row r="11121" spans="1:9" x14ac:dyDescent="0.2">
      <c r="A11121" s="997">
        <f t="shared" si="173"/>
        <v>11120</v>
      </c>
      <c r="B11121" s="983" t="s">
        <v>2726</v>
      </c>
      <c r="C11121" s="999"/>
      <c r="G11121" s="983" t="s">
        <v>1109</v>
      </c>
    </row>
    <row r="11122" spans="1:9" x14ac:dyDescent="0.2">
      <c r="A11122" s="997">
        <f t="shared" si="173"/>
        <v>11121</v>
      </c>
      <c r="B11122" s="983" t="s">
        <v>2726</v>
      </c>
      <c r="C11122" s="999"/>
      <c r="G11122" s="983" t="s">
        <v>1106</v>
      </c>
    </row>
    <row r="11123" spans="1:9" x14ac:dyDescent="0.2">
      <c r="A11123" s="997">
        <f t="shared" si="173"/>
        <v>11122</v>
      </c>
      <c r="B11123" s="983" t="s">
        <v>2726</v>
      </c>
      <c r="C11123" s="1000"/>
      <c r="H11123" s="983" t="s">
        <v>1107</v>
      </c>
    </row>
    <row r="11124" spans="1:9" x14ac:dyDescent="0.2">
      <c r="A11124" s="997">
        <f t="shared" si="173"/>
        <v>11123</v>
      </c>
      <c r="B11124" s="983" t="s">
        <v>2726</v>
      </c>
      <c r="C11124" s="1001"/>
      <c r="I11124" s="983" t="s">
        <v>2595</v>
      </c>
    </row>
    <row r="11125" spans="1:9" x14ac:dyDescent="0.2">
      <c r="A11125" s="997">
        <f t="shared" si="173"/>
        <v>11124</v>
      </c>
      <c r="B11125" s="983" t="s">
        <v>2726</v>
      </c>
      <c r="C11125" s="1000"/>
      <c r="H11125" s="983" t="s">
        <v>1108</v>
      </c>
    </row>
    <row r="11126" spans="1:9" x14ac:dyDescent="0.2">
      <c r="A11126" s="997">
        <f t="shared" si="173"/>
        <v>11125</v>
      </c>
      <c r="B11126" s="983" t="s">
        <v>2726</v>
      </c>
      <c r="C11126" s="1000"/>
      <c r="H11126" s="983" t="str">
        <f>CONCATENATE("&lt;valeur&gt;",Cellule_1675,"&lt;/valeur&gt;")</f>
        <v>&lt;valeur&gt;0&lt;/valeur&gt;</v>
      </c>
    </row>
    <row r="11127" spans="1:9" x14ac:dyDescent="0.2">
      <c r="A11127" s="997">
        <f t="shared" si="173"/>
        <v>11126</v>
      </c>
      <c r="B11127" s="983" t="s">
        <v>2726</v>
      </c>
      <c r="C11127" s="999"/>
      <c r="G11127" s="983" t="s">
        <v>1109</v>
      </c>
    </row>
    <row r="11128" spans="1:9" x14ac:dyDescent="0.2">
      <c r="A11128" s="997">
        <f t="shared" si="173"/>
        <v>11127</v>
      </c>
      <c r="B11128" s="983" t="s">
        <v>2726</v>
      </c>
      <c r="C11128" s="999"/>
      <c r="G11128" s="983" t="s">
        <v>1106</v>
      </c>
    </row>
    <row r="11129" spans="1:9" x14ac:dyDescent="0.2">
      <c r="A11129" s="997">
        <f t="shared" si="173"/>
        <v>11128</v>
      </c>
      <c r="B11129" s="983" t="s">
        <v>2726</v>
      </c>
      <c r="C11129" s="1000"/>
      <c r="H11129" s="983" t="s">
        <v>1107</v>
      </c>
    </row>
    <row r="11130" spans="1:9" x14ac:dyDescent="0.2">
      <c r="A11130" s="997">
        <f t="shared" si="173"/>
        <v>11129</v>
      </c>
      <c r="B11130" s="983" t="s">
        <v>2726</v>
      </c>
      <c r="C11130" s="1001"/>
      <c r="I11130" s="983" t="s">
        <v>2596</v>
      </c>
    </row>
    <row r="11131" spans="1:9" x14ac:dyDescent="0.2">
      <c r="A11131" s="997">
        <f t="shared" si="173"/>
        <v>11130</v>
      </c>
      <c r="B11131" s="983" t="s">
        <v>2726</v>
      </c>
      <c r="C11131" s="1000"/>
      <c r="H11131" s="983" t="s">
        <v>1108</v>
      </c>
    </row>
    <row r="11132" spans="1:9" x14ac:dyDescent="0.2">
      <c r="A11132" s="997">
        <f t="shared" si="173"/>
        <v>11131</v>
      </c>
      <c r="B11132" s="983" t="s">
        <v>2726</v>
      </c>
      <c r="C11132" s="1000"/>
      <c r="H11132" s="983" t="str">
        <f>CONCATENATE("&lt;valeur&gt;",Cellule_1688,"&lt;/valeur&gt;")</f>
        <v>&lt;valeur&gt;0&lt;/valeur&gt;</v>
      </c>
    </row>
    <row r="11133" spans="1:9" x14ac:dyDescent="0.2">
      <c r="A11133" s="997">
        <f t="shared" si="173"/>
        <v>11132</v>
      </c>
      <c r="B11133" s="983" t="s">
        <v>2726</v>
      </c>
      <c r="C11133" s="999"/>
      <c r="G11133" s="983" t="s">
        <v>1109</v>
      </c>
    </row>
    <row r="11134" spans="1:9" x14ac:dyDescent="0.2">
      <c r="A11134" s="997">
        <f t="shared" si="173"/>
        <v>11133</v>
      </c>
      <c r="B11134" s="983" t="s">
        <v>2726</v>
      </c>
      <c r="C11134" s="999"/>
      <c r="G11134" s="983" t="s">
        <v>1106</v>
      </c>
    </row>
    <row r="11135" spans="1:9" x14ac:dyDescent="0.2">
      <c r="A11135" s="997">
        <f t="shared" si="173"/>
        <v>11134</v>
      </c>
      <c r="B11135" s="983" t="s">
        <v>2726</v>
      </c>
      <c r="C11135" s="1000"/>
      <c r="H11135" s="983" t="s">
        <v>1107</v>
      </c>
    </row>
    <row r="11136" spans="1:9" x14ac:dyDescent="0.2">
      <c r="A11136" s="997">
        <f t="shared" si="173"/>
        <v>11135</v>
      </c>
      <c r="B11136" s="983" t="s">
        <v>2726</v>
      </c>
      <c r="C11136" s="1001"/>
      <c r="I11136" s="983" t="s">
        <v>2597</v>
      </c>
    </row>
    <row r="11137" spans="1:9" x14ac:dyDescent="0.2">
      <c r="A11137" s="997">
        <f t="shared" si="173"/>
        <v>11136</v>
      </c>
      <c r="B11137" s="983" t="s">
        <v>2726</v>
      </c>
      <c r="C11137" s="1000"/>
      <c r="H11137" s="983" t="s">
        <v>1108</v>
      </c>
    </row>
    <row r="11138" spans="1:9" x14ac:dyDescent="0.2">
      <c r="A11138" s="997">
        <f t="shared" si="173"/>
        <v>11137</v>
      </c>
      <c r="B11138" s="983" t="s">
        <v>2726</v>
      </c>
      <c r="C11138" s="1000"/>
      <c r="H11138" s="983" t="str">
        <f>CONCATENATE("&lt;valeur&gt;",Cellule_1739,"&lt;/valeur&gt;")</f>
        <v>&lt;valeur&gt;&lt;/valeur&gt;</v>
      </c>
    </row>
    <row r="11139" spans="1:9" x14ac:dyDescent="0.2">
      <c r="A11139" s="997">
        <f t="shared" si="173"/>
        <v>11138</v>
      </c>
      <c r="B11139" s="983" t="s">
        <v>2726</v>
      </c>
      <c r="C11139" s="999"/>
      <c r="G11139" s="983" t="s">
        <v>1109</v>
      </c>
    </row>
    <row r="11140" spans="1:9" x14ac:dyDescent="0.2">
      <c r="A11140" s="997">
        <f t="shared" ref="A11140:A11203" si="174">+A11139+1</f>
        <v>11139</v>
      </c>
      <c r="B11140" s="983" t="s">
        <v>2726</v>
      </c>
      <c r="C11140" s="999"/>
      <c r="G11140" s="983" t="s">
        <v>1106</v>
      </c>
    </row>
    <row r="11141" spans="1:9" x14ac:dyDescent="0.2">
      <c r="A11141" s="997">
        <f t="shared" si="174"/>
        <v>11140</v>
      </c>
      <c r="B11141" s="983" t="s">
        <v>2726</v>
      </c>
      <c r="C11141" s="1000"/>
      <c r="H11141" s="983" t="s">
        <v>1107</v>
      </c>
    </row>
    <row r="11142" spans="1:9" x14ac:dyDescent="0.2">
      <c r="A11142" s="997">
        <f t="shared" si="174"/>
        <v>11141</v>
      </c>
      <c r="B11142" s="983" t="s">
        <v>2726</v>
      </c>
      <c r="C11142" s="1001"/>
      <c r="I11142" s="983" t="s">
        <v>2598</v>
      </c>
    </row>
    <row r="11143" spans="1:9" x14ac:dyDescent="0.2">
      <c r="A11143" s="997">
        <f t="shared" si="174"/>
        <v>11142</v>
      </c>
      <c r="B11143" s="983" t="s">
        <v>2726</v>
      </c>
      <c r="C11143" s="1000"/>
      <c r="H11143" s="983" t="s">
        <v>1108</v>
      </c>
    </row>
    <row r="11144" spans="1:9" x14ac:dyDescent="0.2">
      <c r="A11144" s="997">
        <f t="shared" si="174"/>
        <v>11143</v>
      </c>
      <c r="B11144" s="983" t="s">
        <v>2726</v>
      </c>
      <c r="C11144" s="1000"/>
      <c r="H11144" s="983" t="str">
        <f>CONCATENATE("&lt;valeur&gt;",Cellule_1760,"&lt;/valeur&gt;")</f>
        <v>&lt;valeur&gt;0&lt;/valeur&gt;</v>
      </c>
    </row>
    <row r="11145" spans="1:9" x14ac:dyDescent="0.2">
      <c r="A11145" s="997">
        <f t="shared" si="174"/>
        <v>11144</v>
      </c>
      <c r="B11145" s="983" t="s">
        <v>2726</v>
      </c>
      <c r="C11145" s="999"/>
      <c r="G11145" s="983" t="s">
        <v>1109</v>
      </c>
    </row>
    <row r="11146" spans="1:9" x14ac:dyDescent="0.2">
      <c r="A11146" s="997">
        <f t="shared" si="174"/>
        <v>11145</v>
      </c>
      <c r="B11146" s="983" t="s">
        <v>2726</v>
      </c>
      <c r="C11146" s="999"/>
      <c r="G11146" s="983" t="s">
        <v>1106</v>
      </c>
    </row>
    <row r="11147" spans="1:9" x14ac:dyDescent="0.2">
      <c r="A11147" s="997">
        <f t="shared" si="174"/>
        <v>11146</v>
      </c>
      <c r="B11147" s="983" t="s">
        <v>2726</v>
      </c>
      <c r="C11147" s="1000"/>
      <c r="H11147" s="983" t="s">
        <v>1107</v>
      </c>
    </row>
    <row r="11148" spans="1:9" x14ac:dyDescent="0.2">
      <c r="A11148" s="997">
        <f t="shared" si="174"/>
        <v>11147</v>
      </c>
      <c r="B11148" s="983" t="s">
        <v>2726</v>
      </c>
      <c r="C11148" s="1001"/>
      <c r="I11148" s="983" t="s">
        <v>2599</v>
      </c>
    </row>
    <row r="11149" spans="1:9" x14ac:dyDescent="0.2">
      <c r="A11149" s="997">
        <f t="shared" si="174"/>
        <v>11148</v>
      </c>
      <c r="B11149" s="983" t="s">
        <v>2726</v>
      </c>
      <c r="C11149" s="1000"/>
      <c r="H11149" s="983" t="s">
        <v>1108</v>
      </c>
    </row>
    <row r="11150" spans="1:9" x14ac:dyDescent="0.2">
      <c r="A11150" s="997">
        <f t="shared" si="174"/>
        <v>11149</v>
      </c>
      <c r="B11150" s="983" t="s">
        <v>2726</v>
      </c>
      <c r="C11150" s="1000"/>
      <c r="H11150" s="983" t="str">
        <f>CONCATENATE("&lt;valeur&gt;",Cellule_1772,"&lt;/valeur&gt;")</f>
        <v>&lt;valeur&gt;&lt;/valeur&gt;</v>
      </c>
    </row>
    <row r="11151" spans="1:9" x14ac:dyDescent="0.2">
      <c r="A11151" s="997">
        <f t="shared" si="174"/>
        <v>11150</v>
      </c>
      <c r="B11151" s="983" t="s">
        <v>2726</v>
      </c>
      <c r="C11151" s="999"/>
      <c r="G11151" s="983" t="s">
        <v>1109</v>
      </c>
    </row>
    <row r="11152" spans="1:9" x14ac:dyDescent="0.2">
      <c r="A11152" s="997">
        <f t="shared" si="174"/>
        <v>11151</v>
      </c>
      <c r="B11152" s="983" t="s">
        <v>2726</v>
      </c>
      <c r="C11152" s="999"/>
      <c r="G11152" s="983" t="s">
        <v>1106</v>
      </c>
    </row>
    <row r="11153" spans="1:9" x14ac:dyDescent="0.2">
      <c r="A11153" s="997">
        <f t="shared" si="174"/>
        <v>11152</v>
      </c>
      <c r="B11153" s="983" t="s">
        <v>2726</v>
      </c>
      <c r="C11153" s="1000"/>
      <c r="H11153" s="983" t="s">
        <v>1107</v>
      </c>
    </row>
    <row r="11154" spans="1:9" x14ac:dyDescent="0.2">
      <c r="A11154" s="997">
        <f t="shared" si="174"/>
        <v>11153</v>
      </c>
      <c r="B11154" s="983" t="s">
        <v>2726</v>
      </c>
      <c r="C11154" s="1001"/>
      <c r="I11154" s="983" t="s">
        <v>2600</v>
      </c>
    </row>
    <row r="11155" spans="1:9" x14ac:dyDescent="0.2">
      <c r="A11155" s="997">
        <f t="shared" si="174"/>
        <v>11154</v>
      </c>
      <c r="B11155" s="983" t="s">
        <v>2726</v>
      </c>
      <c r="C11155" s="1000"/>
      <c r="H11155" s="983" t="s">
        <v>1108</v>
      </c>
    </row>
    <row r="11156" spans="1:9" x14ac:dyDescent="0.2">
      <c r="A11156" s="997">
        <f t="shared" si="174"/>
        <v>11155</v>
      </c>
      <c r="B11156" s="983" t="s">
        <v>2726</v>
      </c>
      <c r="C11156" s="1000"/>
      <c r="H11156" s="983" t="str">
        <f>CONCATENATE("&lt;valeur&gt;",Cellule_1803,"&lt;/valeur&gt;")</f>
        <v>&lt;valeur&gt;0&lt;/valeur&gt;</v>
      </c>
    </row>
    <row r="11157" spans="1:9" x14ac:dyDescent="0.2">
      <c r="A11157" s="997">
        <f t="shared" si="174"/>
        <v>11156</v>
      </c>
      <c r="B11157" s="983" t="s">
        <v>2726</v>
      </c>
      <c r="C11157" s="999"/>
      <c r="G11157" s="983" t="s">
        <v>1109</v>
      </c>
    </row>
    <row r="11158" spans="1:9" x14ac:dyDescent="0.2">
      <c r="A11158" s="997">
        <f t="shared" si="174"/>
        <v>11157</v>
      </c>
      <c r="B11158" s="983" t="s">
        <v>2726</v>
      </c>
      <c r="C11158" s="999"/>
      <c r="G11158" s="983" t="s">
        <v>1106</v>
      </c>
    </row>
    <row r="11159" spans="1:9" x14ac:dyDescent="0.2">
      <c r="A11159" s="997">
        <f t="shared" si="174"/>
        <v>11158</v>
      </c>
      <c r="B11159" s="983" t="s">
        <v>2726</v>
      </c>
      <c r="C11159" s="1000"/>
      <c r="H11159" s="983" t="s">
        <v>1107</v>
      </c>
    </row>
    <row r="11160" spans="1:9" x14ac:dyDescent="0.2">
      <c r="A11160" s="997">
        <f t="shared" si="174"/>
        <v>11159</v>
      </c>
      <c r="B11160" s="983" t="s">
        <v>2726</v>
      </c>
      <c r="C11160" s="1001"/>
      <c r="I11160" s="983" t="s">
        <v>2601</v>
      </c>
    </row>
    <row r="11161" spans="1:9" x14ac:dyDescent="0.2">
      <c r="A11161" s="997">
        <f t="shared" si="174"/>
        <v>11160</v>
      </c>
      <c r="B11161" s="983" t="s">
        <v>2726</v>
      </c>
      <c r="C11161" s="1000"/>
      <c r="H11161" s="983" t="s">
        <v>1108</v>
      </c>
    </row>
    <row r="11162" spans="1:9" x14ac:dyDescent="0.2">
      <c r="A11162" s="997">
        <f t="shared" si="174"/>
        <v>11161</v>
      </c>
      <c r="B11162" s="983" t="s">
        <v>2726</v>
      </c>
      <c r="C11162" s="1000"/>
      <c r="H11162" s="983" t="str">
        <f>CONCATENATE("&lt;valeur&gt;",Cellule_1822,"&lt;/valeur&gt;")</f>
        <v>&lt;valeur&gt;&lt;/valeur&gt;</v>
      </c>
    </row>
    <row r="11163" spans="1:9" x14ac:dyDescent="0.2">
      <c r="A11163" s="997">
        <f t="shared" si="174"/>
        <v>11162</v>
      </c>
      <c r="B11163" s="983" t="s">
        <v>2726</v>
      </c>
      <c r="C11163" s="999"/>
      <c r="G11163" s="983" t="s">
        <v>1109</v>
      </c>
    </row>
    <row r="11164" spans="1:9" x14ac:dyDescent="0.2">
      <c r="A11164" s="997">
        <f t="shared" si="174"/>
        <v>11163</v>
      </c>
      <c r="B11164" s="983" t="s">
        <v>2726</v>
      </c>
      <c r="C11164" s="999"/>
      <c r="G11164" s="983" t="s">
        <v>1106</v>
      </c>
    </row>
    <row r="11165" spans="1:9" x14ac:dyDescent="0.2">
      <c r="A11165" s="997">
        <f t="shared" si="174"/>
        <v>11164</v>
      </c>
      <c r="B11165" s="983" t="s">
        <v>2726</v>
      </c>
      <c r="C11165" s="1000"/>
      <c r="H11165" s="983" t="s">
        <v>1107</v>
      </c>
    </row>
    <row r="11166" spans="1:9" x14ac:dyDescent="0.2">
      <c r="A11166" s="997">
        <f t="shared" si="174"/>
        <v>11165</v>
      </c>
      <c r="B11166" s="983" t="s">
        <v>2726</v>
      </c>
      <c r="C11166" s="1001"/>
      <c r="I11166" s="983" t="s">
        <v>2602</v>
      </c>
    </row>
    <row r="11167" spans="1:9" x14ac:dyDescent="0.2">
      <c r="A11167" s="997">
        <f t="shared" si="174"/>
        <v>11166</v>
      </c>
      <c r="B11167" s="983" t="s">
        <v>2726</v>
      </c>
      <c r="C11167" s="1000"/>
      <c r="H11167" s="983" t="s">
        <v>1108</v>
      </c>
    </row>
    <row r="11168" spans="1:9" x14ac:dyDescent="0.2">
      <c r="A11168" s="997">
        <f t="shared" si="174"/>
        <v>11167</v>
      </c>
      <c r="B11168" s="983" t="s">
        <v>2726</v>
      </c>
      <c r="C11168" s="1000"/>
      <c r="H11168" s="983" t="str">
        <f>CONCATENATE("&lt;valeur&gt;",Cellule_1839,"&lt;/valeur&gt;")</f>
        <v>&lt;valeur&gt;0&lt;/valeur&gt;</v>
      </c>
    </row>
    <row r="11169" spans="1:9" x14ac:dyDescent="0.2">
      <c r="A11169" s="997">
        <f t="shared" si="174"/>
        <v>11168</v>
      </c>
      <c r="B11169" s="983" t="s">
        <v>2726</v>
      </c>
      <c r="C11169" s="999"/>
      <c r="G11169" s="983" t="s">
        <v>1109</v>
      </c>
    </row>
    <row r="11170" spans="1:9" x14ac:dyDescent="0.2">
      <c r="A11170" s="997">
        <f t="shared" si="174"/>
        <v>11169</v>
      </c>
      <c r="B11170" s="983" t="s">
        <v>2726</v>
      </c>
      <c r="C11170" s="999"/>
      <c r="G11170" s="983" t="s">
        <v>1106</v>
      </c>
    </row>
    <row r="11171" spans="1:9" x14ac:dyDescent="0.2">
      <c r="A11171" s="997">
        <f t="shared" si="174"/>
        <v>11170</v>
      </c>
      <c r="B11171" s="983" t="s">
        <v>2726</v>
      </c>
      <c r="C11171" s="1000"/>
      <c r="H11171" s="983" t="s">
        <v>1107</v>
      </c>
    </row>
    <row r="11172" spans="1:9" x14ac:dyDescent="0.2">
      <c r="A11172" s="997">
        <f t="shared" si="174"/>
        <v>11171</v>
      </c>
      <c r="B11172" s="983" t="s">
        <v>2726</v>
      </c>
      <c r="C11172" s="1001"/>
      <c r="I11172" s="983" t="s">
        <v>2603</v>
      </c>
    </row>
    <row r="11173" spans="1:9" x14ac:dyDescent="0.2">
      <c r="A11173" s="997">
        <f t="shared" si="174"/>
        <v>11172</v>
      </c>
      <c r="B11173" s="983" t="s">
        <v>2726</v>
      </c>
      <c r="C11173" s="1000"/>
      <c r="H11173" s="983" t="s">
        <v>1108</v>
      </c>
    </row>
    <row r="11174" spans="1:9" x14ac:dyDescent="0.2">
      <c r="A11174" s="997">
        <f t="shared" si="174"/>
        <v>11173</v>
      </c>
      <c r="B11174" s="983" t="s">
        <v>2726</v>
      </c>
      <c r="C11174" s="1000"/>
      <c r="H11174" s="983" t="str">
        <f>CONCATENATE("&lt;valeur&gt;",Cellule_1856,"&lt;/valeur&gt;")</f>
        <v>&lt;valeur&gt;0&lt;/valeur&gt;</v>
      </c>
    </row>
    <row r="11175" spans="1:9" x14ac:dyDescent="0.2">
      <c r="A11175" s="997">
        <f t="shared" si="174"/>
        <v>11174</v>
      </c>
      <c r="B11175" s="983" t="s">
        <v>2726</v>
      </c>
      <c r="C11175" s="999"/>
      <c r="G11175" s="983" t="s">
        <v>1109</v>
      </c>
    </row>
    <row r="11176" spans="1:9" x14ac:dyDescent="0.2">
      <c r="A11176" s="997">
        <f t="shared" si="174"/>
        <v>11175</v>
      </c>
      <c r="B11176" s="983" t="s">
        <v>2726</v>
      </c>
      <c r="C11176" s="999"/>
      <c r="G11176" s="983" t="s">
        <v>1106</v>
      </c>
    </row>
    <row r="11177" spans="1:9" x14ac:dyDescent="0.2">
      <c r="A11177" s="997">
        <f t="shared" si="174"/>
        <v>11176</v>
      </c>
      <c r="B11177" s="983" t="s">
        <v>2726</v>
      </c>
      <c r="C11177" s="1000"/>
      <c r="H11177" s="983" t="s">
        <v>1107</v>
      </c>
    </row>
    <row r="11178" spans="1:9" x14ac:dyDescent="0.2">
      <c r="A11178" s="997">
        <f t="shared" si="174"/>
        <v>11177</v>
      </c>
      <c r="B11178" s="983" t="s">
        <v>2726</v>
      </c>
      <c r="C11178" s="1001"/>
      <c r="I11178" s="983" t="s">
        <v>2604</v>
      </c>
    </row>
    <row r="11179" spans="1:9" x14ac:dyDescent="0.2">
      <c r="A11179" s="997">
        <f t="shared" si="174"/>
        <v>11178</v>
      </c>
      <c r="B11179" s="983" t="s">
        <v>2726</v>
      </c>
      <c r="C11179" s="1000"/>
      <c r="H11179" s="983" t="s">
        <v>1108</v>
      </c>
    </row>
    <row r="11180" spans="1:9" x14ac:dyDescent="0.2">
      <c r="A11180" s="997">
        <f t="shared" si="174"/>
        <v>11179</v>
      </c>
      <c r="B11180" s="983" t="s">
        <v>2726</v>
      </c>
      <c r="C11180" s="1000"/>
      <c r="H11180" s="983" t="str">
        <f>CONCATENATE("&lt;valeur&gt;",Cellule_1864,"&lt;/valeur&gt;")</f>
        <v>&lt;valeur&gt;0&lt;/valeur&gt;</v>
      </c>
    </row>
    <row r="11181" spans="1:9" x14ac:dyDescent="0.2">
      <c r="A11181" s="997">
        <f t="shared" si="174"/>
        <v>11180</v>
      </c>
      <c r="B11181" s="983" t="s">
        <v>2726</v>
      </c>
      <c r="C11181" s="999"/>
      <c r="G11181" s="983" t="s">
        <v>1109</v>
      </c>
    </row>
    <row r="11182" spans="1:9" x14ac:dyDescent="0.2">
      <c r="A11182" s="997">
        <f t="shared" si="174"/>
        <v>11181</v>
      </c>
      <c r="B11182" s="983" t="s">
        <v>2726</v>
      </c>
      <c r="C11182" s="999"/>
      <c r="G11182" s="983" t="s">
        <v>1106</v>
      </c>
    </row>
    <row r="11183" spans="1:9" x14ac:dyDescent="0.2">
      <c r="A11183" s="997">
        <f t="shared" si="174"/>
        <v>11182</v>
      </c>
      <c r="B11183" s="983" t="s">
        <v>2726</v>
      </c>
      <c r="C11183" s="1000"/>
      <c r="H11183" s="983" t="s">
        <v>1107</v>
      </c>
    </row>
    <row r="11184" spans="1:9" x14ac:dyDescent="0.2">
      <c r="A11184" s="997">
        <f t="shared" si="174"/>
        <v>11183</v>
      </c>
      <c r="B11184" s="983" t="s">
        <v>2726</v>
      </c>
      <c r="C11184" s="1001"/>
      <c r="I11184" s="983" t="s">
        <v>2605</v>
      </c>
    </row>
    <row r="11185" spans="1:9" x14ac:dyDescent="0.2">
      <c r="A11185" s="997">
        <f t="shared" si="174"/>
        <v>11184</v>
      </c>
      <c r="B11185" s="983" t="s">
        <v>2726</v>
      </c>
      <c r="C11185" s="1000"/>
      <c r="H11185" s="983" t="s">
        <v>1108</v>
      </c>
    </row>
    <row r="11186" spans="1:9" x14ac:dyDescent="0.2">
      <c r="A11186" s="997">
        <f t="shared" si="174"/>
        <v>11185</v>
      </c>
      <c r="B11186" s="983" t="s">
        <v>2726</v>
      </c>
      <c r="C11186" s="1000"/>
      <c r="H11186" s="983" t="str">
        <f>CONCATENATE("&lt;valeur&gt;",Cellule_1872,"&lt;/valeur&gt;")</f>
        <v>&lt;valeur&gt;0&lt;/valeur&gt;</v>
      </c>
    </row>
    <row r="11187" spans="1:9" x14ac:dyDescent="0.2">
      <c r="A11187" s="997">
        <f t="shared" si="174"/>
        <v>11186</v>
      </c>
      <c r="B11187" s="983" t="s">
        <v>2726</v>
      </c>
      <c r="C11187" s="999"/>
      <c r="G11187" s="983" t="s">
        <v>1109</v>
      </c>
    </row>
    <row r="11188" spans="1:9" x14ac:dyDescent="0.2">
      <c r="A11188" s="997">
        <f t="shared" si="174"/>
        <v>11187</v>
      </c>
      <c r="B11188" s="983" t="s">
        <v>2726</v>
      </c>
      <c r="C11188" s="999"/>
      <c r="G11188" s="983" t="s">
        <v>1106</v>
      </c>
    </row>
    <row r="11189" spans="1:9" x14ac:dyDescent="0.2">
      <c r="A11189" s="997">
        <f t="shared" si="174"/>
        <v>11188</v>
      </c>
      <c r="B11189" s="983" t="s">
        <v>2726</v>
      </c>
      <c r="C11189" s="1000"/>
      <c r="H11189" s="983" t="s">
        <v>1107</v>
      </c>
    </row>
    <row r="11190" spans="1:9" x14ac:dyDescent="0.2">
      <c r="A11190" s="997">
        <f t="shared" si="174"/>
        <v>11189</v>
      </c>
      <c r="B11190" s="983" t="s">
        <v>2726</v>
      </c>
      <c r="C11190" s="1001"/>
      <c r="I11190" s="983" t="s">
        <v>2606</v>
      </c>
    </row>
    <row r="11191" spans="1:9" x14ac:dyDescent="0.2">
      <c r="A11191" s="997">
        <f t="shared" si="174"/>
        <v>11190</v>
      </c>
      <c r="B11191" s="983" t="s">
        <v>2726</v>
      </c>
      <c r="C11191" s="1000"/>
      <c r="H11191" s="983" t="s">
        <v>1108</v>
      </c>
    </row>
    <row r="11192" spans="1:9" x14ac:dyDescent="0.2">
      <c r="A11192" s="997">
        <f t="shared" si="174"/>
        <v>11191</v>
      </c>
      <c r="B11192" s="983" t="s">
        <v>2726</v>
      </c>
      <c r="C11192" s="1000"/>
      <c r="H11192" s="983" t="str">
        <f>CONCATENATE("&lt;valeur&gt;",Cellule_1889,"&lt;/valeur&gt;")</f>
        <v>&lt;valeur&gt;0&lt;/valeur&gt;</v>
      </c>
    </row>
    <row r="11193" spans="1:9" x14ac:dyDescent="0.2">
      <c r="A11193" s="997">
        <f t="shared" si="174"/>
        <v>11192</v>
      </c>
      <c r="B11193" s="983" t="s">
        <v>2726</v>
      </c>
      <c r="C11193" s="999"/>
      <c r="G11193" s="983" t="s">
        <v>1109</v>
      </c>
    </row>
    <row r="11194" spans="1:9" x14ac:dyDescent="0.2">
      <c r="A11194" s="997">
        <f t="shared" si="174"/>
        <v>11193</v>
      </c>
      <c r="B11194" s="983" t="s">
        <v>2726</v>
      </c>
      <c r="C11194" s="999"/>
      <c r="G11194" s="983" t="s">
        <v>1106</v>
      </c>
    </row>
    <row r="11195" spans="1:9" x14ac:dyDescent="0.2">
      <c r="A11195" s="997">
        <f t="shared" si="174"/>
        <v>11194</v>
      </c>
      <c r="B11195" s="983" t="s">
        <v>2726</v>
      </c>
      <c r="C11195" s="1000"/>
      <c r="H11195" s="983" t="s">
        <v>1107</v>
      </c>
    </row>
    <row r="11196" spans="1:9" x14ac:dyDescent="0.2">
      <c r="A11196" s="997">
        <f t="shared" si="174"/>
        <v>11195</v>
      </c>
      <c r="B11196" s="983" t="s">
        <v>2726</v>
      </c>
      <c r="C11196" s="1001"/>
      <c r="I11196" s="983" t="s">
        <v>2607</v>
      </c>
    </row>
    <row r="11197" spans="1:9" x14ac:dyDescent="0.2">
      <c r="A11197" s="997">
        <f t="shared" si="174"/>
        <v>11196</v>
      </c>
      <c r="B11197" s="983" t="s">
        <v>2726</v>
      </c>
      <c r="C11197" s="1000"/>
      <c r="H11197" s="983" t="s">
        <v>1108</v>
      </c>
    </row>
    <row r="11198" spans="1:9" x14ac:dyDescent="0.2">
      <c r="A11198" s="997">
        <f t="shared" si="174"/>
        <v>11197</v>
      </c>
      <c r="B11198" s="983" t="s">
        <v>2726</v>
      </c>
      <c r="C11198" s="1000"/>
      <c r="H11198" s="983" t="str">
        <f>CONCATENATE("&lt;valeur&gt;",Cellule_1405,"&lt;/valeur&gt;")</f>
        <v>&lt;valeur&gt;&lt;/valeur&gt;</v>
      </c>
    </row>
    <row r="11199" spans="1:9" x14ac:dyDescent="0.2">
      <c r="A11199" s="997">
        <f t="shared" si="174"/>
        <v>11198</v>
      </c>
      <c r="B11199" s="983" t="s">
        <v>2726</v>
      </c>
      <c r="C11199" s="999"/>
      <c r="G11199" s="983" t="s">
        <v>1109</v>
      </c>
    </row>
    <row r="11200" spans="1:9" x14ac:dyDescent="0.2">
      <c r="A11200" s="997">
        <f t="shared" si="174"/>
        <v>11199</v>
      </c>
      <c r="B11200" s="983" t="s">
        <v>2726</v>
      </c>
      <c r="C11200" s="999"/>
      <c r="G11200" s="983" t="s">
        <v>1106</v>
      </c>
    </row>
    <row r="11201" spans="1:9" x14ac:dyDescent="0.2">
      <c r="A11201" s="997">
        <f t="shared" si="174"/>
        <v>11200</v>
      </c>
      <c r="B11201" s="983" t="s">
        <v>2726</v>
      </c>
      <c r="C11201" s="1000"/>
      <c r="H11201" s="983" t="s">
        <v>1107</v>
      </c>
    </row>
    <row r="11202" spans="1:9" x14ac:dyDescent="0.2">
      <c r="A11202" s="997">
        <f t="shared" si="174"/>
        <v>11201</v>
      </c>
      <c r="B11202" s="983" t="s">
        <v>2726</v>
      </c>
      <c r="C11202" s="1001"/>
      <c r="I11202" s="983" t="s">
        <v>2608</v>
      </c>
    </row>
    <row r="11203" spans="1:9" x14ac:dyDescent="0.2">
      <c r="A11203" s="997">
        <f t="shared" si="174"/>
        <v>11202</v>
      </c>
      <c r="B11203" s="983" t="s">
        <v>2726</v>
      </c>
      <c r="C11203" s="1000"/>
      <c r="H11203" s="983" t="s">
        <v>1108</v>
      </c>
    </row>
    <row r="11204" spans="1:9" x14ac:dyDescent="0.2">
      <c r="A11204" s="997">
        <f t="shared" ref="A11204:A11267" si="175">+A11203+1</f>
        <v>11203</v>
      </c>
      <c r="B11204" s="983" t="s">
        <v>2726</v>
      </c>
      <c r="C11204" s="1000"/>
      <c r="H11204" s="983" t="str">
        <f>CONCATENATE("&lt;valeur&gt;",Cellule_1413,"&lt;/valeur&gt;")</f>
        <v>&lt;valeur&gt;&lt;/valeur&gt;</v>
      </c>
    </row>
    <row r="11205" spans="1:9" x14ac:dyDescent="0.2">
      <c r="A11205" s="997">
        <f t="shared" si="175"/>
        <v>11204</v>
      </c>
      <c r="B11205" s="983" t="s">
        <v>2726</v>
      </c>
      <c r="C11205" s="999"/>
      <c r="G11205" s="983" t="s">
        <v>1109</v>
      </c>
    </row>
    <row r="11206" spans="1:9" x14ac:dyDescent="0.2">
      <c r="A11206" s="997">
        <f t="shared" si="175"/>
        <v>11205</v>
      </c>
      <c r="B11206" s="983" t="s">
        <v>2726</v>
      </c>
      <c r="C11206" s="999"/>
      <c r="G11206" s="983" t="s">
        <v>1106</v>
      </c>
    </row>
    <row r="11207" spans="1:9" x14ac:dyDescent="0.2">
      <c r="A11207" s="997">
        <f t="shared" si="175"/>
        <v>11206</v>
      </c>
      <c r="B11207" s="983" t="s">
        <v>2726</v>
      </c>
      <c r="C11207" s="1000"/>
      <c r="H11207" s="983" t="s">
        <v>1107</v>
      </c>
    </row>
    <row r="11208" spans="1:9" x14ac:dyDescent="0.2">
      <c r="A11208" s="997">
        <f t="shared" si="175"/>
        <v>11207</v>
      </c>
      <c r="B11208" s="983" t="s">
        <v>2726</v>
      </c>
      <c r="C11208" s="1001"/>
      <c r="I11208" s="983" t="s">
        <v>2609</v>
      </c>
    </row>
    <row r="11209" spans="1:9" x14ac:dyDescent="0.2">
      <c r="A11209" s="997">
        <f t="shared" si="175"/>
        <v>11208</v>
      </c>
      <c r="B11209" s="983" t="s">
        <v>2726</v>
      </c>
      <c r="C11209" s="1000"/>
      <c r="H11209" s="983" t="s">
        <v>1108</v>
      </c>
    </row>
    <row r="11210" spans="1:9" x14ac:dyDescent="0.2">
      <c r="A11210" s="997">
        <f t="shared" si="175"/>
        <v>11209</v>
      </c>
      <c r="B11210" s="983" t="s">
        <v>2726</v>
      </c>
      <c r="C11210" s="1000"/>
      <c r="H11210" s="983" t="str">
        <f>CONCATENATE("&lt;valeur&gt;",Cellule_1421,"&lt;/valeur&gt;")</f>
        <v>&lt;valeur&gt;&lt;/valeur&gt;</v>
      </c>
    </row>
    <row r="11211" spans="1:9" x14ac:dyDescent="0.2">
      <c r="A11211" s="997">
        <f t="shared" si="175"/>
        <v>11210</v>
      </c>
      <c r="B11211" s="983" t="s">
        <v>2726</v>
      </c>
      <c r="C11211" s="999"/>
      <c r="G11211" s="983" t="s">
        <v>1109</v>
      </c>
    </row>
    <row r="11212" spans="1:9" x14ac:dyDescent="0.2">
      <c r="A11212" s="997">
        <f t="shared" si="175"/>
        <v>11211</v>
      </c>
      <c r="B11212" s="983" t="s">
        <v>2726</v>
      </c>
      <c r="C11212" s="999"/>
      <c r="G11212" s="983" t="s">
        <v>1106</v>
      </c>
    </row>
    <row r="11213" spans="1:9" x14ac:dyDescent="0.2">
      <c r="A11213" s="997">
        <f t="shared" si="175"/>
        <v>11212</v>
      </c>
      <c r="B11213" s="983" t="s">
        <v>2726</v>
      </c>
      <c r="C11213" s="1000"/>
      <c r="H11213" s="983" t="s">
        <v>1107</v>
      </c>
    </row>
    <row r="11214" spans="1:9" x14ac:dyDescent="0.2">
      <c r="A11214" s="997">
        <f t="shared" si="175"/>
        <v>11213</v>
      </c>
      <c r="B11214" s="983" t="s">
        <v>2726</v>
      </c>
      <c r="C11214" s="1001"/>
      <c r="I11214" s="983" t="s">
        <v>2610</v>
      </c>
    </row>
    <row r="11215" spans="1:9" x14ac:dyDescent="0.2">
      <c r="A11215" s="997">
        <f t="shared" si="175"/>
        <v>11214</v>
      </c>
      <c r="B11215" s="983" t="s">
        <v>2726</v>
      </c>
      <c r="C11215" s="1000"/>
      <c r="H11215" s="983" t="s">
        <v>1108</v>
      </c>
    </row>
    <row r="11216" spans="1:9" x14ac:dyDescent="0.2">
      <c r="A11216" s="997">
        <f t="shared" si="175"/>
        <v>11215</v>
      </c>
      <c r="B11216" s="983" t="s">
        <v>2726</v>
      </c>
      <c r="C11216" s="1000"/>
      <c r="H11216" s="983" t="str">
        <f>CONCATENATE("&lt;valeur&gt;",Cellule_1429,"&lt;/valeur&gt;")</f>
        <v>&lt;valeur&gt;0&lt;/valeur&gt;</v>
      </c>
    </row>
    <row r="11217" spans="1:9" x14ac:dyDescent="0.2">
      <c r="A11217" s="997">
        <f t="shared" si="175"/>
        <v>11216</v>
      </c>
      <c r="B11217" s="983" t="s">
        <v>2726</v>
      </c>
      <c r="C11217" s="999"/>
      <c r="G11217" s="983" t="s">
        <v>1109</v>
      </c>
    </row>
    <row r="11218" spans="1:9" x14ac:dyDescent="0.2">
      <c r="A11218" s="997">
        <f t="shared" si="175"/>
        <v>11217</v>
      </c>
      <c r="B11218" s="983" t="s">
        <v>2726</v>
      </c>
      <c r="C11218" s="999"/>
      <c r="G11218" s="983" t="s">
        <v>1106</v>
      </c>
    </row>
    <row r="11219" spans="1:9" x14ac:dyDescent="0.2">
      <c r="A11219" s="997">
        <f t="shared" si="175"/>
        <v>11218</v>
      </c>
      <c r="B11219" s="983" t="s">
        <v>2726</v>
      </c>
      <c r="C11219" s="1000"/>
      <c r="H11219" s="983" t="s">
        <v>1107</v>
      </c>
    </row>
    <row r="11220" spans="1:9" x14ac:dyDescent="0.2">
      <c r="A11220" s="997">
        <f t="shared" si="175"/>
        <v>11219</v>
      </c>
      <c r="B11220" s="983" t="s">
        <v>2726</v>
      </c>
      <c r="C11220" s="1001"/>
      <c r="I11220" s="983" t="s">
        <v>2611</v>
      </c>
    </row>
    <row r="11221" spans="1:9" x14ac:dyDescent="0.2">
      <c r="A11221" s="997">
        <f t="shared" si="175"/>
        <v>11220</v>
      </c>
      <c r="B11221" s="983" t="s">
        <v>2726</v>
      </c>
      <c r="C11221" s="1000"/>
      <c r="H11221" s="983" t="s">
        <v>1108</v>
      </c>
    </row>
    <row r="11222" spans="1:9" x14ac:dyDescent="0.2">
      <c r="A11222" s="997">
        <f t="shared" si="175"/>
        <v>11221</v>
      </c>
      <c r="B11222" s="983" t="s">
        <v>2726</v>
      </c>
      <c r="C11222" s="1000"/>
      <c r="H11222" s="983" t="str">
        <f>CONCATENATE("&lt;valeur&gt;",Cellule_1437,"&lt;/valeur&gt;")</f>
        <v>&lt;valeur&gt;0&lt;/valeur&gt;</v>
      </c>
    </row>
    <row r="11223" spans="1:9" x14ac:dyDescent="0.2">
      <c r="A11223" s="997">
        <f t="shared" si="175"/>
        <v>11222</v>
      </c>
      <c r="B11223" s="983" t="s">
        <v>2726</v>
      </c>
      <c r="C11223" s="999"/>
      <c r="G11223" s="983" t="s">
        <v>1109</v>
      </c>
    </row>
    <row r="11224" spans="1:9" x14ac:dyDescent="0.2">
      <c r="A11224" s="997">
        <f t="shared" si="175"/>
        <v>11223</v>
      </c>
      <c r="B11224" s="983" t="s">
        <v>2726</v>
      </c>
      <c r="C11224" s="999"/>
      <c r="G11224" s="983" t="s">
        <v>1106</v>
      </c>
    </row>
    <row r="11225" spans="1:9" x14ac:dyDescent="0.2">
      <c r="A11225" s="997">
        <f t="shared" si="175"/>
        <v>11224</v>
      </c>
      <c r="B11225" s="983" t="s">
        <v>2726</v>
      </c>
      <c r="C11225" s="1000"/>
      <c r="H11225" s="983" t="s">
        <v>1107</v>
      </c>
    </row>
    <row r="11226" spans="1:9" x14ac:dyDescent="0.2">
      <c r="A11226" s="997">
        <f t="shared" si="175"/>
        <v>11225</v>
      </c>
      <c r="B11226" s="983" t="s">
        <v>2726</v>
      </c>
      <c r="C11226" s="1001"/>
      <c r="I11226" s="983" t="s">
        <v>2612</v>
      </c>
    </row>
    <row r="11227" spans="1:9" x14ac:dyDescent="0.2">
      <c r="A11227" s="997">
        <f t="shared" si="175"/>
        <v>11226</v>
      </c>
      <c r="B11227" s="983" t="s">
        <v>2726</v>
      </c>
      <c r="C11227" s="1000"/>
      <c r="H11227" s="983" t="s">
        <v>1108</v>
      </c>
    </row>
    <row r="11228" spans="1:9" x14ac:dyDescent="0.2">
      <c r="A11228" s="997">
        <f t="shared" si="175"/>
        <v>11227</v>
      </c>
      <c r="B11228" s="983" t="s">
        <v>2726</v>
      </c>
      <c r="C11228" s="1000"/>
      <c r="H11228" s="983" t="str">
        <f>CONCATENATE("&lt;valeur&gt;",Cellule_1453,"&lt;/valeur&gt;")</f>
        <v>&lt;valeur&gt;&lt;/valeur&gt;</v>
      </c>
    </row>
    <row r="11229" spans="1:9" x14ac:dyDescent="0.2">
      <c r="A11229" s="997">
        <f t="shared" si="175"/>
        <v>11228</v>
      </c>
      <c r="B11229" s="983" t="s">
        <v>2726</v>
      </c>
      <c r="C11229" s="999"/>
      <c r="G11229" s="983" t="s">
        <v>1109</v>
      </c>
    </row>
    <row r="11230" spans="1:9" x14ac:dyDescent="0.2">
      <c r="A11230" s="997">
        <f t="shared" si="175"/>
        <v>11229</v>
      </c>
      <c r="B11230" s="983" t="s">
        <v>2726</v>
      </c>
      <c r="C11230" s="999"/>
      <c r="G11230" s="983" t="s">
        <v>1106</v>
      </c>
    </row>
    <row r="11231" spans="1:9" x14ac:dyDescent="0.2">
      <c r="A11231" s="997">
        <f t="shared" si="175"/>
        <v>11230</v>
      </c>
      <c r="B11231" s="983" t="s">
        <v>2726</v>
      </c>
      <c r="C11231" s="1000"/>
      <c r="H11231" s="983" t="s">
        <v>1107</v>
      </c>
    </row>
    <row r="11232" spans="1:9" x14ac:dyDescent="0.2">
      <c r="A11232" s="997">
        <f t="shared" si="175"/>
        <v>11231</v>
      </c>
      <c r="B11232" s="983" t="s">
        <v>2726</v>
      </c>
      <c r="C11232" s="1001"/>
      <c r="I11232" s="983" t="s">
        <v>2613</v>
      </c>
    </row>
    <row r="11233" spans="1:9" x14ac:dyDescent="0.2">
      <c r="A11233" s="997">
        <f t="shared" si="175"/>
        <v>11232</v>
      </c>
      <c r="B11233" s="983" t="s">
        <v>2726</v>
      </c>
      <c r="C11233" s="1000"/>
      <c r="H11233" s="983" t="s">
        <v>1108</v>
      </c>
    </row>
    <row r="11234" spans="1:9" x14ac:dyDescent="0.2">
      <c r="A11234" s="997">
        <f t="shared" si="175"/>
        <v>11233</v>
      </c>
      <c r="B11234" s="983" t="s">
        <v>2726</v>
      </c>
      <c r="C11234" s="1000"/>
      <c r="H11234" s="983" t="str">
        <f>CONCATENATE("&lt;valeur&gt;",Cellule_1461,"&lt;/valeur&gt;")</f>
        <v>&lt;valeur&gt;0&lt;/valeur&gt;</v>
      </c>
    </row>
    <row r="11235" spans="1:9" x14ac:dyDescent="0.2">
      <c r="A11235" s="997">
        <f t="shared" si="175"/>
        <v>11234</v>
      </c>
      <c r="B11235" s="983" t="s">
        <v>2726</v>
      </c>
      <c r="C11235" s="999"/>
      <c r="G11235" s="983" t="s">
        <v>1109</v>
      </c>
    </row>
    <row r="11236" spans="1:9" x14ac:dyDescent="0.2">
      <c r="A11236" s="997">
        <f t="shared" si="175"/>
        <v>11235</v>
      </c>
      <c r="B11236" s="983" t="s">
        <v>2726</v>
      </c>
      <c r="C11236" s="999"/>
      <c r="G11236" s="983" t="s">
        <v>1106</v>
      </c>
    </row>
    <row r="11237" spans="1:9" x14ac:dyDescent="0.2">
      <c r="A11237" s="997">
        <f t="shared" si="175"/>
        <v>11236</v>
      </c>
      <c r="B11237" s="983" t="s">
        <v>2726</v>
      </c>
      <c r="C11237" s="1000"/>
      <c r="H11237" s="983" t="s">
        <v>1107</v>
      </c>
    </row>
    <row r="11238" spans="1:9" x14ac:dyDescent="0.2">
      <c r="A11238" s="997">
        <f t="shared" si="175"/>
        <v>11237</v>
      </c>
      <c r="B11238" s="983" t="s">
        <v>2726</v>
      </c>
      <c r="C11238" s="1001"/>
      <c r="I11238" s="983" t="s">
        <v>2614</v>
      </c>
    </row>
    <row r="11239" spans="1:9" x14ac:dyDescent="0.2">
      <c r="A11239" s="997">
        <f t="shared" si="175"/>
        <v>11238</v>
      </c>
      <c r="B11239" s="983" t="s">
        <v>2726</v>
      </c>
      <c r="C11239" s="1000"/>
      <c r="H11239" s="983" t="s">
        <v>1108</v>
      </c>
    </row>
    <row r="11240" spans="1:9" x14ac:dyDescent="0.2">
      <c r="A11240" s="997">
        <f t="shared" si="175"/>
        <v>11239</v>
      </c>
      <c r="B11240" s="983" t="s">
        <v>2726</v>
      </c>
      <c r="C11240" s="1000"/>
      <c r="H11240" s="983" t="str">
        <f>CONCATENATE("&lt;valeur&gt;",Cellule_1469,"&lt;/valeur&gt;")</f>
        <v>&lt;valeur&gt;0&lt;/valeur&gt;</v>
      </c>
    </row>
    <row r="11241" spans="1:9" x14ac:dyDescent="0.2">
      <c r="A11241" s="997">
        <f t="shared" si="175"/>
        <v>11240</v>
      </c>
      <c r="B11241" s="983" t="s">
        <v>2726</v>
      </c>
      <c r="C11241" s="999"/>
      <c r="G11241" s="983" t="s">
        <v>1109</v>
      </c>
    </row>
    <row r="11242" spans="1:9" x14ac:dyDescent="0.2">
      <c r="A11242" s="997">
        <f t="shared" si="175"/>
        <v>11241</v>
      </c>
      <c r="B11242" s="983" t="s">
        <v>2726</v>
      </c>
      <c r="C11242" s="999"/>
      <c r="G11242" s="983" t="s">
        <v>1106</v>
      </c>
    </row>
    <row r="11243" spans="1:9" x14ac:dyDescent="0.2">
      <c r="A11243" s="997">
        <f t="shared" si="175"/>
        <v>11242</v>
      </c>
      <c r="B11243" s="983" t="s">
        <v>2726</v>
      </c>
      <c r="C11243" s="1000"/>
      <c r="H11243" s="983" t="s">
        <v>1107</v>
      </c>
    </row>
    <row r="11244" spans="1:9" x14ac:dyDescent="0.2">
      <c r="A11244" s="997">
        <f t="shared" si="175"/>
        <v>11243</v>
      </c>
      <c r="B11244" s="983" t="s">
        <v>2726</v>
      </c>
      <c r="C11244" s="1001"/>
      <c r="I11244" s="983" t="s">
        <v>2615</v>
      </c>
    </row>
    <row r="11245" spans="1:9" x14ac:dyDescent="0.2">
      <c r="A11245" s="997">
        <f t="shared" si="175"/>
        <v>11244</v>
      </c>
      <c r="B11245" s="983" t="s">
        <v>2726</v>
      </c>
      <c r="C11245" s="1000"/>
      <c r="H11245" s="983" t="s">
        <v>1108</v>
      </c>
    </row>
    <row r="11246" spans="1:9" x14ac:dyDescent="0.2">
      <c r="A11246" s="997">
        <f t="shared" si="175"/>
        <v>11245</v>
      </c>
      <c r="B11246" s="983" t="s">
        <v>2726</v>
      </c>
      <c r="C11246" s="1000"/>
      <c r="H11246" s="983" t="str">
        <f>CONCATENATE("&lt;valeur&gt;",Cellule_1477,"&lt;/valeur&gt;")</f>
        <v>&lt;valeur&gt;&lt;/valeur&gt;</v>
      </c>
    </row>
    <row r="11247" spans="1:9" x14ac:dyDescent="0.2">
      <c r="A11247" s="997">
        <f t="shared" si="175"/>
        <v>11246</v>
      </c>
      <c r="B11247" s="983" t="s">
        <v>2726</v>
      </c>
      <c r="C11247" s="999"/>
      <c r="G11247" s="983" t="s">
        <v>1109</v>
      </c>
    </row>
    <row r="11248" spans="1:9" x14ac:dyDescent="0.2">
      <c r="A11248" s="997">
        <f t="shared" si="175"/>
        <v>11247</v>
      </c>
      <c r="B11248" s="983" t="s">
        <v>2726</v>
      </c>
      <c r="C11248" s="999"/>
      <c r="G11248" s="983" t="s">
        <v>1106</v>
      </c>
    </row>
    <row r="11249" spans="1:9" x14ac:dyDescent="0.2">
      <c r="A11249" s="997">
        <f t="shared" si="175"/>
        <v>11248</v>
      </c>
      <c r="B11249" s="983" t="s">
        <v>2726</v>
      </c>
      <c r="C11249" s="1000"/>
      <c r="H11249" s="983" t="s">
        <v>1107</v>
      </c>
    </row>
    <row r="11250" spans="1:9" x14ac:dyDescent="0.2">
      <c r="A11250" s="997">
        <f t="shared" si="175"/>
        <v>11249</v>
      </c>
      <c r="B11250" s="983" t="s">
        <v>2726</v>
      </c>
      <c r="C11250" s="1001"/>
      <c r="I11250" s="983" t="s">
        <v>2616</v>
      </c>
    </row>
    <row r="11251" spans="1:9" x14ac:dyDescent="0.2">
      <c r="A11251" s="997">
        <f t="shared" si="175"/>
        <v>11250</v>
      </c>
      <c r="B11251" s="983" t="s">
        <v>2726</v>
      </c>
      <c r="C11251" s="1000"/>
      <c r="H11251" s="983" t="s">
        <v>1108</v>
      </c>
    </row>
    <row r="11252" spans="1:9" x14ac:dyDescent="0.2">
      <c r="A11252" s="997">
        <f t="shared" si="175"/>
        <v>11251</v>
      </c>
      <c r="B11252" s="983" t="s">
        <v>2726</v>
      </c>
      <c r="C11252" s="1000"/>
      <c r="H11252" s="983" t="str">
        <f>CONCATENATE("&lt;valeur&gt;",Cellule_1485,"&lt;/valeur&gt;")</f>
        <v>&lt;valeur&gt;&lt;/valeur&gt;</v>
      </c>
    </row>
    <row r="11253" spans="1:9" x14ac:dyDescent="0.2">
      <c r="A11253" s="997">
        <f t="shared" si="175"/>
        <v>11252</v>
      </c>
      <c r="B11253" s="983" t="s">
        <v>2726</v>
      </c>
      <c r="C11253" s="999"/>
      <c r="G11253" s="983" t="s">
        <v>1109</v>
      </c>
    </row>
    <row r="11254" spans="1:9" x14ac:dyDescent="0.2">
      <c r="A11254" s="997">
        <f t="shared" si="175"/>
        <v>11253</v>
      </c>
      <c r="B11254" s="983" t="s">
        <v>2726</v>
      </c>
      <c r="C11254" s="999"/>
      <c r="G11254" s="983" t="s">
        <v>1106</v>
      </c>
    </row>
    <row r="11255" spans="1:9" x14ac:dyDescent="0.2">
      <c r="A11255" s="997">
        <f t="shared" si="175"/>
        <v>11254</v>
      </c>
      <c r="B11255" s="983" t="s">
        <v>2726</v>
      </c>
      <c r="C11255" s="1000"/>
      <c r="H11255" s="983" t="s">
        <v>1107</v>
      </c>
    </row>
    <row r="11256" spans="1:9" x14ac:dyDescent="0.2">
      <c r="A11256" s="997">
        <f t="shared" si="175"/>
        <v>11255</v>
      </c>
      <c r="B11256" s="983" t="s">
        <v>2726</v>
      </c>
      <c r="C11256" s="1001"/>
      <c r="I11256" s="983" t="s">
        <v>2617</v>
      </c>
    </row>
    <row r="11257" spans="1:9" x14ac:dyDescent="0.2">
      <c r="A11257" s="997">
        <f t="shared" si="175"/>
        <v>11256</v>
      </c>
      <c r="B11257" s="983" t="s">
        <v>2726</v>
      </c>
      <c r="C11257" s="1000"/>
      <c r="H11257" s="983" t="s">
        <v>1108</v>
      </c>
    </row>
    <row r="11258" spans="1:9" x14ac:dyDescent="0.2">
      <c r="A11258" s="997">
        <f t="shared" si="175"/>
        <v>11257</v>
      </c>
      <c r="B11258" s="983" t="s">
        <v>2726</v>
      </c>
      <c r="C11258" s="1000"/>
      <c r="H11258" s="983" t="str">
        <f>CONCATENATE("&lt;valeur&gt;",Cellule_1559,"&lt;/valeur&gt;")</f>
        <v>&lt;valeur&gt;0&lt;/valeur&gt;</v>
      </c>
    </row>
    <row r="11259" spans="1:9" x14ac:dyDescent="0.2">
      <c r="A11259" s="997">
        <f t="shared" si="175"/>
        <v>11258</v>
      </c>
      <c r="B11259" s="983" t="s">
        <v>2726</v>
      </c>
      <c r="C11259" s="999"/>
      <c r="G11259" s="983" t="s">
        <v>1109</v>
      </c>
    </row>
    <row r="11260" spans="1:9" x14ac:dyDescent="0.2">
      <c r="A11260" s="997">
        <f t="shared" si="175"/>
        <v>11259</v>
      </c>
      <c r="B11260" s="983" t="s">
        <v>2726</v>
      </c>
      <c r="C11260" s="999"/>
      <c r="G11260" s="983" t="s">
        <v>1106</v>
      </c>
    </row>
    <row r="11261" spans="1:9" x14ac:dyDescent="0.2">
      <c r="A11261" s="997">
        <f t="shared" si="175"/>
        <v>11260</v>
      </c>
      <c r="B11261" s="983" t="s">
        <v>2726</v>
      </c>
      <c r="C11261" s="1000"/>
      <c r="H11261" s="983" t="s">
        <v>1107</v>
      </c>
    </row>
    <row r="11262" spans="1:9" x14ac:dyDescent="0.2">
      <c r="A11262" s="997">
        <f t="shared" si="175"/>
        <v>11261</v>
      </c>
      <c r="B11262" s="983" t="s">
        <v>2726</v>
      </c>
      <c r="C11262" s="1001"/>
      <c r="I11262" s="983" t="s">
        <v>2618</v>
      </c>
    </row>
    <row r="11263" spans="1:9" x14ac:dyDescent="0.2">
      <c r="A11263" s="997">
        <f t="shared" si="175"/>
        <v>11262</v>
      </c>
      <c r="B11263" s="983" t="s">
        <v>2726</v>
      </c>
      <c r="C11263" s="1000"/>
      <c r="H11263" s="983" t="s">
        <v>1108</v>
      </c>
    </row>
    <row r="11264" spans="1:9" x14ac:dyDescent="0.2">
      <c r="A11264" s="997">
        <f t="shared" si="175"/>
        <v>11263</v>
      </c>
      <c r="B11264" s="983" t="s">
        <v>2726</v>
      </c>
      <c r="C11264" s="1000"/>
      <c r="H11264" s="983" t="str">
        <f>CONCATENATE("&lt;valeur&gt;",Cellule_1600,"&lt;/valeur&gt;")</f>
        <v>&lt;valeur&gt;&lt;/valeur&gt;</v>
      </c>
    </row>
    <row r="11265" spans="1:9" x14ac:dyDescent="0.2">
      <c r="A11265" s="997">
        <f t="shared" si="175"/>
        <v>11264</v>
      </c>
      <c r="B11265" s="983" t="s">
        <v>2726</v>
      </c>
      <c r="C11265" s="999"/>
      <c r="G11265" s="983" t="s">
        <v>1109</v>
      </c>
    </row>
    <row r="11266" spans="1:9" x14ac:dyDescent="0.2">
      <c r="A11266" s="997">
        <f t="shared" si="175"/>
        <v>11265</v>
      </c>
      <c r="B11266" s="983" t="s">
        <v>2726</v>
      </c>
      <c r="C11266" s="999"/>
      <c r="G11266" s="983" t="s">
        <v>1106</v>
      </c>
    </row>
    <row r="11267" spans="1:9" x14ac:dyDescent="0.2">
      <c r="A11267" s="997">
        <f t="shared" si="175"/>
        <v>11266</v>
      </c>
      <c r="B11267" s="983" t="s">
        <v>2726</v>
      </c>
      <c r="C11267" s="1000"/>
      <c r="H11267" s="983" t="s">
        <v>1107</v>
      </c>
    </row>
    <row r="11268" spans="1:9" x14ac:dyDescent="0.2">
      <c r="A11268" s="997">
        <f t="shared" ref="A11268:A11331" si="176">+A11267+1</f>
        <v>11267</v>
      </c>
      <c r="B11268" s="983" t="s">
        <v>2726</v>
      </c>
      <c r="C11268" s="1001"/>
      <c r="I11268" s="983" t="s">
        <v>2619</v>
      </c>
    </row>
    <row r="11269" spans="1:9" x14ac:dyDescent="0.2">
      <c r="A11269" s="997">
        <f t="shared" si="176"/>
        <v>11268</v>
      </c>
      <c r="B11269" s="983" t="s">
        <v>2726</v>
      </c>
      <c r="C11269" s="1000"/>
      <c r="H11269" s="983" t="s">
        <v>1108</v>
      </c>
    </row>
    <row r="11270" spans="1:9" x14ac:dyDescent="0.2">
      <c r="A11270" s="997">
        <f t="shared" si="176"/>
        <v>11269</v>
      </c>
      <c r="B11270" s="983" t="s">
        <v>2726</v>
      </c>
      <c r="C11270" s="1000"/>
      <c r="H11270" s="983" t="str">
        <f>CONCATENATE("&lt;valeur&gt;",Cellule_1608,"&lt;/valeur&gt;")</f>
        <v>&lt;valeur&gt;0&lt;/valeur&gt;</v>
      </c>
    </row>
    <row r="11271" spans="1:9" x14ac:dyDescent="0.2">
      <c r="A11271" s="997">
        <f t="shared" si="176"/>
        <v>11270</v>
      </c>
      <c r="B11271" s="983" t="s">
        <v>2726</v>
      </c>
      <c r="C11271" s="999"/>
      <c r="G11271" s="983" t="s">
        <v>1109</v>
      </c>
    </row>
    <row r="11272" spans="1:9" x14ac:dyDescent="0.2">
      <c r="A11272" s="997">
        <f t="shared" si="176"/>
        <v>11271</v>
      </c>
      <c r="B11272" s="983" t="s">
        <v>2726</v>
      </c>
      <c r="C11272" s="999"/>
      <c r="G11272" s="983" t="s">
        <v>1106</v>
      </c>
    </row>
    <row r="11273" spans="1:9" x14ac:dyDescent="0.2">
      <c r="A11273" s="997">
        <f t="shared" si="176"/>
        <v>11272</v>
      </c>
      <c r="B11273" s="983" t="s">
        <v>2726</v>
      </c>
      <c r="C11273" s="1000"/>
      <c r="H11273" s="983" t="s">
        <v>1107</v>
      </c>
    </row>
    <row r="11274" spans="1:9" x14ac:dyDescent="0.2">
      <c r="A11274" s="997">
        <f t="shared" si="176"/>
        <v>11273</v>
      </c>
      <c r="B11274" s="983" t="s">
        <v>2726</v>
      </c>
      <c r="C11274" s="1001"/>
      <c r="I11274" s="983" t="s">
        <v>2620</v>
      </c>
    </row>
    <row r="11275" spans="1:9" x14ac:dyDescent="0.2">
      <c r="A11275" s="997">
        <f t="shared" si="176"/>
        <v>11274</v>
      </c>
      <c r="B11275" s="983" t="s">
        <v>2726</v>
      </c>
      <c r="C11275" s="1000"/>
      <c r="H11275" s="983" t="s">
        <v>1108</v>
      </c>
    </row>
    <row r="11276" spans="1:9" x14ac:dyDescent="0.2">
      <c r="A11276" s="997">
        <f t="shared" si="176"/>
        <v>11275</v>
      </c>
      <c r="B11276" s="983" t="s">
        <v>2726</v>
      </c>
      <c r="C11276" s="1000"/>
      <c r="H11276" s="983" t="str">
        <f>CONCATENATE("&lt;valeur&gt;",Cellule_1616,"&lt;/valeur&gt;")</f>
        <v>&lt;valeur&gt;0&lt;/valeur&gt;</v>
      </c>
    </row>
    <row r="11277" spans="1:9" x14ac:dyDescent="0.2">
      <c r="A11277" s="997">
        <f t="shared" si="176"/>
        <v>11276</v>
      </c>
      <c r="B11277" s="983" t="s">
        <v>2726</v>
      </c>
      <c r="C11277" s="999"/>
      <c r="G11277" s="983" t="s">
        <v>1109</v>
      </c>
    </row>
    <row r="11278" spans="1:9" x14ac:dyDescent="0.2">
      <c r="A11278" s="997">
        <f t="shared" si="176"/>
        <v>11277</v>
      </c>
      <c r="B11278" s="983" t="s">
        <v>2726</v>
      </c>
      <c r="C11278" s="999"/>
      <c r="G11278" s="983" t="s">
        <v>1106</v>
      </c>
    </row>
    <row r="11279" spans="1:9" x14ac:dyDescent="0.2">
      <c r="A11279" s="997">
        <f t="shared" si="176"/>
        <v>11278</v>
      </c>
      <c r="B11279" s="983" t="s">
        <v>2726</v>
      </c>
      <c r="C11279" s="1000"/>
      <c r="H11279" s="983" t="s">
        <v>1107</v>
      </c>
    </row>
    <row r="11280" spans="1:9" x14ac:dyDescent="0.2">
      <c r="A11280" s="997">
        <f t="shared" si="176"/>
        <v>11279</v>
      </c>
      <c r="B11280" s="983" t="s">
        <v>2726</v>
      </c>
      <c r="C11280" s="1001"/>
      <c r="I11280" s="983" t="s">
        <v>2621</v>
      </c>
    </row>
    <row r="11281" spans="1:9" x14ac:dyDescent="0.2">
      <c r="A11281" s="997">
        <f t="shared" si="176"/>
        <v>11280</v>
      </c>
      <c r="B11281" s="983" t="s">
        <v>2726</v>
      </c>
      <c r="C11281" s="1000"/>
      <c r="H11281" s="983" t="s">
        <v>1108</v>
      </c>
    </row>
    <row r="11282" spans="1:9" x14ac:dyDescent="0.2">
      <c r="A11282" s="997">
        <f t="shared" si="176"/>
        <v>11281</v>
      </c>
      <c r="B11282" s="983" t="s">
        <v>2726</v>
      </c>
      <c r="C11282" s="1000"/>
      <c r="H11282" s="983" t="str">
        <f>CONCATENATE("&lt;valeur&gt;",Cellule_1639,"&lt;/valeur&gt;")</f>
        <v>&lt;valeur&gt;&lt;/valeur&gt;</v>
      </c>
    </row>
    <row r="11283" spans="1:9" x14ac:dyDescent="0.2">
      <c r="A11283" s="997">
        <f t="shared" si="176"/>
        <v>11282</v>
      </c>
      <c r="B11283" s="983" t="s">
        <v>2726</v>
      </c>
      <c r="C11283" s="999"/>
      <c r="G11283" s="983" t="s">
        <v>1109</v>
      </c>
    </row>
    <row r="11284" spans="1:9" x14ac:dyDescent="0.2">
      <c r="A11284" s="997">
        <f t="shared" si="176"/>
        <v>11283</v>
      </c>
      <c r="B11284" s="983" t="s">
        <v>2726</v>
      </c>
      <c r="C11284" s="999"/>
      <c r="G11284" s="983" t="s">
        <v>1106</v>
      </c>
    </row>
    <row r="11285" spans="1:9" x14ac:dyDescent="0.2">
      <c r="A11285" s="997">
        <f t="shared" si="176"/>
        <v>11284</v>
      </c>
      <c r="B11285" s="983" t="s">
        <v>2726</v>
      </c>
      <c r="C11285" s="1000"/>
      <c r="H11285" s="983" t="s">
        <v>1107</v>
      </c>
    </row>
    <row r="11286" spans="1:9" x14ac:dyDescent="0.2">
      <c r="A11286" s="997">
        <f t="shared" si="176"/>
        <v>11285</v>
      </c>
      <c r="B11286" s="983" t="s">
        <v>2726</v>
      </c>
      <c r="C11286" s="1001"/>
      <c r="I11286" s="983" t="s">
        <v>2622</v>
      </c>
    </row>
    <row r="11287" spans="1:9" x14ac:dyDescent="0.2">
      <c r="A11287" s="997">
        <f t="shared" si="176"/>
        <v>11286</v>
      </c>
      <c r="B11287" s="983" t="s">
        <v>2726</v>
      </c>
      <c r="C11287" s="1000"/>
      <c r="H11287" s="983" t="s">
        <v>1108</v>
      </c>
    </row>
    <row r="11288" spans="1:9" x14ac:dyDescent="0.2">
      <c r="A11288" s="997">
        <f t="shared" si="176"/>
        <v>11287</v>
      </c>
      <c r="B11288" s="983" t="s">
        <v>2726</v>
      </c>
      <c r="C11288" s="1000"/>
      <c r="H11288" s="983" t="str">
        <f>CONCATENATE("&lt;valeur&gt;",Cellule_1647,"&lt;/valeur&gt;")</f>
        <v>&lt;valeur&gt;0&lt;/valeur&gt;</v>
      </c>
    </row>
    <row r="11289" spans="1:9" x14ac:dyDescent="0.2">
      <c r="A11289" s="997">
        <f t="shared" si="176"/>
        <v>11288</v>
      </c>
      <c r="B11289" s="983" t="s">
        <v>2726</v>
      </c>
      <c r="C11289" s="999"/>
      <c r="G11289" s="983" t="s">
        <v>1109</v>
      </c>
    </row>
    <row r="11290" spans="1:9" x14ac:dyDescent="0.2">
      <c r="A11290" s="997">
        <f t="shared" si="176"/>
        <v>11289</v>
      </c>
      <c r="B11290" s="983" t="s">
        <v>2726</v>
      </c>
      <c r="C11290" s="999"/>
      <c r="G11290" s="983" t="s">
        <v>1106</v>
      </c>
    </row>
    <row r="11291" spans="1:9" x14ac:dyDescent="0.2">
      <c r="A11291" s="997">
        <f t="shared" si="176"/>
        <v>11290</v>
      </c>
      <c r="B11291" s="983" t="s">
        <v>2726</v>
      </c>
      <c r="C11291" s="1000"/>
      <c r="H11291" s="983" t="s">
        <v>1107</v>
      </c>
    </row>
    <row r="11292" spans="1:9" x14ac:dyDescent="0.2">
      <c r="A11292" s="997">
        <f t="shared" si="176"/>
        <v>11291</v>
      </c>
      <c r="B11292" s="983" t="s">
        <v>2726</v>
      </c>
      <c r="C11292" s="1001"/>
      <c r="I11292" s="983" t="s">
        <v>2623</v>
      </c>
    </row>
    <row r="11293" spans="1:9" x14ac:dyDescent="0.2">
      <c r="A11293" s="997">
        <f t="shared" si="176"/>
        <v>11292</v>
      </c>
      <c r="B11293" s="983" t="s">
        <v>2726</v>
      </c>
      <c r="C11293" s="1000"/>
      <c r="H11293" s="983" t="s">
        <v>1108</v>
      </c>
    </row>
    <row r="11294" spans="1:9" x14ac:dyDescent="0.2">
      <c r="A11294" s="997">
        <f t="shared" si="176"/>
        <v>11293</v>
      </c>
      <c r="B11294" s="983" t="s">
        <v>2726</v>
      </c>
      <c r="C11294" s="1000"/>
      <c r="H11294" s="983" t="str">
        <f>CONCATENATE("&lt;valeur&gt;",Cellule_1660,"&lt;/valeur&gt;")</f>
        <v>&lt;valeur&gt;0&lt;/valeur&gt;</v>
      </c>
    </row>
    <row r="11295" spans="1:9" x14ac:dyDescent="0.2">
      <c r="A11295" s="997">
        <f t="shared" si="176"/>
        <v>11294</v>
      </c>
      <c r="B11295" s="983" t="s">
        <v>2726</v>
      </c>
      <c r="C11295" s="999"/>
      <c r="G11295" s="983" t="s">
        <v>1109</v>
      </c>
    </row>
    <row r="11296" spans="1:9" x14ac:dyDescent="0.2">
      <c r="A11296" s="997">
        <f t="shared" si="176"/>
        <v>11295</v>
      </c>
      <c r="B11296" s="983" t="s">
        <v>2726</v>
      </c>
      <c r="C11296" s="999"/>
      <c r="G11296" s="983" t="s">
        <v>1106</v>
      </c>
    </row>
    <row r="11297" spans="1:9" x14ac:dyDescent="0.2">
      <c r="A11297" s="997">
        <f t="shared" si="176"/>
        <v>11296</v>
      </c>
      <c r="B11297" s="983" t="s">
        <v>2726</v>
      </c>
      <c r="C11297" s="1000"/>
      <c r="H11297" s="983" t="s">
        <v>1107</v>
      </c>
    </row>
    <row r="11298" spans="1:9" x14ac:dyDescent="0.2">
      <c r="A11298" s="997">
        <f t="shared" si="176"/>
        <v>11297</v>
      </c>
      <c r="B11298" s="983" t="s">
        <v>2726</v>
      </c>
      <c r="C11298" s="1001"/>
      <c r="I11298" s="983" t="s">
        <v>2624</v>
      </c>
    </row>
    <row r="11299" spans="1:9" x14ac:dyDescent="0.2">
      <c r="A11299" s="997">
        <f t="shared" si="176"/>
        <v>11298</v>
      </c>
      <c r="B11299" s="983" t="s">
        <v>2726</v>
      </c>
      <c r="C11299" s="1000"/>
      <c r="H11299" s="983" t="s">
        <v>1108</v>
      </c>
    </row>
    <row r="11300" spans="1:9" x14ac:dyDescent="0.2">
      <c r="A11300" s="997">
        <f t="shared" si="176"/>
        <v>11299</v>
      </c>
      <c r="B11300" s="983" t="s">
        <v>2726</v>
      </c>
      <c r="C11300" s="1000"/>
      <c r="H11300" s="983" t="str">
        <f>CONCATENATE("&lt;valeur&gt;",Cellule_1668,"&lt;/valeur&gt;")</f>
        <v>&lt;valeur&gt;0&lt;/valeur&gt;</v>
      </c>
    </row>
    <row r="11301" spans="1:9" x14ac:dyDescent="0.2">
      <c r="A11301" s="997">
        <f t="shared" si="176"/>
        <v>11300</v>
      </c>
      <c r="B11301" s="983" t="s">
        <v>2726</v>
      </c>
      <c r="C11301" s="999"/>
      <c r="G11301" s="983" t="s">
        <v>1109</v>
      </c>
    </row>
    <row r="11302" spans="1:9" x14ac:dyDescent="0.2">
      <c r="A11302" s="997">
        <f t="shared" si="176"/>
        <v>11301</v>
      </c>
      <c r="B11302" s="983" t="s">
        <v>2726</v>
      </c>
      <c r="C11302" s="999"/>
      <c r="G11302" s="983" t="s">
        <v>1106</v>
      </c>
    </row>
    <row r="11303" spans="1:9" x14ac:dyDescent="0.2">
      <c r="A11303" s="997">
        <f t="shared" si="176"/>
        <v>11302</v>
      </c>
      <c r="B11303" s="983" t="s">
        <v>2726</v>
      </c>
      <c r="C11303" s="1000"/>
      <c r="H11303" s="983" t="s">
        <v>1107</v>
      </c>
    </row>
    <row r="11304" spans="1:9" x14ac:dyDescent="0.2">
      <c r="A11304" s="997">
        <f t="shared" si="176"/>
        <v>11303</v>
      </c>
      <c r="B11304" s="983" t="s">
        <v>2726</v>
      </c>
      <c r="C11304" s="1001"/>
      <c r="I11304" s="983" t="s">
        <v>2625</v>
      </c>
    </row>
    <row r="11305" spans="1:9" x14ac:dyDescent="0.2">
      <c r="A11305" s="997">
        <f t="shared" si="176"/>
        <v>11304</v>
      </c>
      <c r="B11305" s="983" t="s">
        <v>2726</v>
      </c>
      <c r="C11305" s="1000"/>
      <c r="H11305" s="983" t="s">
        <v>1108</v>
      </c>
    </row>
    <row r="11306" spans="1:9" x14ac:dyDescent="0.2">
      <c r="A11306" s="997">
        <f t="shared" si="176"/>
        <v>11305</v>
      </c>
      <c r="B11306" s="983" t="s">
        <v>2726</v>
      </c>
      <c r="C11306" s="1000"/>
      <c r="H11306" s="983" t="str">
        <f>CONCATENATE("&lt;valeur&gt;",Cellule_1676,"&lt;/valeur&gt;")</f>
        <v>&lt;valeur&gt;0&lt;/valeur&gt;</v>
      </c>
    </row>
    <row r="11307" spans="1:9" x14ac:dyDescent="0.2">
      <c r="A11307" s="997">
        <f t="shared" si="176"/>
        <v>11306</v>
      </c>
      <c r="B11307" s="983" t="s">
        <v>2726</v>
      </c>
      <c r="C11307" s="999"/>
      <c r="G11307" s="983" t="s">
        <v>1109</v>
      </c>
    </row>
    <row r="11308" spans="1:9" x14ac:dyDescent="0.2">
      <c r="A11308" s="997">
        <f t="shared" si="176"/>
        <v>11307</v>
      </c>
      <c r="B11308" s="983" t="s">
        <v>2726</v>
      </c>
      <c r="C11308" s="999"/>
      <c r="G11308" s="983" t="s">
        <v>1106</v>
      </c>
    </row>
    <row r="11309" spans="1:9" x14ac:dyDescent="0.2">
      <c r="A11309" s="997">
        <f t="shared" si="176"/>
        <v>11308</v>
      </c>
      <c r="B11309" s="983" t="s">
        <v>2726</v>
      </c>
      <c r="C11309" s="1000"/>
      <c r="H11309" s="983" t="s">
        <v>1107</v>
      </c>
    </row>
    <row r="11310" spans="1:9" x14ac:dyDescent="0.2">
      <c r="A11310" s="997">
        <f t="shared" si="176"/>
        <v>11309</v>
      </c>
      <c r="B11310" s="983" t="s">
        <v>2726</v>
      </c>
      <c r="C11310" s="1001"/>
      <c r="I11310" s="983" t="s">
        <v>2626</v>
      </c>
    </row>
    <row r="11311" spans="1:9" x14ac:dyDescent="0.2">
      <c r="A11311" s="997">
        <f t="shared" si="176"/>
        <v>11310</v>
      </c>
      <c r="B11311" s="983" t="s">
        <v>2726</v>
      </c>
      <c r="C11311" s="1000"/>
      <c r="H11311" s="983" t="s">
        <v>1108</v>
      </c>
    </row>
    <row r="11312" spans="1:9" x14ac:dyDescent="0.2">
      <c r="A11312" s="997">
        <f t="shared" si="176"/>
        <v>11311</v>
      </c>
      <c r="B11312" s="983" t="s">
        <v>2726</v>
      </c>
      <c r="C11312" s="1000"/>
      <c r="H11312" s="983" t="str">
        <f>CONCATENATE("&lt;valeur&gt;",Cellule_1689,"&lt;/valeur&gt;")</f>
        <v>&lt;valeur&gt;0&lt;/valeur&gt;</v>
      </c>
    </row>
    <row r="11313" spans="1:9" x14ac:dyDescent="0.2">
      <c r="A11313" s="997">
        <f t="shared" si="176"/>
        <v>11312</v>
      </c>
      <c r="B11313" s="983" t="s">
        <v>2726</v>
      </c>
      <c r="C11313" s="999"/>
      <c r="G11313" s="983" t="s">
        <v>1109</v>
      </c>
    </row>
    <row r="11314" spans="1:9" x14ac:dyDescent="0.2">
      <c r="A11314" s="997">
        <f t="shared" si="176"/>
        <v>11313</v>
      </c>
      <c r="B11314" s="983" t="s">
        <v>2726</v>
      </c>
      <c r="C11314" s="999"/>
      <c r="G11314" s="983" t="s">
        <v>1106</v>
      </c>
    </row>
    <row r="11315" spans="1:9" x14ac:dyDescent="0.2">
      <c r="A11315" s="997">
        <f t="shared" si="176"/>
        <v>11314</v>
      </c>
      <c r="B11315" s="983" t="s">
        <v>2726</v>
      </c>
      <c r="C11315" s="1000"/>
      <c r="H11315" s="983" t="s">
        <v>1107</v>
      </c>
    </row>
    <row r="11316" spans="1:9" x14ac:dyDescent="0.2">
      <c r="A11316" s="997">
        <f t="shared" si="176"/>
        <v>11315</v>
      </c>
      <c r="B11316" s="983" t="s">
        <v>2726</v>
      </c>
      <c r="C11316" s="1001"/>
      <c r="I11316" s="983" t="s">
        <v>2627</v>
      </c>
    </row>
    <row r="11317" spans="1:9" x14ac:dyDescent="0.2">
      <c r="A11317" s="997">
        <f t="shared" si="176"/>
        <v>11316</v>
      </c>
      <c r="B11317" s="983" t="s">
        <v>2726</v>
      </c>
      <c r="C11317" s="1000"/>
      <c r="H11317" s="983" t="s">
        <v>1108</v>
      </c>
    </row>
    <row r="11318" spans="1:9" x14ac:dyDescent="0.2">
      <c r="A11318" s="997">
        <f t="shared" si="176"/>
        <v>11317</v>
      </c>
      <c r="B11318" s="983" t="s">
        <v>2726</v>
      </c>
      <c r="C11318" s="1000"/>
      <c r="H11318" s="983" t="str">
        <f>CONCATENATE("&lt;valeur&gt;",Cellule_1740,"&lt;/valeur&gt;")</f>
        <v>&lt;valeur&gt;&lt;/valeur&gt;</v>
      </c>
    </row>
    <row r="11319" spans="1:9" x14ac:dyDescent="0.2">
      <c r="A11319" s="997">
        <f t="shared" si="176"/>
        <v>11318</v>
      </c>
      <c r="B11319" s="983" t="s">
        <v>2726</v>
      </c>
      <c r="C11319" s="999"/>
      <c r="G11319" s="983" t="s">
        <v>1109</v>
      </c>
    </row>
    <row r="11320" spans="1:9" x14ac:dyDescent="0.2">
      <c r="A11320" s="997">
        <f t="shared" si="176"/>
        <v>11319</v>
      </c>
      <c r="B11320" s="983" t="s">
        <v>2726</v>
      </c>
      <c r="C11320" s="999"/>
      <c r="G11320" s="983" t="s">
        <v>1106</v>
      </c>
    </row>
    <row r="11321" spans="1:9" x14ac:dyDescent="0.2">
      <c r="A11321" s="997">
        <f t="shared" si="176"/>
        <v>11320</v>
      </c>
      <c r="B11321" s="983" t="s">
        <v>2726</v>
      </c>
      <c r="C11321" s="1000"/>
      <c r="H11321" s="983" t="s">
        <v>1107</v>
      </c>
    </row>
    <row r="11322" spans="1:9" x14ac:dyDescent="0.2">
      <c r="A11322" s="997">
        <f t="shared" si="176"/>
        <v>11321</v>
      </c>
      <c r="B11322" s="983" t="s">
        <v>2726</v>
      </c>
      <c r="C11322" s="1001"/>
      <c r="I11322" s="983" t="s">
        <v>2628</v>
      </c>
    </row>
    <row r="11323" spans="1:9" x14ac:dyDescent="0.2">
      <c r="A11323" s="997">
        <f t="shared" si="176"/>
        <v>11322</v>
      </c>
      <c r="B11323" s="983" t="s">
        <v>2726</v>
      </c>
      <c r="C11323" s="1000"/>
      <c r="H11323" s="983" t="s">
        <v>1108</v>
      </c>
    </row>
    <row r="11324" spans="1:9" x14ac:dyDescent="0.2">
      <c r="A11324" s="997">
        <f t="shared" si="176"/>
        <v>11323</v>
      </c>
      <c r="B11324" s="983" t="s">
        <v>2726</v>
      </c>
      <c r="C11324" s="1000"/>
      <c r="H11324" s="983" t="str">
        <f>CONCATENATE("&lt;valeur&gt;",Cellule_1761,"&lt;/valeur&gt;")</f>
        <v>&lt;valeur&gt;0&lt;/valeur&gt;</v>
      </c>
    </row>
    <row r="11325" spans="1:9" x14ac:dyDescent="0.2">
      <c r="A11325" s="997">
        <f t="shared" si="176"/>
        <v>11324</v>
      </c>
      <c r="B11325" s="983" t="s">
        <v>2726</v>
      </c>
      <c r="C11325" s="999"/>
      <c r="G11325" s="983" t="s">
        <v>1109</v>
      </c>
    </row>
    <row r="11326" spans="1:9" x14ac:dyDescent="0.2">
      <c r="A11326" s="997">
        <f t="shared" si="176"/>
        <v>11325</v>
      </c>
      <c r="B11326" s="983" t="s">
        <v>2726</v>
      </c>
      <c r="C11326" s="999"/>
      <c r="G11326" s="983" t="s">
        <v>1106</v>
      </c>
    </row>
    <row r="11327" spans="1:9" x14ac:dyDescent="0.2">
      <c r="A11327" s="997">
        <f t="shared" si="176"/>
        <v>11326</v>
      </c>
      <c r="B11327" s="983" t="s">
        <v>2726</v>
      </c>
      <c r="C11327" s="1000"/>
      <c r="H11327" s="983" t="s">
        <v>1107</v>
      </c>
    </row>
    <row r="11328" spans="1:9" x14ac:dyDescent="0.2">
      <c r="A11328" s="997">
        <f t="shared" si="176"/>
        <v>11327</v>
      </c>
      <c r="B11328" s="983" t="s">
        <v>2726</v>
      </c>
      <c r="C11328" s="1001"/>
      <c r="I11328" s="983" t="s">
        <v>2629</v>
      </c>
    </row>
    <row r="11329" spans="1:9" x14ac:dyDescent="0.2">
      <c r="A11329" s="997">
        <f t="shared" si="176"/>
        <v>11328</v>
      </c>
      <c r="B11329" s="983" t="s">
        <v>2726</v>
      </c>
      <c r="C11329" s="1000"/>
      <c r="H11329" s="983" t="s">
        <v>1108</v>
      </c>
    </row>
    <row r="11330" spans="1:9" x14ac:dyDescent="0.2">
      <c r="A11330" s="997">
        <f t="shared" si="176"/>
        <v>11329</v>
      </c>
      <c r="B11330" s="983" t="s">
        <v>2726</v>
      </c>
      <c r="C11330" s="1000"/>
      <c r="H11330" s="983" t="str">
        <f>CONCATENATE("&lt;valeur&gt;",Cellule_1773,"&lt;/valeur&gt;")</f>
        <v>&lt;valeur&gt;&lt;/valeur&gt;</v>
      </c>
    </row>
    <row r="11331" spans="1:9" x14ac:dyDescent="0.2">
      <c r="A11331" s="997">
        <f t="shared" si="176"/>
        <v>11330</v>
      </c>
      <c r="B11331" s="983" t="s">
        <v>2726</v>
      </c>
      <c r="C11331" s="999"/>
      <c r="G11331" s="983" t="s">
        <v>1109</v>
      </c>
    </row>
    <row r="11332" spans="1:9" x14ac:dyDescent="0.2">
      <c r="A11332" s="997">
        <f t="shared" ref="A11332:A11395" si="177">+A11331+1</f>
        <v>11331</v>
      </c>
      <c r="B11332" s="983" t="s">
        <v>2726</v>
      </c>
      <c r="C11332" s="999"/>
      <c r="G11332" s="983" t="s">
        <v>1106</v>
      </c>
    </row>
    <row r="11333" spans="1:9" x14ac:dyDescent="0.2">
      <c r="A11333" s="997">
        <f t="shared" si="177"/>
        <v>11332</v>
      </c>
      <c r="B11333" s="983" t="s">
        <v>2726</v>
      </c>
      <c r="C11333" s="1000"/>
      <c r="H11333" s="983" t="s">
        <v>1107</v>
      </c>
    </row>
    <row r="11334" spans="1:9" x14ac:dyDescent="0.2">
      <c r="A11334" s="997">
        <f t="shared" si="177"/>
        <v>11333</v>
      </c>
      <c r="B11334" s="983" t="s">
        <v>2726</v>
      </c>
      <c r="C11334" s="1001"/>
      <c r="I11334" s="983" t="s">
        <v>2630</v>
      </c>
    </row>
    <row r="11335" spans="1:9" x14ac:dyDescent="0.2">
      <c r="A11335" s="997">
        <f t="shared" si="177"/>
        <v>11334</v>
      </c>
      <c r="B11335" s="983" t="s">
        <v>2726</v>
      </c>
      <c r="C11335" s="1000"/>
      <c r="H11335" s="983" t="s">
        <v>1108</v>
      </c>
    </row>
    <row r="11336" spans="1:9" x14ac:dyDescent="0.2">
      <c r="A11336" s="997">
        <f t="shared" si="177"/>
        <v>11335</v>
      </c>
      <c r="B11336" s="983" t="s">
        <v>2726</v>
      </c>
      <c r="C11336" s="1000"/>
      <c r="H11336" s="983" t="str">
        <f>CONCATENATE("&lt;valeur&gt;",Cellule_1804,"&lt;/valeur&gt;")</f>
        <v>&lt;valeur&gt;0&lt;/valeur&gt;</v>
      </c>
    </row>
    <row r="11337" spans="1:9" x14ac:dyDescent="0.2">
      <c r="A11337" s="997">
        <f t="shared" si="177"/>
        <v>11336</v>
      </c>
      <c r="B11337" s="983" t="s">
        <v>2726</v>
      </c>
      <c r="C11337" s="999"/>
      <c r="G11337" s="983" t="s">
        <v>1109</v>
      </c>
    </row>
    <row r="11338" spans="1:9" x14ac:dyDescent="0.2">
      <c r="A11338" s="997">
        <f t="shared" si="177"/>
        <v>11337</v>
      </c>
      <c r="B11338" s="983" t="s">
        <v>2726</v>
      </c>
      <c r="C11338" s="999"/>
      <c r="G11338" s="983" t="s">
        <v>1106</v>
      </c>
    </row>
    <row r="11339" spans="1:9" x14ac:dyDescent="0.2">
      <c r="A11339" s="997">
        <f t="shared" si="177"/>
        <v>11338</v>
      </c>
      <c r="B11339" s="983" t="s">
        <v>2726</v>
      </c>
      <c r="C11339" s="1000"/>
      <c r="H11339" s="983" t="s">
        <v>1107</v>
      </c>
    </row>
    <row r="11340" spans="1:9" x14ac:dyDescent="0.2">
      <c r="A11340" s="997">
        <f t="shared" si="177"/>
        <v>11339</v>
      </c>
      <c r="B11340" s="983" t="s">
        <v>2726</v>
      </c>
      <c r="C11340" s="1001"/>
      <c r="I11340" s="983" t="s">
        <v>2631</v>
      </c>
    </row>
    <row r="11341" spans="1:9" x14ac:dyDescent="0.2">
      <c r="A11341" s="997">
        <f t="shared" si="177"/>
        <v>11340</v>
      </c>
      <c r="B11341" s="983" t="s">
        <v>2726</v>
      </c>
      <c r="C11341" s="1000"/>
      <c r="H11341" s="983" t="s">
        <v>1108</v>
      </c>
    </row>
    <row r="11342" spans="1:9" x14ac:dyDescent="0.2">
      <c r="A11342" s="997">
        <f t="shared" si="177"/>
        <v>11341</v>
      </c>
      <c r="B11342" s="983" t="s">
        <v>2726</v>
      </c>
      <c r="C11342" s="1000"/>
      <c r="H11342" s="983" t="str">
        <f>CONCATENATE("&lt;valeur&gt;",Cellule_1823,"&lt;/valeur&gt;")</f>
        <v>&lt;valeur&gt;&lt;/valeur&gt;</v>
      </c>
    </row>
    <row r="11343" spans="1:9" x14ac:dyDescent="0.2">
      <c r="A11343" s="997">
        <f t="shared" si="177"/>
        <v>11342</v>
      </c>
      <c r="B11343" s="983" t="s">
        <v>2726</v>
      </c>
      <c r="C11343" s="999"/>
      <c r="G11343" s="983" t="s">
        <v>1109</v>
      </c>
    </row>
    <row r="11344" spans="1:9" x14ac:dyDescent="0.2">
      <c r="A11344" s="997">
        <f t="shared" si="177"/>
        <v>11343</v>
      </c>
      <c r="B11344" s="983" t="s">
        <v>2726</v>
      </c>
      <c r="C11344" s="999"/>
      <c r="G11344" s="983" t="s">
        <v>1106</v>
      </c>
    </row>
    <row r="11345" spans="1:9" x14ac:dyDescent="0.2">
      <c r="A11345" s="997">
        <f t="shared" si="177"/>
        <v>11344</v>
      </c>
      <c r="B11345" s="983" t="s">
        <v>2726</v>
      </c>
      <c r="C11345" s="1000"/>
      <c r="H11345" s="983" t="s">
        <v>1107</v>
      </c>
    </row>
    <row r="11346" spans="1:9" x14ac:dyDescent="0.2">
      <c r="A11346" s="997">
        <f t="shared" si="177"/>
        <v>11345</v>
      </c>
      <c r="B11346" s="983" t="s">
        <v>2726</v>
      </c>
      <c r="C11346" s="1001"/>
      <c r="I11346" s="983" t="s">
        <v>2632</v>
      </c>
    </row>
    <row r="11347" spans="1:9" x14ac:dyDescent="0.2">
      <c r="A11347" s="997">
        <f t="shared" si="177"/>
        <v>11346</v>
      </c>
      <c r="B11347" s="983" t="s">
        <v>2726</v>
      </c>
      <c r="C11347" s="1000"/>
      <c r="H11347" s="983" t="s">
        <v>1108</v>
      </c>
    </row>
    <row r="11348" spans="1:9" x14ac:dyDescent="0.2">
      <c r="A11348" s="997">
        <f t="shared" si="177"/>
        <v>11347</v>
      </c>
      <c r="B11348" s="983" t="s">
        <v>2726</v>
      </c>
      <c r="C11348" s="1000"/>
      <c r="H11348" s="983" t="str">
        <f>CONCATENATE("&lt;valeur&gt;",Cellule_1840,"&lt;/valeur&gt;")</f>
        <v>&lt;valeur&gt;0&lt;/valeur&gt;</v>
      </c>
    </row>
    <row r="11349" spans="1:9" x14ac:dyDescent="0.2">
      <c r="A11349" s="997">
        <f t="shared" si="177"/>
        <v>11348</v>
      </c>
      <c r="B11349" s="983" t="s">
        <v>2726</v>
      </c>
      <c r="C11349" s="999"/>
      <c r="G11349" s="983" t="s">
        <v>1109</v>
      </c>
    </row>
    <row r="11350" spans="1:9" x14ac:dyDescent="0.2">
      <c r="A11350" s="997">
        <f t="shared" si="177"/>
        <v>11349</v>
      </c>
      <c r="B11350" s="983" t="s">
        <v>2726</v>
      </c>
      <c r="C11350" s="999"/>
      <c r="G11350" s="983" t="s">
        <v>1106</v>
      </c>
    </row>
    <row r="11351" spans="1:9" x14ac:dyDescent="0.2">
      <c r="A11351" s="997">
        <f t="shared" si="177"/>
        <v>11350</v>
      </c>
      <c r="B11351" s="983" t="s">
        <v>2726</v>
      </c>
      <c r="C11351" s="1000"/>
      <c r="H11351" s="983" t="s">
        <v>1107</v>
      </c>
    </row>
    <row r="11352" spans="1:9" x14ac:dyDescent="0.2">
      <c r="A11352" s="997">
        <f t="shared" si="177"/>
        <v>11351</v>
      </c>
      <c r="B11352" s="983" t="s">
        <v>2726</v>
      </c>
      <c r="C11352" s="1001"/>
      <c r="I11352" s="983" t="s">
        <v>2633</v>
      </c>
    </row>
    <row r="11353" spans="1:9" x14ac:dyDescent="0.2">
      <c r="A11353" s="997">
        <f t="shared" si="177"/>
        <v>11352</v>
      </c>
      <c r="B11353" s="983" t="s">
        <v>2726</v>
      </c>
      <c r="C11353" s="1000"/>
      <c r="H11353" s="983" t="s">
        <v>1108</v>
      </c>
    </row>
    <row r="11354" spans="1:9" x14ac:dyDescent="0.2">
      <c r="A11354" s="997">
        <f t="shared" si="177"/>
        <v>11353</v>
      </c>
      <c r="B11354" s="983" t="s">
        <v>2726</v>
      </c>
      <c r="C11354" s="1000"/>
      <c r="H11354" s="983" t="str">
        <f>CONCATENATE("&lt;valeur&gt;",Cellule_1857,"&lt;/valeur&gt;")</f>
        <v>&lt;valeur&gt;0&lt;/valeur&gt;</v>
      </c>
    </row>
    <row r="11355" spans="1:9" x14ac:dyDescent="0.2">
      <c r="A11355" s="997">
        <f t="shared" si="177"/>
        <v>11354</v>
      </c>
      <c r="B11355" s="983" t="s">
        <v>2726</v>
      </c>
      <c r="C11355" s="999"/>
      <c r="G11355" s="983" t="s">
        <v>1109</v>
      </c>
    </row>
    <row r="11356" spans="1:9" x14ac:dyDescent="0.2">
      <c r="A11356" s="997">
        <f t="shared" si="177"/>
        <v>11355</v>
      </c>
      <c r="B11356" s="983" t="s">
        <v>2726</v>
      </c>
      <c r="C11356" s="999"/>
      <c r="G11356" s="983" t="s">
        <v>1106</v>
      </c>
    </row>
    <row r="11357" spans="1:9" x14ac:dyDescent="0.2">
      <c r="A11357" s="997">
        <f t="shared" si="177"/>
        <v>11356</v>
      </c>
      <c r="B11357" s="983" t="s">
        <v>2726</v>
      </c>
      <c r="C11357" s="1000"/>
      <c r="H11357" s="983" t="s">
        <v>1107</v>
      </c>
    </row>
    <row r="11358" spans="1:9" x14ac:dyDescent="0.2">
      <c r="A11358" s="997">
        <f t="shared" si="177"/>
        <v>11357</v>
      </c>
      <c r="B11358" s="983" t="s">
        <v>2726</v>
      </c>
      <c r="C11358" s="1001"/>
      <c r="I11358" s="983" t="s">
        <v>2634</v>
      </c>
    </row>
    <row r="11359" spans="1:9" x14ac:dyDescent="0.2">
      <c r="A11359" s="997">
        <f t="shared" si="177"/>
        <v>11358</v>
      </c>
      <c r="B11359" s="983" t="s">
        <v>2726</v>
      </c>
      <c r="C11359" s="1000"/>
      <c r="H11359" s="983" t="s">
        <v>1108</v>
      </c>
    </row>
    <row r="11360" spans="1:9" x14ac:dyDescent="0.2">
      <c r="A11360" s="997">
        <f t="shared" si="177"/>
        <v>11359</v>
      </c>
      <c r="B11360" s="983" t="s">
        <v>2726</v>
      </c>
      <c r="C11360" s="1000"/>
      <c r="H11360" s="983" t="str">
        <f>CONCATENATE("&lt;valeur&gt;",Cellule_1865,"&lt;/valeur&gt;")</f>
        <v>&lt;valeur&gt;0&lt;/valeur&gt;</v>
      </c>
    </row>
    <row r="11361" spans="1:9" x14ac:dyDescent="0.2">
      <c r="A11361" s="997">
        <f t="shared" si="177"/>
        <v>11360</v>
      </c>
      <c r="B11361" s="983" t="s">
        <v>2726</v>
      </c>
      <c r="C11361" s="999"/>
      <c r="G11361" s="983" t="s">
        <v>1109</v>
      </c>
    </row>
    <row r="11362" spans="1:9" x14ac:dyDescent="0.2">
      <c r="A11362" s="997">
        <f t="shared" si="177"/>
        <v>11361</v>
      </c>
      <c r="B11362" s="983" t="s">
        <v>2726</v>
      </c>
      <c r="C11362" s="999"/>
      <c r="G11362" s="983" t="s">
        <v>1106</v>
      </c>
    </row>
    <row r="11363" spans="1:9" x14ac:dyDescent="0.2">
      <c r="A11363" s="997">
        <f t="shared" si="177"/>
        <v>11362</v>
      </c>
      <c r="B11363" s="983" t="s">
        <v>2726</v>
      </c>
      <c r="C11363" s="1000"/>
      <c r="H11363" s="983" t="s">
        <v>1107</v>
      </c>
    </row>
    <row r="11364" spans="1:9" x14ac:dyDescent="0.2">
      <c r="A11364" s="997">
        <f t="shared" si="177"/>
        <v>11363</v>
      </c>
      <c r="B11364" s="983" t="s">
        <v>2726</v>
      </c>
      <c r="C11364" s="1001"/>
      <c r="I11364" s="983" t="s">
        <v>2635</v>
      </c>
    </row>
    <row r="11365" spans="1:9" x14ac:dyDescent="0.2">
      <c r="A11365" s="997">
        <f t="shared" si="177"/>
        <v>11364</v>
      </c>
      <c r="B11365" s="983" t="s">
        <v>2726</v>
      </c>
      <c r="C11365" s="1000"/>
      <c r="H11365" s="983" t="s">
        <v>1108</v>
      </c>
    </row>
    <row r="11366" spans="1:9" x14ac:dyDescent="0.2">
      <c r="A11366" s="997">
        <f t="shared" si="177"/>
        <v>11365</v>
      </c>
      <c r="B11366" s="983" t="s">
        <v>2726</v>
      </c>
      <c r="C11366" s="1000"/>
      <c r="H11366" s="983" t="str">
        <f>CONCATENATE("&lt;valeur&gt;",Cellule_1873,"&lt;/valeur&gt;")</f>
        <v>&lt;valeur&gt;0&lt;/valeur&gt;</v>
      </c>
    </row>
    <row r="11367" spans="1:9" x14ac:dyDescent="0.2">
      <c r="A11367" s="997">
        <f t="shared" si="177"/>
        <v>11366</v>
      </c>
      <c r="B11367" s="983" t="s">
        <v>2726</v>
      </c>
      <c r="C11367" s="999"/>
      <c r="G11367" s="983" t="s">
        <v>1109</v>
      </c>
    </row>
    <row r="11368" spans="1:9" x14ac:dyDescent="0.2">
      <c r="A11368" s="997">
        <f t="shared" si="177"/>
        <v>11367</v>
      </c>
      <c r="B11368" s="983" t="s">
        <v>2726</v>
      </c>
      <c r="C11368" s="999"/>
      <c r="G11368" s="983" t="s">
        <v>1106</v>
      </c>
    </row>
    <row r="11369" spans="1:9" x14ac:dyDescent="0.2">
      <c r="A11369" s="997">
        <f t="shared" si="177"/>
        <v>11368</v>
      </c>
      <c r="B11369" s="983" t="s">
        <v>2726</v>
      </c>
      <c r="C11369" s="1000"/>
      <c r="H11369" s="983" t="s">
        <v>1107</v>
      </c>
    </row>
    <row r="11370" spans="1:9" x14ac:dyDescent="0.2">
      <c r="A11370" s="997">
        <f t="shared" si="177"/>
        <v>11369</v>
      </c>
      <c r="B11370" s="983" t="s">
        <v>2726</v>
      </c>
      <c r="C11370" s="1001"/>
      <c r="I11370" s="983" t="s">
        <v>2636</v>
      </c>
    </row>
    <row r="11371" spans="1:9" x14ac:dyDescent="0.2">
      <c r="A11371" s="997">
        <f t="shared" si="177"/>
        <v>11370</v>
      </c>
      <c r="B11371" s="983" t="s">
        <v>2726</v>
      </c>
      <c r="C11371" s="1000"/>
      <c r="H11371" s="983" t="s">
        <v>1108</v>
      </c>
    </row>
    <row r="11372" spans="1:9" x14ac:dyDescent="0.2">
      <c r="A11372" s="997">
        <f t="shared" si="177"/>
        <v>11371</v>
      </c>
      <c r="B11372" s="983" t="s">
        <v>2726</v>
      </c>
      <c r="C11372" s="1000"/>
      <c r="H11372" s="983" t="str">
        <f>CONCATENATE("&lt;valeur&gt;",Cellule_1890,"&lt;/valeur&gt;")</f>
        <v>&lt;valeur&gt;0&lt;/valeur&gt;</v>
      </c>
    </row>
    <row r="11373" spans="1:9" x14ac:dyDescent="0.2">
      <c r="A11373" s="997">
        <f t="shared" si="177"/>
        <v>11372</v>
      </c>
      <c r="B11373" s="983" t="s">
        <v>2726</v>
      </c>
      <c r="C11373" s="999"/>
      <c r="G11373" s="983" t="s">
        <v>1109</v>
      </c>
    </row>
    <row r="11374" spans="1:9" x14ac:dyDescent="0.2">
      <c r="A11374" s="997">
        <f t="shared" si="177"/>
        <v>11373</v>
      </c>
      <c r="B11374" s="983" t="s">
        <v>2726</v>
      </c>
      <c r="C11374" s="999"/>
      <c r="G11374" s="983" t="s">
        <v>1106</v>
      </c>
    </row>
    <row r="11375" spans="1:9" x14ac:dyDescent="0.2">
      <c r="A11375" s="997">
        <f t="shared" si="177"/>
        <v>11374</v>
      </c>
      <c r="B11375" s="983" t="s">
        <v>2726</v>
      </c>
      <c r="C11375" s="1000"/>
      <c r="H11375" s="983" t="s">
        <v>1107</v>
      </c>
    </row>
    <row r="11376" spans="1:9" x14ac:dyDescent="0.2">
      <c r="A11376" s="997">
        <f t="shared" si="177"/>
        <v>11375</v>
      </c>
      <c r="B11376" s="983" t="s">
        <v>2726</v>
      </c>
      <c r="C11376" s="1001"/>
      <c r="I11376" s="983" t="s">
        <v>2637</v>
      </c>
    </row>
    <row r="11377" spans="1:9" x14ac:dyDescent="0.2">
      <c r="A11377" s="997">
        <f t="shared" si="177"/>
        <v>11376</v>
      </c>
      <c r="B11377" s="983" t="s">
        <v>2726</v>
      </c>
      <c r="C11377" s="1000"/>
      <c r="H11377" s="983" t="s">
        <v>1108</v>
      </c>
    </row>
    <row r="11378" spans="1:9" x14ac:dyDescent="0.2">
      <c r="A11378" s="997">
        <f t="shared" si="177"/>
        <v>11377</v>
      </c>
      <c r="B11378" s="983" t="s">
        <v>2726</v>
      </c>
      <c r="C11378" s="1000"/>
      <c r="H11378" s="983" t="str">
        <f>CONCATENATE("&lt;valeur&gt;",Cellule_1406,"&lt;/valeur&gt;")</f>
        <v>&lt;valeur&gt;0&lt;/valeur&gt;</v>
      </c>
    </row>
    <row r="11379" spans="1:9" x14ac:dyDescent="0.2">
      <c r="A11379" s="997">
        <f t="shared" si="177"/>
        <v>11378</v>
      </c>
      <c r="B11379" s="983" t="s">
        <v>2726</v>
      </c>
      <c r="C11379" s="999"/>
      <c r="G11379" s="983" t="s">
        <v>1109</v>
      </c>
    </row>
    <row r="11380" spans="1:9" x14ac:dyDescent="0.2">
      <c r="A11380" s="997">
        <f t="shared" si="177"/>
        <v>11379</v>
      </c>
      <c r="B11380" s="983" t="s">
        <v>2726</v>
      </c>
      <c r="C11380" s="999"/>
      <c r="G11380" s="983" t="s">
        <v>1106</v>
      </c>
    </row>
    <row r="11381" spans="1:9" x14ac:dyDescent="0.2">
      <c r="A11381" s="997">
        <f t="shared" si="177"/>
        <v>11380</v>
      </c>
      <c r="B11381" s="983" t="s">
        <v>2726</v>
      </c>
      <c r="C11381" s="1000"/>
      <c r="H11381" s="983" t="s">
        <v>1107</v>
      </c>
    </row>
    <row r="11382" spans="1:9" x14ac:dyDescent="0.2">
      <c r="A11382" s="997">
        <f t="shared" si="177"/>
        <v>11381</v>
      </c>
      <c r="B11382" s="983" t="s">
        <v>2726</v>
      </c>
      <c r="C11382" s="1001"/>
      <c r="I11382" s="983" t="s">
        <v>2638</v>
      </c>
    </row>
    <row r="11383" spans="1:9" x14ac:dyDescent="0.2">
      <c r="A11383" s="997">
        <f t="shared" si="177"/>
        <v>11382</v>
      </c>
      <c r="B11383" s="983" t="s">
        <v>2726</v>
      </c>
      <c r="C11383" s="1000"/>
      <c r="H11383" s="983" t="s">
        <v>1108</v>
      </c>
    </row>
    <row r="11384" spans="1:9" x14ac:dyDescent="0.2">
      <c r="A11384" s="997">
        <f t="shared" si="177"/>
        <v>11383</v>
      </c>
      <c r="B11384" s="983" t="s">
        <v>2726</v>
      </c>
      <c r="C11384" s="1000"/>
      <c r="H11384" s="983" t="str">
        <f>CONCATENATE("&lt;valeur&gt;",Cellule_1414,"&lt;/valeur&gt;")</f>
        <v>&lt;valeur&gt;0&lt;/valeur&gt;</v>
      </c>
    </row>
    <row r="11385" spans="1:9" x14ac:dyDescent="0.2">
      <c r="A11385" s="997">
        <f t="shared" si="177"/>
        <v>11384</v>
      </c>
      <c r="B11385" s="983" t="s">
        <v>2726</v>
      </c>
      <c r="C11385" s="999"/>
      <c r="G11385" s="983" t="s">
        <v>1109</v>
      </c>
    </row>
    <row r="11386" spans="1:9" x14ac:dyDescent="0.2">
      <c r="A11386" s="997">
        <f t="shared" si="177"/>
        <v>11385</v>
      </c>
      <c r="B11386" s="983" t="s">
        <v>2726</v>
      </c>
      <c r="C11386" s="999"/>
      <c r="G11386" s="983" t="s">
        <v>1106</v>
      </c>
    </row>
    <row r="11387" spans="1:9" x14ac:dyDescent="0.2">
      <c r="A11387" s="997">
        <f t="shared" si="177"/>
        <v>11386</v>
      </c>
      <c r="B11387" s="983" t="s">
        <v>2726</v>
      </c>
      <c r="C11387" s="1000"/>
      <c r="H11387" s="983" t="s">
        <v>1107</v>
      </c>
    </row>
    <row r="11388" spans="1:9" x14ac:dyDescent="0.2">
      <c r="A11388" s="997">
        <f t="shared" si="177"/>
        <v>11387</v>
      </c>
      <c r="B11388" s="983" t="s">
        <v>2726</v>
      </c>
      <c r="C11388" s="1001"/>
      <c r="I11388" s="983" t="s">
        <v>2639</v>
      </c>
    </row>
    <row r="11389" spans="1:9" x14ac:dyDescent="0.2">
      <c r="A11389" s="997">
        <f t="shared" si="177"/>
        <v>11388</v>
      </c>
      <c r="B11389" s="983" t="s">
        <v>2726</v>
      </c>
      <c r="C11389" s="1000"/>
      <c r="H11389" s="983" t="s">
        <v>1108</v>
      </c>
    </row>
    <row r="11390" spans="1:9" x14ac:dyDescent="0.2">
      <c r="A11390" s="997">
        <f t="shared" si="177"/>
        <v>11389</v>
      </c>
      <c r="B11390" s="983" t="s">
        <v>2726</v>
      </c>
      <c r="C11390" s="1000"/>
      <c r="H11390" s="983" t="str">
        <f>CONCATENATE("&lt;valeur&gt;",Cellule_1430,"&lt;/valeur&gt;")</f>
        <v>&lt;valeur&gt;0&lt;/valeur&gt;</v>
      </c>
    </row>
    <row r="11391" spans="1:9" x14ac:dyDescent="0.2">
      <c r="A11391" s="997">
        <f t="shared" si="177"/>
        <v>11390</v>
      </c>
      <c r="B11391" s="983" t="s">
        <v>2726</v>
      </c>
      <c r="C11391" s="999"/>
      <c r="G11391" s="983" t="s">
        <v>1109</v>
      </c>
    </row>
    <row r="11392" spans="1:9" x14ac:dyDescent="0.2">
      <c r="A11392" s="997">
        <f t="shared" si="177"/>
        <v>11391</v>
      </c>
      <c r="B11392" s="983" t="s">
        <v>2726</v>
      </c>
      <c r="C11392" s="999"/>
      <c r="G11392" s="983" t="s">
        <v>1106</v>
      </c>
    </row>
    <row r="11393" spans="1:9" x14ac:dyDescent="0.2">
      <c r="A11393" s="997">
        <f t="shared" si="177"/>
        <v>11392</v>
      </c>
      <c r="B11393" s="983" t="s">
        <v>2726</v>
      </c>
      <c r="C11393" s="1000"/>
      <c r="H11393" s="983" t="s">
        <v>1107</v>
      </c>
    </row>
    <row r="11394" spans="1:9" x14ac:dyDescent="0.2">
      <c r="A11394" s="997">
        <f t="shared" si="177"/>
        <v>11393</v>
      </c>
      <c r="B11394" s="983" t="s">
        <v>2726</v>
      </c>
      <c r="C11394" s="1001"/>
      <c r="I11394" s="983" t="s">
        <v>2640</v>
      </c>
    </row>
    <row r="11395" spans="1:9" x14ac:dyDescent="0.2">
      <c r="A11395" s="997">
        <f t="shared" si="177"/>
        <v>11394</v>
      </c>
      <c r="B11395" s="983" t="s">
        <v>2726</v>
      </c>
      <c r="C11395" s="1000"/>
      <c r="H11395" s="983" t="s">
        <v>1108</v>
      </c>
    </row>
    <row r="11396" spans="1:9" x14ac:dyDescent="0.2">
      <c r="A11396" s="997">
        <f t="shared" ref="A11396:A11459" si="178">+A11395+1</f>
        <v>11395</v>
      </c>
      <c r="B11396" s="983" t="s">
        <v>2726</v>
      </c>
      <c r="C11396" s="1000"/>
      <c r="H11396" s="983" t="str">
        <f>CONCATENATE("&lt;valeur&gt;",Cellule_1438,"&lt;/valeur&gt;")</f>
        <v>&lt;valeur&gt;0&lt;/valeur&gt;</v>
      </c>
    </row>
    <row r="11397" spans="1:9" x14ac:dyDescent="0.2">
      <c r="A11397" s="997">
        <f t="shared" si="178"/>
        <v>11396</v>
      </c>
      <c r="B11397" s="983" t="s">
        <v>2726</v>
      </c>
      <c r="C11397" s="999"/>
      <c r="G11397" s="983" t="s">
        <v>1109</v>
      </c>
    </row>
    <row r="11398" spans="1:9" x14ac:dyDescent="0.2">
      <c r="A11398" s="997">
        <f t="shared" si="178"/>
        <v>11397</v>
      </c>
      <c r="B11398" s="983" t="s">
        <v>2726</v>
      </c>
      <c r="C11398" s="999"/>
      <c r="G11398" s="983" t="s">
        <v>1106</v>
      </c>
    </row>
    <row r="11399" spans="1:9" x14ac:dyDescent="0.2">
      <c r="A11399" s="997">
        <f t="shared" si="178"/>
        <v>11398</v>
      </c>
      <c r="B11399" s="983" t="s">
        <v>2726</v>
      </c>
      <c r="C11399" s="1000"/>
      <c r="H11399" s="983" t="s">
        <v>1107</v>
      </c>
    </row>
    <row r="11400" spans="1:9" x14ac:dyDescent="0.2">
      <c r="A11400" s="997">
        <f t="shared" si="178"/>
        <v>11399</v>
      </c>
      <c r="B11400" s="983" t="s">
        <v>2726</v>
      </c>
      <c r="C11400" s="1001"/>
      <c r="I11400" s="983" t="s">
        <v>2641</v>
      </c>
    </row>
    <row r="11401" spans="1:9" x14ac:dyDescent="0.2">
      <c r="A11401" s="997">
        <f t="shared" si="178"/>
        <v>11400</v>
      </c>
      <c r="B11401" s="983" t="s">
        <v>2726</v>
      </c>
      <c r="C11401" s="1000"/>
      <c r="H11401" s="983" t="s">
        <v>1108</v>
      </c>
    </row>
    <row r="11402" spans="1:9" x14ac:dyDescent="0.2">
      <c r="A11402" s="997">
        <f t="shared" si="178"/>
        <v>11401</v>
      </c>
      <c r="B11402" s="983" t="s">
        <v>2726</v>
      </c>
      <c r="C11402" s="1000"/>
      <c r="H11402" s="983" t="str">
        <f>CONCATENATE("&lt;valeur&gt;",Cellule_1454,"&lt;/valeur&gt;")</f>
        <v>&lt;valeur&gt;&lt;/valeur&gt;</v>
      </c>
    </row>
    <row r="11403" spans="1:9" x14ac:dyDescent="0.2">
      <c r="A11403" s="997">
        <f t="shared" si="178"/>
        <v>11402</v>
      </c>
      <c r="B11403" s="983" t="s">
        <v>2726</v>
      </c>
      <c r="C11403" s="999"/>
      <c r="G11403" s="983" t="s">
        <v>1109</v>
      </c>
    </row>
    <row r="11404" spans="1:9" x14ac:dyDescent="0.2">
      <c r="A11404" s="997">
        <f t="shared" si="178"/>
        <v>11403</v>
      </c>
      <c r="B11404" s="983" t="s">
        <v>2726</v>
      </c>
      <c r="C11404" s="999"/>
      <c r="G11404" s="983" t="s">
        <v>1106</v>
      </c>
    </row>
    <row r="11405" spans="1:9" x14ac:dyDescent="0.2">
      <c r="A11405" s="997">
        <f t="shared" si="178"/>
        <v>11404</v>
      </c>
      <c r="B11405" s="983" t="s">
        <v>2726</v>
      </c>
      <c r="C11405" s="1000"/>
      <c r="H11405" s="983" t="s">
        <v>1107</v>
      </c>
    </row>
    <row r="11406" spans="1:9" x14ac:dyDescent="0.2">
      <c r="A11406" s="997">
        <f t="shared" si="178"/>
        <v>11405</v>
      </c>
      <c r="B11406" s="983" t="s">
        <v>2726</v>
      </c>
      <c r="C11406" s="1001"/>
      <c r="I11406" s="983" t="s">
        <v>2642</v>
      </c>
    </row>
    <row r="11407" spans="1:9" x14ac:dyDescent="0.2">
      <c r="A11407" s="997">
        <f t="shared" si="178"/>
        <v>11406</v>
      </c>
      <c r="B11407" s="983" t="s">
        <v>2726</v>
      </c>
      <c r="C11407" s="1000"/>
      <c r="H11407" s="983" t="s">
        <v>1108</v>
      </c>
    </row>
    <row r="11408" spans="1:9" x14ac:dyDescent="0.2">
      <c r="A11408" s="997">
        <f t="shared" si="178"/>
        <v>11407</v>
      </c>
      <c r="B11408" s="983" t="s">
        <v>2726</v>
      </c>
      <c r="C11408" s="1000"/>
      <c r="H11408" s="983" t="str">
        <f>CONCATENATE("&lt;valeur&gt;",Cellule_1462,"&lt;/valeur&gt;")</f>
        <v>&lt;valeur&gt;0&lt;/valeur&gt;</v>
      </c>
    </row>
    <row r="11409" spans="1:9" x14ac:dyDescent="0.2">
      <c r="A11409" s="997">
        <f t="shared" si="178"/>
        <v>11408</v>
      </c>
      <c r="B11409" s="983" t="s">
        <v>2726</v>
      </c>
      <c r="C11409" s="999"/>
      <c r="G11409" s="983" t="s">
        <v>1109</v>
      </c>
    </row>
    <row r="11410" spans="1:9" x14ac:dyDescent="0.2">
      <c r="A11410" s="997">
        <f t="shared" si="178"/>
        <v>11409</v>
      </c>
      <c r="B11410" s="983" t="s">
        <v>2726</v>
      </c>
      <c r="C11410" s="999"/>
      <c r="G11410" s="983" t="s">
        <v>1106</v>
      </c>
    </row>
    <row r="11411" spans="1:9" x14ac:dyDescent="0.2">
      <c r="A11411" s="997">
        <f t="shared" si="178"/>
        <v>11410</v>
      </c>
      <c r="B11411" s="983" t="s">
        <v>2726</v>
      </c>
      <c r="C11411" s="1000"/>
      <c r="H11411" s="983" t="s">
        <v>1107</v>
      </c>
    </row>
    <row r="11412" spans="1:9" x14ac:dyDescent="0.2">
      <c r="A11412" s="997">
        <f t="shared" si="178"/>
        <v>11411</v>
      </c>
      <c r="B11412" s="983" t="s">
        <v>2726</v>
      </c>
      <c r="C11412" s="1001"/>
      <c r="I11412" s="983" t="s">
        <v>2643</v>
      </c>
    </row>
    <row r="11413" spans="1:9" x14ac:dyDescent="0.2">
      <c r="A11413" s="997">
        <f t="shared" si="178"/>
        <v>11412</v>
      </c>
      <c r="B11413" s="983" t="s">
        <v>2726</v>
      </c>
      <c r="C11413" s="1000"/>
      <c r="H11413" s="983" t="s">
        <v>1108</v>
      </c>
    </row>
    <row r="11414" spans="1:9" x14ac:dyDescent="0.2">
      <c r="A11414" s="997">
        <f t="shared" si="178"/>
        <v>11413</v>
      </c>
      <c r="B11414" s="983" t="s">
        <v>2726</v>
      </c>
      <c r="C11414" s="1000"/>
      <c r="H11414" s="983" t="str">
        <f>CONCATENATE("&lt;valeur&gt;",Cellule_1470,"&lt;/valeur&gt;")</f>
        <v>&lt;valeur&gt;0&lt;/valeur&gt;</v>
      </c>
    </row>
    <row r="11415" spans="1:9" x14ac:dyDescent="0.2">
      <c r="A11415" s="997">
        <f t="shared" si="178"/>
        <v>11414</v>
      </c>
      <c r="B11415" s="983" t="s">
        <v>2726</v>
      </c>
      <c r="C11415" s="999"/>
      <c r="G11415" s="983" t="s">
        <v>1109</v>
      </c>
    </row>
    <row r="11416" spans="1:9" x14ac:dyDescent="0.2">
      <c r="A11416" s="997">
        <f t="shared" si="178"/>
        <v>11415</v>
      </c>
      <c r="B11416" s="983" t="s">
        <v>2726</v>
      </c>
      <c r="C11416" s="999"/>
      <c r="G11416" s="983" t="s">
        <v>1106</v>
      </c>
    </row>
    <row r="11417" spans="1:9" x14ac:dyDescent="0.2">
      <c r="A11417" s="997">
        <f t="shared" si="178"/>
        <v>11416</v>
      </c>
      <c r="B11417" s="983" t="s">
        <v>2726</v>
      </c>
      <c r="C11417" s="1000"/>
      <c r="H11417" s="983" t="s">
        <v>1107</v>
      </c>
    </row>
    <row r="11418" spans="1:9" x14ac:dyDescent="0.2">
      <c r="A11418" s="997">
        <f t="shared" si="178"/>
        <v>11417</v>
      </c>
      <c r="B11418" s="983" t="s">
        <v>2726</v>
      </c>
      <c r="C11418" s="1001"/>
      <c r="I11418" s="983" t="s">
        <v>2644</v>
      </c>
    </row>
    <row r="11419" spans="1:9" x14ac:dyDescent="0.2">
      <c r="A11419" s="997">
        <f t="shared" si="178"/>
        <v>11418</v>
      </c>
      <c r="B11419" s="983" t="s">
        <v>2726</v>
      </c>
      <c r="C11419" s="1000"/>
      <c r="H11419" s="983" t="s">
        <v>1108</v>
      </c>
    </row>
    <row r="11420" spans="1:9" x14ac:dyDescent="0.2">
      <c r="A11420" s="997">
        <f t="shared" si="178"/>
        <v>11419</v>
      </c>
      <c r="B11420" s="983" t="s">
        <v>2726</v>
      </c>
      <c r="C11420" s="1000"/>
      <c r="H11420" s="983" t="str">
        <f>CONCATENATE("&lt;valeur&gt;",Cellule_1478,"&lt;/valeur&gt;")</f>
        <v>&lt;valeur&gt;0&lt;/valeur&gt;</v>
      </c>
    </row>
    <row r="11421" spans="1:9" x14ac:dyDescent="0.2">
      <c r="A11421" s="997">
        <f t="shared" si="178"/>
        <v>11420</v>
      </c>
      <c r="B11421" s="983" t="s">
        <v>2726</v>
      </c>
      <c r="C11421" s="999"/>
      <c r="G11421" s="983" t="s">
        <v>1109</v>
      </c>
    </row>
    <row r="11422" spans="1:9" x14ac:dyDescent="0.2">
      <c r="A11422" s="997">
        <f t="shared" si="178"/>
        <v>11421</v>
      </c>
      <c r="B11422" s="983" t="s">
        <v>2726</v>
      </c>
      <c r="C11422" s="999"/>
      <c r="G11422" s="983" t="s">
        <v>1106</v>
      </c>
    </row>
    <row r="11423" spans="1:9" x14ac:dyDescent="0.2">
      <c r="A11423" s="997">
        <f t="shared" si="178"/>
        <v>11422</v>
      </c>
      <c r="B11423" s="983" t="s">
        <v>2726</v>
      </c>
      <c r="C11423" s="1000"/>
      <c r="H11423" s="983" t="s">
        <v>1107</v>
      </c>
    </row>
    <row r="11424" spans="1:9" x14ac:dyDescent="0.2">
      <c r="A11424" s="997">
        <f t="shared" si="178"/>
        <v>11423</v>
      </c>
      <c r="B11424" s="983" t="s">
        <v>2726</v>
      </c>
      <c r="C11424" s="1001"/>
      <c r="I11424" s="983" t="s">
        <v>2645</v>
      </c>
    </row>
    <row r="11425" spans="1:9" x14ac:dyDescent="0.2">
      <c r="A11425" s="997">
        <f t="shared" si="178"/>
        <v>11424</v>
      </c>
      <c r="B11425" s="983" t="s">
        <v>2726</v>
      </c>
      <c r="C11425" s="1000"/>
      <c r="H11425" s="983" t="s">
        <v>1108</v>
      </c>
    </row>
    <row r="11426" spans="1:9" x14ac:dyDescent="0.2">
      <c r="A11426" s="997">
        <f t="shared" si="178"/>
        <v>11425</v>
      </c>
      <c r="B11426" s="983" t="s">
        <v>2726</v>
      </c>
      <c r="C11426" s="1000"/>
      <c r="H11426" s="983" t="str">
        <f>CONCATENATE("&lt;valeur&gt;",Cellule_1486,"&lt;/valeur&gt;")</f>
        <v>&lt;valeur&gt;0&lt;/valeur&gt;</v>
      </c>
    </row>
    <row r="11427" spans="1:9" x14ac:dyDescent="0.2">
      <c r="A11427" s="997">
        <f t="shared" si="178"/>
        <v>11426</v>
      </c>
      <c r="B11427" s="983" t="s">
        <v>2726</v>
      </c>
      <c r="C11427" s="999"/>
      <c r="G11427" s="983" t="s">
        <v>1109</v>
      </c>
    </row>
    <row r="11428" spans="1:9" x14ac:dyDescent="0.2">
      <c r="A11428" s="997">
        <f t="shared" si="178"/>
        <v>11427</v>
      </c>
      <c r="B11428" s="983" t="s">
        <v>2726</v>
      </c>
      <c r="C11428" s="999"/>
      <c r="G11428" s="983" t="s">
        <v>1106</v>
      </c>
    </row>
    <row r="11429" spans="1:9" x14ac:dyDescent="0.2">
      <c r="A11429" s="997">
        <f t="shared" si="178"/>
        <v>11428</v>
      </c>
      <c r="B11429" s="983" t="s">
        <v>2726</v>
      </c>
      <c r="C11429" s="1000"/>
      <c r="H11429" s="983" t="s">
        <v>1107</v>
      </c>
    </row>
    <row r="11430" spans="1:9" x14ac:dyDescent="0.2">
      <c r="A11430" s="997">
        <f t="shared" si="178"/>
        <v>11429</v>
      </c>
      <c r="B11430" s="983" t="s">
        <v>2726</v>
      </c>
      <c r="C11430" s="1001"/>
      <c r="I11430" s="983" t="s">
        <v>2646</v>
      </c>
    </row>
    <row r="11431" spans="1:9" x14ac:dyDescent="0.2">
      <c r="A11431" s="997">
        <f t="shared" si="178"/>
        <v>11430</v>
      </c>
      <c r="B11431" s="983" t="s">
        <v>2726</v>
      </c>
      <c r="C11431" s="1000"/>
      <c r="H11431" s="983" t="s">
        <v>1108</v>
      </c>
    </row>
    <row r="11432" spans="1:9" x14ac:dyDescent="0.2">
      <c r="A11432" s="997">
        <f t="shared" si="178"/>
        <v>11431</v>
      </c>
      <c r="B11432" s="983" t="s">
        <v>2726</v>
      </c>
      <c r="C11432" s="1000"/>
      <c r="H11432" s="983" t="str">
        <f>CONCATENATE("&lt;valeur&gt;",Cellule_1422,"&lt;/valeur&gt;")</f>
        <v>&lt;valeur&gt;0&lt;/valeur&gt;</v>
      </c>
    </row>
    <row r="11433" spans="1:9" x14ac:dyDescent="0.2">
      <c r="A11433" s="997">
        <f t="shared" si="178"/>
        <v>11432</v>
      </c>
      <c r="B11433" s="983" t="s">
        <v>2726</v>
      </c>
      <c r="C11433" s="999"/>
      <c r="G11433" s="983" t="s">
        <v>1109</v>
      </c>
    </row>
    <row r="11434" spans="1:9" x14ac:dyDescent="0.2">
      <c r="A11434" s="997">
        <f t="shared" si="178"/>
        <v>11433</v>
      </c>
      <c r="B11434" s="983" t="s">
        <v>2726</v>
      </c>
      <c r="C11434" s="999"/>
      <c r="G11434" s="983" t="s">
        <v>1106</v>
      </c>
    </row>
    <row r="11435" spans="1:9" x14ac:dyDescent="0.2">
      <c r="A11435" s="997">
        <f t="shared" si="178"/>
        <v>11434</v>
      </c>
      <c r="B11435" s="983" t="s">
        <v>2726</v>
      </c>
      <c r="C11435" s="1000"/>
      <c r="H11435" s="983" t="s">
        <v>1107</v>
      </c>
    </row>
    <row r="11436" spans="1:9" x14ac:dyDescent="0.2">
      <c r="A11436" s="997">
        <f t="shared" si="178"/>
        <v>11435</v>
      </c>
      <c r="B11436" s="983" t="s">
        <v>2726</v>
      </c>
      <c r="C11436" s="1001"/>
      <c r="I11436" s="983" t="s">
        <v>2647</v>
      </c>
    </row>
    <row r="11437" spans="1:9" x14ac:dyDescent="0.2">
      <c r="A11437" s="997">
        <f t="shared" si="178"/>
        <v>11436</v>
      </c>
      <c r="B11437" s="983" t="s">
        <v>2726</v>
      </c>
      <c r="C11437" s="1000"/>
      <c r="H11437" s="983" t="s">
        <v>1108</v>
      </c>
    </row>
    <row r="11438" spans="1:9" x14ac:dyDescent="0.2">
      <c r="A11438" s="997">
        <f t="shared" si="178"/>
        <v>11437</v>
      </c>
      <c r="B11438" s="983" t="s">
        <v>2726</v>
      </c>
      <c r="C11438" s="1000"/>
      <c r="H11438" s="983" t="str">
        <f>CONCATENATE("&lt;valeur&gt;",Cellule_1560,"&lt;/valeur&gt;")</f>
        <v>&lt;valeur&gt;0&lt;/valeur&gt;</v>
      </c>
    </row>
    <row r="11439" spans="1:9" x14ac:dyDescent="0.2">
      <c r="A11439" s="997">
        <f t="shared" si="178"/>
        <v>11438</v>
      </c>
      <c r="B11439" s="983" t="s">
        <v>2726</v>
      </c>
      <c r="C11439" s="999"/>
      <c r="G11439" s="983" t="s">
        <v>1109</v>
      </c>
    </row>
    <row r="11440" spans="1:9" x14ac:dyDescent="0.2">
      <c r="A11440" s="997">
        <f t="shared" si="178"/>
        <v>11439</v>
      </c>
      <c r="B11440" s="983" t="s">
        <v>2726</v>
      </c>
      <c r="C11440" s="999"/>
      <c r="G11440" s="983" t="s">
        <v>1106</v>
      </c>
    </row>
    <row r="11441" spans="1:9" x14ac:dyDescent="0.2">
      <c r="A11441" s="997">
        <f t="shared" si="178"/>
        <v>11440</v>
      </c>
      <c r="B11441" s="983" t="s">
        <v>2726</v>
      </c>
      <c r="C11441" s="1000"/>
      <c r="H11441" s="983" t="s">
        <v>1107</v>
      </c>
    </row>
    <row r="11442" spans="1:9" x14ac:dyDescent="0.2">
      <c r="A11442" s="997">
        <f t="shared" si="178"/>
        <v>11441</v>
      </c>
      <c r="B11442" s="983" t="s">
        <v>2726</v>
      </c>
      <c r="C11442" s="1001"/>
      <c r="I11442" s="983" t="s">
        <v>2648</v>
      </c>
    </row>
    <row r="11443" spans="1:9" x14ac:dyDescent="0.2">
      <c r="A11443" s="997">
        <f t="shared" si="178"/>
        <v>11442</v>
      </c>
      <c r="B11443" s="983" t="s">
        <v>2726</v>
      </c>
      <c r="C11443" s="1000"/>
      <c r="H11443" s="983" t="s">
        <v>1108</v>
      </c>
    </row>
    <row r="11444" spans="1:9" x14ac:dyDescent="0.2">
      <c r="A11444" s="997">
        <f t="shared" si="178"/>
        <v>11443</v>
      </c>
      <c r="B11444" s="983" t="s">
        <v>2726</v>
      </c>
      <c r="C11444" s="1000"/>
      <c r="H11444" s="983" t="str">
        <f>CONCATENATE("&lt;valeur&gt;",Cellule_1601,"&lt;/valeur&gt;")</f>
        <v>&lt;valeur&gt;0&lt;/valeur&gt;</v>
      </c>
    </row>
    <row r="11445" spans="1:9" x14ac:dyDescent="0.2">
      <c r="A11445" s="997">
        <f t="shared" si="178"/>
        <v>11444</v>
      </c>
      <c r="B11445" s="983" t="s">
        <v>2726</v>
      </c>
      <c r="C11445" s="999"/>
      <c r="G11445" s="983" t="s">
        <v>1109</v>
      </c>
    </row>
    <row r="11446" spans="1:9" x14ac:dyDescent="0.2">
      <c r="A11446" s="997">
        <f t="shared" si="178"/>
        <v>11445</v>
      </c>
      <c r="B11446" s="983" t="s">
        <v>2726</v>
      </c>
      <c r="C11446" s="999"/>
      <c r="G11446" s="983" t="s">
        <v>1106</v>
      </c>
    </row>
    <row r="11447" spans="1:9" x14ac:dyDescent="0.2">
      <c r="A11447" s="997">
        <f t="shared" si="178"/>
        <v>11446</v>
      </c>
      <c r="B11447" s="983" t="s">
        <v>2726</v>
      </c>
      <c r="C11447" s="1000"/>
      <c r="H11447" s="983" t="s">
        <v>1107</v>
      </c>
    </row>
    <row r="11448" spans="1:9" x14ac:dyDescent="0.2">
      <c r="A11448" s="997">
        <f t="shared" si="178"/>
        <v>11447</v>
      </c>
      <c r="B11448" s="983" t="s">
        <v>2726</v>
      </c>
      <c r="C11448" s="1001"/>
      <c r="I11448" s="983" t="s">
        <v>2649</v>
      </c>
    </row>
    <row r="11449" spans="1:9" x14ac:dyDescent="0.2">
      <c r="A11449" s="997">
        <f t="shared" si="178"/>
        <v>11448</v>
      </c>
      <c r="B11449" s="983" t="s">
        <v>2726</v>
      </c>
      <c r="C11449" s="1000"/>
      <c r="H11449" s="983" t="s">
        <v>1108</v>
      </c>
    </row>
    <row r="11450" spans="1:9" x14ac:dyDescent="0.2">
      <c r="A11450" s="997">
        <f t="shared" si="178"/>
        <v>11449</v>
      </c>
      <c r="B11450" s="983" t="s">
        <v>2726</v>
      </c>
      <c r="C11450" s="1000"/>
      <c r="H11450" s="983" t="str">
        <f>CONCATENATE("&lt;valeur&gt;",Cellule_1609,"&lt;/valeur&gt;")</f>
        <v>&lt;valeur&gt;0&lt;/valeur&gt;</v>
      </c>
    </row>
    <row r="11451" spans="1:9" x14ac:dyDescent="0.2">
      <c r="A11451" s="997">
        <f t="shared" si="178"/>
        <v>11450</v>
      </c>
      <c r="B11451" s="983" t="s">
        <v>2726</v>
      </c>
      <c r="C11451" s="999"/>
      <c r="G11451" s="983" t="s">
        <v>1109</v>
      </c>
    </row>
    <row r="11452" spans="1:9" x14ac:dyDescent="0.2">
      <c r="A11452" s="997">
        <f t="shared" si="178"/>
        <v>11451</v>
      </c>
      <c r="B11452" s="983" t="s">
        <v>2726</v>
      </c>
      <c r="C11452" s="999"/>
      <c r="G11452" s="983" t="s">
        <v>1106</v>
      </c>
    </row>
    <row r="11453" spans="1:9" x14ac:dyDescent="0.2">
      <c r="A11453" s="997">
        <f t="shared" si="178"/>
        <v>11452</v>
      </c>
      <c r="B11453" s="983" t="s">
        <v>2726</v>
      </c>
      <c r="C11453" s="1000"/>
      <c r="H11453" s="983" t="s">
        <v>1107</v>
      </c>
    </row>
    <row r="11454" spans="1:9" x14ac:dyDescent="0.2">
      <c r="A11454" s="997">
        <f t="shared" si="178"/>
        <v>11453</v>
      </c>
      <c r="B11454" s="983" t="s">
        <v>2726</v>
      </c>
      <c r="C11454" s="1001"/>
      <c r="I11454" s="983" t="s">
        <v>2650</v>
      </c>
    </row>
    <row r="11455" spans="1:9" x14ac:dyDescent="0.2">
      <c r="A11455" s="997">
        <f t="shared" si="178"/>
        <v>11454</v>
      </c>
      <c r="B11455" s="983" t="s">
        <v>2726</v>
      </c>
      <c r="C11455" s="1000"/>
      <c r="H11455" s="983" t="s">
        <v>1108</v>
      </c>
    </row>
    <row r="11456" spans="1:9" x14ac:dyDescent="0.2">
      <c r="A11456" s="997">
        <f t="shared" si="178"/>
        <v>11455</v>
      </c>
      <c r="B11456" s="983" t="s">
        <v>2726</v>
      </c>
      <c r="C11456" s="1000"/>
      <c r="H11456" s="983" t="str">
        <f>CONCATENATE("&lt;valeur&gt;",Cellule_1617,"&lt;/valeur&gt;")</f>
        <v>&lt;valeur&gt;0&lt;/valeur&gt;</v>
      </c>
    </row>
    <row r="11457" spans="1:9" x14ac:dyDescent="0.2">
      <c r="A11457" s="997">
        <f t="shared" si="178"/>
        <v>11456</v>
      </c>
      <c r="B11457" s="983" t="s">
        <v>2726</v>
      </c>
      <c r="C11457" s="999"/>
      <c r="G11457" s="983" t="s">
        <v>1109</v>
      </c>
    </row>
    <row r="11458" spans="1:9" x14ac:dyDescent="0.2">
      <c r="A11458" s="997">
        <f t="shared" si="178"/>
        <v>11457</v>
      </c>
      <c r="B11458" s="983" t="s">
        <v>2726</v>
      </c>
      <c r="C11458" s="999"/>
      <c r="G11458" s="983" t="s">
        <v>1106</v>
      </c>
    </row>
    <row r="11459" spans="1:9" x14ac:dyDescent="0.2">
      <c r="A11459" s="997">
        <f t="shared" si="178"/>
        <v>11458</v>
      </c>
      <c r="B11459" s="983" t="s">
        <v>2726</v>
      </c>
      <c r="C11459" s="1000"/>
      <c r="H11459" s="983" t="s">
        <v>1107</v>
      </c>
    </row>
    <row r="11460" spans="1:9" x14ac:dyDescent="0.2">
      <c r="A11460" s="997">
        <f t="shared" ref="A11460:A11523" si="179">+A11459+1</f>
        <v>11459</v>
      </c>
      <c r="B11460" s="983" t="s">
        <v>2726</v>
      </c>
      <c r="C11460" s="1001"/>
      <c r="I11460" s="983" t="s">
        <v>2651</v>
      </c>
    </row>
    <row r="11461" spans="1:9" x14ac:dyDescent="0.2">
      <c r="A11461" s="997">
        <f t="shared" si="179"/>
        <v>11460</v>
      </c>
      <c r="B11461" s="983" t="s">
        <v>2726</v>
      </c>
      <c r="C11461" s="1000"/>
      <c r="H11461" s="983" t="s">
        <v>1108</v>
      </c>
    </row>
    <row r="11462" spans="1:9" x14ac:dyDescent="0.2">
      <c r="A11462" s="997">
        <f t="shared" si="179"/>
        <v>11461</v>
      </c>
      <c r="B11462" s="983" t="s">
        <v>2726</v>
      </c>
      <c r="C11462" s="1000"/>
      <c r="H11462" s="983" t="str">
        <f>CONCATENATE("&lt;valeur&gt;",Cellule_1640,"&lt;/valeur&gt;")</f>
        <v>&lt;valeur&gt;&lt;/valeur&gt;</v>
      </c>
    </row>
    <row r="11463" spans="1:9" x14ac:dyDescent="0.2">
      <c r="A11463" s="997">
        <f t="shared" si="179"/>
        <v>11462</v>
      </c>
      <c r="B11463" s="983" t="s">
        <v>2726</v>
      </c>
      <c r="C11463" s="999"/>
      <c r="G11463" s="983" t="s">
        <v>1109</v>
      </c>
    </row>
    <row r="11464" spans="1:9" x14ac:dyDescent="0.2">
      <c r="A11464" s="997">
        <f t="shared" si="179"/>
        <v>11463</v>
      </c>
      <c r="B11464" s="983" t="s">
        <v>2726</v>
      </c>
      <c r="C11464" s="999"/>
      <c r="G11464" s="983" t="s">
        <v>1106</v>
      </c>
    </row>
    <row r="11465" spans="1:9" x14ac:dyDescent="0.2">
      <c r="A11465" s="997">
        <f t="shared" si="179"/>
        <v>11464</v>
      </c>
      <c r="B11465" s="983" t="s">
        <v>2726</v>
      </c>
      <c r="C11465" s="1000"/>
      <c r="H11465" s="983" t="s">
        <v>1107</v>
      </c>
    </row>
    <row r="11466" spans="1:9" x14ac:dyDescent="0.2">
      <c r="A11466" s="997">
        <f t="shared" si="179"/>
        <v>11465</v>
      </c>
      <c r="B11466" s="983" t="s">
        <v>2726</v>
      </c>
      <c r="C11466" s="1001"/>
      <c r="I11466" s="983" t="s">
        <v>2652</v>
      </c>
    </row>
    <row r="11467" spans="1:9" x14ac:dyDescent="0.2">
      <c r="A11467" s="997">
        <f t="shared" si="179"/>
        <v>11466</v>
      </c>
      <c r="B11467" s="983" t="s">
        <v>2726</v>
      </c>
      <c r="C11467" s="1000"/>
      <c r="H11467" s="983" t="s">
        <v>1108</v>
      </c>
    </row>
    <row r="11468" spans="1:9" x14ac:dyDescent="0.2">
      <c r="A11468" s="997">
        <f t="shared" si="179"/>
        <v>11467</v>
      </c>
      <c r="B11468" s="983" t="s">
        <v>2726</v>
      </c>
      <c r="C11468" s="1000"/>
      <c r="H11468" s="983" t="str">
        <f>CONCATENATE("&lt;valeur&gt;",Cellule_1648,"&lt;/valeur&gt;")</f>
        <v>&lt;valeur&gt;0&lt;/valeur&gt;</v>
      </c>
    </row>
    <row r="11469" spans="1:9" x14ac:dyDescent="0.2">
      <c r="A11469" s="997">
        <f t="shared" si="179"/>
        <v>11468</v>
      </c>
      <c r="B11469" s="983" t="s">
        <v>2726</v>
      </c>
      <c r="C11469" s="999"/>
      <c r="G11469" s="983" t="s">
        <v>1109</v>
      </c>
    </row>
    <row r="11470" spans="1:9" x14ac:dyDescent="0.2">
      <c r="A11470" s="997">
        <f t="shared" si="179"/>
        <v>11469</v>
      </c>
      <c r="B11470" s="983" t="s">
        <v>2726</v>
      </c>
      <c r="C11470" s="999"/>
      <c r="G11470" s="983" t="s">
        <v>1106</v>
      </c>
    </row>
    <row r="11471" spans="1:9" x14ac:dyDescent="0.2">
      <c r="A11471" s="997">
        <f t="shared" si="179"/>
        <v>11470</v>
      </c>
      <c r="B11471" s="983" t="s">
        <v>2726</v>
      </c>
      <c r="C11471" s="1000"/>
      <c r="H11471" s="983" t="s">
        <v>1107</v>
      </c>
    </row>
    <row r="11472" spans="1:9" x14ac:dyDescent="0.2">
      <c r="A11472" s="997">
        <f t="shared" si="179"/>
        <v>11471</v>
      </c>
      <c r="B11472" s="983" t="s">
        <v>2726</v>
      </c>
      <c r="C11472" s="1001"/>
      <c r="I11472" s="983" t="s">
        <v>2653</v>
      </c>
    </row>
    <row r="11473" spans="1:9" x14ac:dyDescent="0.2">
      <c r="A11473" s="997">
        <f t="shared" si="179"/>
        <v>11472</v>
      </c>
      <c r="B11473" s="983" t="s">
        <v>2726</v>
      </c>
      <c r="C11473" s="1000"/>
      <c r="H11473" s="983" t="s">
        <v>1108</v>
      </c>
    </row>
    <row r="11474" spans="1:9" x14ac:dyDescent="0.2">
      <c r="A11474" s="997">
        <f t="shared" si="179"/>
        <v>11473</v>
      </c>
      <c r="B11474" s="983" t="s">
        <v>2726</v>
      </c>
      <c r="C11474" s="1000"/>
      <c r="H11474" s="983" t="str">
        <f>CONCATENATE("&lt;valeur&gt;",Cellule_1661,"&lt;/valeur&gt;")</f>
        <v>&lt;valeur&gt;0&lt;/valeur&gt;</v>
      </c>
    </row>
    <row r="11475" spans="1:9" x14ac:dyDescent="0.2">
      <c r="A11475" s="997">
        <f t="shared" si="179"/>
        <v>11474</v>
      </c>
      <c r="B11475" s="983" t="s">
        <v>2726</v>
      </c>
      <c r="C11475" s="999"/>
      <c r="G11475" s="983" t="s">
        <v>1109</v>
      </c>
    </row>
    <row r="11476" spans="1:9" x14ac:dyDescent="0.2">
      <c r="A11476" s="997">
        <f t="shared" si="179"/>
        <v>11475</v>
      </c>
      <c r="B11476" s="983" t="s">
        <v>2726</v>
      </c>
      <c r="C11476" s="999"/>
      <c r="G11476" s="983" t="s">
        <v>1106</v>
      </c>
    </row>
    <row r="11477" spans="1:9" x14ac:dyDescent="0.2">
      <c r="A11477" s="997">
        <f t="shared" si="179"/>
        <v>11476</v>
      </c>
      <c r="B11477" s="983" t="s">
        <v>2726</v>
      </c>
      <c r="C11477" s="1000"/>
      <c r="H11477" s="983" t="s">
        <v>1107</v>
      </c>
    </row>
    <row r="11478" spans="1:9" x14ac:dyDescent="0.2">
      <c r="A11478" s="997">
        <f t="shared" si="179"/>
        <v>11477</v>
      </c>
      <c r="B11478" s="983" t="s">
        <v>2726</v>
      </c>
      <c r="C11478" s="1001"/>
      <c r="I11478" s="983" t="s">
        <v>2654</v>
      </c>
    </row>
    <row r="11479" spans="1:9" x14ac:dyDescent="0.2">
      <c r="A11479" s="997">
        <f t="shared" si="179"/>
        <v>11478</v>
      </c>
      <c r="B11479" s="983" t="s">
        <v>2726</v>
      </c>
      <c r="C11479" s="1000"/>
      <c r="H11479" s="983" t="s">
        <v>1108</v>
      </c>
    </row>
    <row r="11480" spans="1:9" x14ac:dyDescent="0.2">
      <c r="A11480" s="997">
        <f t="shared" si="179"/>
        <v>11479</v>
      </c>
      <c r="B11480" s="983" t="s">
        <v>2726</v>
      </c>
      <c r="C11480" s="1000"/>
      <c r="H11480" s="983" t="str">
        <f>CONCATENATE("&lt;valeur&gt;",Cellule_1669,"&lt;/valeur&gt;")</f>
        <v>&lt;valeur&gt;0&lt;/valeur&gt;</v>
      </c>
    </row>
    <row r="11481" spans="1:9" x14ac:dyDescent="0.2">
      <c r="A11481" s="997">
        <f t="shared" si="179"/>
        <v>11480</v>
      </c>
      <c r="B11481" s="983" t="s">
        <v>2726</v>
      </c>
      <c r="C11481" s="999"/>
      <c r="G11481" s="983" t="s">
        <v>1109</v>
      </c>
    </row>
    <row r="11482" spans="1:9" x14ac:dyDescent="0.2">
      <c r="A11482" s="997">
        <f t="shared" si="179"/>
        <v>11481</v>
      </c>
      <c r="B11482" s="983" t="s">
        <v>2726</v>
      </c>
      <c r="C11482" s="999"/>
      <c r="G11482" s="983" t="s">
        <v>1106</v>
      </c>
    </row>
    <row r="11483" spans="1:9" x14ac:dyDescent="0.2">
      <c r="A11483" s="997">
        <f t="shared" si="179"/>
        <v>11482</v>
      </c>
      <c r="B11483" s="983" t="s">
        <v>2726</v>
      </c>
      <c r="C11483" s="1000"/>
      <c r="H11483" s="983" t="s">
        <v>1107</v>
      </c>
    </row>
    <row r="11484" spans="1:9" x14ac:dyDescent="0.2">
      <c r="A11484" s="997">
        <f t="shared" si="179"/>
        <v>11483</v>
      </c>
      <c r="B11484" s="983" t="s">
        <v>2726</v>
      </c>
      <c r="C11484" s="1001"/>
      <c r="I11484" s="983" t="s">
        <v>2655</v>
      </c>
    </row>
    <row r="11485" spans="1:9" x14ac:dyDescent="0.2">
      <c r="A11485" s="997">
        <f t="shared" si="179"/>
        <v>11484</v>
      </c>
      <c r="B11485" s="983" t="s">
        <v>2726</v>
      </c>
      <c r="C11485" s="1000"/>
      <c r="H11485" s="983" t="s">
        <v>1108</v>
      </c>
    </row>
    <row r="11486" spans="1:9" x14ac:dyDescent="0.2">
      <c r="A11486" s="997">
        <f t="shared" si="179"/>
        <v>11485</v>
      </c>
      <c r="B11486" s="983" t="s">
        <v>2726</v>
      </c>
      <c r="C11486" s="1000"/>
      <c r="H11486" s="983" t="str">
        <f>CONCATENATE("&lt;valeur&gt;",Cellule_1677,"&lt;/valeur&gt;")</f>
        <v>&lt;valeur&gt;0&lt;/valeur&gt;</v>
      </c>
    </row>
    <row r="11487" spans="1:9" x14ac:dyDescent="0.2">
      <c r="A11487" s="997">
        <f t="shared" si="179"/>
        <v>11486</v>
      </c>
      <c r="B11487" s="983" t="s">
        <v>2726</v>
      </c>
      <c r="C11487" s="999"/>
      <c r="G11487" s="983" t="s">
        <v>1109</v>
      </c>
    </row>
    <row r="11488" spans="1:9" x14ac:dyDescent="0.2">
      <c r="A11488" s="997">
        <f t="shared" si="179"/>
        <v>11487</v>
      </c>
      <c r="B11488" s="983" t="s">
        <v>2726</v>
      </c>
      <c r="C11488" s="999"/>
      <c r="G11488" s="983" t="s">
        <v>1106</v>
      </c>
    </row>
    <row r="11489" spans="1:9" x14ac:dyDescent="0.2">
      <c r="A11489" s="997">
        <f t="shared" si="179"/>
        <v>11488</v>
      </c>
      <c r="B11489" s="983" t="s">
        <v>2726</v>
      </c>
      <c r="C11489" s="1000"/>
      <c r="H11489" s="983" t="s">
        <v>1107</v>
      </c>
    </row>
    <row r="11490" spans="1:9" x14ac:dyDescent="0.2">
      <c r="A11490" s="997">
        <f t="shared" si="179"/>
        <v>11489</v>
      </c>
      <c r="B11490" s="983" t="s">
        <v>2726</v>
      </c>
      <c r="C11490" s="1001"/>
      <c r="I11490" s="983" t="s">
        <v>2656</v>
      </c>
    </row>
    <row r="11491" spans="1:9" x14ac:dyDescent="0.2">
      <c r="A11491" s="997">
        <f t="shared" si="179"/>
        <v>11490</v>
      </c>
      <c r="B11491" s="983" t="s">
        <v>2726</v>
      </c>
      <c r="C11491" s="1000"/>
      <c r="H11491" s="983" t="s">
        <v>1108</v>
      </c>
    </row>
    <row r="11492" spans="1:9" x14ac:dyDescent="0.2">
      <c r="A11492" s="997">
        <f t="shared" si="179"/>
        <v>11491</v>
      </c>
      <c r="B11492" s="983" t="s">
        <v>2726</v>
      </c>
      <c r="C11492" s="1000"/>
      <c r="H11492" s="983" t="str">
        <f>CONCATENATE("&lt;valeur&gt;",Cellule_1690,"&lt;/valeur&gt;")</f>
        <v>&lt;valeur&gt;0&lt;/valeur&gt;</v>
      </c>
    </row>
    <row r="11493" spans="1:9" x14ac:dyDescent="0.2">
      <c r="A11493" s="997">
        <f t="shared" si="179"/>
        <v>11492</v>
      </c>
      <c r="B11493" s="983" t="s">
        <v>2726</v>
      </c>
      <c r="C11493" s="999"/>
      <c r="G11493" s="983" t="s">
        <v>1109</v>
      </c>
    </row>
    <row r="11494" spans="1:9" x14ac:dyDescent="0.2">
      <c r="A11494" s="997">
        <f t="shared" si="179"/>
        <v>11493</v>
      </c>
      <c r="B11494" s="983" t="s">
        <v>2726</v>
      </c>
      <c r="C11494" s="999"/>
      <c r="G11494" s="983" t="s">
        <v>1106</v>
      </c>
    </row>
    <row r="11495" spans="1:9" x14ac:dyDescent="0.2">
      <c r="A11495" s="997">
        <f t="shared" si="179"/>
        <v>11494</v>
      </c>
      <c r="B11495" s="983" t="s">
        <v>2726</v>
      </c>
      <c r="C11495" s="1000"/>
      <c r="H11495" s="983" t="s">
        <v>1107</v>
      </c>
    </row>
    <row r="11496" spans="1:9" x14ac:dyDescent="0.2">
      <c r="A11496" s="997">
        <f t="shared" si="179"/>
        <v>11495</v>
      </c>
      <c r="B11496" s="983" t="s">
        <v>2726</v>
      </c>
      <c r="C11496" s="1001"/>
      <c r="I11496" s="983" t="s">
        <v>2657</v>
      </c>
    </row>
    <row r="11497" spans="1:9" x14ac:dyDescent="0.2">
      <c r="A11497" s="997">
        <f t="shared" si="179"/>
        <v>11496</v>
      </c>
      <c r="B11497" s="983" t="s">
        <v>2726</v>
      </c>
      <c r="C11497" s="1000"/>
      <c r="H11497" s="983" t="s">
        <v>1108</v>
      </c>
    </row>
    <row r="11498" spans="1:9" x14ac:dyDescent="0.2">
      <c r="A11498" s="997">
        <f t="shared" si="179"/>
        <v>11497</v>
      </c>
      <c r="B11498" s="983" t="s">
        <v>2726</v>
      </c>
      <c r="C11498" s="1000"/>
      <c r="H11498" s="983" t="str">
        <f>CONCATENATE("&lt;valeur&gt;",Cellule_1741,"&lt;/valeur&gt;")</f>
        <v>&lt;valeur&gt;&lt;/valeur&gt;</v>
      </c>
    </row>
    <row r="11499" spans="1:9" x14ac:dyDescent="0.2">
      <c r="A11499" s="997">
        <f t="shared" si="179"/>
        <v>11498</v>
      </c>
      <c r="B11499" s="983" t="s">
        <v>2726</v>
      </c>
      <c r="C11499" s="999"/>
      <c r="G11499" s="983" t="s">
        <v>1109</v>
      </c>
    </row>
    <row r="11500" spans="1:9" x14ac:dyDescent="0.2">
      <c r="A11500" s="997">
        <f t="shared" si="179"/>
        <v>11499</v>
      </c>
      <c r="B11500" s="983" t="s">
        <v>2726</v>
      </c>
      <c r="C11500" s="999"/>
      <c r="G11500" s="983" t="s">
        <v>1106</v>
      </c>
    </row>
    <row r="11501" spans="1:9" x14ac:dyDescent="0.2">
      <c r="A11501" s="997">
        <f t="shared" si="179"/>
        <v>11500</v>
      </c>
      <c r="B11501" s="983" t="s">
        <v>2726</v>
      </c>
      <c r="C11501" s="1000"/>
      <c r="H11501" s="983" t="s">
        <v>1107</v>
      </c>
    </row>
    <row r="11502" spans="1:9" x14ac:dyDescent="0.2">
      <c r="A11502" s="997">
        <f t="shared" si="179"/>
        <v>11501</v>
      </c>
      <c r="B11502" s="983" t="s">
        <v>2726</v>
      </c>
      <c r="C11502" s="1001"/>
      <c r="I11502" s="983" t="s">
        <v>2658</v>
      </c>
    </row>
    <row r="11503" spans="1:9" x14ac:dyDescent="0.2">
      <c r="A11503" s="997">
        <f t="shared" si="179"/>
        <v>11502</v>
      </c>
      <c r="B11503" s="983" t="s">
        <v>2726</v>
      </c>
      <c r="C11503" s="1000"/>
      <c r="H11503" s="983" t="s">
        <v>1108</v>
      </c>
    </row>
    <row r="11504" spans="1:9" x14ac:dyDescent="0.2">
      <c r="A11504" s="997">
        <f t="shared" si="179"/>
        <v>11503</v>
      </c>
      <c r="B11504" s="983" t="s">
        <v>2726</v>
      </c>
      <c r="C11504" s="1000"/>
      <c r="H11504" s="983" t="str">
        <f>CONCATENATE("&lt;valeur&gt;",Cellule_1762,"&lt;/valeur&gt;")</f>
        <v>&lt;valeur&gt;0&lt;/valeur&gt;</v>
      </c>
    </row>
    <row r="11505" spans="1:9" x14ac:dyDescent="0.2">
      <c r="A11505" s="997">
        <f t="shared" si="179"/>
        <v>11504</v>
      </c>
      <c r="B11505" s="983" t="s">
        <v>2726</v>
      </c>
      <c r="C11505" s="999"/>
      <c r="G11505" s="983" t="s">
        <v>1109</v>
      </c>
    </row>
    <row r="11506" spans="1:9" x14ac:dyDescent="0.2">
      <c r="A11506" s="997">
        <f t="shared" si="179"/>
        <v>11505</v>
      </c>
      <c r="B11506" s="983" t="s">
        <v>2726</v>
      </c>
      <c r="C11506" s="999"/>
      <c r="G11506" s="983" t="s">
        <v>1106</v>
      </c>
    </row>
    <row r="11507" spans="1:9" x14ac:dyDescent="0.2">
      <c r="A11507" s="997">
        <f t="shared" si="179"/>
        <v>11506</v>
      </c>
      <c r="B11507" s="983" t="s">
        <v>2726</v>
      </c>
      <c r="C11507" s="1000"/>
      <c r="H11507" s="983" t="s">
        <v>1107</v>
      </c>
    </row>
    <row r="11508" spans="1:9" x14ac:dyDescent="0.2">
      <c r="A11508" s="997">
        <f t="shared" si="179"/>
        <v>11507</v>
      </c>
      <c r="B11508" s="983" t="s">
        <v>2726</v>
      </c>
      <c r="C11508" s="1001"/>
      <c r="I11508" s="983" t="s">
        <v>2659</v>
      </c>
    </row>
    <row r="11509" spans="1:9" x14ac:dyDescent="0.2">
      <c r="A11509" s="997">
        <f t="shared" si="179"/>
        <v>11508</v>
      </c>
      <c r="B11509" s="983" t="s">
        <v>2726</v>
      </c>
      <c r="C11509" s="1000"/>
      <c r="H11509" s="983" t="s">
        <v>1108</v>
      </c>
    </row>
    <row r="11510" spans="1:9" x14ac:dyDescent="0.2">
      <c r="A11510" s="997">
        <f t="shared" si="179"/>
        <v>11509</v>
      </c>
      <c r="B11510" s="983" t="s">
        <v>2726</v>
      </c>
      <c r="C11510" s="1000"/>
      <c r="H11510" s="983" t="str">
        <f>CONCATENATE("&lt;valeur&gt;",Cellule_1774,"&lt;/valeur&gt;")</f>
        <v>&lt;valeur&gt;0&lt;/valeur&gt;</v>
      </c>
    </row>
    <row r="11511" spans="1:9" x14ac:dyDescent="0.2">
      <c r="A11511" s="997">
        <f t="shared" si="179"/>
        <v>11510</v>
      </c>
      <c r="B11511" s="983" t="s">
        <v>2726</v>
      </c>
      <c r="C11511" s="999"/>
      <c r="G11511" s="983" t="s">
        <v>1109</v>
      </c>
    </row>
    <row r="11512" spans="1:9" x14ac:dyDescent="0.2">
      <c r="A11512" s="997">
        <f t="shared" si="179"/>
        <v>11511</v>
      </c>
      <c r="B11512" s="983" t="s">
        <v>2726</v>
      </c>
      <c r="C11512" s="999"/>
      <c r="G11512" s="983" t="s">
        <v>1106</v>
      </c>
    </row>
    <row r="11513" spans="1:9" x14ac:dyDescent="0.2">
      <c r="A11513" s="997">
        <f t="shared" si="179"/>
        <v>11512</v>
      </c>
      <c r="B11513" s="983" t="s">
        <v>2726</v>
      </c>
      <c r="C11513" s="1000"/>
      <c r="H11513" s="983" t="s">
        <v>1107</v>
      </c>
    </row>
    <row r="11514" spans="1:9" x14ac:dyDescent="0.2">
      <c r="A11514" s="997">
        <f t="shared" si="179"/>
        <v>11513</v>
      </c>
      <c r="B11514" s="983" t="s">
        <v>2726</v>
      </c>
      <c r="C11514" s="1001"/>
      <c r="I11514" s="983" t="s">
        <v>2660</v>
      </c>
    </row>
    <row r="11515" spans="1:9" x14ac:dyDescent="0.2">
      <c r="A11515" s="997">
        <f t="shared" si="179"/>
        <v>11514</v>
      </c>
      <c r="B11515" s="983" t="s">
        <v>2726</v>
      </c>
      <c r="C11515" s="1000"/>
      <c r="H11515" s="983" t="s">
        <v>1108</v>
      </c>
    </row>
    <row r="11516" spans="1:9" x14ac:dyDescent="0.2">
      <c r="A11516" s="997">
        <f t="shared" si="179"/>
        <v>11515</v>
      </c>
      <c r="B11516" s="983" t="s">
        <v>2726</v>
      </c>
      <c r="C11516" s="1000"/>
      <c r="H11516" s="983" t="str">
        <f>CONCATENATE("&lt;valeur&gt;",Cellule_1805,"&lt;/valeur&gt;")</f>
        <v>&lt;valeur&gt;0&lt;/valeur&gt;</v>
      </c>
    </row>
    <row r="11517" spans="1:9" x14ac:dyDescent="0.2">
      <c r="A11517" s="997">
        <f t="shared" si="179"/>
        <v>11516</v>
      </c>
      <c r="B11517" s="983" t="s">
        <v>2726</v>
      </c>
      <c r="C11517" s="999"/>
      <c r="G11517" s="983" t="s">
        <v>1109</v>
      </c>
    </row>
    <row r="11518" spans="1:9" x14ac:dyDescent="0.2">
      <c r="A11518" s="997">
        <f t="shared" si="179"/>
        <v>11517</v>
      </c>
      <c r="B11518" s="983" t="s">
        <v>2726</v>
      </c>
      <c r="C11518" s="999"/>
      <c r="G11518" s="983" t="s">
        <v>1106</v>
      </c>
    </row>
    <row r="11519" spans="1:9" x14ac:dyDescent="0.2">
      <c r="A11519" s="997">
        <f t="shared" si="179"/>
        <v>11518</v>
      </c>
      <c r="B11519" s="983" t="s">
        <v>2726</v>
      </c>
      <c r="C11519" s="1000"/>
      <c r="H11519" s="983" t="s">
        <v>1107</v>
      </c>
    </row>
    <row r="11520" spans="1:9" x14ac:dyDescent="0.2">
      <c r="A11520" s="997">
        <f t="shared" si="179"/>
        <v>11519</v>
      </c>
      <c r="B11520" s="983" t="s">
        <v>2726</v>
      </c>
      <c r="C11520" s="1001"/>
      <c r="I11520" s="983" t="s">
        <v>2661</v>
      </c>
    </row>
    <row r="11521" spans="1:9" x14ac:dyDescent="0.2">
      <c r="A11521" s="997">
        <f t="shared" si="179"/>
        <v>11520</v>
      </c>
      <c r="B11521" s="983" t="s">
        <v>2726</v>
      </c>
      <c r="C11521" s="1000"/>
      <c r="H11521" s="983" t="s">
        <v>1108</v>
      </c>
    </row>
    <row r="11522" spans="1:9" x14ac:dyDescent="0.2">
      <c r="A11522" s="997">
        <f t="shared" si="179"/>
        <v>11521</v>
      </c>
      <c r="B11522" s="983" t="s">
        <v>2726</v>
      </c>
      <c r="C11522" s="1000"/>
      <c r="H11522" s="983" t="str">
        <f>CONCATENATE("&lt;valeur&gt;",Cellule_1824,"&lt;/valeur&gt;")</f>
        <v>&lt;valeur&gt;&lt;/valeur&gt;</v>
      </c>
    </row>
    <row r="11523" spans="1:9" x14ac:dyDescent="0.2">
      <c r="A11523" s="997">
        <f t="shared" si="179"/>
        <v>11522</v>
      </c>
      <c r="B11523" s="983" t="s">
        <v>2726</v>
      </c>
      <c r="C11523" s="999"/>
      <c r="G11523" s="983" t="s">
        <v>1109</v>
      </c>
    </row>
    <row r="11524" spans="1:9" x14ac:dyDescent="0.2">
      <c r="A11524" s="997">
        <f t="shared" ref="A11524:A11587" si="180">+A11523+1</f>
        <v>11523</v>
      </c>
      <c r="B11524" s="983" t="s">
        <v>2726</v>
      </c>
      <c r="C11524" s="999"/>
      <c r="G11524" s="983" t="s">
        <v>1106</v>
      </c>
    </row>
    <row r="11525" spans="1:9" x14ac:dyDescent="0.2">
      <c r="A11525" s="997">
        <f t="shared" si="180"/>
        <v>11524</v>
      </c>
      <c r="B11525" s="983" t="s">
        <v>2726</v>
      </c>
      <c r="C11525" s="1000"/>
      <c r="H11525" s="983" t="s">
        <v>1107</v>
      </c>
    </row>
    <row r="11526" spans="1:9" x14ac:dyDescent="0.2">
      <c r="A11526" s="997">
        <f t="shared" si="180"/>
        <v>11525</v>
      </c>
      <c r="B11526" s="983" t="s">
        <v>2726</v>
      </c>
      <c r="C11526" s="1001"/>
      <c r="I11526" s="983" t="s">
        <v>2662</v>
      </c>
    </row>
    <row r="11527" spans="1:9" x14ac:dyDescent="0.2">
      <c r="A11527" s="997">
        <f t="shared" si="180"/>
        <v>11526</v>
      </c>
      <c r="B11527" s="983" t="s">
        <v>2726</v>
      </c>
      <c r="C11527" s="1000"/>
      <c r="H11527" s="983" t="s">
        <v>1108</v>
      </c>
    </row>
    <row r="11528" spans="1:9" x14ac:dyDescent="0.2">
      <c r="A11528" s="997">
        <f t="shared" si="180"/>
        <v>11527</v>
      </c>
      <c r="B11528" s="983" t="s">
        <v>2726</v>
      </c>
      <c r="C11528" s="1000"/>
      <c r="H11528" s="983" t="str">
        <f>CONCATENATE("&lt;valeur&gt;",Cellule_1841,"&lt;/valeur&gt;")</f>
        <v>&lt;valeur&gt;0&lt;/valeur&gt;</v>
      </c>
    </row>
    <row r="11529" spans="1:9" x14ac:dyDescent="0.2">
      <c r="A11529" s="997">
        <f t="shared" si="180"/>
        <v>11528</v>
      </c>
      <c r="B11529" s="983" t="s">
        <v>2726</v>
      </c>
      <c r="C11529" s="999"/>
      <c r="G11529" s="983" t="s">
        <v>1109</v>
      </c>
    </row>
    <row r="11530" spans="1:9" x14ac:dyDescent="0.2">
      <c r="A11530" s="997">
        <f t="shared" si="180"/>
        <v>11529</v>
      </c>
      <c r="B11530" s="983" t="s">
        <v>2726</v>
      </c>
      <c r="C11530" s="999"/>
      <c r="G11530" s="983" t="s">
        <v>1106</v>
      </c>
    </row>
    <row r="11531" spans="1:9" x14ac:dyDescent="0.2">
      <c r="A11531" s="997">
        <f t="shared" si="180"/>
        <v>11530</v>
      </c>
      <c r="B11531" s="983" t="s">
        <v>2726</v>
      </c>
      <c r="C11531" s="1000"/>
      <c r="H11531" s="983" t="s">
        <v>1107</v>
      </c>
    </row>
    <row r="11532" spans="1:9" x14ac:dyDescent="0.2">
      <c r="A11532" s="997">
        <f t="shared" si="180"/>
        <v>11531</v>
      </c>
      <c r="B11532" s="983" t="s">
        <v>2726</v>
      </c>
      <c r="C11532" s="1001"/>
      <c r="I11532" s="983" t="s">
        <v>2663</v>
      </c>
    </row>
    <row r="11533" spans="1:9" x14ac:dyDescent="0.2">
      <c r="A11533" s="997">
        <f t="shared" si="180"/>
        <v>11532</v>
      </c>
      <c r="B11533" s="983" t="s">
        <v>2726</v>
      </c>
      <c r="C11533" s="1000"/>
      <c r="H11533" s="983" t="s">
        <v>1108</v>
      </c>
    </row>
    <row r="11534" spans="1:9" x14ac:dyDescent="0.2">
      <c r="A11534" s="997">
        <f t="shared" si="180"/>
        <v>11533</v>
      </c>
      <c r="B11534" s="983" t="s">
        <v>2726</v>
      </c>
      <c r="C11534" s="1000"/>
      <c r="H11534" s="983" t="str">
        <f>CONCATENATE("&lt;valeur&gt;",Cellule_1858,"&lt;/valeur&gt;")</f>
        <v>&lt;valeur&gt;0&lt;/valeur&gt;</v>
      </c>
    </row>
    <row r="11535" spans="1:9" x14ac:dyDescent="0.2">
      <c r="A11535" s="997">
        <f t="shared" si="180"/>
        <v>11534</v>
      </c>
      <c r="B11535" s="983" t="s">
        <v>2726</v>
      </c>
      <c r="C11535" s="999"/>
      <c r="G11535" s="983" t="s">
        <v>1109</v>
      </c>
    </row>
    <row r="11536" spans="1:9" x14ac:dyDescent="0.2">
      <c r="A11536" s="997">
        <f t="shared" si="180"/>
        <v>11535</v>
      </c>
      <c r="B11536" s="983" t="s">
        <v>2726</v>
      </c>
      <c r="C11536" s="999"/>
      <c r="G11536" s="983" t="s">
        <v>1106</v>
      </c>
    </row>
    <row r="11537" spans="1:9" x14ac:dyDescent="0.2">
      <c r="A11537" s="997">
        <f t="shared" si="180"/>
        <v>11536</v>
      </c>
      <c r="B11537" s="983" t="s">
        <v>2726</v>
      </c>
      <c r="C11537" s="1000"/>
      <c r="H11537" s="983" t="s">
        <v>1107</v>
      </c>
    </row>
    <row r="11538" spans="1:9" x14ac:dyDescent="0.2">
      <c r="A11538" s="997">
        <f t="shared" si="180"/>
        <v>11537</v>
      </c>
      <c r="B11538" s="983" t="s">
        <v>2726</v>
      </c>
      <c r="C11538" s="1001"/>
      <c r="I11538" s="983" t="s">
        <v>2664</v>
      </c>
    </row>
    <row r="11539" spans="1:9" x14ac:dyDescent="0.2">
      <c r="A11539" s="997">
        <f t="shared" si="180"/>
        <v>11538</v>
      </c>
      <c r="B11539" s="983" t="s">
        <v>2726</v>
      </c>
      <c r="C11539" s="1000"/>
      <c r="H11539" s="983" t="s">
        <v>1108</v>
      </c>
    </row>
    <row r="11540" spans="1:9" x14ac:dyDescent="0.2">
      <c r="A11540" s="997">
        <f t="shared" si="180"/>
        <v>11539</v>
      </c>
      <c r="B11540" s="983" t="s">
        <v>2726</v>
      </c>
      <c r="C11540" s="1000"/>
      <c r="H11540" s="983" t="str">
        <f>CONCATENATE("&lt;valeur&gt;",Cellule_1866,"&lt;/valeur&gt;")</f>
        <v>&lt;valeur&gt;0&lt;/valeur&gt;</v>
      </c>
    </row>
    <row r="11541" spans="1:9" x14ac:dyDescent="0.2">
      <c r="A11541" s="997">
        <f t="shared" si="180"/>
        <v>11540</v>
      </c>
      <c r="B11541" s="983" t="s">
        <v>2726</v>
      </c>
      <c r="C11541" s="999"/>
      <c r="G11541" s="983" t="s">
        <v>1109</v>
      </c>
    </row>
    <row r="11542" spans="1:9" x14ac:dyDescent="0.2">
      <c r="A11542" s="997">
        <f t="shared" si="180"/>
        <v>11541</v>
      </c>
      <c r="B11542" s="983" t="s">
        <v>2726</v>
      </c>
      <c r="C11542" s="999"/>
      <c r="G11542" s="983" t="s">
        <v>1106</v>
      </c>
    </row>
    <row r="11543" spans="1:9" x14ac:dyDescent="0.2">
      <c r="A11543" s="997">
        <f t="shared" si="180"/>
        <v>11542</v>
      </c>
      <c r="B11543" s="983" t="s">
        <v>2726</v>
      </c>
      <c r="C11543" s="1000"/>
      <c r="H11543" s="983" t="s">
        <v>1107</v>
      </c>
    </row>
    <row r="11544" spans="1:9" x14ac:dyDescent="0.2">
      <c r="A11544" s="997">
        <f t="shared" si="180"/>
        <v>11543</v>
      </c>
      <c r="B11544" s="983" t="s">
        <v>2726</v>
      </c>
      <c r="C11544" s="1001"/>
      <c r="I11544" s="983" t="s">
        <v>2665</v>
      </c>
    </row>
    <row r="11545" spans="1:9" x14ac:dyDescent="0.2">
      <c r="A11545" s="997">
        <f t="shared" si="180"/>
        <v>11544</v>
      </c>
      <c r="B11545" s="983" t="s">
        <v>2726</v>
      </c>
      <c r="C11545" s="1000"/>
      <c r="H11545" s="983" t="s">
        <v>1108</v>
      </c>
    </row>
    <row r="11546" spans="1:9" x14ac:dyDescent="0.2">
      <c r="A11546" s="997">
        <f t="shared" si="180"/>
        <v>11545</v>
      </c>
      <c r="B11546" s="983" t="s">
        <v>2726</v>
      </c>
      <c r="C11546" s="1000"/>
      <c r="H11546" s="983" t="str">
        <f>CONCATENATE("&lt;valeur&gt;",Cellule_1874,"&lt;/valeur&gt;")</f>
        <v>&lt;valeur&gt;0&lt;/valeur&gt;</v>
      </c>
    </row>
    <row r="11547" spans="1:9" x14ac:dyDescent="0.2">
      <c r="A11547" s="997">
        <f t="shared" si="180"/>
        <v>11546</v>
      </c>
      <c r="B11547" s="983" t="s">
        <v>2726</v>
      </c>
      <c r="C11547" s="999"/>
      <c r="G11547" s="983" t="s">
        <v>1109</v>
      </c>
    </row>
    <row r="11548" spans="1:9" x14ac:dyDescent="0.2">
      <c r="A11548" s="997">
        <f t="shared" si="180"/>
        <v>11547</v>
      </c>
      <c r="B11548" s="983" t="s">
        <v>2726</v>
      </c>
      <c r="C11548" s="999"/>
      <c r="G11548" s="983" t="s">
        <v>1106</v>
      </c>
    </row>
    <row r="11549" spans="1:9" x14ac:dyDescent="0.2">
      <c r="A11549" s="997">
        <f t="shared" si="180"/>
        <v>11548</v>
      </c>
      <c r="B11549" s="983" t="s">
        <v>2726</v>
      </c>
      <c r="C11549" s="1000"/>
      <c r="H11549" s="983" t="s">
        <v>1107</v>
      </c>
    </row>
    <row r="11550" spans="1:9" x14ac:dyDescent="0.2">
      <c r="A11550" s="997">
        <f t="shared" si="180"/>
        <v>11549</v>
      </c>
      <c r="B11550" s="983" t="s">
        <v>2726</v>
      </c>
      <c r="C11550" s="1001"/>
      <c r="I11550" s="983" t="s">
        <v>2666</v>
      </c>
    </row>
    <row r="11551" spans="1:9" x14ac:dyDescent="0.2">
      <c r="A11551" s="997">
        <f t="shared" si="180"/>
        <v>11550</v>
      </c>
      <c r="B11551" s="983" t="s">
        <v>2726</v>
      </c>
      <c r="C11551" s="1000"/>
      <c r="H11551" s="983" t="s">
        <v>1108</v>
      </c>
    </row>
    <row r="11552" spans="1:9" x14ac:dyDescent="0.2">
      <c r="A11552" s="997">
        <f t="shared" si="180"/>
        <v>11551</v>
      </c>
      <c r="B11552" s="983" t="s">
        <v>2726</v>
      </c>
      <c r="C11552" s="1000"/>
      <c r="H11552" s="983" t="str">
        <f>CONCATENATE("&lt;valeur&gt;",Cellule_1891,"&lt;/valeur&gt;")</f>
        <v>&lt;valeur&gt;0&lt;/valeur&gt;</v>
      </c>
    </row>
    <row r="11553" spans="1:9" x14ac:dyDescent="0.2">
      <c r="A11553" s="997">
        <f t="shared" si="180"/>
        <v>11552</v>
      </c>
      <c r="B11553" s="983" t="s">
        <v>2726</v>
      </c>
      <c r="C11553" s="999"/>
      <c r="G11553" s="983" t="s">
        <v>1109</v>
      </c>
    </row>
    <row r="11554" spans="1:9" x14ac:dyDescent="0.2">
      <c r="A11554" s="997">
        <f t="shared" si="180"/>
        <v>11553</v>
      </c>
      <c r="B11554" s="983" t="s">
        <v>2726</v>
      </c>
      <c r="C11554" s="999"/>
      <c r="G11554" s="983" t="s">
        <v>1106</v>
      </c>
    </row>
    <row r="11555" spans="1:9" x14ac:dyDescent="0.2">
      <c r="A11555" s="997">
        <f t="shared" si="180"/>
        <v>11554</v>
      </c>
      <c r="B11555" s="983" t="s">
        <v>2726</v>
      </c>
      <c r="C11555" s="1000"/>
      <c r="H11555" s="983" t="s">
        <v>1107</v>
      </c>
    </row>
    <row r="11556" spans="1:9" x14ac:dyDescent="0.2">
      <c r="A11556" s="997">
        <f t="shared" si="180"/>
        <v>11555</v>
      </c>
      <c r="B11556" s="983" t="s">
        <v>2726</v>
      </c>
      <c r="C11556" s="1001"/>
      <c r="I11556" s="983" t="s">
        <v>2667</v>
      </c>
    </row>
    <row r="11557" spans="1:9" x14ac:dyDescent="0.2">
      <c r="A11557" s="997">
        <f t="shared" si="180"/>
        <v>11556</v>
      </c>
      <c r="B11557" s="983" t="s">
        <v>2726</v>
      </c>
      <c r="C11557" s="1000"/>
      <c r="H11557" s="983" t="s">
        <v>1108</v>
      </c>
    </row>
    <row r="11558" spans="1:9" x14ac:dyDescent="0.2">
      <c r="A11558" s="997">
        <f t="shared" si="180"/>
        <v>11557</v>
      </c>
      <c r="B11558" s="983" t="s">
        <v>2726</v>
      </c>
      <c r="C11558" s="1000"/>
      <c r="H11558" s="983" t="str">
        <f>CONCATENATE("&lt;valeur&gt;",Cellule_1407,"&lt;/valeur&gt;")</f>
        <v>&lt;valeur&gt;0&lt;/valeur&gt;</v>
      </c>
    </row>
    <row r="11559" spans="1:9" x14ac:dyDescent="0.2">
      <c r="A11559" s="997">
        <f t="shared" si="180"/>
        <v>11558</v>
      </c>
      <c r="B11559" s="983" t="s">
        <v>2726</v>
      </c>
      <c r="C11559" s="999"/>
      <c r="G11559" s="983" t="s">
        <v>1109</v>
      </c>
    </row>
    <row r="11560" spans="1:9" x14ac:dyDescent="0.2">
      <c r="A11560" s="997">
        <f t="shared" si="180"/>
        <v>11559</v>
      </c>
      <c r="B11560" s="983" t="s">
        <v>2726</v>
      </c>
      <c r="C11560" s="999"/>
      <c r="G11560" s="983" t="s">
        <v>1106</v>
      </c>
    </row>
    <row r="11561" spans="1:9" x14ac:dyDescent="0.2">
      <c r="A11561" s="997">
        <f t="shared" si="180"/>
        <v>11560</v>
      </c>
      <c r="B11561" s="983" t="s">
        <v>2726</v>
      </c>
      <c r="C11561" s="1000"/>
      <c r="H11561" s="983" t="s">
        <v>1107</v>
      </c>
    </row>
    <row r="11562" spans="1:9" x14ac:dyDescent="0.2">
      <c r="A11562" s="997">
        <f t="shared" si="180"/>
        <v>11561</v>
      </c>
      <c r="B11562" s="983" t="s">
        <v>2726</v>
      </c>
      <c r="C11562" s="1001"/>
      <c r="I11562" s="983" t="s">
        <v>2668</v>
      </c>
    </row>
    <row r="11563" spans="1:9" x14ac:dyDescent="0.2">
      <c r="A11563" s="997">
        <f t="shared" si="180"/>
        <v>11562</v>
      </c>
      <c r="B11563" s="983" t="s">
        <v>2726</v>
      </c>
      <c r="C11563" s="1000"/>
      <c r="H11563" s="983" t="s">
        <v>1108</v>
      </c>
    </row>
    <row r="11564" spans="1:9" x14ac:dyDescent="0.2">
      <c r="A11564" s="997">
        <f t="shared" si="180"/>
        <v>11563</v>
      </c>
      <c r="B11564" s="983" t="s">
        <v>2726</v>
      </c>
      <c r="C11564" s="1000"/>
      <c r="H11564" s="983" t="str">
        <f>CONCATENATE("&lt;valeur&gt;",Cellule_1415,"&lt;/valeur&gt;")</f>
        <v>&lt;valeur&gt;0&lt;/valeur&gt;</v>
      </c>
    </row>
    <row r="11565" spans="1:9" x14ac:dyDescent="0.2">
      <c r="A11565" s="997">
        <f t="shared" si="180"/>
        <v>11564</v>
      </c>
      <c r="B11565" s="983" t="s">
        <v>2726</v>
      </c>
      <c r="C11565" s="999"/>
      <c r="G11565" s="983" t="s">
        <v>1109</v>
      </c>
    </row>
    <row r="11566" spans="1:9" x14ac:dyDescent="0.2">
      <c r="A11566" s="997">
        <f t="shared" si="180"/>
        <v>11565</v>
      </c>
      <c r="B11566" s="983" t="s">
        <v>2726</v>
      </c>
      <c r="C11566" s="999"/>
      <c r="G11566" s="983" t="s">
        <v>1106</v>
      </c>
    </row>
    <row r="11567" spans="1:9" x14ac:dyDescent="0.2">
      <c r="A11567" s="997">
        <f t="shared" si="180"/>
        <v>11566</v>
      </c>
      <c r="B11567" s="983" t="s">
        <v>2726</v>
      </c>
      <c r="C11567" s="1000"/>
      <c r="H11567" s="983" t="s">
        <v>1107</v>
      </c>
    </row>
    <row r="11568" spans="1:9" x14ac:dyDescent="0.2">
      <c r="A11568" s="997">
        <f t="shared" si="180"/>
        <v>11567</v>
      </c>
      <c r="B11568" s="983" t="s">
        <v>2726</v>
      </c>
      <c r="C11568" s="1001"/>
      <c r="I11568" s="983" t="s">
        <v>2669</v>
      </c>
    </row>
    <row r="11569" spans="1:9" x14ac:dyDescent="0.2">
      <c r="A11569" s="997">
        <f t="shared" si="180"/>
        <v>11568</v>
      </c>
      <c r="B11569" s="983" t="s">
        <v>2726</v>
      </c>
      <c r="C11569" s="1000"/>
      <c r="H11569" s="983" t="s">
        <v>1108</v>
      </c>
    </row>
    <row r="11570" spans="1:9" x14ac:dyDescent="0.2">
      <c r="A11570" s="997">
        <f t="shared" si="180"/>
        <v>11569</v>
      </c>
      <c r="B11570" s="983" t="s">
        <v>2726</v>
      </c>
      <c r="C11570" s="1000"/>
      <c r="H11570" s="983" t="str">
        <f>CONCATENATE("&lt;valeur&gt;",Cellule_1431,"&lt;/valeur&gt;")</f>
        <v>&lt;valeur&gt;0&lt;/valeur&gt;</v>
      </c>
    </row>
    <row r="11571" spans="1:9" x14ac:dyDescent="0.2">
      <c r="A11571" s="997">
        <f t="shared" si="180"/>
        <v>11570</v>
      </c>
      <c r="B11571" s="983" t="s">
        <v>2726</v>
      </c>
      <c r="C11571" s="999"/>
      <c r="G11571" s="983" t="s">
        <v>1109</v>
      </c>
    </row>
    <row r="11572" spans="1:9" x14ac:dyDescent="0.2">
      <c r="A11572" s="997">
        <f t="shared" si="180"/>
        <v>11571</v>
      </c>
      <c r="B11572" s="983" t="s">
        <v>2726</v>
      </c>
      <c r="C11572" s="999"/>
      <c r="G11572" s="983" t="s">
        <v>1106</v>
      </c>
    </row>
    <row r="11573" spans="1:9" x14ac:dyDescent="0.2">
      <c r="A11573" s="997">
        <f t="shared" si="180"/>
        <v>11572</v>
      </c>
      <c r="B11573" s="983" t="s">
        <v>2726</v>
      </c>
      <c r="C11573" s="1000"/>
      <c r="H11573" s="983" t="s">
        <v>1107</v>
      </c>
    </row>
    <row r="11574" spans="1:9" x14ac:dyDescent="0.2">
      <c r="A11574" s="997">
        <f t="shared" si="180"/>
        <v>11573</v>
      </c>
      <c r="B11574" s="983" t="s">
        <v>2726</v>
      </c>
      <c r="C11574" s="1001"/>
      <c r="I11574" s="983" t="s">
        <v>2670</v>
      </c>
    </row>
    <row r="11575" spans="1:9" x14ac:dyDescent="0.2">
      <c r="A11575" s="997">
        <f t="shared" si="180"/>
        <v>11574</v>
      </c>
      <c r="B11575" s="983" t="s">
        <v>2726</v>
      </c>
      <c r="C11575" s="1000"/>
      <c r="H11575" s="983" t="s">
        <v>1108</v>
      </c>
    </row>
    <row r="11576" spans="1:9" x14ac:dyDescent="0.2">
      <c r="A11576" s="997">
        <f t="shared" si="180"/>
        <v>11575</v>
      </c>
      <c r="B11576" s="983" t="s">
        <v>2726</v>
      </c>
      <c r="C11576" s="1000"/>
      <c r="H11576" s="983" t="str">
        <f>CONCATENATE("&lt;valeur&gt;",Cellule_1439,"&lt;/valeur&gt;")</f>
        <v>&lt;valeur&gt;0&lt;/valeur&gt;</v>
      </c>
    </row>
    <row r="11577" spans="1:9" x14ac:dyDescent="0.2">
      <c r="A11577" s="997">
        <f t="shared" si="180"/>
        <v>11576</v>
      </c>
      <c r="B11577" s="983" t="s">
        <v>2726</v>
      </c>
      <c r="C11577" s="999"/>
      <c r="G11577" s="983" t="s">
        <v>1109</v>
      </c>
    </row>
    <row r="11578" spans="1:9" x14ac:dyDescent="0.2">
      <c r="A11578" s="997">
        <f t="shared" si="180"/>
        <v>11577</v>
      </c>
      <c r="B11578" s="983" t="s">
        <v>2726</v>
      </c>
      <c r="C11578" s="999"/>
      <c r="G11578" s="983" t="s">
        <v>1106</v>
      </c>
    </row>
    <row r="11579" spans="1:9" x14ac:dyDescent="0.2">
      <c r="A11579" s="997">
        <f t="shared" si="180"/>
        <v>11578</v>
      </c>
      <c r="B11579" s="983" t="s">
        <v>2726</v>
      </c>
      <c r="C11579" s="1000"/>
      <c r="H11579" s="983" t="s">
        <v>1107</v>
      </c>
    </row>
    <row r="11580" spans="1:9" x14ac:dyDescent="0.2">
      <c r="A11580" s="997">
        <f t="shared" si="180"/>
        <v>11579</v>
      </c>
      <c r="B11580" s="983" t="s">
        <v>2726</v>
      </c>
      <c r="C11580" s="1001"/>
      <c r="I11580" s="983" t="s">
        <v>2671</v>
      </c>
    </row>
    <row r="11581" spans="1:9" x14ac:dyDescent="0.2">
      <c r="A11581" s="997">
        <f t="shared" si="180"/>
        <v>11580</v>
      </c>
      <c r="B11581" s="983" t="s">
        <v>2726</v>
      </c>
      <c r="C11581" s="1000"/>
      <c r="H11581" s="983" t="s">
        <v>1108</v>
      </c>
    </row>
    <row r="11582" spans="1:9" x14ac:dyDescent="0.2">
      <c r="A11582" s="997">
        <f t="shared" si="180"/>
        <v>11581</v>
      </c>
      <c r="B11582" s="983" t="s">
        <v>2726</v>
      </c>
      <c r="C11582" s="1000"/>
      <c r="H11582" s="983" t="str">
        <f>CONCATENATE("&lt;valeur&gt;",Cellule_1455,"&lt;/valeur&gt;")</f>
        <v>&lt;valeur&gt;&lt;/valeur&gt;</v>
      </c>
    </row>
    <row r="11583" spans="1:9" x14ac:dyDescent="0.2">
      <c r="A11583" s="997">
        <f t="shared" si="180"/>
        <v>11582</v>
      </c>
      <c r="B11583" s="983" t="s">
        <v>2726</v>
      </c>
      <c r="C11583" s="999"/>
      <c r="G11583" s="983" t="s">
        <v>1109</v>
      </c>
    </row>
    <row r="11584" spans="1:9" x14ac:dyDescent="0.2">
      <c r="A11584" s="997">
        <f t="shared" si="180"/>
        <v>11583</v>
      </c>
      <c r="B11584" s="983" t="s">
        <v>2726</v>
      </c>
      <c r="C11584" s="999"/>
      <c r="G11584" s="983" t="s">
        <v>1106</v>
      </c>
    </row>
    <row r="11585" spans="1:9" x14ac:dyDescent="0.2">
      <c r="A11585" s="997">
        <f t="shared" si="180"/>
        <v>11584</v>
      </c>
      <c r="B11585" s="983" t="s">
        <v>2726</v>
      </c>
      <c r="C11585" s="1000"/>
      <c r="H11585" s="983" t="s">
        <v>1107</v>
      </c>
    </row>
    <row r="11586" spans="1:9" x14ac:dyDescent="0.2">
      <c r="A11586" s="997">
        <f t="shared" si="180"/>
        <v>11585</v>
      </c>
      <c r="B11586" s="983" t="s">
        <v>2726</v>
      </c>
      <c r="C11586" s="1001"/>
      <c r="I11586" s="983" t="s">
        <v>2672</v>
      </c>
    </row>
    <row r="11587" spans="1:9" x14ac:dyDescent="0.2">
      <c r="A11587" s="997">
        <f t="shared" si="180"/>
        <v>11586</v>
      </c>
      <c r="B11587" s="983" t="s">
        <v>2726</v>
      </c>
      <c r="C11587" s="1000"/>
      <c r="H11587" s="983" t="s">
        <v>1108</v>
      </c>
    </row>
    <row r="11588" spans="1:9" x14ac:dyDescent="0.2">
      <c r="A11588" s="997">
        <f t="shared" ref="A11588:A11651" si="181">+A11587+1</f>
        <v>11587</v>
      </c>
      <c r="B11588" s="983" t="s">
        <v>2726</v>
      </c>
      <c r="C11588" s="1000"/>
      <c r="H11588" s="983" t="str">
        <f>CONCATENATE("&lt;valeur&gt;",Cellule_1463,"&lt;/valeur&gt;")</f>
        <v>&lt;valeur&gt;0&lt;/valeur&gt;</v>
      </c>
    </row>
    <row r="11589" spans="1:9" x14ac:dyDescent="0.2">
      <c r="A11589" s="997">
        <f t="shared" si="181"/>
        <v>11588</v>
      </c>
      <c r="B11589" s="983" t="s">
        <v>2726</v>
      </c>
      <c r="C11589" s="999"/>
      <c r="G11589" s="983" t="s">
        <v>1109</v>
      </c>
    </row>
    <row r="11590" spans="1:9" x14ac:dyDescent="0.2">
      <c r="A11590" s="997">
        <f t="shared" si="181"/>
        <v>11589</v>
      </c>
      <c r="B11590" s="983" t="s">
        <v>2726</v>
      </c>
      <c r="C11590" s="999"/>
      <c r="G11590" s="983" t="s">
        <v>1106</v>
      </c>
    </row>
    <row r="11591" spans="1:9" x14ac:dyDescent="0.2">
      <c r="A11591" s="997">
        <f t="shared" si="181"/>
        <v>11590</v>
      </c>
      <c r="B11591" s="983" t="s">
        <v>2726</v>
      </c>
      <c r="C11591" s="1000"/>
      <c r="H11591" s="983" t="s">
        <v>1107</v>
      </c>
    </row>
    <row r="11592" spans="1:9" x14ac:dyDescent="0.2">
      <c r="A11592" s="997">
        <f t="shared" si="181"/>
        <v>11591</v>
      </c>
      <c r="B11592" s="983" t="s">
        <v>2726</v>
      </c>
      <c r="C11592" s="1001"/>
      <c r="I11592" s="983" t="s">
        <v>2673</v>
      </c>
    </row>
    <row r="11593" spans="1:9" x14ac:dyDescent="0.2">
      <c r="A11593" s="997">
        <f t="shared" si="181"/>
        <v>11592</v>
      </c>
      <c r="B11593" s="983" t="s">
        <v>2726</v>
      </c>
      <c r="C11593" s="1000"/>
      <c r="H11593" s="983" t="s">
        <v>1108</v>
      </c>
    </row>
    <row r="11594" spans="1:9" x14ac:dyDescent="0.2">
      <c r="A11594" s="997">
        <f t="shared" si="181"/>
        <v>11593</v>
      </c>
      <c r="B11594" s="983" t="s">
        <v>2726</v>
      </c>
      <c r="C11594" s="1000"/>
      <c r="H11594" s="983" t="str">
        <f>CONCATENATE("&lt;valeur&gt;",Cellule_1471,"&lt;/valeur&gt;")</f>
        <v>&lt;valeur&gt;0&lt;/valeur&gt;</v>
      </c>
    </row>
    <row r="11595" spans="1:9" x14ac:dyDescent="0.2">
      <c r="A11595" s="997">
        <f t="shared" si="181"/>
        <v>11594</v>
      </c>
      <c r="B11595" s="983" t="s">
        <v>2726</v>
      </c>
      <c r="C11595" s="999"/>
      <c r="G11595" s="983" t="s">
        <v>1109</v>
      </c>
    </row>
    <row r="11596" spans="1:9" x14ac:dyDescent="0.2">
      <c r="A11596" s="997">
        <f t="shared" si="181"/>
        <v>11595</v>
      </c>
      <c r="B11596" s="983" t="s">
        <v>2726</v>
      </c>
      <c r="C11596" s="999"/>
      <c r="G11596" s="983" t="s">
        <v>1106</v>
      </c>
    </row>
    <row r="11597" spans="1:9" x14ac:dyDescent="0.2">
      <c r="A11597" s="997">
        <f t="shared" si="181"/>
        <v>11596</v>
      </c>
      <c r="B11597" s="983" t="s">
        <v>2726</v>
      </c>
      <c r="C11597" s="1000"/>
      <c r="H11597" s="983" t="s">
        <v>1107</v>
      </c>
    </row>
    <row r="11598" spans="1:9" x14ac:dyDescent="0.2">
      <c r="A11598" s="997">
        <f t="shared" si="181"/>
        <v>11597</v>
      </c>
      <c r="B11598" s="983" t="s">
        <v>2726</v>
      </c>
      <c r="C11598" s="1001"/>
      <c r="I11598" s="983" t="s">
        <v>2674</v>
      </c>
    </row>
    <row r="11599" spans="1:9" x14ac:dyDescent="0.2">
      <c r="A11599" s="997">
        <f t="shared" si="181"/>
        <v>11598</v>
      </c>
      <c r="B11599" s="983" t="s">
        <v>2726</v>
      </c>
      <c r="C11599" s="1000"/>
      <c r="H11599" s="983" t="s">
        <v>1108</v>
      </c>
    </row>
    <row r="11600" spans="1:9" x14ac:dyDescent="0.2">
      <c r="A11600" s="997">
        <f t="shared" si="181"/>
        <v>11599</v>
      </c>
      <c r="B11600" s="983" t="s">
        <v>2726</v>
      </c>
      <c r="C11600" s="1000"/>
      <c r="H11600" s="983" t="str">
        <f>CONCATENATE("&lt;valeur&gt;",Cellule_1479,"&lt;/valeur&gt;")</f>
        <v>&lt;valeur&gt;0&lt;/valeur&gt;</v>
      </c>
    </row>
    <row r="11601" spans="1:9" x14ac:dyDescent="0.2">
      <c r="A11601" s="997">
        <f t="shared" si="181"/>
        <v>11600</v>
      </c>
      <c r="B11601" s="983" t="s">
        <v>2726</v>
      </c>
      <c r="C11601" s="999"/>
      <c r="G11601" s="983" t="s">
        <v>1109</v>
      </c>
    </row>
    <row r="11602" spans="1:9" x14ac:dyDescent="0.2">
      <c r="A11602" s="997">
        <f t="shared" si="181"/>
        <v>11601</v>
      </c>
      <c r="B11602" s="983" t="s">
        <v>2726</v>
      </c>
      <c r="C11602" s="999"/>
      <c r="G11602" s="983" t="s">
        <v>1106</v>
      </c>
    </row>
    <row r="11603" spans="1:9" x14ac:dyDescent="0.2">
      <c r="A11603" s="997">
        <f t="shared" si="181"/>
        <v>11602</v>
      </c>
      <c r="B11603" s="983" t="s">
        <v>2726</v>
      </c>
      <c r="C11603" s="1000"/>
      <c r="H11603" s="983" t="s">
        <v>1107</v>
      </c>
    </row>
    <row r="11604" spans="1:9" x14ac:dyDescent="0.2">
      <c r="A11604" s="997">
        <f t="shared" si="181"/>
        <v>11603</v>
      </c>
      <c r="B11604" s="983" t="s">
        <v>2726</v>
      </c>
      <c r="C11604" s="1001"/>
      <c r="I11604" s="983" t="s">
        <v>2675</v>
      </c>
    </row>
    <row r="11605" spans="1:9" x14ac:dyDescent="0.2">
      <c r="A11605" s="997">
        <f t="shared" si="181"/>
        <v>11604</v>
      </c>
      <c r="B11605" s="983" t="s">
        <v>2726</v>
      </c>
      <c r="C11605" s="1000"/>
      <c r="H11605" s="983" t="s">
        <v>1108</v>
      </c>
    </row>
    <row r="11606" spans="1:9" x14ac:dyDescent="0.2">
      <c r="A11606" s="997">
        <f t="shared" si="181"/>
        <v>11605</v>
      </c>
      <c r="B11606" s="983" t="s">
        <v>2726</v>
      </c>
      <c r="C11606" s="1000"/>
      <c r="H11606" s="983" t="str">
        <f>CONCATENATE("&lt;valeur&gt;",Cellule_1487,"&lt;/valeur&gt;")</f>
        <v>&lt;valeur&gt;0&lt;/valeur&gt;</v>
      </c>
    </row>
    <row r="11607" spans="1:9" x14ac:dyDescent="0.2">
      <c r="A11607" s="997">
        <f t="shared" si="181"/>
        <v>11606</v>
      </c>
      <c r="B11607" s="983" t="s">
        <v>2726</v>
      </c>
      <c r="C11607" s="999"/>
      <c r="G11607" s="983" t="s">
        <v>1109</v>
      </c>
    </row>
    <row r="11608" spans="1:9" x14ac:dyDescent="0.2">
      <c r="A11608" s="997">
        <f t="shared" si="181"/>
        <v>11607</v>
      </c>
      <c r="B11608" s="983" t="s">
        <v>2726</v>
      </c>
      <c r="C11608" s="999"/>
      <c r="G11608" s="983" t="s">
        <v>1106</v>
      </c>
    </row>
    <row r="11609" spans="1:9" x14ac:dyDescent="0.2">
      <c r="A11609" s="997">
        <f t="shared" si="181"/>
        <v>11608</v>
      </c>
      <c r="B11609" s="983" t="s">
        <v>2726</v>
      </c>
      <c r="C11609" s="1000"/>
      <c r="H11609" s="983" t="s">
        <v>1107</v>
      </c>
    </row>
    <row r="11610" spans="1:9" x14ac:dyDescent="0.2">
      <c r="A11610" s="997">
        <f t="shared" si="181"/>
        <v>11609</v>
      </c>
      <c r="B11610" s="983" t="s">
        <v>2726</v>
      </c>
      <c r="C11610" s="1001"/>
      <c r="I11610" s="983" t="s">
        <v>2676</v>
      </c>
    </row>
    <row r="11611" spans="1:9" x14ac:dyDescent="0.2">
      <c r="A11611" s="997">
        <f t="shared" si="181"/>
        <v>11610</v>
      </c>
      <c r="B11611" s="983" t="s">
        <v>2726</v>
      </c>
      <c r="C11611" s="1000"/>
      <c r="H11611" s="983" t="s">
        <v>1108</v>
      </c>
    </row>
    <row r="11612" spans="1:9" x14ac:dyDescent="0.2">
      <c r="A11612" s="997">
        <f t="shared" si="181"/>
        <v>11611</v>
      </c>
      <c r="B11612" s="983" t="s">
        <v>2726</v>
      </c>
      <c r="C11612" s="1000"/>
      <c r="H11612" s="983" t="str">
        <f>CONCATENATE("&lt;valeur&gt;",Cellule_1423,"&lt;/valeur&gt;")</f>
        <v>&lt;valeur&gt;0&lt;/valeur&gt;</v>
      </c>
    </row>
    <row r="11613" spans="1:9" x14ac:dyDescent="0.2">
      <c r="A11613" s="997">
        <f t="shared" si="181"/>
        <v>11612</v>
      </c>
      <c r="B11613" s="983" t="s">
        <v>2726</v>
      </c>
      <c r="C11613" s="999"/>
      <c r="G11613" s="983" t="s">
        <v>1109</v>
      </c>
    </row>
    <row r="11614" spans="1:9" x14ac:dyDescent="0.2">
      <c r="A11614" s="997">
        <f t="shared" si="181"/>
        <v>11613</v>
      </c>
      <c r="B11614" s="983" t="s">
        <v>2726</v>
      </c>
      <c r="C11614" s="999"/>
      <c r="G11614" s="983" t="s">
        <v>1106</v>
      </c>
    </row>
    <row r="11615" spans="1:9" x14ac:dyDescent="0.2">
      <c r="A11615" s="997">
        <f t="shared" si="181"/>
        <v>11614</v>
      </c>
      <c r="B11615" s="983" t="s">
        <v>2726</v>
      </c>
      <c r="C11615" s="1000"/>
      <c r="H11615" s="983" t="s">
        <v>1107</v>
      </c>
    </row>
    <row r="11616" spans="1:9" x14ac:dyDescent="0.2">
      <c r="A11616" s="997">
        <f t="shared" si="181"/>
        <v>11615</v>
      </c>
      <c r="B11616" s="983" t="s">
        <v>2726</v>
      </c>
      <c r="C11616" s="1001"/>
      <c r="I11616" s="983" t="s">
        <v>2677</v>
      </c>
    </row>
    <row r="11617" spans="1:9" x14ac:dyDescent="0.2">
      <c r="A11617" s="997">
        <f t="shared" si="181"/>
        <v>11616</v>
      </c>
      <c r="B11617" s="983" t="s">
        <v>2726</v>
      </c>
      <c r="C11617" s="1000"/>
      <c r="H11617" s="983" t="s">
        <v>1108</v>
      </c>
    </row>
    <row r="11618" spans="1:9" x14ac:dyDescent="0.2">
      <c r="A11618" s="997">
        <f t="shared" si="181"/>
        <v>11617</v>
      </c>
      <c r="B11618" s="983" t="s">
        <v>2726</v>
      </c>
      <c r="C11618" s="1000"/>
      <c r="H11618" s="983" t="str">
        <f>CONCATENATE("&lt;valeur&gt;",Cellule_1561,"&lt;/valeur&gt;")</f>
        <v>&lt;valeur&gt;0&lt;/valeur&gt;</v>
      </c>
    </row>
    <row r="11619" spans="1:9" x14ac:dyDescent="0.2">
      <c r="A11619" s="997">
        <f t="shared" si="181"/>
        <v>11618</v>
      </c>
      <c r="B11619" s="983" t="s">
        <v>2726</v>
      </c>
      <c r="C11619" s="999"/>
      <c r="G11619" s="983" t="s">
        <v>1109</v>
      </c>
    </row>
    <row r="11620" spans="1:9" x14ac:dyDescent="0.2">
      <c r="A11620" s="997">
        <f t="shared" si="181"/>
        <v>11619</v>
      </c>
      <c r="B11620" s="983" t="s">
        <v>2726</v>
      </c>
      <c r="C11620" s="999"/>
      <c r="G11620" s="983" t="s">
        <v>1106</v>
      </c>
    </row>
    <row r="11621" spans="1:9" x14ac:dyDescent="0.2">
      <c r="A11621" s="997">
        <f t="shared" si="181"/>
        <v>11620</v>
      </c>
      <c r="B11621" s="983" t="s">
        <v>2726</v>
      </c>
      <c r="C11621" s="1000"/>
      <c r="H11621" s="983" t="s">
        <v>1107</v>
      </c>
    </row>
    <row r="11622" spans="1:9" x14ac:dyDescent="0.2">
      <c r="A11622" s="997">
        <f t="shared" si="181"/>
        <v>11621</v>
      </c>
      <c r="B11622" s="983" t="s">
        <v>2726</v>
      </c>
      <c r="C11622" s="1001"/>
      <c r="I11622" s="983" t="s">
        <v>2678</v>
      </c>
    </row>
    <row r="11623" spans="1:9" x14ac:dyDescent="0.2">
      <c r="A11623" s="997">
        <f t="shared" si="181"/>
        <v>11622</v>
      </c>
      <c r="B11623" s="983" t="s">
        <v>2726</v>
      </c>
      <c r="C11623" s="1000"/>
      <c r="H11623" s="983" t="s">
        <v>1108</v>
      </c>
    </row>
    <row r="11624" spans="1:9" x14ac:dyDescent="0.2">
      <c r="A11624" s="997">
        <f t="shared" si="181"/>
        <v>11623</v>
      </c>
      <c r="B11624" s="983" t="s">
        <v>2726</v>
      </c>
      <c r="C11624" s="1000"/>
      <c r="H11624" s="983" t="str">
        <f>CONCATENATE("&lt;valeur&gt;",Cellule_1602,"&lt;/valeur&gt;")</f>
        <v>&lt;valeur&gt;0&lt;/valeur&gt;</v>
      </c>
    </row>
    <row r="11625" spans="1:9" x14ac:dyDescent="0.2">
      <c r="A11625" s="997">
        <f t="shared" si="181"/>
        <v>11624</v>
      </c>
      <c r="B11625" s="983" t="s">
        <v>2726</v>
      </c>
      <c r="C11625" s="999"/>
      <c r="G11625" s="983" t="s">
        <v>1109</v>
      </c>
    </row>
    <row r="11626" spans="1:9" x14ac:dyDescent="0.2">
      <c r="A11626" s="997">
        <f t="shared" si="181"/>
        <v>11625</v>
      </c>
      <c r="B11626" s="983" t="s">
        <v>2726</v>
      </c>
      <c r="C11626" s="999"/>
      <c r="G11626" s="983" t="s">
        <v>1106</v>
      </c>
    </row>
    <row r="11627" spans="1:9" x14ac:dyDescent="0.2">
      <c r="A11627" s="997">
        <f t="shared" si="181"/>
        <v>11626</v>
      </c>
      <c r="B11627" s="983" t="s">
        <v>2726</v>
      </c>
      <c r="C11627" s="1000"/>
      <c r="H11627" s="983" t="s">
        <v>1107</v>
      </c>
    </row>
    <row r="11628" spans="1:9" x14ac:dyDescent="0.2">
      <c r="A11628" s="997">
        <f t="shared" si="181"/>
        <v>11627</v>
      </c>
      <c r="B11628" s="983" t="s">
        <v>2726</v>
      </c>
      <c r="C11628" s="1001"/>
      <c r="I11628" s="983" t="s">
        <v>2679</v>
      </c>
    </row>
    <row r="11629" spans="1:9" x14ac:dyDescent="0.2">
      <c r="A11629" s="997">
        <f t="shared" si="181"/>
        <v>11628</v>
      </c>
      <c r="B11629" s="983" t="s">
        <v>2726</v>
      </c>
      <c r="C11629" s="1000"/>
      <c r="H11629" s="983" t="s">
        <v>1108</v>
      </c>
    </row>
    <row r="11630" spans="1:9" x14ac:dyDescent="0.2">
      <c r="A11630" s="997">
        <f t="shared" si="181"/>
        <v>11629</v>
      </c>
      <c r="B11630" s="983" t="s">
        <v>2726</v>
      </c>
      <c r="C11630" s="1000"/>
      <c r="H11630" s="983" t="str">
        <f>CONCATENATE("&lt;valeur&gt;",Cellule_1610,"&lt;/valeur&gt;")</f>
        <v>&lt;valeur&gt;0&lt;/valeur&gt;</v>
      </c>
    </row>
    <row r="11631" spans="1:9" x14ac:dyDescent="0.2">
      <c r="A11631" s="997">
        <f t="shared" si="181"/>
        <v>11630</v>
      </c>
      <c r="B11631" s="983" t="s">
        <v>2726</v>
      </c>
      <c r="C11631" s="999"/>
      <c r="G11631" s="983" t="s">
        <v>1109</v>
      </c>
    </row>
    <row r="11632" spans="1:9" x14ac:dyDescent="0.2">
      <c r="A11632" s="997">
        <f t="shared" si="181"/>
        <v>11631</v>
      </c>
      <c r="B11632" s="983" t="s">
        <v>2726</v>
      </c>
      <c r="C11632" s="999"/>
      <c r="G11632" s="983" t="s">
        <v>1106</v>
      </c>
    </row>
    <row r="11633" spans="1:9" x14ac:dyDescent="0.2">
      <c r="A11633" s="997">
        <f t="shared" si="181"/>
        <v>11632</v>
      </c>
      <c r="B11633" s="983" t="s">
        <v>2726</v>
      </c>
      <c r="C11633" s="1000"/>
      <c r="H11633" s="983" t="s">
        <v>1107</v>
      </c>
    </row>
    <row r="11634" spans="1:9" x14ac:dyDescent="0.2">
      <c r="A11634" s="997">
        <f t="shared" si="181"/>
        <v>11633</v>
      </c>
      <c r="B11634" s="983" t="s">
        <v>2726</v>
      </c>
      <c r="C11634" s="1001"/>
      <c r="I11634" s="983" t="s">
        <v>2680</v>
      </c>
    </row>
    <row r="11635" spans="1:9" x14ac:dyDescent="0.2">
      <c r="A11635" s="997">
        <f t="shared" si="181"/>
        <v>11634</v>
      </c>
      <c r="B11635" s="983" t="s">
        <v>2726</v>
      </c>
      <c r="C11635" s="1000"/>
      <c r="H11635" s="983" t="s">
        <v>1108</v>
      </c>
    </row>
    <row r="11636" spans="1:9" x14ac:dyDescent="0.2">
      <c r="A11636" s="997">
        <f t="shared" si="181"/>
        <v>11635</v>
      </c>
      <c r="B11636" s="983" t="s">
        <v>2726</v>
      </c>
      <c r="C11636" s="1000"/>
      <c r="H11636" s="983" t="str">
        <f>CONCATENATE("&lt;valeur&gt;",Cellule_1618,"&lt;/valeur&gt;")</f>
        <v>&lt;valeur&gt;0&lt;/valeur&gt;</v>
      </c>
    </row>
    <row r="11637" spans="1:9" x14ac:dyDescent="0.2">
      <c r="A11637" s="997">
        <f t="shared" si="181"/>
        <v>11636</v>
      </c>
      <c r="B11637" s="983" t="s">
        <v>2726</v>
      </c>
      <c r="C11637" s="999"/>
      <c r="G11637" s="983" t="s">
        <v>1109</v>
      </c>
    </row>
    <row r="11638" spans="1:9" x14ac:dyDescent="0.2">
      <c r="A11638" s="997">
        <f t="shared" si="181"/>
        <v>11637</v>
      </c>
      <c r="B11638" s="983" t="s">
        <v>2726</v>
      </c>
      <c r="C11638" s="999"/>
      <c r="G11638" s="983" t="s">
        <v>1106</v>
      </c>
    </row>
    <row r="11639" spans="1:9" x14ac:dyDescent="0.2">
      <c r="A11639" s="997">
        <f t="shared" si="181"/>
        <v>11638</v>
      </c>
      <c r="B11639" s="983" t="s">
        <v>2726</v>
      </c>
      <c r="C11639" s="1000"/>
      <c r="H11639" s="983" t="s">
        <v>1107</v>
      </c>
    </row>
    <row r="11640" spans="1:9" x14ac:dyDescent="0.2">
      <c r="A11640" s="997">
        <f t="shared" si="181"/>
        <v>11639</v>
      </c>
      <c r="B11640" s="983" t="s">
        <v>2726</v>
      </c>
      <c r="C11640" s="1001"/>
      <c r="I11640" s="983" t="s">
        <v>2681</v>
      </c>
    </row>
    <row r="11641" spans="1:9" x14ac:dyDescent="0.2">
      <c r="A11641" s="997">
        <f t="shared" si="181"/>
        <v>11640</v>
      </c>
      <c r="B11641" s="983" t="s">
        <v>2726</v>
      </c>
      <c r="C11641" s="1000"/>
      <c r="H11641" s="983" t="s">
        <v>1108</v>
      </c>
    </row>
    <row r="11642" spans="1:9" x14ac:dyDescent="0.2">
      <c r="A11642" s="997">
        <f t="shared" si="181"/>
        <v>11641</v>
      </c>
      <c r="B11642" s="983" t="s">
        <v>2726</v>
      </c>
      <c r="C11642" s="1000"/>
      <c r="H11642" s="983" t="str">
        <f>CONCATENATE("&lt;valeur&gt;",Cellule_1641,"&lt;/valeur&gt;")</f>
        <v>&lt;valeur&gt;&lt;/valeur&gt;</v>
      </c>
    </row>
    <row r="11643" spans="1:9" x14ac:dyDescent="0.2">
      <c r="A11643" s="997">
        <f t="shared" si="181"/>
        <v>11642</v>
      </c>
      <c r="B11643" s="983" t="s">
        <v>2726</v>
      </c>
      <c r="C11643" s="999"/>
      <c r="G11643" s="983" t="s">
        <v>1109</v>
      </c>
    </row>
    <row r="11644" spans="1:9" x14ac:dyDescent="0.2">
      <c r="A11644" s="997">
        <f t="shared" si="181"/>
        <v>11643</v>
      </c>
      <c r="B11644" s="983" t="s">
        <v>2726</v>
      </c>
      <c r="C11644" s="999"/>
      <c r="G11644" s="983" t="s">
        <v>1106</v>
      </c>
    </row>
    <row r="11645" spans="1:9" x14ac:dyDescent="0.2">
      <c r="A11645" s="997">
        <f t="shared" si="181"/>
        <v>11644</v>
      </c>
      <c r="B11645" s="983" t="s">
        <v>2726</v>
      </c>
      <c r="C11645" s="1000"/>
      <c r="H11645" s="983" t="s">
        <v>1107</v>
      </c>
    </row>
    <row r="11646" spans="1:9" x14ac:dyDescent="0.2">
      <c r="A11646" s="997">
        <f t="shared" si="181"/>
        <v>11645</v>
      </c>
      <c r="B11646" s="983" t="s">
        <v>2726</v>
      </c>
      <c r="C11646" s="1001"/>
      <c r="I11646" s="983" t="s">
        <v>2682</v>
      </c>
    </row>
    <row r="11647" spans="1:9" x14ac:dyDescent="0.2">
      <c r="A11647" s="997">
        <f t="shared" si="181"/>
        <v>11646</v>
      </c>
      <c r="B11647" s="983" t="s">
        <v>2726</v>
      </c>
      <c r="C11647" s="1000"/>
      <c r="H11647" s="983" t="s">
        <v>1108</v>
      </c>
    </row>
    <row r="11648" spans="1:9" x14ac:dyDescent="0.2">
      <c r="A11648" s="997">
        <f t="shared" si="181"/>
        <v>11647</v>
      </c>
      <c r="B11648" s="983" t="s">
        <v>2726</v>
      </c>
      <c r="C11648" s="1000"/>
      <c r="H11648" s="983" t="str">
        <f>CONCATENATE("&lt;valeur&gt;",Cellule_1649,"&lt;/valeur&gt;")</f>
        <v>&lt;valeur&gt;0&lt;/valeur&gt;</v>
      </c>
    </row>
    <row r="11649" spans="1:9" x14ac:dyDescent="0.2">
      <c r="A11649" s="997">
        <f t="shared" si="181"/>
        <v>11648</v>
      </c>
      <c r="B11649" s="983" t="s">
        <v>2726</v>
      </c>
      <c r="C11649" s="999"/>
      <c r="G11649" s="983" t="s">
        <v>1109</v>
      </c>
    </row>
    <row r="11650" spans="1:9" x14ac:dyDescent="0.2">
      <c r="A11650" s="997">
        <f t="shared" si="181"/>
        <v>11649</v>
      </c>
      <c r="B11650" s="983" t="s">
        <v>2726</v>
      </c>
      <c r="C11650" s="999"/>
      <c r="G11650" s="983" t="s">
        <v>1106</v>
      </c>
    </row>
    <row r="11651" spans="1:9" x14ac:dyDescent="0.2">
      <c r="A11651" s="997">
        <f t="shared" si="181"/>
        <v>11650</v>
      </c>
      <c r="B11651" s="983" t="s">
        <v>2726</v>
      </c>
      <c r="C11651" s="1000"/>
      <c r="H11651" s="983" t="s">
        <v>1107</v>
      </c>
    </row>
    <row r="11652" spans="1:9" x14ac:dyDescent="0.2">
      <c r="A11652" s="997">
        <f t="shared" ref="A11652:A11715" si="182">+A11651+1</f>
        <v>11651</v>
      </c>
      <c r="B11652" s="983" t="s">
        <v>2726</v>
      </c>
      <c r="C11652" s="1001"/>
      <c r="I11652" s="983" t="s">
        <v>2683</v>
      </c>
    </row>
    <row r="11653" spans="1:9" x14ac:dyDescent="0.2">
      <c r="A11653" s="997">
        <f t="shared" si="182"/>
        <v>11652</v>
      </c>
      <c r="B11653" s="983" t="s">
        <v>2726</v>
      </c>
      <c r="C11653" s="1000"/>
      <c r="H11653" s="983" t="s">
        <v>1108</v>
      </c>
    </row>
    <row r="11654" spans="1:9" x14ac:dyDescent="0.2">
      <c r="A11654" s="997">
        <f t="shared" si="182"/>
        <v>11653</v>
      </c>
      <c r="B11654" s="983" t="s">
        <v>2726</v>
      </c>
      <c r="C11654" s="1000"/>
      <c r="H11654" s="983" t="str">
        <f>CONCATENATE("&lt;valeur&gt;",Cellule_1662,"&lt;/valeur&gt;")</f>
        <v>&lt;valeur&gt;0&lt;/valeur&gt;</v>
      </c>
    </row>
    <row r="11655" spans="1:9" x14ac:dyDescent="0.2">
      <c r="A11655" s="997">
        <f t="shared" si="182"/>
        <v>11654</v>
      </c>
      <c r="B11655" s="983" t="s">
        <v>2726</v>
      </c>
      <c r="C11655" s="999"/>
      <c r="G11655" s="983" t="s">
        <v>1109</v>
      </c>
    </row>
    <row r="11656" spans="1:9" x14ac:dyDescent="0.2">
      <c r="A11656" s="997">
        <f t="shared" si="182"/>
        <v>11655</v>
      </c>
      <c r="B11656" s="983" t="s">
        <v>2726</v>
      </c>
      <c r="C11656" s="999"/>
      <c r="G11656" s="983" t="s">
        <v>1106</v>
      </c>
    </row>
    <row r="11657" spans="1:9" x14ac:dyDescent="0.2">
      <c r="A11657" s="997">
        <f t="shared" si="182"/>
        <v>11656</v>
      </c>
      <c r="B11657" s="983" t="s">
        <v>2726</v>
      </c>
      <c r="C11657" s="1000"/>
      <c r="H11657" s="983" t="s">
        <v>1107</v>
      </c>
    </row>
    <row r="11658" spans="1:9" x14ac:dyDescent="0.2">
      <c r="A11658" s="997">
        <f t="shared" si="182"/>
        <v>11657</v>
      </c>
      <c r="B11658" s="983" t="s">
        <v>2726</v>
      </c>
      <c r="C11658" s="1001"/>
      <c r="I11658" s="983" t="s">
        <v>2684</v>
      </c>
    </row>
    <row r="11659" spans="1:9" x14ac:dyDescent="0.2">
      <c r="A11659" s="997">
        <f t="shared" si="182"/>
        <v>11658</v>
      </c>
      <c r="B11659" s="983" t="s">
        <v>2726</v>
      </c>
      <c r="C11659" s="1000"/>
      <c r="H11659" s="983" t="s">
        <v>1108</v>
      </c>
    </row>
    <row r="11660" spans="1:9" x14ac:dyDescent="0.2">
      <c r="A11660" s="997">
        <f t="shared" si="182"/>
        <v>11659</v>
      </c>
      <c r="B11660" s="983" t="s">
        <v>2726</v>
      </c>
      <c r="C11660" s="1000"/>
      <c r="H11660" s="983" t="str">
        <f>CONCATENATE("&lt;valeur&gt;",Cellule_1670,"&lt;/valeur&gt;")</f>
        <v>&lt;valeur&gt;0&lt;/valeur&gt;</v>
      </c>
    </row>
    <row r="11661" spans="1:9" x14ac:dyDescent="0.2">
      <c r="A11661" s="997">
        <f t="shared" si="182"/>
        <v>11660</v>
      </c>
      <c r="B11661" s="983" t="s">
        <v>2726</v>
      </c>
      <c r="C11661" s="999"/>
      <c r="G11661" s="983" t="s">
        <v>1109</v>
      </c>
    </row>
    <row r="11662" spans="1:9" x14ac:dyDescent="0.2">
      <c r="A11662" s="997">
        <f t="shared" si="182"/>
        <v>11661</v>
      </c>
      <c r="B11662" s="983" t="s">
        <v>2726</v>
      </c>
      <c r="C11662" s="999"/>
      <c r="G11662" s="983" t="s">
        <v>1106</v>
      </c>
    </row>
    <row r="11663" spans="1:9" x14ac:dyDescent="0.2">
      <c r="A11663" s="997">
        <f t="shared" si="182"/>
        <v>11662</v>
      </c>
      <c r="B11663" s="983" t="s">
        <v>2726</v>
      </c>
      <c r="C11663" s="1000"/>
      <c r="H11663" s="983" t="s">
        <v>1107</v>
      </c>
    </row>
    <row r="11664" spans="1:9" x14ac:dyDescent="0.2">
      <c r="A11664" s="997">
        <f t="shared" si="182"/>
        <v>11663</v>
      </c>
      <c r="B11664" s="983" t="s">
        <v>2726</v>
      </c>
      <c r="C11664" s="1001"/>
      <c r="I11664" s="983" t="s">
        <v>2685</v>
      </c>
    </row>
    <row r="11665" spans="1:9" x14ac:dyDescent="0.2">
      <c r="A11665" s="997">
        <f t="shared" si="182"/>
        <v>11664</v>
      </c>
      <c r="B11665" s="983" t="s">
        <v>2726</v>
      </c>
      <c r="C11665" s="1000"/>
      <c r="H11665" s="983" t="s">
        <v>1108</v>
      </c>
    </row>
    <row r="11666" spans="1:9" x14ac:dyDescent="0.2">
      <c r="A11666" s="997">
        <f t="shared" si="182"/>
        <v>11665</v>
      </c>
      <c r="B11666" s="983" t="s">
        <v>2726</v>
      </c>
      <c r="C11666" s="1000"/>
      <c r="H11666" s="983" t="str">
        <f>CONCATENATE("&lt;valeur&gt;",Cellule_1678,"&lt;/valeur&gt;")</f>
        <v>&lt;valeur&gt;0&lt;/valeur&gt;</v>
      </c>
    </row>
    <row r="11667" spans="1:9" x14ac:dyDescent="0.2">
      <c r="A11667" s="997">
        <f t="shared" si="182"/>
        <v>11666</v>
      </c>
      <c r="B11667" s="983" t="s">
        <v>2726</v>
      </c>
      <c r="C11667" s="999"/>
      <c r="G11667" s="983" t="s">
        <v>1109</v>
      </c>
    </row>
    <row r="11668" spans="1:9" x14ac:dyDescent="0.2">
      <c r="A11668" s="997">
        <f t="shared" si="182"/>
        <v>11667</v>
      </c>
      <c r="B11668" s="983" t="s">
        <v>2726</v>
      </c>
      <c r="C11668" s="999"/>
      <c r="G11668" s="983" t="s">
        <v>1106</v>
      </c>
    </row>
    <row r="11669" spans="1:9" x14ac:dyDescent="0.2">
      <c r="A11669" s="997">
        <f t="shared" si="182"/>
        <v>11668</v>
      </c>
      <c r="B11669" s="983" t="s">
        <v>2726</v>
      </c>
      <c r="C11669" s="1000"/>
      <c r="H11669" s="983" t="s">
        <v>1107</v>
      </c>
    </row>
    <row r="11670" spans="1:9" x14ac:dyDescent="0.2">
      <c r="A11670" s="997">
        <f t="shared" si="182"/>
        <v>11669</v>
      </c>
      <c r="B11670" s="983" t="s">
        <v>2726</v>
      </c>
      <c r="C11670" s="1001"/>
      <c r="I11670" s="983" t="s">
        <v>2686</v>
      </c>
    </row>
    <row r="11671" spans="1:9" x14ac:dyDescent="0.2">
      <c r="A11671" s="997">
        <f t="shared" si="182"/>
        <v>11670</v>
      </c>
      <c r="B11671" s="983" t="s">
        <v>2726</v>
      </c>
      <c r="C11671" s="1000"/>
      <c r="H11671" s="983" t="s">
        <v>1108</v>
      </c>
    </row>
    <row r="11672" spans="1:9" x14ac:dyDescent="0.2">
      <c r="A11672" s="997">
        <f t="shared" si="182"/>
        <v>11671</v>
      </c>
      <c r="B11672" s="983" t="s">
        <v>2726</v>
      </c>
      <c r="C11672" s="1000"/>
      <c r="H11672" s="983" t="str">
        <f>CONCATENATE("&lt;valeur&gt;",Cellule_1691,"&lt;/valeur&gt;")</f>
        <v>&lt;valeur&gt;0&lt;/valeur&gt;</v>
      </c>
    </row>
    <row r="11673" spans="1:9" x14ac:dyDescent="0.2">
      <c r="A11673" s="997">
        <f t="shared" si="182"/>
        <v>11672</v>
      </c>
      <c r="B11673" s="983" t="s">
        <v>2726</v>
      </c>
      <c r="C11673" s="999"/>
      <c r="G11673" s="983" t="s">
        <v>1109</v>
      </c>
    </row>
    <row r="11674" spans="1:9" x14ac:dyDescent="0.2">
      <c r="A11674" s="997">
        <f t="shared" si="182"/>
        <v>11673</v>
      </c>
      <c r="B11674" s="983" t="s">
        <v>2726</v>
      </c>
      <c r="C11674" s="999"/>
      <c r="G11674" s="983" t="s">
        <v>1106</v>
      </c>
    </row>
    <row r="11675" spans="1:9" x14ac:dyDescent="0.2">
      <c r="A11675" s="997">
        <f t="shared" si="182"/>
        <v>11674</v>
      </c>
      <c r="B11675" s="983" t="s">
        <v>2726</v>
      </c>
      <c r="C11675" s="1000"/>
      <c r="H11675" s="983" t="s">
        <v>1107</v>
      </c>
    </row>
    <row r="11676" spans="1:9" x14ac:dyDescent="0.2">
      <c r="A11676" s="997">
        <f t="shared" si="182"/>
        <v>11675</v>
      </c>
      <c r="B11676" s="983" t="s">
        <v>2726</v>
      </c>
      <c r="C11676" s="1001"/>
      <c r="I11676" s="983" t="s">
        <v>2687</v>
      </c>
    </row>
    <row r="11677" spans="1:9" x14ac:dyDescent="0.2">
      <c r="A11677" s="997">
        <f t="shared" si="182"/>
        <v>11676</v>
      </c>
      <c r="B11677" s="983" t="s">
        <v>2726</v>
      </c>
      <c r="C11677" s="1000"/>
      <c r="H11677" s="983" t="s">
        <v>1108</v>
      </c>
    </row>
    <row r="11678" spans="1:9" x14ac:dyDescent="0.2">
      <c r="A11678" s="997">
        <f t="shared" si="182"/>
        <v>11677</v>
      </c>
      <c r="B11678" s="983" t="s">
        <v>2726</v>
      </c>
      <c r="C11678" s="1000"/>
      <c r="H11678" s="983" t="str">
        <f>CONCATENATE("&lt;valeur&gt;",Cellule_1742,"&lt;/valeur&gt;")</f>
        <v>&lt;valeur&gt;0&lt;/valeur&gt;</v>
      </c>
    </row>
    <row r="11679" spans="1:9" x14ac:dyDescent="0.2">
      <c r="A11679" s="997">
        <f t="shared" si="182"/>
        <v>11678</v>
      </c>
      <c r="B11679" s="983" t="s">
        <v>2726</v>
      </c>
      <c r="C11679" s="999"/>
      <c r="G11679" s="983" t="s">
        <v>1109</v>
      </c>
    </row>
    <row r="11680" spans="1:9" x14ac:dyDescent="0.2">
      <c r="A11680" s="997">
        <f t="shared" si="182"/>
        <v>11679</v>
      </c>
      <c r="B11680" s="983" t="s">
        <v>2726</v>
      </c>
      <c r="C11680" s="999"/>
      <c r="G11680" s="983" t="s">
        <v>1106</v>
      </c>
    </row>
    <row r="11681" spans="1:9" x14ac:dyDescent="0.2">
      <c r="A11681" s="997">
        <f t="shared" si="182"/>
        <v>11680</v>
      </c>
      <c r="B11681" s="983" t="s">
        <v>2726</v>
      </c>
      <c r="C11681" s="1000"/>
      <c r="H11681" s="983" t="s">
        <v>1107</v>
      </c>
    </row>
    <row r="11682" spans="1:9" x14ac:dyDescent="0.2">
      <c r="A11682" s="997">
        <f t="shared" si="182"/>
        <v>11681</v>
      </c>
      <c r="B11682" s="983" t="s">
        <v>2726</v>
      </c>
      <c r="C11682" s="1001"/>
      <c r="I11682" s="983" t="s">
        <v>2688</v>
      </c>
    </row>
    <row r="11683" spans="1:9" x14ac:dyDescent="0.2">
      <c r="A11683" s="997">
        <f t="shared" si="182"/>
        <v>11682</v>
      </c>
      <c r="B11683" s="983" t="s">
        <v>2726</v>
      </c>
      <c r="C11683" s="1000"/>
      <c r="H11683" s="983" t="s">
        <v>1108</v>
      </c>
    </row>
    <row r="11684" spans="1:9" x14ac:dyDescent="0.2">
      <c r="A11684" s="997">
        <f t="shared" si="182"/>
        <v>11683</v>
      </c>
      <c r="B11684" s="983" t="s">
        <v>2726</v>
      </c>
      <c r="C11684" s="1000"/>
      <c r="H11684" s="983" t="str">
        <f>CONCATENATE("&lt;valeur&gt;",Cellule_1763,"&lt;/valeur&gt;")</f>
        <v>&lt;valeur&gt;0&lt;/valeur&gt;</v>
      </c>
    </row>
    <row r="11685" spans="1:9" x14ac:dyDescent="0.2">
      <c r="A11685" s="997">
        <f t="shared" si="182"/>
        <v>11684</v>
      </c>
      <c r="B11685" s="983" t="s">
        <v>2726</v>
      </c>
      <c r="C11685" s="999"/>
      <c r="G11685" s="983" t="s">
        <v>1109</v>
      </c>
    </row>
    <row r="11686" spans="1:9" x14ac:dyDescent="0.2">
      <c r="A11686" s="997">
        <f t="shared" si="182"/>
        <v>11685</v>
      </c>
      <c r="B11686" s="983" t="s">
        <v>2726</v>
      </c>
      <c r="C11686" s="999"/>
      <c r="G11686" s="983" t="s">
        <v>1106</v>
      </c>
    </row>
    <row r="11687" spans="1:9" x14ac:dyDescent="0.2">
      <c r="A11687" s="997">
        <f t="shared" si="182"/>
        <v>11686</v>
      </c>
      <c r="B11687" s="983" t="s">
        <v>2726</v>
      </c>
      <c r="C11687" s="1000"/>
      <c r="H11687" s="983" t="s">
        <v>1107</v>
      </c>
    </row>
    <row r="11688" spans="1:9" x14ac:dyDescent="0.2">
      <c r="A11688" s="997">
        <f t="shared" si="182"/>
        <v>11687</v>
      </c>
      <c r="B11688" s="983" t="s">
        <v>2726</v>
      </c>
      <c r="C11688" s="1001"/>
      <c r="I11688" s="983" t="s">
        <v>2689</v>
      </c>
    </row>
    <row r="11689" spans="1:9" x14ac:dyDescent="0.2">
      <c r="A11689" s="997">
        <f t="shared" si="182"/>
        <v>11688</v>
      </c>
      <c r="B11689" s="983" t="s">
        <v>2726</v>
      </c>
      <c r="C11689" s="1000"/>
      <c r="H11689" s="983" t="s">
        <v>1108</v>
      </c>
    </row>
    <row r="11690" spans="1:9" x14ac:dyDescent="0.2">
      <c r="A11690" s="997">
        <f t="shared" si="182"/>
        <v>11689</v>
      </c>
      <c r="B11690" s="983" t="s">
        <v>2726</v>
      </c>
      <c r="C11690" s="1000"/>
      <c r="H11690" s="983" t="str">
        <f>CONCATENATE("&lt;valeur&gt;",Cellule_1775,"&lt;/valeur&gt;")</f>
        <v>&lt;valeur&gt;0&lt;/valeur&gt;</v>
      </c>
    </row>
    <row r="11691" spans="1:9" x14ac:dyDescent="0.2">
      <c r="A11691" s="997">
        <f t="shared" si="182"/>
        <v>11690</v>
      </c>
      <c r="B11691" s="983" t="s">
        <v>2726</v>
      </c>
      <c r="C11691" s="999"/>
      <c r="G11691" s="983" t="s">
        <v>1109</v>
      </c>
    </row>
    <row r="11692" spans="1:9" x14ac:dyDescent="0.2">
      <c r="A11692" s="997">
        <f t="shared" si="182"/>
        <v>11691</v>
      </c>
      <c r="B11692" s="983" t="s">
        <v>2726</v>
      </c>
      <c r="C11692" s="999"/>
      <c r="G11692" s="983" t="s">
        <v>1106</v>
      </c>
    </row>
    <row r="11693" spans="1:9" x14ac:dyDescent="0.2">
      <c r="A11693" s="997">
        <f t="shared" si="182"/>
        <v>11692</v>
      </c>
      <c r="B11693" s="983" t="s">
        <v>2726</v>
      </c>
      <c r="C11693" s="1000"/>
      <c r="H11693" s="983" t="s">
        <v>1107</v>
      </c>
    </row>
    <row r="11694" spans="1:9" x14ac:dyDescent="0.2">
      <c r="A11694" s="997">
        <f t="shared" si="182"/>
        <v>11693</v>
      </c>
      <c r="B11694" s="983" t="s">
        <v>2726</v>
      </c>
      <c r="C11694" s="1001"/>
      <c r="I11694" s="983" t="s">
        <v>2690</v>
      </c>
    </row>
    <row r="11695" spans="1:9" x14ac:dyDescent="0.2">
      <c r="A11695" s="997">
        <f t="shared" si="182"/>
        <v>11694</v>
      </c>
      <c r="B11695" s="983" t="s">
        <v>2726</v>
      </c>
      <c r="C11695" s="1000"/>
      <c r="H11695" s="983" t="s">
        <v>1108</v>
      </c>
    </row>
    <row r="11696" spans="1:9" x14ac:dyDescent="0.2">
      <c r="A11696" s="997">
        <f t="shared" si="182"/>
        <v>11695</v>
      </c>
      <c r="B11696" s="983" t="s">
        <v>2726</v>
      </c>
      <c r="C11696" s="1000"/>
      <c r="H11696" s="983" t="str">
        <f>CONCATENATE("&lt;valeur&gt;",Cellule_1806,"&lt;/valeur&gt;")</f>
        <v>&lt;valeur&gt;0&lt;/valeur&gt;</v>
      </c>
    </row>
    <row r="11697" spans="1:9" x14ac:dyDescent="0.2">
      <c r="A11697" s="997">
        <f t="shared" si="182"/>
        <v>11696</v>
      </c>
      <c r="B11697" s="983" t="s">
        <v>2726</v>
      </c>
      <c r="C11697" s="999"/>
      <c r="G11697" s="983" t="s">
        <v>1109</v>
      </c>
    </row>
    <row r="11698" spans="1:9" x14ac:dyDescent="0.2">
      <c r="A11698" s="997">
        <f t="shared" si="182"/>
        <v>11697</v>
      </c>
      <c r="B11698" s="983" t="s">
        <v>2726</v>
      </c>
      <c r="C11698" s="999"/>
      <c r="G11698" s="983" t="s">
        <v>1106</v>
      </c>
    </row>
    <row r="11699" spans="1:9" x14ac:dyDescent="0.2">
      <c r="A11699" s="997">
        <f t="shared" si="182"/>
        <v>11698</v>
      </c>
      <c r="B11699" s="983" t="s">
        <v>2726</v>
      </c>
      <c r="C11699" s="1000"/>
      <c r="H11699" s="983" t="s">
        <v>1107</v>
      </c>
    </row>
    <row r="11700" spans="1:9" x14ac:dyDescent="0.2">
      <c r="A11700" s="997">
        <f t="shared" si="182"/>
        <v>11699</v>
      </c>
      <c r="B11700" s="983" t="s">
        <v>2726</v>
      </c>
      <c r="C11700" s="1001"/>
      <c r="I11700" s="983" t="s">
        <v>2691</v>
      </c>
    </row>
    <row r="11701" spans="1:9" x14ac:dyDescent="0.2">
      <c r="A11701" s="997">
        <f t="shared" si="182"/>
        <v>11700</v>
      </c>
      <c r="B11701" s="983" t="s">
        <v>2726</v>
      </c>
      <c r="C11701" s="1000"/>
      <c r="H11701" s="983" t="s">
        <v>1108</v>
      </c>
    </row>
    <row r="11702" spans="1:9" x14ac:dyDescent="0.2">
      <c r="A11702" s="997">
        <f t="shared" si="182"/>
        <v>11701</v>
      </c>
      <c r="B11702" s="983" t="s">
        <v>2726</v>
      </c>
      <c r="C11702" s="1000"/>
      <c r="H11702" s="983" t="str">
        <f>CONCATENATE("&lt;valeur&gt;",Cellule_1825,"&lt;/valeur&gt;")</f>
        <v>&lt;valeur&gt;0&lt;/valeur&gt;</v>
      </c>
    </row>
    <row r="11703" spans="1:9" x14ac:dyDescent="0.2">
      <c r="A11703" s="997">
        <f t="shared" si="182"/>
        <v>11702</v>
      </c>
      <c r="B11703" s="983" t="s">
        <v>2726</v>
      </c>
      <c r="C11703" s="999"/>
      <c r="G11703" s="983" t="s">
        <v>1109</v>
      </c>
    </row>
    <row r="11704" spans="1:9" x14ac:dyDescent="0.2">
      <c r="A11704" s="997">
        <f t="shared" si="182"/>
        <v>11703</v>
      </c>
      <c r="B11704" s="983" t="s">
        <v>2726</v>
      </c>
      <c r="C11704" s="999"/>
      <c r="G11704" s="983" t="s">
        <v>1106</v>
      </c>
    </row>
    <row r="11705" spans="1:9" x14ac:dyDescent="0.2">
      <c r="A11705" s="997">
        <f t="shared" si="182"/>
        <v>11704</v>
      </c>
      <c r="B11705" s="983" t="s">
        <v>2726</v>
      </c>
      <c r="C11705" s="1000"/>
      <c r="H11705" s="983" t="s">
        <v>1107</v>
      </c>
    </row>
    <row r="11706" spans="1:9" x14ac:dyDescent="0.2">
      <c r="A11706" s="997">
        <f t="shared" si="182"/>
        <v>11705</v>
      </c>
      <c r="B11706" s="983" t="s">
        <v>2726</v>
      </c>
      <c r="C11706" s="1001"/>
      <c r="I11706" s="983" t="s">
        <v>2692</v>
      </c>
    </row>
    <row r="11707" spans="1:9" x14ac:dyDescent="0.2">
      <c r="A11707" s="997">
        <f t="shared" si="182"/>
        <v>11706</v>
      </c>
      <c r="B11707" s="983" t="s">
        <v>2726</v>
      </c>
      <c r="C11707" s="1000"/>
      <c r="H11707" s="983" t="s">
        <v>1108</v>
      </c>
    </row>
    <row r="11708" spans="1:9" x14ac:dyDescent="0.2">
      <c r="A11708" s="997">
        <f t="shared" si="182"/>
        <v>11707</v>
      </c>
      <c r="B11708" s="983" t="s">
        <v>2726</v>
      </c>
      <c r="C11708" s="1000"/>
      <c r="H11708" s="983" t="str">
        <f>CONCATENATE("&lt;valeur&gt;",Cellule_1842,"&lt;/valeur&gt;")</f>
        <v>&lt;valeur&gt;0&lt;/valeur&gt;</v>
      </c>
    </row>
    <row r="11709" spans="1:9" x14ac:dyDescent="0.2">
      <c r="A11709" s="997">
        <f t="shared" si="182"/>
        <v>11708</v>
      </c>
      <c r="B11709" s="983" t="s">
        <v>2726</v>
      </c>
      <c r="C11709" s="999"/>
      <c r="G11709" s="983" t="s">
        <v>1109</v>
      </c>
    </row>
    <row r="11710" spans="1:9" x14ac:dyDescent="0.2">
      <c r="A11710" s="997">
        <f t="shared" si="182"/>
        <v>11709</v>
      </c>
      <c r="B11710" s="983" t="s">
        <v>2726</v>
      </c>
      <c r="C11710" s="999"/>
      <c r="G11710" s="983" t="s">
        <v>1106</v>
      </c>
    </row>
    <row r="11711" spans="1:9" x14ac:dyDescent="0.2">
      <c r="A11711" s="997">
        <f t="shared" si="182"/>
        <v>11710</v>
      </c>
      <c r="B11711" s="983" t="s">
        <v>2726</v>
      </c>
      <c r="C11711" s="1000"/>
      <c r="H11711" s="983" t="s">
        <v>1107</v>
      </c>
    </row>
    <row r="11712" spans="1:9" x14ac:dyDescent="0.2">
      <c r="A11712" s="997">
        <f t="shared" si="182"/>
        <v>11711</v>
      </c>
      <c r="B11712" s="983" t="s">
        <v>2726</v>
      </c>
      <c r="C11712" s="1001"/>
      <c r="I11712" s="983" t="s">
        <v>2693</v>
      </c>
    </row>
    <row r="11713" spans="1:9" x14ac:dyDescent="0.2">
      <c r="A11713" s="997">
        <f t="shared" si="182"/>
        <v>11712</v>
      </c>
      <c r="B11713" s="983" t="s">
        <v>2726</v>
      </c>
      <c r="C11713" s="1000"/>
      <c r="H11713" s="983" t="s">
        <v>1108</v>
      </c>
    </row>
    <row r="11714" spans="1:9" x14ac:dyDescent="0.2">
      <c r="A11714" s="997">
        <f t="shared" si="182"/>
        <v>11713</v>
      </c>
      <c r="B11714" s="983" t="s">
        <v>2726</v>
      </c>
      <c r="C11714" s="1000"/>
      <c r="H11714" s="983" t="str">
        <f>CONCATENATE("&lt;valeur&gt;",Cellule_1859,"&lt;/valeur&gt;")</f>
        <v>&lt;valeur&gt;0&lt;/valeur&gt;</v>
      </c>
    </row>
    <row r="11715" spans="1:9" x14ac:dyDescent="0.2">
      <c r="A11715" s="997">
        <f t="shared" si="182"/>
        <v>11714</v>
      </c>
      <c r="B11715" s="983" t="s">
        <v>2726</v>
      </c>
      <c r="C11715" s="999"/>
      <c r="G11715" s="983" t="s">
        <v>1109</v>
      </c>
    </row>
    <row r="11716" spans="1:9" x14ac:dyDescent="0.2">
      <c r="A11716" s="997">
        <f t="shared" ref="A11716:A11739" si="183">+A11715+1</f>
        <v>11715</v>
      </c>
      <c r="B11716" s="983" t="s">
        <v>2726</v>
      </c>
      <c r="C11716" s="999"/>
      <c r="G11716" s="983" t="s">
        <v>1106</v>
      </c>
    </row>
    <row r="11717" spans="1:9" x14ac:dyDescent="0.2">
      <c r="A11717" s="997">
        <f t="shared" si="183"/>
        <v>11716</v>
      </c>
      <c r="B11717" s="983" t="s">
        <v>2726</v>
      </c>
      <c r="C11717" s="1000"/>
      <c r="H11717" s="983" t="s">
        <v>1107</v>
      </c>
    </row>
    <row r="11718" spans="1:9" x14ac:dyDescent="0.2">
      <c r="A11718" s="997">
        <f t="shared" si="183"/>
        <v>11717</v>
      </c>
      <c r="B11718" s="983" t="s">
        <v>2726</v>
      </c>
      <c r="C11718" s="1001"/>
      <c r="I11718" s="983" t="s">
        <v>2694</v>
      </c>
    </row>
    <row r="11719" spans="1:9" x14ac:dyDescent="0.2">
      <c r="A11719" s="997">
        <f t="shared" si="183"/>
        <v>11718</v>
      </c>
      <c r="B11719" s="983" t="s">
        <v>2726</v>
      </c>
      <c r="C11719" s="1000"/>
      <c r="H11719" s="983" t="s">
        <v>1108</v>
      </c>
    </row>
    <row r="11720" spans="1:9" x14ac:dyDescent="0.2">
      <c r="A11720" s="997">
        <f t="shared" si="183"/>
        <v>11719</v>
      </c>
      <c r="B11720" s="983" t="s">
        <v>2726</v>
      </c>
      <c r="C11720" s="1000"/>
      <c r="H11720" s="983" t="str">
        <f>CONCATENATE("&lt;valeur&gt;",Cellule_1867,"&lt;/valeur&gt;")</f>
        <v>&lt;valeur&gt;0&lt;/valeur&gt;</v>
      </c>
    </row>
    <row r="11721" spans="1:9" x14ac:dyDescent="0.2">
      <c r="A11721" s="997">
        <f t="shared" si="183"/>
        <v>11720</v>
      </c>
      <c r="B11721" s="983" t="s">
        <v>2726</v>
      </c>
      <c r="C11721" s="999"/>
      <c r="G11721" s="983" t="s">
        <v>1109</v>
      </c>
    </row>
    <row r="11722" spans="1:9" x14ac:dyDescent="0.2">
      <c r="A11722" s="997">
        <f t="shared" si="183"/>
        <v>11721</v>
      </c>
      <c r="B11722" s="983" t="s">
        <v>2726</v>
      </c>
      <c r="C11722" s="999"/>
      <c r="G11722" s="983" t="s">
        <v>1106</v>
      </c>
    </row>
    <row r="11723" spans="1:9" x14ac:dyDescent="0.2">
      <c r="A11723" s="997">
        <f t="shared" si="183"/>
        <v>11722</v>
      </c>
      <c r="B11723" s="983" t="s">
        <v>2726</v>
      </c>
      <c r="C11723" s="1000"/>
      <c r="H11723" s="983" t="s">
        <v>1107</v>
      </c>
    </row>
    <row r="11724" spans="1:9" x14ac:dyDescent="0.2">
      <c r="A11724" s="997">
        <f t="shared" si="183"/>
        <v>11723</v>
      </c>
      <c r="B11724" s="983" t="s">
        <v>2726</v>
      </c>
      <c r="C11724" s="1001"/>
      <c r="I11724" s="983" t="s">
        <v>2695</v>
      </c>
    </row>
    <row r="11725" spans="1:9" x14ac:dyDescent="0.2">
      <c r="A11725" s="997">
        <f t="shared" si="183"/>
        <v>11724</v>
      </c>
      <c r="B11725" s="983" t="s">
        <v>2726</v>
      </c>
      <c r="C11725" s="1000"/>
      <c r="H11725" s="983" t="s">
        <v>1108</v>
      </c>
    </row>
    <row r="11726" spans="1:9" x14ac:dyDescent="0.2">
      <c r="A11726" s="997">
        <f t="shared" si="183"/>
        <v>11725</v>
      </c>
      <c r="B11726" s="983" t="s">
        <v>2726</v>
      </c>
      <c r="C11726" s="1000"/>
      <c r="H11726" s="983" t="str">
        <f>CONCATENATE("&lt;valeur&gt;",Cellule_1875,"&lt;/valeur&gt;")</f>
        <v>&lt;valeur&gt;0&lt;/valeur&gt;</v>
      </c>
    </row>
    <row r="11727" spans="1:9" x14ac:dyDescent="0.2">
      <c r="A11727" s="997">
        <f t="shared" si="183"/>
        <v>11726</v>
      </c>
      <c r="B11727" s="983" t="s">
        <v>2726</v>
      </c>
      <c r="C11727" s="999"/>
      <c r="G11727" s="983" t="s">
        <v>1109</v>
      </c>
    </row>
    <row r="11728" spans="1:9" x14ac:dyDescent="0.2">
      <c r="A11728" s="997">
        <f t="shared" si="183"/>
        <v>11727</v>
      </c>
      <c r="B11728" s="983" t="s">
        <v>2726</v>
      </c>
      <c r="C11728" s="999"/>
      <c r="G11728" s="983" t="s">
        <v>1106</v>
      </c>
    </row>
    <row r="11729" spans="1:9" x14ac:dyDescent="0.2">
      <c r="A11729" s="997">
        <f t="shared" si="183"/>
        <v>11728</v>
      </c>
      <c r="B11729" s="983" t="s">
        <v>2726</v>
      </c>
      <c r="C11729" s="1000"/>
      <c r="H11729" s="983" t="s">
        <v>1107</v>
      </c>
    </row>
    <row r="11730" spans="1:9" x14ac:dyDescent="0.2">
      <c r="A11730" s="997">
        <f t="shared" si="183"/>
        <v>11729</v>
      </c>
      <c r="B11730" s="983" t="s">
        <v>2726</v>
      </c>
      <c r="C11730" s="1001"/>
      <c r="I11730" s="983" t="s">
        <v>2696</v>
      </c>
    </row>
    <row r="11731" spans="1:9" x14ac:dyDescent="0.2">
      <c r="A11731" s="997">
        <f t="shared" si="183"/>
        <v>11730</v>
      </c>
      <c r="B11731" s="983" t="s">
        <v>2726</v>
      </c>
      <c r="C11731" s="1000"/>
      <c r="H11731" s="983" t="s">
        <v>1108</v>
      </c>
    </row>
    <row r="11732" spans="1:9" x14ac:dyDescent="0.2">
      <c r="A11732" s="997">
        <f t="shared" si="183"/>
        <v>11731</v>
      </c>
      <c r="B11732" s="983" t="s">
        <v>2726</v>
      </c>
      <c r="C11732" s="1000"/>
      <c r="H11732" s="983" t="str">
        <f>CONCATENATE("&lt;valeur&gt;",Cellule_1892,"&lt;/valeur&gt;")</f>
        <v>&lt;valeur&gt;0&lt;/valeur&gt;</v>
      </c>
    </row>
    <row r="11733" spans="1:9" x14ac:dyDescent="0.2">
      <c r="A11733" s="997">
        <f t="shared" si="183"/>
        <v>11732</v>
      </c>
      <c r="B11733" s="983" t="s">
        <v>2726</v>
      </c>
      <c r="C11733" s="999"/>
      <c r="G11733" s="983" t="s">
        <v>1109</v>
      </c>
    </row>
    <row r="11734" spans="1:9" x14ac:dyDescent="0.2">
      <c r="A11734" s="997">
        <f t="shared" si="183"/>
        <v>11733</v>
      </c>
      <c r="B11734" s="983" t="s">
        <v>2726</v>
      </c>
      <c r="C11734" s="999"/>
      <c r="F11734" s="983" t="s">
        <v>1110</v>
      </c>
    </row>
    <row r="11735" spans="1:9" x14ac:dyDescent="0.2">
      <c r="A11735" s="997">
        <f t="shared" si="183"/>
        <v>11734</v>
      </c>
      <c r="B11735" s="983" t="s">
        <v>2726</v>
      </c>
      <c r="C11735" s="1001"/>
      <c r="F11735" s="983" t="s">
        <v>1111</v>
      </c>
    </row>
    <row r="11736" spans="1:9" x14ac:dyDescent="0.2">
      <c r="A11736" s="997">
        <f t="shared" si="183"/>
        <v>11735</v>
      </c>
      <c r="B11736" s="983" t="s">
        <v>2726</v>
      </c>
      <c r="C11736" s="1000"/>
      <c r="F11736" s="983" t="s">
        <v>1112</v>
      </c>
    </row>
    <row r="11737" spans="1:9" x14ac:dyDescent="0.2">
      <c r="A11737" s="997">
        <f t="shared" si="183"/>
        <v>11736</v>
      </c>
      <c r="B11737" s="983" t="s">
        <v>2726</v>
      </c>
      <c r="C11737" s="1000"/>
      <c r="E11737" s="983" t="s">
        <v>1113</v>
      </c>
    </row>
    <row r="11738" spans="1:9" x14ac:dyDescent="0.2">
      <c r="A11738" s="997">
        <f t="shared" si="183"/>
        <v>11737</v>
      </c>
      <c r="B11738" s="983" t="s">
        <v>2734</v>
      </c>
      <c r="C11738" s="999"/>
      <c r="D11738" s="983" t="s">
        <v>1118</v>
      </c>
    </row>
    <row r="11739" spans="1:9" x14ac:dyDescent="0.2">
      <c r="A11739" s="997">
        <f t="shared" si="183"/>
        <v>11738</v>
      </c>
      <c r="B11739" s="983" t="s">
        <v>2734</v>
      </c>
      <c r="C11739" s="999" t="s">
        <v>1119</v>
      </c>
    </row>
    <row r="11740" spans="1:9" x14ac:dyDescent="0.2">
      <c r="C11740" s="1000"/>
    </row>
    <row r="11741" spans="1:9" x14ac:dyDescent="0.2">
      <c r="C11741" s="1001"/>
    </row>
    <row r="11742" spans="1:9" x14ac:dyDescent="0.2">
      <c r="C11742" s="1000"/>
    </row>
    <row r="11743" spans="1:9" x14ac:dyDescent="0.2">
      <c r="C11743" s="1000"/>
    </row>
    <row r="11744" spans="1:9" x14ac:dyDescent="0.2">
      <c r="C11744" s="999"/>
    </row>
    <row r="11745" spans="3:3" x14ac:dyDescent="0.2">
      <c r="C11745" s="999"/>
    </row>
    <row r="11746" spans="3:3" x14ac:dyDescent="0.2">
      <c r="C11746" s="1000"/>
    </row>
    <row r="11747" spans="3:3" x14ac:dyDescent="0.2">
      <c r="C11747" s="1001"/>
    </row>
    <row r="11748" spans="3:3" x14ac:dyDescent="0.2">
      <c r="C11748" s="1000"/>
    </row>
    <row r="11749" spans="3:3" x14ac:dyDescent="0.2">
      <c r="C11749" s="1000"/>
    </row>
    <row r="11750" spans="3:3" x14ac:dyDescent="0.2">
      <c r="C11750" s="999"/>
    </row>
    <row r="11751" spans="3:3" x14ac:dyDescent="0.2">
      <c r="C11751" s="999"/>
    </row>
    <row r="11752" spans="3:3" x14ac:dyDescent="0.2">
      <c r="C11752" s="1000"/>
    </row>
    <row r="11753" spans="3:3" x14ac:dyDescent="0.2">
      <c r="C11753" s="1001"/>
    </row>
    <row r="11754" spans="3:3" x14ac:dyDescent="0.2">
      <c r="C11754" s="1000"/>
    </row>
    <row r="11755" spans="3:3" x14ac:dyDescent="0.2">
      <c r="C11755" s="1000"/>
    </row>
    <row r="11756" spans="3:3" x14ac:dyDescent="0.2">
      <c r="C11756" s="999"/>
    </row>
    <row r="11757" spans="3:3" x14ac:dyDescent="0.2">
      <c r="C11757" s="999"/>
    </row>
    <row r="11758" spans="3:3" x14ac:dyDescent="0.2">
      <c r="C11758" s="1000"/>
    </row>
    <row r="11759" spans="3:3" x14ac:dyDescent="0.2">
      <c r="C11759" s="1001"/>
    </row>
    <row r="11760" spans="3:3" x14ac:dyDescent="0.2">
      <c r="C11760" s="1000"/>
    </row>
    <row r="11761" spans="3:3" x14ac:dyDescent="0.2">
      <c r="C11761" s="1000"/>
    </row>
    <row r="11762" spans="3:3" x14ac:dyDescent="0.2">
      <c r="C11762" s="999"/>
    </row>
    <row r="11763" spans="3:3" x14ac:dyDescent="0.2">
      <c r="C11763" s="999"/>
    </row>
    <row r="11764" spans="3:3" x14ac:dyDescent="0.2">
      <c r="C11764" s="1000"/>
    </row>
    <row r="11765" spans="3:3" x14ac:dyDescent="0.2">
      <c r="C11765" s="1001"/>
    </row>
    <row r="11766" spans="3:3" x14ac:dyDescent="0.2">
      <c r="C11766" s="1000"/>
    </row>
    <row r="11767" spans="3:3" x14ac:dyDescent="0.2">
      <c r="C11767" s="1000"/>
    </row>
    <row r="11768" spans="3:3" x14ac:dyDescent="0.2">
      <c r="C11768" s="999"/>
    </row>
    <row r="11769" spans="3:3" x14ac:dyDescent="0.2">
      <c r="C11769" s="999"/>
    </row>
    <row r="11770" spans="3:3" x14ac:dyDescent="0.2">
      <c r="C11770" s="1000"/>
    </row>
    <row r="11771" spans="3:3" x14ac:dyDescent="0.2">
      <c r="C11771" s="1001"/>
    </row>
    <row r="11772" spans="3:3" x14ac:dyDescent="0.2">
      <c r="C11772" s="1000"/>
    </row>
    <row r="11773" spans="3:3" x14ac:dyDescent="0.2">
      <c r="C11773" s="1000"/>
    </row>
    <row r="11774" spans="3:3" x14ac:dyDescent="0.2">
      <c r="C11774" s="999"/>
    </row>
    <row r="11775" spans="3:3" x14ac:dyDescent="0.2">
      <c r="C11775" s="999"/>
    </row>
    <row r="11776" spans="3:3" x14ac:dyDescent="0.2">
      <c r="C11776" s="1000"/>
    </row>
    <row r="11777" spans="3:3" x14ac:dyDescent="0.2">
      <c r="C11777" s="1001"/>
    </row>
    <row r="11778" spans="3:3" x14ac:dyDescent="0.2">
      <c r="C11778" s="1000"/>
    </row>
    <row r="11779" spans="3:3" x14ac:dyDescent="0.2">
      <c r="C11779" s="1000"/>
    </row>
    <row r="11780" spans="3:3" x14ac:dyDescent="0.2">
      <c r="C11780" s="999"/>
    </row>
    <row r="11781" spans="3:3" x14ac:dyDescent="0.2">
      <c r="C11781" s="999"/>
    </row>
    <row r="11782" spans="3:3" x14ac:dyDescent="0.2">
      <c r="C11782" s="1000"/>
    </row>
    <row r="11783" spans="3:3" x14ac:dyDescent="0.2">
      <c r="C11783" s="1001"/>
    </row>
    <row r="11784" spans="3:3" x14ac:dyDescent="0.2">
      <c r="C11784" s="1000"/>
    </row>
    <row r="11785" spans="3:3" x14ac:dyDescent="0.2">
      <c r="C11785" s="1000"/>
    </row>
    <row r="11786" spans="3:3" x14ac:dyDescent="0.2">
      <c r="C11786" s="999"/>
    </row>
    <row r="11787" spans="3:3" x14ac:dyDescent="0.2">
      <c r="C11787" s="999"/>
    </row>
    <row r="11788" spans="3:3" x14ac:dyDescent="0.2">
      <c r="C11788" s="1000"/>
    </row>
    <row r="11789" spans="3:3" x14ac:dyDescent="0.2">
      <c r="C11789" s="1001"/>
    </row>
    <row r="11790" spans="3:3" x14ac:dyDescent="0.2">
      <c r="C11790" s="1000"/>
    </row>
    <row r="11791" spans="3:3" x14ac:dyDescent="0.2">
      <c r="C11791" s="1000"/>
    </row>
    <row r="11792" spans="3:3" x14ac:dyDescent="0.2">
      <c r="C11792" s="999"/>
    </row>
    <row r="11793" spans="3:3" x14ac:dyDescent="0.2">
      <c r="C11793" s="999"/>
    </row>
    <row r="11794" spans="3:3" x14ac:dyDescent="0.2">
      <c r="C11794" s="1000"/>
    </row>
    <row r="11795" spans="3:3" x14ac:dyDescent="0.2">
      <c r="C11795" s="1001"/>
    </row>
    <row r="11796" spans="3:3" x14ac:dyDescent="0.2">
      <c r="C11796" s="1000"/>
    </row>
    <row r="11797" spans="3:3" x14ac:dyDescent="0.2">
      <c r="C11797" s="1000"/>
    </row>
    <row r="11798" spans="3:3" x14ac:dyDescent="0.2">
      <c r="C11798" s="999"/>
    </row>
    <row r="11799" spans="3:3" x14ac:dyDescent="0.2">
      <c r="C11799" s="999"/>
    </row>
    <row r="11800" spans="3:3" x14ac:dyDescent="0.2">
      <c r="C11800" s="1000"/>
    </row>
    <row r="11801" spans="3:3" x14ac:dyDescent="0.2">
      <c r="C11801" s="1001"/>
    </row>
    <row r="11802" spans="3:3" x14ac:dyDescent="0.2">
      <c r="C11802" s="1000"/>
    </row>
    <row r="11803" spans="3:3" x14ac:dyDescent="0.2">
      <c r="C11803" s="1000"/>
    </row>
    <row r="11804" spans="3:3" x14ac:dyDescent="0.2">
      <c r="C11804" s="999"/>
    </row>
    <row r="11805" spans="3:3" x14ac:dyDescent="0.2">
      <c r="C11805" s="999"/>
    </row>
    <row r="11806" spans="3:3" x14ac:dyDescent="0.2">
      <c r="C11806" s="1000"/>
    </row>
    <row r="11807" spans="3:3" x14ac:dyDescent="0.2">
      <c r="C11807" s="1001"/>
    </row>
    <row r="11808" spans="3:3" x14ac:dyDescent="0.2">
      <c r="C11808" s="1000"/>
    </row>
    <row r="11809" spans="3:3" x14ac:dyDescent="0.2">
      <c r="C11809" s="1000"/>
    </row>
    <row r="11810" spans="3:3" x14ac:dyDescent="0.2">
      <c r="C11810" s="999"/>
    </row>
    <row r="11811" spans="3:3" x14ac:dyDescent="0.2">
      <c r="C11811" s="999"/>
    </row>
    <row r="11812" spans="3:3" x14ac:dyDescent="0.2">
      <c r="C11812" s="1000"/>
    </row>
    <row r="11813" spans="3:3" x14ac:dyDescent="0.2">
      <c r="C11813" s="1001"/>
    </row>
    <row r="11814" spans="3:3" x14ac:dyDescent="0.2">
      <c r="C11814" s="1000"/>
    </row>
    <row r="11815" spans="3:3" x14ac:dyDescent="0.2">
      <c r="C11815" s="1000"/>
    </row>
    <row r="11816" spans="3:3" x14ac:dyDescent="0.2">
      <c r="C11816" s="999"/>
    </row>
    <row r="11817" spans="3:3" x14ac:dyDescent="0.2">
      <c r="C11817" s="999"/>
    </row>
    <row r="11818" spans="3:3" x14ac:dyDescent="0.2">
      <c r="C11818" s="1000"/>
    </row>
    <row r="11819" spans="3:3" x14ac:dyDescent="0.2">
      <c r="C11819" s="1001"/>
    </row>
    <row r="11820" spans="3:3" x14ac:dyDescent="0.2">
      <c r="C11820" s="1000"/>
    </row>
    <row r="11821" spans="3:3" x14ac:dyDescent="0.2">
      <c r="C11821" s="1000"/>
    </row>
    <row r="11822" spans="3:3" x14ac:dyDescent="0.2">
      <c r="C11822" s="999"/>
    </row>
    <row r="11823" spans="3:3" x14ac:dyDescent="0.2">
      <c r="C11823" s="999"/>
    </row>
    <row r="11824" spans="3:3" x14ac:dyDescent="0.2">
      <c r="C11824" s="1000"/>
    </row>
    <row r="11825" spans="3:3" x14ac:dyDescent="0.2">
      <c r="C11825" s="1001"/>
    </row>
    <row r="11826" spans="3:3" x14ac:dyDescent="0.2">
      <c r="C11826" s="1000"/>
    </row>
    <row r="11827" spans="3:3" x14ac:dyDescent="0.2">
      <c r="C11827" s="1000"/>
    </row>
    <row r="11828" spans="3:3" x14ac:dyDescent="0.2">
      <c r="C11828" s="999"/>
    </row>
    <row r="11829" spans="3:3" x14ac:dyDescent="0.2">
      <c r="C11829" s="999"/>
    </row>
    <row r="11830" spans="3:3" x14ac:dyDescent="0.2">
      <c r="C11830" s="1000"/>
    </row>
    <row r="11831" spans="3:3" x14ac:dyDescent="0.2">
      <c r="C11831" s="1001"/>
    </row>
    <row r="11832" spans="3:3" x14ac:dyDescent="0.2">
      <c r="C11832" s="1000"/>
    </row>
    <row r="11833" spans="3:3" x14ac:dyDescent="0.2">
      <c r="C11833" s="1000"/>
    </row>
    <row r="11834" spans="3:3" x14ac:dyDescent="0.2">
      <c r="C11834" s="999"/>
    </row>
    <row r="11835" spans="3:3" x14ac:dyDescent="0.2">
      <c r="C11835" s="999"/>
    </row>
    <row r="11836" spans="3:3" x14ac:dyDescent="0.2">
      <c r="C11836" s="1000"/>
    </row>
    <row r="11837" spans="3:3" x14ac:dyDescent="0.2">
      <c r="C11837" s="1001"/>
    </row>
    <row r="11838" spans="3:3" x14ac:dyDescent="0.2">
      <c r="C11838" s="1000"/>
    </row>
    <row r="11839" spans="3:3" x14ac:dyDescent="0.2">
      <c r="C11839" s="1000"/>
    </row>
    <row r="11840" spans="3:3" x14ac:dyDescent="0.2">
      <c r="C11840" s="999"/>
    </row>
    <row r="11841" spans="3:3" x14ac:dyDescent="0.2">
      <c r="C11841" s="999"/>
    </row>
    <row r="11842" spans="3:3" x14ac:dyDescent="0.2">
      <c r="C11842" s="1000"/>
    </row>
    <row r="11843" spans="3:3" x14ac:dyDescent="0.2">
      <c r="C11843" s="1001"/>
    </row>
    <row r="11844" spans="3:3" x14ac:dyDescent="0.2">
      <c r="C11844" s="1000"/>
    </row>
    <row r="11845" spans="3:3" x14ac:dyDescent="0.2">
      <c r="C11845" s="1000"/>
    </row>
    <row r="11846" spans="3:3" x14ac:dyDescent="0.2">
      <c r="C11846" s="999"/>
    </row>
    <row r="11847" spans="3:3" x14ac:dyDescent="0.2">
      <c r="C11847" s="999"/>
    </row>
    <row r="11848" spans="3:3" x14ac:dyDescent="0.2">
      <c r="C11848" s="1000"/>
    </row>
    <row r="11849" spans="3:3" x14ac:dyDescent="0.2">
      <c r="C11849" s="1001"/>
    </row>
    <row r="11850" spans="3:3" x14ac:dyDescent="0.2">
      <c r="C11850" s="1000"/>
    </row>
    <row r="11851" spans="3:3" x14ac:dyDescent="0.2">
      <c r="C11851" s="1000"/>
    </row>
    <row r="11852" spans="3:3" x14ac:dyDescent="0.2">
      <c r="C11852" s="999"/>
    </row>
    <row r="11853" spans="3:3" x14ac:dyDescent="0.2">
      <c r="C11853" s="999"/>
    </row>
    <row r="11854" spans="3:3" x14ac:dyDescent="0.2">
      <c r="C11854" s="1000"/>
    </row>
    <row r="11855" spans="3:3" x14ac:dyDescent="0.2">
      <c r="C11855" s="1001"/>
    </row>
    <row r="11856" spans="3:3" x14ac:dyDescent="0.2">
      <c r="C11856" s="1000"/>
    </row>
    <row r="11857" spans="3:3" x14ac:dyDescent="0.2">
      <c r="C11857" s="1000"/>
    </row>
    <row r="11858" spans="3:3" x14ac:dyDescent="0.2">
      <c r="C11858" s="999"/>
    </row>
    <row r="11859" spans="3:3" x14ac:dyDescent="0.2">
      <c r="C11859" s="999"/>
    </row>
    <row r="11860" spans="3:3" x14ac:dyDescent="0.2">
      <c r="C11860" s="1000"/>
    </row>
    <row r="11861" spans="3:3" x14ac:dyDescent="0.2">
      <c r="C11861" s="1001"/>
    </row>
    <row r="11862" spans="3:3" x14ac:dyDescent="0.2">
      <c r="C11862" s="1000"/>
    </row>
    <row r="11863" spans="3:3" x14ac:dyDescent="0.2">
      <c r="C11863" s="1000"/>
    </row>
    <row r="11864" spans="3:3" x14ac:dyDescent="0.2">
      <c r="C11864" s="999"/>
    </row>
    <row r="11865" spans="3:3" x14ac:dyDescent="0.2">
      <c r="C11865" s="999"/>
    </row>
    <row r="11866" spans="3:3" x14ac:dyDescent="0.2">
      <c r="C11866" s="1000"/>
    </row>
    <row r="11867" spans="3:3" x14ac:dyDescent="0.2">
      <c r="C11867" s="1001"/>
    </row>
    <row r="11868" spans="3:3" x14ac:dyDescent="0.2">
      <c r="C11868" s="1000"/>
    </row>
    <row r="11869" spans="3:3" x14ac:dyDescent="0.2">
      <c r="C11869" s="1000"/>
    </row>
    <row r="11870" spans="3:3" x14ac:dyDescent="0.2">
      <c r="C11870" s="999"/>
    </row>
    <row r="11871" spans="3:3" x14ac:dyDescent="0.2">
      <c r="C11871" s="999"/>
    </row>
    <row r="11872" spans="3:3" x14ac:dyDescent="0.2">
      <c r="C11872" s="1000"/>
    </row>
    <row r="11873" spans="3:3" x14ac:dyDescent="0.2">
      <c r="C11873" s="1001"/>
    </row>
    <row r="11874" spans="3:3" x14ac:dyDescent="0.2">
      <c r="C11874" s="1000"/>
    </row>
    <row r="11875" spans="3:3" x14ac:dyDescent="0.2">
      <c r="C11875" s="1000"/>
    </row>
    <row r="11876" spans="3:3" x14ac:dyDescent="0.2">
      <c r="C11876" s="999"/>
    </row>
    <row r="11877" spans="3:3" x14ac:dyDescent="0.2">
      <c r="C11877" s="999"/>
    </row>
    <row r="11878" spans="3:3" x14ac:dyDescent="0.2">
      <c r="C11878" s="1000"/>
    </row>
    <row r="11879" spans="3:3" x14ac:dyDescent="0.2">
      <c r="C11879" s="1001"/>
    </row>
    <row r="11880" spans="3:3" x14ac:dyDescent="0.2">
      <c r="C11880" s="1000"/>
    </row>
    <row r="11881" spans="3:3" x14ac:dyDescent="0.2">
      <c r="C11881" s="1000"/>
    </row>
    <row r="11882" spans="3:3" x14ac:dyDescent="0.2">
      <c r="C11882" s="999"/>
    </row>
    <row r="11883" spans="3:3" x14ac:dyDescent="0.2">
      <c r="C11883" s="999"/>
    </row>
    <row r="11884" spans="3:3" x14ac:dyDescent="0.2">
      <c r="C11884" s="1000"/>
    </row>
    <row r="11885" spans="3:3" x14ac:dyDescent="0.2">
      <c r="C11885" s="1001"/>
    </row>
    <row r="11886" spans="3:3" x14ac:dyDescent="0.2">
      <c r="C11886" s="1000"/>
    </row>
    <row r="11887" spans="3:3" x14ac:dyDescent="0.2">
      <c r="C11887" s="1000"/>
    </row>
    <row r="11888" spans="3:3" x14ac:dyDescent="0.2">
      <c r="C11888" s="999"/>
    </row>
    <row r="11889" spans="3:3" x14ac:dyDescent="0.2">
      <c r="C11889" s="999"/>
    </row>
    <row r="11890" spans="3:3" x14ac:dyDescent="0.2">
      <c r="C11890" s="1000"/>
    </row>
    <row r="11891" spans="3:3" x14ac:dyDescent="0.2">
      <c r="C11891" s="1001"/>
    </row>
    <row r="11892" spans="3:3" x14ac:dyDescent="0.2">
      <c r="C11892" s="1000"/>
    </row>
    <row r="11893" spans="3:3" x14ac:dyDescent="0.2">
      <c r="C11893" s="1000"/>
    </row>
    <row r="11894" spans="3:3" x14ac:dyDescent="0.2">
      <c r="C11894" s="999"/>
    </row>
    <row r="11895" spans="3:3" x14ac:dyDescent="0.2">
      <c r="C11895" s="999"/>
    </row>
    <row r="11896" spans="3:3" x14ac:dyDescent="0.2">
      <c r="C11896" s="1000"/>
    </row>
    <row r="11897" spans="3:3" x14ac:dyDescent="0.2">
      <c r="C11897" s="1001"/>
    </row>
    <row r="11898" spans="3:3" x14ac:dyDescent="0.2">
      <c r="C11898" s="1000"/>
    </row>
    <row r="11899" spans="3:3" x14ac:dyDescent="0.2">
      <c r="C11899" s="1000"/>
    </row>
    <row r="11900" spans="3:3" x14ac:dyDescent="0.2">
      <c r="C11900" s="999"/>
    </row>
    <row r="11901" spans="3:3" x14ac:dyDescent="0.2">
      <c r="C11901" s="999"/>
    </row>
    <row r="11902" spans="3:3" x14ac:dyDescent="0.2">
      <c r="C11902" s="1000"/>
    </row>
    <row r="11903" spans="3:3" x14ac:dyDescent="0.2">
      <c r="C11903" s="1001"/>
    </row>
    <row r="11904" spans="3:3" x14ac:dyDescent="0.2">
      <c r="C11904" s="1000"/>
    </row>
    <row r="11905" spans="3:3" x14ac:dyDescent="0.2">
      <c r="C11905" s="1000"/>
    </row>
    <row r="11906" spans="3:3" x14ac:dyDescent="0.2">
      <c r="C11906" s="999"/>
    </row>
    <row r="11907" spans="3:3" x14ac:dyDescent="0.2">
      <c r="C11907" s="999"/>
    </row>
    <row r="11908" spans="3:3" x14ac:dyDescent="0.2">
      <c r="C11908" s="1000"/>
    </row>
    <row r="11909" spans="3:3" x14ac:dyDescent="0.2">
      <c r="C11909" s="1001"/>
    </row>
    <row r="11910" spans="3:3" x14ac:dyDescent="0.2">
      <c r="C11910" s="1000"/>
    </row>
    <row r="11911" spans="3:3" x14ac:dyDescent="0.2">
      <c r="C11911" s="1000"/>
    </row>
    <row r="11912" spans="3:3" x14ac:dyDescent="0.2">
      <c r="C11912" s="999"/>
    </row>
    <row r="11913" spans="3:3" x14ac:dyDescent="0.2">
      <c r="C11913" s="999"/>
    </row>
    <row r="11914" spans="3:3" x14ac:dyDescent="0.2">
      <c r="C11914" s="1000"/>
    </row>
    <row r="11915" spans="3:3" x14ac:dyDescent="0.2">
      <c r="C11915" s="1001"/>
    </row>
    <row r="11916" spans="3:3" x14ac:dyDescent="0.2">
      <c r="C11916" s="1000"/>
    </row>
    <row r="11917" spans="3:3" x14ac:dyDescent="0.2">
      <c r="C11917" s="1000"/>
    </row>
    <row r="11918" spans="3:3" x14ac:dyDescent="0.2">
      <c r="C11918" s="999"/>
    </row>
    <row r="11919" spans="3:3" x14ac:dyDescent="0.2">
      <c r="C11919" s="998"/>
    </row>
    <row r="11920" spans="3:3" x14ac:dyDescent="0.2">
      <c r="C11920" s="998"/>
    </row>
    <row r="11921" spans="3:3" x14ac:dyDescent="0.2">
      <c r="C11921" s="995"/>
    </row>
    <row r="11922" spans="3:3" x14ac:dyDescent="0.2">
      <c r="C11922" s="994"/>
    </row>
    <row r="11923" spans="3:3" x14ac:dyDescent="0.2">
      <c r="C11923" s="985"/>
    </row>
  </sheetData>
  <autoFilter ref="A1:I11739"/>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2"/>
  <dimension ref="A1:A11738"/>
  <sheetViews>
    <sheetView topLeftCell="A3390" workbookViewId="0">
      <selection activeCell="C9" sqref="C9"/>
    </sheetView>
  </sheetViews>
  <sheetFormatPr baseColWidth="10" defaultColWidth="12" defaultRowHeight="12.75" x14ac:dyDescent="0.2"/>
  <cols>
    <col min="1" max="1" width="50" style="983" customWidth="1"/>
    <col min="2" max="16384" width="12" style="983"/>
  </cols>
  <sheetData>
    <row r="1" spans="1:1" x14ac:dyDescent="0.2">
      <c r="A1" s="1135" t="str">
        <f>CONCATENATE(Programme!C2,Programme!D2,Programme!E2,Programme!F2,Programme!G2,Programme!H2,Programme!I2)</f>
        <v>&lt;?xml version="1.0" encoding="utf-8"?&gt;</v>
      </c>
    </row>
    <row r="2" spans="1:1" x14ac:dyDescent="0.2">
      <c r="A2" s="1135" t="str">
        <f>CONCATENATE(Programme!C3,Programme!D3,Programme!E3,Programme!F3,Programme!G3,Programme!H3,Programme!I3)</f>
        <v>&lt;Liasse&gt;</v>
      </c>
    </row>
    <row r="3" spans="1:1" x14ac:dyDescent="0.2">
      <c r="A3" s="1135" t="str">
        <f>CONCATENATE(Programme!C4,Programme!D4,Programme!E4,Programme!F4,Programme!G4,Programme!H4,Programme!I4)</f>
        <v>&lt;modele&gt;</v>
      </c>
    </row>
    <row r="4" spans="1:1" x14ac:dyDescent="0.2">
      <c r="A4" s="1135" t="str">
        <f>CONCATENATE(Programme!C5,Programme!D5,Programme!E5,Programme!F5,Programme!G5,Programme!H5,Programme!I5)</f>
        <v>&lt;id&gt;1&lt;/id&gt;</v>
      </c>
    </row>
    <row r="5" spans="1:1" x14ac:dyDescent="0.2">
      <c r="A5" s="1135" t="str">
        <f>CONCATENATE(Programme!C6,Programme!D6,Programme!E6,Programme!F6,Programme!G6,Programme!H6,Programme!I6)</f>
        <v>&lt;/modele&gt;</v>
      </c>
    </row>
    <row r="6" spans="1:1" x14ac:dyDescent="0.2">
      <c r="A6" s="1135" t="str">
        <f>CONCATENATE(Programme!C7,Programme!D7,Programme!E7,Programme!F7,Programme!G7,Programme!H7,Programme!I7)</f>
        <v>&lt;resultatFiscal&gt;</v>
      </c>
    </row>
    <row r="7" spans="1:1" x14ac:dyDescent="0.2">
      <c r="A7" s="1135" t="str">
        <f>CONCATENATE(Programme!C8,Programme!D8,Programme!E8,Programme!F8,Programme!G8,Programme!H8,Programme!I8)</f>
        <v>&lt;identifiantFiscal&gt;7777777&lt;/identifiantFiscal&gt;</v>
      </c>
    </row>
    <row r="8" spans="1:1" x14ac:dyDescent="0.2">
      <c r="A8" s="1135" t="str">
        <f>CONCATENATE(Programme!C9,Programme!D9,Programme!E9,Programme!F9,Programme!G9,Programme!H9,Programme!I9)</f>
        <v>&lt;exerciceFiscalDu&gt;2022-01-01&lt;/exerciceFiscalDu&gt;</v>
      </c>
    </row>
    <row r="9" spans="1:1" x14ac:dyDescent="0.2">
      <c r="A9" s="1135" t="str">
        <f>CONCATENATE(Programme!C10,Programme!D10,Programme!E10,Programme!F10,Programme!G10,Programme!H10,Programme!I10)</f>
        <v>&lt;exerciceFiscalAu&gt;2022-12-31&lt;/exerciceFiscalAu&gt;</v>
      </c>
    </row>
    <row r="10" spans="1:1" x14ac:dyDescent="0.2">
      <c r="A10" s="1135" t="str">
        <f>CONCATENATE(Programme!C11,Programme!D11,Programme!E11,Programme!F11,Programme!G11,Programme!H11,Programme!I11)</f>
        <v>&lt;/resultatFiscal&gt;</v>
      </c>
    </row>
    <row r="11" spans="1:1" x14ac:dyDescent="0.2">
      <c r="A11" s="1135" t="str">
        <f>CONCATENATE(Programme!C12,Programme!D12,Programme!E12,Programme!F12,Programme!G12,Programme!H12,Programme!I12)</f>
        <v>&lt;!-- Partie 2 : Liasse Fiscale  --&gt;</v>
      </c>
    </row>
    <row r="12" spans="1:1" x14ac:dyDescent="0.2">
      <c r="A12" s="1135" t="str">
        <f>CONCATENATE(Programme!C13,Programme!D13,Programme!E13,Programme!F13,Programme!G13,Programme!H13,Programme!I13)</f>
        <v>&lt;!-- Les valeurs de chaque tableau de la liasse  --&gt;</v>
      </c>
    </row>
    <row r="13" spans="1:1" x14ac:dyDescent="0.2">
      <c r="A13" s="1135" t="str">
        <f>CONCATENATE(Programme!C14,Programme!D14,Programme!E14,Programme!F14,Programme!G14,Programme!H14,Programme!I14)</f>
        <v>&lt;groupeValeursTableau&gt;</v>
      </c>
    </row>
    <row r="14" spans="1:1" x14ac:dyDescent="0.2">
      <c r="A14" s="1135" t="str">
        <f>CONCATENATE(Programme!C15,Programme!D15,Programme!E15,Programme!F15,Programme!G15,Programme!H15,Programme!I15)</f>
        <v>&lt;ValeursTableau&gt;</v>
      </c>
    </row>
    <row r="15" spans="1:1" x14ac:dyDescent="0.2">
      <c r="A15" s="1135" t="str">
        <f>CONCATENATE(Programme!C16,Programme!D16,Programme!E16,Programme!F16,Programme!G16,Programme!H16,Programme!I16)</f>
        <v>&lt;tableau&gt;&lt;id&gt;2&lt;/id&gt;&lt;/tableau&gt;</v>
      </c>
    </row>
    <row r="16" spans="1:1" x14ac:dyDescent="0.2">
      <c r="A16" s="1135" t="str">
        <f>CONCATENATE(Programme!C17,Programme!D17,Programme!E17,Programme!F17,Programme!G17,Programme!H17,Programme!I17)</f>
        <v>&lt;groupeValeurs&gt;</v>
      </c>
    </row>
    <row r="17" spans="1:1" x14ac:dyDescent="0.2">
      <c r="A17" s="1135" t="str">
        <f>CONCATENATE(Programme!C18,Programme!D18,Programme!E18,Programme!F18,Programme!G18,Programme!H18,Programme!I18)</f>
        <v>&lt;ValeurCellule&gt;</v>
      </c>
    </row>
    <row r="18" spans="1:1" x14ac:dyDescent="0.2">
      <c r="A18" s="1135" t="str">
        <f>CONCATENATE(Programme!C19,Programme!D19,Programme!E19,Programme!F19,Programme!G19,Programme!H19,Programme!I19)</f>
        <v>&lt;cellule&gt;</v>
      </c>
    </row>
    <row r="19" spans="1:1" x14ac:dyDescent="0.2">
      <c r="A19" s="1135" t="str">
        <f>CONCATENATE(Programme!C20,Programme!D20,Programme!E20,Programme!F20,Programme!G20,Programme!H20,Programme!I20)</f>
        <v>&lt;codeEdi&gt;238&lt;/codeEdi&gt;</v>
      </c>
    </row>
    <row r="20" spans="1:1" x14ac:dyDescent="0.2">
      <c r="A20" s="1135" t="str">
        <f>CONCATENATE(Programme!C21,Programme!D21,Programme!E21,Programme!F21,Programme!G21,Programme!H21,Programme!I21)</f>
        <v>&lt;/cellule&gt;</v>
      </c>
    </row>
    <row r="21" spans="1:1" x14ac:dyDescent="0.2">
      <c r="A21" s="1135" t="str">
        <f>CONCATENATE(Programme!C22,Programme!D22,Programme!E22,Programme!F22,Programme!G22,Programme!H22,Programme!I22)</f>
        <v>&lt;valeur&gt;5000&lt;/valeur&gt;</v>
      </c>
    </row>
    <row r="22" spans="1:1" x14ac:dyDescent="0.2">
      <c r="A22" s="1135" t="str">
        <f>CONCATENATE(Programme!C23,Programme!D23,Programme!E23,Programme!F23,Programme!G23,Programme!H23,Programme!I23)</f>
        <v>&lt;/ValeurCellule&gt;</v>
      </c>
    </row>
    <row r="23" spans="1:1" x14ac:dyDescent="0.2">
      <c r="A23" s="1135" t="str">
        <f>CONCATENATE(Programme!C24,Programme!D24,Programme!E24,Programme!F24,Programme!G24,Programme!H24,Programme!I24)</f>
        <v>&lt;ValeurCellule&gt;</v>
      </c>
    </row>
    <row r="24" spans="1:1" x14ac:dyDescent="0.2">
      <c r="A24" s="1135" t="str">
        <f>CONCATENATE(Programme!C25,Programme!D25,Programme!E25,Programme!F25,Programme!G25,Programme!H25,Programme!I25)</f>
        <v>&lt;cellule&gt;</v>
      </c>
    </row>
    <row r="25" spans="1:1" x14ac:dyDescent="0.2">
      <c r="A25" s="1135" t="str">
        <f>CONCATENATE(Programme!C26,Programme!D26,Programme!E26,Programme!F26,Programme!G26,Programme!H26,Programme!I26)</f>
        <v>&lt;codeEdi&gt;239&lt;/codeEdi&gt;</v>
      </c>
    </row>
    <row r="26" spans="1:1" x14ac:dyDescent="0.2">
      <c r="A26" s="1135" t="str">
        <f>CONCATENATE(Programme!C27,Programme!D27,Programme!E27,Programme!F27,Programme!G27,Programme!H27,Programme!I27)</f>
        <v>&lt;/cellule&gt;</v>
      </c>
    </row>
    <row r="27" spans="1:1" x14ac:dyDescent="0.2">
      <c r="A27" s="1135" t="str">
        <f>CONCATENATE(Programme!C28,Programme!D28,Programme!E28,Programme!F28,Programme!G28,Programme!H28,Programme!I28)</f>
        <v>&lt;valeur&gt;0&lt;/valeur&gt;</v>
      </c>
    </row>
    <row r="28" spans="1:1" x14ac:dyDescent="0.2">
      <c r="A28" s="1135" t="str">
        <f>CONCATENATE(Programme!C29,Programme!D29,Programme!E29,Programme!F29,Programme!G29,Programme!H29,Programme!I29)</f>
        <v>&lt;/ValeurCellule&gt;</v>
      </c>
    </row>
    <row r="29" spans="1:1" x14ac:dyDescent="0.2">
      <c r="A29" s="1135" t="str">
        <f>CONCATENATE(Programme!C30,Programme!D30,Programme!E30,Programme!F30,Programme!G30,Programme!H30,Programme!I30)</f>
        <v>&lt;ValeurCellule&gt;</v>
      </c>
    </row>
    <row r="30" spans="1:1" x14ac:dyDescent="0.2">
      <c r="A30" s="1135" t="str">
        <f>CONCATENATE(Programme!C31,Programme!D31,Programme!E31,Programme!F31,Programme!G31,Programme!H31,Programme!I31)</f>
        <v>&lt;cellule&gt;</v>
      </c>
    </row>
    <row r="31" spans="1:1" x14ac:dyDescent="0.2">
      <c r="A31" s="1135" t="str">
        <f>CONCATENATE(Programme!C32,Programme!D32,Programme!E32,Programme!F32,Programme!G32,Programme!H32,Programme!I32)</f>
        <v>&lt;codeEdi&gt;240&lt;/codeEdi&gt;</v>
      </c>
    </row>
    <row r="32" spans="1:1" x14ac:dyDescent="0.2">
      <c r="A32" s="1135" t="str">
        <f>CONCATENATE(Programme!C33,Programme!D33,Programme!E33,Programme!F33,Programme!G33,Programme!H33,Programme!I33)</f>
        <v>&lt;/cellule&gt;</v>
      </c>
    </row>
    <row r="33" spans="1:1" x14ac:dyDescent="0.2">
      <c r="A33" s="1135" t="str">
        <f>CONCATENATE(Programme!C34,Programme!D34,Programme!E34,Programme!F34,Programme!G34,Programme!H34,Programme!I34)</f>
        <v>&lt;valeur&gt;0&lt;/valeur&gt;</v>
      </c>
    </row>
    <row r="34" spans="1:1" x14ac:dyDescent="0.2">
      <c r="A34" s="1135" t="str">
        <f>CONCATENATE(Programme!C35,Programme!D35,Programme!E35,Programme!F35,Programme!G35,Programme!H35,Programme!I35)</f>
        <v>&lt;/ValeurCellule&gt;</v>
      </c>
    </row>
    <row r="35" spans="1:1" x14ac:dyDescent="0.2">
      <c r="A35" s="1135" t="str">
        <f>CONCATENATE(Programme!C36,Programme!D36,Programme!E36,Programme!F36,Programme!G36,Programme!H36,Programme!I36)</f>
        <v>&lt;ValeurCellule&gt;</v>
      </c>
    </row>
    <row r="36" spans="1:1" x14ac:dyDescent="0.2">
      <c r="A36" s="1135" t="str">
        <f>CONCATENATE(Programme!C37,Programme!D37,Programme!E37,Programme!F37,Programme!G37,Programme!H37,Programme!I37)</f>
        <v>&lt;cellule&gt;</v>
      </c>
    </row>
    <row r="37" spans="1:1" x14ac:dyDescent="0.2">
      <c r="A37" s="1135" t="str">
        <f>CONCATENATE(Programme!C38,Programme!D38,Programme!E38,Programme!F38,Programme!G38,Programme!H38,Programme!I38)</f>
        <v>&lt;codeEdi&gt;497&lt;/codeEdi&gt;</v>
      </c>
    </row>
    <row r="38" spans="1:1" x14ac:dyDescent="0.2">
      <c r="A38" s="1135" t="str">
        <f>CONCATENATE(Programme!C39,Programme!D39,Programme!E39,Programme!F39,Programme!G39,Programme!H39,Programme!I39)</f>
        <v>&lt;/cellule&gt;</v>
      </c>
    </row>
    <row r="39" spans="1:1" x14ac:dyDescent="0.2">
      <c r="A39" s="1135" t="str">
        <f>CONCATENATE(Programme!C40,Programme!D40,Programme!E40,Programme!F40,Programme!G40,Programme!H40,Programme!I40)</f>
        <v>&lt;valeur&gt;5000&lt;/valeur&gt;</v>
      </c>
    </row>
    <row r="40" spans="1:1" x14ac:dyDescent="0.2">
      <c r="A40" s="1135" t="str">
        <f>CONCATENATE(Programme!C41,Programme!D41,Programme!E41,Programme!F41,Programme!G41,Programme!H41,Programme!I41)</f>
        <v>&lt;/ValeurCellule&gt;</v>
      </c>
    </row>
    <row r="41" spans="1:1" x14ac:dyDescent="0.2">
      <c r="A41" s="1135" t="str">
        <f>CONCATENATE(Programme!C42,Programme!D42,Programme!E42,Programme!F42,Programme!G42,Programme!H42,Programme!I42)</f>
        <v>&lt;ValeurCellule&gt;</v>
      </c>
    </row>
    <row r="42" spans="1:1" x14ac:dyDescent="0.2">
      <c r="A42" s="1135" t="str">
        <f>CONCATENATE(Programme!C43,Programme!D43,Programme!E43,Programme!F43,Programme!G43,Programme!H43,Programme!I43)</f>
        <v>&lt;cellule&gt;</v>
      </c>
    </row>
    <row r="43" spans="1:1" x14ac:dyDescent="0.2">
      <c r="A43" s="1135" t="str">
        <f>CONCATENATE(Programme!C44,Programme!D44,Programme!E44,Programme!F44,Programme!G44,Programme!H44,Programme!I44)</f>
        <v>&lt;codeEdi&gt;241&lt;/codeEdi&gt;</v>
      </c>
    </row>
    <row r="44" spans="1:1" x14ac:dyDescent="0.2">
      <c r="A44" s="1135" t="str">
        <f>CONCATENATE(Programme!C45,Programme!D45,Programme!E45,Programme!F45,Programme!G45,Programme!H45,Programme!I45)</f>
        <v>&lt;/cellule&gt;</v>
      </c>
    </row>
    <row r="45" spans="1:1" x14ac:dyDescent="0.2">
      <c r="A45" s="1135" t="str">
        <f>CONCATENATE(Programme!C46,Programme!D46,Programme!E46,Programme!F46,Programme!G46,Programme!H46,Programme!I46)</f>
        <v>&lt;valeur&gt;2360,87&lt;/valeur&gt;</v>
      </c>
    </row>
    <row r="46" spans="1:1" x14ac:dyDescent="0.2">
      <c r="A46" s="1135" t="str">
        <f>CONCATENATE(Programme!C47,Programme!D47,Programme!E47,Programme!F47,Programme!G47,Programme!H47,Programme!I47)</f>
        <v>&lt;/ValeurCellule&gt;</v>
      </c>
    </row>
    <row r="47" spans="1:1" x14ac:dyDescent="0.2">
      <c r="A47" s="1135" t="str">
        <f>CONCATENATE(Programme!C48,Programme!D48,Programme!E48,Programme!F48,Programme!G48,Programme!H48,Programme!I48)</f>
        <v>&lt;ValeurCellule&gt;</v>
      </c>
    </row>
    <row r="48" spans="1:1" x14ac:dyDescent="0.2">
      <c r="A48" s="1135" t="str">
        <f>CONCATENATE(Programme!C49,Programme!D49,Programme!E49,Programme!F49,Programme!G49,Programme!H49,Programme!I49)</f>
        <v>&lt;cellule&gt;</v>
      </c>
    </row>
    <row r="49" spans="1:1" x14ac:dyDescent="0.2">
      <c r="A49" s="1135" t="str">
        <f>CONCATENATE(Programme!C50,Programme!D50,Programme!E50,Programme!F50,Programme!G50,Programme!H50,Programme!I50)</f>
        <v>&lt;codeEdi&gt;242&lt;/codeEdi&gt;</v>
      </c>
    </row>
    <row r="50" spans="1:1" x14ac:dyDescent="0.2">
      <c r="A50" s="1135" t="str">
        <f>CONCATENATE(Programme!C51,Programme!D51,Programme!E51,Programme!F51,Programme!G51,Programme!H51,Programme!I51)</f>
        <v>&lt;/cellule&gt;</v>
      </c>
    </row>
    <row r="51" spans="1:1" x14ac:dyDescent="0.2">
      <c r="A51" s="1135" t="str">
        <f>CONCATENATE(Programme!C52,Programme!D52,Programme!E52,Programme!F52,Programme!G52,Programme!H52,Programme!I52)</f>
        <v>&lt;valeur&gt;0&lt;/valeur&gt;</v>
      </c>
    </row>
    <row r="52" spans="1:1" x14ac:dyDescent="0.2">
      <c r="A52" s="1135" t="str">
        <f>CONCATENATE(Programme!C53,Programme!D53,Programme!E53,Programme!F53,Programme!G53,Programme!H53,Programme!I53)</f>
        <v>&lt;/ValeurCellule&gt;</v>
      </c>
    </row>
    <row r="53" spans="1:1" x14ac:dyDescent="0.2">
      <c r="A53" s="1135" t="str">
        <f>CONCATENATE(Programme!C54,Programme!D54,Programme!E54,Programme!F54,Programme!G54,Programme!H54,Programme!I54)</f>
        <v>&lt;ValeurCellule&gt;</v>
      </c>
    </row>
    <row r="54" spans="1:1" x14ac:dyDescent="0.2">
      <c r="A54" s="1135" t="str">
        <f>CONCATENATE(Programme!C55,Programme!D55,Programme!E55,Programme!F55,Programme!G55,Programme!H55,Programme!I55)</f>
        <v>&lt;cellule&gt;</v>
      </c>
    </row>
    <row r="55" spans="1:1" x14ac:dyDescent="0.2">
      <c r="A55" s="1135" t="str">
        <f>CONCATENATE(Programme!C56,Programme!D56,Programme!E56,Programme!F56,Programme!G56,Programme!H56,Programme!I56)</f>
        <v>&lt;codeEdi&gt;243&lt;/codeEdi&gt;</v>
      </c>
    </row>
    <row r="56" spans="1:1" x14ac:dyDescent="0.2">
      <c r="A56" s="1135" t="str">
        <f>CONCATENATE(Programme!C57,Programme!D57,Programme!E57,Programme!F57,Programme!G57,Programme!H57,Programme!I57)</f>
        <v>&lt;/cellule&gt;</v>
      </c>
    </row>
    <row r="57" spans="1:1" x14ac:dyDescent="0.2">
      <c r="A57" s="1135" t="str">
        <f>CONCATENATE(Programme!C58,Programme!D58,Programme!E58,Programme!F58,Programme!G58,Programme!H58,Programme!I58)</f>
        <v>&lt;valeur&gt;0&lt;/valeur&gt;</v>
      </c>
    </row>
    <row r="58" spans="1:1" x14ac:dyDescent="0.2">
      <c r="A58" s="1135" t="str">
        <f>CONCATENATE(Programme!C59,Programme!D59,Programme!E59,Programme!F59,Programme!G59,Programme!H59,Programme!I59)</f>
        <v>&lt;/ValeurCellule&gt;</v>
      </c>
    </row>
    <row r="59" spans="1:1" x14ac:dyDescent="0.2">
      <c r="A59" s="1135" t="str">
        <f>CONCATENATE(Programme!C60,Programme!D60,Programme!E60,Programme!F60,Programme!G60,Programme!H60,Programme!I60)</f>
        <v>&lt;ValeurCellule&gt;</v>
      </c>
    </row>
    <row r="60" spans="1:1" x14ac:dyDescent="0.2">
      <c r="A60" s="1135" t="str">
        <f>CONCATENATE(Programme!C61,Programme!D61,Programme!E61,Programme!F61,Programme!G61,Programme!H61,Programme!I61)</f>
        <v>&lt;cellule&gt;</v>
      </c>
    </row>
    <row r="61" spans="1:1" x14ac:dyDescent="0.2">
      <c r="A61" s="1135" t="str">
        <f>CONCATENATE(Programme!C62,Programme!D62,Programme!E62,Programme!F62,Programme!G62,Programme!H62,Programme!I62)</f>
        <v>&lt;codeEdi&gt;498&lt;/codeEdi&gt;</v>
      </c>
    </row>
    <row r="62" spans="1:1" x14ac:dyDescent="0.2">
      <c r="A62" s="1135" t="str">
        <f>CONCATENATE(Programme!C63,Programme!D63,Programme!E63,Programme!F63,Programme!G63,Programme!H63,Programme!I63)</f>
        <v>&lt;/cellule&gt;</v>
      </c>
    </row>
    <row r="63" spans="1:1" x14ac:dyDescent="0.2">
      <c r="A63" s="1135" t="str">
        <f>CONCATENATE(Programme!C64,Programme!D64,Programme!E64,Programme!F64,Programme!G64,Programme!H64,Programme!I64)</f>
        <v>&lt;valeur&gt;2360,87&lt;/valeur&gt;</v>
      </c>
    </row>
    <row r="64" spans="1:1" x14ac:dyDescent="0.2">
      <c r="A64" s="1135" t="str">
        <f>CONCATENATE(Programme!C65,Programme!D65,Programme!E65,Programme!F65,Programme!G65,Programme!H65,Programme!I65)</f>
        <v>&lt;/ValeurCellule&gt;</v>
      </c>
    </row>
    <row r="65" spans="1:1" x14ac:dyDescent="0.2">
      <c r="A65" s="1135" t="str">
        <f>CONCATENATE(Programme!C66,Programme!D66,Programme!E66,Programme!F66,Programme!G66,Programme!H66,Programme!I66)</f>
        <v>&lt;ValeurCellule&gt;</v>
      </c>
    </row>
    <row r="66" spans="1:1" x14ac:dyDescent="0.2">
      <c r="A66" s="1135" t="str">
        <f>CONCATENATE(Programme!C67,Programme!D67,Programme!E67,Programme!F67,Programme!G67,Programme!H67,Programme!I67)</f>
        <v>&lt;cellule&gt;</v>
      </c>
    </row>
    <row r="67" spans="1:1" x14ac:dyDescent="0.2">
      <c r="A67" s="1135" t="str">
        <f>CONCATENATE(Programme!C68,Programme!D68,Programme!E68,Programme!F68,Programme!G68,Programme!H68,Programme!I68)</f>
        <v>&lt;codeEdi&gt;244&lt;/codeEdi&gt;</v>
      </c>
    </row>
    <row r="68" spans="1:1" x14ac:dyDescent="0.2">
      <c r="A68" s="1135" t="str">
        <f>CONCATENATE(Programme!C69,Programme!D69,Programme!E69,Programme!F69,Programme!G69,Programme!H69,Programme!I69)</f>
        <v>&lt;/cellule&gt;</v>
      </c>
    </row>
    <row r="69" spans="1:1" x14ac:dyDescent="0.2">
      <c r="A69" s="1135" t="str">
        <f>CONCATENATE(Programme!C70,Programme!D70,Programme!E70,Programme!F70,Programme!G70,Programme!H70,Programme!I70)</f>
        <v>&lt;valeur&gt;2639,13&lt;/valeur&gt;</v>
      </c>
    </row>
    <row r="70" spans="1:1" x14ac:dyDescent="0.2">
      <c r="A70" s="1135" t="str">
        <f>CONCATENATE(Programme!C71,Programme!D71,Programme!E71,Programme!F71,Programme!G71,Programme!H71,Programme!I71)</f>
        <v>&lt;/ValeurCellule&gt;</v>
      </c>
    </row>
    <row r="71" spans="1:1" x14ac:dyDescent="0.2">
      <c r="A71" s="1135" t="str">
        <f>CONCATENATE(Programme!C72,Programme!D72,Programme!E72,Programme!F72,Programme!G72,Programme!H72,Programme!I72)</f>
        <v>&lt;ValeurCellule&gt;</v>
      </c>
    </row>
    <row r="72" spans="1:1" x14ac:dyDescent="0.2">
      <c r="A72" s="1135" t="str">
        <f>CONCATENATE(Programme!C73,Programme!D73,Programme!E73,Programme!F73,Programme!G73,Programme!H73,Programme!I73)</f>
        <v>&lt;cellule&gt;</v>
      </c>
    </row>
    <row r="73" spans="1:1" x14ac:dyDescent="0.2">
      <c r="A73" s="1135" t="str">
        <f>CONCATENATE(Programme!C74,Programme!D74,Programme!E74,Programme!F74,Programme!G74,Programme!H74,Programme!I74)</f>
        <v>&lt;codeEdi&gt;245&lt;/codeEdi&gt;</v>
      </c>
    </row>
    <row r="74" spans="1:1" x14ac:dyDescent="0.2">
      <c r="A74" s="1135" t="str">
        <f>CONCATENATE(Programme!C75,Programme!D75,Programme!E75,Programme!F75,Programme!G75,Programme!H75,Programme!I75)</f>
        <v>&lt;/cellule&gt;</v>
      </c>
    </row>
    <row r="75" spans="1:1" x14ac:dyDescent="0.2">
      <c r="A75" s="1135" t="str">
        <f>CONCATENATE(Programme!C76,Programme!D76,Programme!E76,Programme!F76,Programme!G76,Programme!H76,Programme!I76)</f>
        <v>&lt;valeur&gt;0&lt;/valeur&gt;</v>
      </c>
    </row>
    <row r="76" spans="1:1" x14ac:dyDescent="0.2">
      <c r="A76" s="1135" t="str">
        <f>CONCATENATE(Programme!C77,Programme!D77,Programme!E77,Programme!F77,Programme!G77,Programme!H77,Programme!I77)</f>
        <v>&lt;/ValeurCellule&gt;</v>
      </c>
    </row>
    <row r="77" spans="1:1" x14ac:dyDescent="0.2">
      <c r="A77" s="1135" t="str">
        <f>CONCATENATE(Programme!C78,Programme!D78,Programme!E78,Programme!F78,Programme!G78,Programme!H78,Programme!I78)</f>
        <v>&lt;ValeurCellule&gt;</v>
      </c>
    </row>
    <row r="78" spans="1:1" x14ac:dyDescent="0.2">
      <c r="A78" s="1135" t="str">
        <f>CONCATENATE(Programme!C79,Programme!D79,Programme!E79,Programme!F79,Programme!G79,Programme!H79,Programme!I79)</f>
        <v>&lt;cellule&gt;</v>
      </c>
    </row>
    <row r="79" spans="1:1" x14ac:dyDescent="0.2">
      <c r="A79" s="1135" t="str">
        <f>CONCATENATE(Programme!C80,Programme!D80,Programme!E80,Programme!F80,Programme!G80,Programme!H80,Programme!I80)</f>
        <v>&lt;codeEdi&gt;246&lt;/codeEdi&gt;</v>
      </c>
    </row>
    <row r="80" spans="1:1" x14ac:dyDescent="0.2">
      <c r="A80" s="1135" t="str">
        <f>CONCATENATE(Programme!C81,Programme!D81,Programme!E81,Programme!F81,Programme!G81,Programme!H81,Programme!I81)</f>
        <v>&lt;/cellule&gt;</v>
      </c>
    </row>
    <row r="81" spans="1:1" x14ac:dyDescent="0.2">
      <c r="A81" s="1135" t="str">
        <f>CONCATENATE(Programme!C82,Programme!D82,Programme!E82,Programme!F82,Programme!G82,Programme!H82,Programme!I82)</f>
        <v>&lt;valeur&gt;0&lt;/valeur&gt;</v>
      </c>
    </row>
    <row r="82" spans="1:1" x14ac:dyDescent="0.2">
      <c r="A82" s="1135" t="str">
        <f>CONCATENATE(Programme!C83,Programme!D83,Programme!E83,Programme!F83,Programme!G83,Programme!H83,Programme!I83)</f>
        <v>&lt;/ValeurCellule&gt;</v>
      </c>
    </row>
    <row r="83" spans="1:1" x14ac:dyDescent="0.2">
      <c r="A83" s="1135" t="str">
        <f>CONCATENATE(Programme!C84,Programme!D84,Programme!E84,Programme!F84,Programme!G84,Programme!H84,Programme!I84)</f>
        <v>&lt;ValeurCellule&gt;</v>
      </c>
    </row>
    <row r="84" spans="1:1" x14ac:dyDescent="0.2">
      <c r="A84" s="1135" t="str">
        <f>CONCATENATE(Programme!C85,Programme!D85,Programme!E85,Programme!F85,Programme!G85,Programme!H85,Programme!I85)</f>
        <v>&lt;cellule&gt;</v>
      </c>
    </row>
    <row r="85" spans="1:1" x14ac:dyDescent="0.2">
      <c r="A85" s="1135" t="str">
        <f>CONCATENATE(Programme!C86,Programme!D86,Programme!E86,Programme!F86,Programme!G86,Programme!H86,Programme!I86)</f>
        <v>&lt;codeEdi&gt;499&lt;/codeEdi&gt;</v>
      </c>
    </row>
    <row r="86" spans="1:1" x14ac:dyDescent="0.2">
      <c r="A86" s="1135" t="str">
        <f>CONCATENATE(Programme!C87,Programme!D87,Programme!E87,Programme!F87,Programme!G87,Programme!H87,Programme!I87)</f>
        <v>&lt;/cellule&gt;</v>
      </c>
    </row>
    <row r="87" spans="1:1" x14ac:dyDescent="0.2">
      <c r="A87" s="1135" t="str">
        <f>CONCATENATE(Programme!C88,Programme!D88,Programme!E88,Programme!F88,Programme!G88,Programme!H88,Programme!I88)</f>
        <v>&lt;valeur&gt;2639,13&lt;/valeur&gt;</v>
      </c>
    </row>
    <row r="88" spans="1:1" x14ac:dyDescent="0.2">
      <c r="A88" s="1135" t="str">
        <f>CONCATENATE(Programme!C89,Programme!D89,Programme!E89,Programme!F89,Programme!G89,Programme!H89,Programme!I89)</f>
        <v>&lt;/ValeurCellule&gt;</v>
      </c>
    </row>
    <row r="89" spans="1:1" x14ac:dyDescent="0.2">
      <c r="A89" s="1135" t="str">
        <f>CONCATENATE(Programme!C90,Programme!D90,Programme!E90,Programme!F90,Programme!G90,Programme!H90,Programme!I90)</f>
        <v>&lt;ValeurCellule&gt;</v>
      </c>
    </row>
    <row r="90" spans="1:1" x14ac:dyDescent="0.2">
      <c r="A90" s="1135" t="str">
        <f>CONCATENATE(Programme!C91,Programme!D91,Programme!E91,Programme!F91,Programme!G91,Programme!H91,Programme!I91)</f>
        <v>&lt;cellule&gt;</v>
      </c>
    </row>
    <row r="91" spans="1:1" x14ac:dyDescent="0.2">
      <c r="A91" s="1135" t="str">
        <f>CONCATENATE(Programme!C92,Programme!D92,Programme!E92,Programme!F92,Programme!G92,Programme!H92,Programme!I92)</f>
        <v>&lt;codeEdi&gt;247&lt;/codeEdi&gt;</v>
      </c>
    </row>
    <row r="92" spans="1:1" x14ac:dyDescent="0.2">
      <c r="A92" s="1135" t="str">
        <f>CONCATENATE(Programme!C93,Programme!D93,Programme!E93,Programme!F93,Programme!G93,Programme!H93,Programme!I93)</f>
        <v>&lt;/cellule&gt;</v>
      </c>
    </row>
    <row r="93" spans="1:1" x14ac:dyDescent="0.2">
      <c r="A93" s="1135" t="str">
        <f>CONCATENATE(Programme!C94,Programme!D94,Programme!E94,Programme!F94,Programme!G94,Programme!H94,Programme!I94)</f>
        <v>&lt;valeur&gt;4305,63&lt;/valeur&gt;</v>
      </c>
    </row>
    <row r="94" spans="1:1" x14ac:dyDescent="0.2">
      <c r="A94" s="1135" t="str">
        <f>CONCATENATE(Programme!C95,Programme!D95,Programme!E95,Programme!F95,Programme!G95,Programme!H95,Programme!I95)</f>
        <v>&lt;/ValeurCellule&gt;</v>
      </c>
    </row>
    <row r="95" spans="1:1" x14ac:dyDescent="0.2">
      <c r="A95" s="1135" t="str">
        <f>CONCATENATE(Programme!C96,Programme!D96,Programme!E96,Programme!F96,Programme!G96,Programme!H96,Programme!I96)</f>
        <v>&lt;ValeurCellule&gt;</v>
      </c>
    </row>
    <row r="96" spans="1:1" x14ac:dyDescent="0.2">
      <c r="A96" s="1135" t="str">
        <f>CONCATENATE(Programme!C97,Programme!D97,Programme!E97,Programme!F97,Programme!G97,Programme!H97,Programme!I97)</f>
        <v>&lt;cellule&gt;</v>
      </c>
    </row>
    <row r="97" spans="1:1" x14ac:dyDescent="0.2">
      <c r="A97" s="1135" t="str">
        <f>CONCATENATE(Programme!C98,Programme!D98,Programme!E98,Programme!F98,Programme!G98,Programme!H98,Programme!I98)</f>
        <v>&lt;codeEdi&gt;248&lt;/codeEdi&gt;</v>
      </c>
    </row>
    <row r="98" spans="1:1" x14ac:dyDescent="0.2">
      <c r="A98" s="1135" t="str">
        <f>CONCATENATE(Programme!C99,Programme!D99,Programme!E99,Programme!F99,Programme!G99,Programme!H99,Programme!I99)</f>
        <v>&lt;/cellule&gt;</v>
      </c>
    </row>
    <row r="99" spans="1:1" x14ac:dyDescent="0.2">
      <c r="A99" s="1135" t="str">
        <f>CONCATENATE(Programme!C100,Programme!D100,Programme!E100,Programme!F100,Programme!G100,Programme!H100,Programme!I100)</f>
        <v>&lt;valeur&gt;0&lt;/valeur&gt;</v>
      </c>
    </row>
    <row r="100" spans="1:1" x14ac:dyDescent="0.2">
      <c r="A100" s="1135" t="str">
        <f>CONCATENATE(Programme!C101,Programme!D101,Programme!E101,Programme!F101,Programme!G101,Programme!H101,Programme!I101)</f>
        <v>&lt;/ValeurCellule&gt;</v>
      </c>
    </row>
    <row r="101" spans="1:1" x14ac:dyDescent="0.2">
      <c r="A101" s="1135" t="str">
        <f>CONCATENATE(Programme!C102,Programme!D102,Programme!E102,Programme!F102,Programme!G102,Programme!H102,Programme!I102)</f>
        <v>&lt;ValeurCellule&gt;</v>
      </c>
    </row>
    <row r="102" spans="1:1" x14ac:dyDescent="0.2">
      <c r="A102" s="1135" t="str">
        <f>CONCATENATE(Programme!C103,Programme!D103,Programme!E103,Programme!F103,Programme!G103,Programme!H103,Programme!I103)</f>
        <v>&lt;cellule&gt;</v>
      </c>
    </row>
    <row r="103" spans="1:1" x14ac:dyDescent="0.2">
      <c r="A103" s="1135" t="str">
        <f>CONCATENATE(Programme!C104,Programme!D104,Programme!E104,Programme!F104,Programme!G104,Programme!H104,Programme!I104)</f>
        <v>&lt;codeEdi&gt;249&lt;/codeEdi&gt;</v>
      </c>
    </row>
    <row r="104" spans="1:1" x14ac:dyDescent="0.2">
      <c r="A104" s="1135" t="str">
        <f>CONCATENATE(Programme!C105,Programme!D105,Programme!E105,Programme!F105,Programme!G105,Programme!H105,Programme!I105)</f>
        <v>&lt;/cellule&gt;</v>
      </c>
    </row>
    <row r="105" spans="1:1" x14ac:dyDescent="0.2">
      <c r="A105" s="1135" t="str">
        <f>CONCATENATE(Programme!C106,Programme!D106,Programme!E106,Programme!F106,Programme!G106,Programme!H106,Programme!I106)</f>
        <v>&lt;valeur&gt;0&lt;/valeur&gt;</v>
      </c>
    </row>
    <row r="106" spans="1:1" x14ac:dyDescent="0.2">
      <c r="A106" s="1135" t="str">
        <f>CONCATENATE(Programme!C107,Programme!D107,Programme!E107,Programme!F107,Programme!G107,Programme!H107,Programme!I107)</f>
        <v>&lt;/ValeurCellule&gt;</v>
      </c>
    </row>
    <row r="107" spans="1:1" x14ac:dyDescent="0.2">
      <c r="A107" s="1135" t="str">
        <f>CONCATENATE(Programme!C108,Programme!D108,Programme!E108,Programme!F108,Programme!G108,Programme!H108,Programme!I108)</f>
        <v>&lt;ValeurCellule&gt;</v>
      </c>
    </row>
    <row r="108" spans="1:1" x14ac:dyDescent="0.2">
      <c r="A108" s="1135" t="str">
        <f>CONCATENATE(Programme!C109,Programme!D109,Programme!E109,Programme!F109,Programme!G109,Programme!H109,Programme!I109)</f>
        <v>&lt;cellule&gt;</v>
      </c>
    </row>
    <row r="109" spans="1:1" x14ac:dyDescent="0.2">
      <c r="A109" s="1135" t="str">
        <f>CONCATENATE(Programme!C110,Programme!D110,Programme!E110,Programme!F110,Programme!G110,Programme!H110,Programme!I110)</f>
        <v>&lt;codeEdi&gt;500&lt;/codeEdi&gt;</v>
      </c>
    </row>
    <row r="110" spans="1:1" x14ac:dyDescent="0.2">
      <c r="A110" s="1135" t="str">
        <f>CONCATENATE(Programme!C111,Programme!D111,Programme!E111,Programme!F111,Programme!G111,Programme!H111,Programme!I111)</f>
        <v>&lt;/cellule&gt;</v>
      </c>
    </row>
    <row r="111" spans="1:1" x14ac:dyDescent="0.2">
      <c r="A111" s="1135" t="str">
        <f>CONCATENATE(Programme!C112,Programme!D112,Programme!E112,Programme!F112,Programme!G112,Programme!H112,Programme!I112)</f>
        <v>&lt;valeur&gt;4305,63&lt;/valeur&gt;</v>
      </c>
    </row>
    <row r="112" spans="1:1" x14ac:dyDescent="0.2">
      <c r="A112" s="1135" t="str">
        <f>CONCATENATE(Programme!C113,Programme!D113,Programme!E113,Programme!F113,Programme!G113,Programme!H113,Programme!I113)</f>
        <v>&lt;/ValeurCellule&gt;</v>
      </c>
    </row>
    <row r="113" spans="1:1" x14ac:dyDescent="0.2">
      <c r="A113" s="1135" t="str">
        <f>CONCATENATE(Programme!C114,Programme!D114,Programme!E114,Programme!F114,Programme!G114,Programme!H114,Programme!I114)</f>
        <v>&lt;ValeurCellule&gt;</v>
      </c>
    </row>
    <row r="114" spans="1:1" x14ac:dyDescent="0.2">
      <c r="A114" s="1135" t="str">
        <f>CONCATENATE(Programme!C115,Programme!D115,Programme!E115,Programme!F115,Programme!G115,Programme!H115,Programme!I115)</f>
        <v>&lt;cellule&gt;</v>
      </c>
    </row>
    <row r="115" spans="1:1" x14ac:dyDescent="0.2">
      <c r="A115" s="1135" t="str">
        <f>CONCATENATE(Programme!C116,Programme!D116,Programme!E116,Programme!F116,Programme!G116,Programme!H116,Programme!I116)</f>
        <v>&lt;codeEdi&gt;274&lt;/codeEdi&gt;</v>
      </c>
    </row>
    <row r="116" spans="1:1" x14ac:dyDescent="0.2">
      <c r="A116" s="1135" t="str">
        <f>CONCATENATE(Programme!C117,Programme!D117,Programme!E117,Programme!F117,Programme!G117,Programme!H117,Programme!I117)</f>
        <v>&lt;/cellule&gt;</v>
      </c>
    </row>
    <row r="117" spans="1:1" x14ac:dyDescent="0.2">
      <c r="A117" s="1135" t="str">
        <f>CONCATENATE(Programme!C118,Programme!D118,Programme!E118,Programme!F118,Programme!G118,Programme!H118,Programme!I118)</f>
        <v>&lt;valeur&gt;0&lt;/valeur&gt;</v>
      </c>
    </row>
    <row r="118" spans="1:1" x14ac:dyDescent="0.2">
      <c r="A118" s="1135" t="str">
        <f>CONCATENATE(Programme!C119,Programme!D119,Programme!E119,Programme!F119,Programme!G119,Programme!H119,Programme!I119)</f>
        <v>&lt;/ValeurCellule&gt;</v>
      </c>
    </row>
    <row r="119" spans="1:1" x14ac:dyDescent="0.2">
      <c r="A119" s="1135" t="str">
        <f>CONCATENATE(Programme!C120,Programme!D120,Programme!E120,Programme!F120,Programme!G120,Programme!H120,Programme!I120)</f>
        <v>&lt;ValeurCellule&gt;</v>
      </c>
    </row>
    <row r="120" spans="1:1" x14ac:dyDescent="0.2">
      <c r="A120" s="1135" t="str">
        <f>CONCATENATE(Programme!C121,Programme!D121,Programme!E121,Programme!F121,Programme!G121,Programme!H121,Programme!I121)</f>
        <v>&lt;cellule&gt;</v>
      </c>
    </row>
    <row r="121" spans="1:1" x14ac:dyDescent="0.2">
      <c r="A121" s="1135" t="str">
        <f>CONCATENATE(Programme!C122,Programme!D122,Programme!E122,Programme!F122,Programme!G122,Programme!H122,Programme!I122)</f>
        <v>&lt;codeEdi&gt;275&lt;/codeEdi&gt;</v>
      </c>
    </row>
    <row r="122" spans="1:1" x14ac:dyDescent="0.2">
      <c r="A122" s="1135" t="str">
        <f>CONCATENATE(Programme!C123,Programme!D123,Programme!E123,Programme!F123,Programme!G123,Programme!H123,Programme!I123)</f>
        <v>&lt;/cellule&gt;</v>
      </c>
    </row>
    <row r="123" spans="1:1" x14ac:dyDescent="0.2">
      <c r="A123" s="1135" t="str">
        <f>CONCATENATE(Programme!C124,Programme!D124,Programme!E124,Programme!F124,Programme!G124,Programme!H124,Programme!I124)</f>
        <v>&lt;valeur&gt;0&lt;/valeur&gt;</v>
      </c>
    </row>
    <row r="124" spans="1:1" x14ac:dyDescent="0.2">
      <c r="A124" s="1135" t="str">
        <f>CONCATENATE(Programme!C125,Programme!D125,Programme!E125,Programme!F125,Programme!G125,Programme!H125,Programme!I125)</f>
        <v>&lt;/ValeurCellule&gt;</v>
      </c>
    </row>
    <row r="125" spans="1:1" x14ac:dyDescent="0.2">
      <c r="A125" s="1135" t="str">
        <f>CONCATENATE(Programme!C126,Programme!D126,Programme!E126,Programme!F126,Programme!G126,Programme!H126,Programme!I126)</f>
        <v>&lt;ValeurCellule&gt;</v>
      </c>
    </row>
    <row r="126" spans="1:1" x14ac:dyDescent="0.2">
      <c r="A126" s="1135" t="str">
        <f>CONCATENATE(Programme!C127,Programme!D127,Programme!E127,Programme!F127,Programme!G127,Programme!H127,Programme!I127)</f>
        <v>&lt;cellule&gt;</v>
      </c>
    </row>
    <row r="127" spans="1:1" x14ac:dyDescent="0.2">
      <c r="A127" s="1135" t="str">
        <f>CONCATENATE(Programme!C128,Programme!D128,Programme!E128,Programme!F128,Programme!G128,Programme!H128,Programme!I128)</f>
        <v>&lt;codeEdi&gt;276&lt;/codeEdi&gt;</v>
      </c>
    </row>
    <row r="128" spans="1:1" x14ac:dyDescent="0.2">
      <c r="A128" s="1135" t="str">
        <f>CONCATENATE(Programme!C129,Programme!D129,Programme!E129,Programme!F129,Programme!G129,Programme!H129,Programme!I129)</f>
        <v>&lt;/cellule&gt;</v>
      </c>
    </row>
    <row r="129" spans="1:1" x14ac:dyDescent="0.2">
      <c r="A129" s="1135" t="str">
        <f>CONCATENATE(Programme!C130,Programme!D130,Programme!E130,Programme!F130,Programme!G130,Programme!H130,Programme!I130)</f>
        <v>&lt;valeur&gt;0&lt;/valeur&gt;</v>
      </c>
    </row>
    <row r="130" spans="1:1" x14ac:dyDescent="0.2">
      <c r="A130" s="1135" t="str">
        <f>CONCATENATE(Programme!C131,Programme!D131,Programme!E131,Programme!F131,Programme!G131,Programme!H131,Programme!I131)</f>
        <v>&lt;/ValeurCellule&gt;</v>
      </c>
    </row>
    <row r="131" spans="1:1" x14ac:dyDescent="0.2">
      <c r="A131" s="1135" t="str">
        <f>CONCATENATE(Programme!C132,Programme!D132,Programme!E132,Programme!F132,Programme!G132,Programme!H132,Programme!I132)</f>
        <v>&lt;ValeurCellule&gt;</v>
      </c>
    </row>
    <row r="132" spans="1:1" x14ac:dyDescent="0.2">
      <c r="A132" s="1135" t="str">
        <f>CONCATENATE(Programme!C133,Programme!D133,Programme!E133,Programme!F133,Programme!G133,Programme!H133,Programme!I133)</f>
        <v>&lt;cellule&gt;</v>
      </c>
    </row>
    <row r="133" spans="1:1" x14ac:dyDescent="0.2">
      <c r="A133" s="1135" t="str">
        <f>CONCATENATE(Programme!C134,Programme!D134,Programme!E134,Programme!F134,Programme!G134,Programme!H134,Programme!I134)</f>
        <v>&lt;codeEdi&gt;277&lt;/codeEdi&gt;</v>
      </c>
    </row>
    <row r="134" spans="1:1" x14ac:dyDescent="0.2">
      <c r="A134" s="1135" t="str">
        <f>CONCATENATE(Programme!C135,Programme!D135,Programme!E135,Programme!F135,Programme!G135,Programme!H135,Programme!I135)</f>
        <v>&lt;/cellule&gt;</v>
      </c>
    </row>
    <row r="135" spans="1:1" x14ac:dyDescent="0.2">
      <c r="A135" s="1135" t="str">
        <f>CONCATENATE(Programme!C136,Programme!D136,Programme!E136,Programme!F136,Programme!G136,Programme!H136,Programme!I136)</f>
        <v>&lt;valeur&gt;0&lt;/valeur&gt;</v>
      </c>
    </row>
    <row r="136" spans="1:1" x14ac:dyDescent="0.2">
      <c r="A136" s="1135" t="str">
        <f>CONCATENATE(Programme!C137,Programme!D137,Programme!E137,Programme!F137,Programme!G137,Programme!H137,Programme!I137)</f>
        <v>&lt;/ValeurCellule&gt;</v>
      </c>
    </row>
    <row r="137" spans="1:1" x14ac:dyDescent="0.2">
      <c r="A137" s="1135" t="str">
        <f>CONCATENATE(Programme!C138,Programme!D138,Programme!E138,Programme!F138,Programme!G138,Programme!H138,Programme!I138)</f>
        <v>&lt;ValeurCellule&gt;</v>
      </c>
    </row>
    <row r="138" spans="1:1" x14ac:dyDescent="0.2">
      <c r="A138" s="1135" t="str">
        <f>CONCATENATE(Programme!C139,Programme!D139,Programme!E139,Programme!F139,Programme!G139,Programme!H139,Programme!I139)</f>
        <v>&lt;cellule&gt;</v>
      </c>
    </row>
    <row r="139" spans="1:1" x14ac:dyDescent="0.2">
      <c r="A139" s="1135" t="str">
        <f>CONCATENATE(Programme!C140,Programme!D140,Programme!E140,Programme!F140,Programme!G140,Programme!H140,Programme!I140)</f>
        <v>&lt;codeEdi&gt;502&lt;/codeEdi&gt;</v>
      </c>
    </row>
    <row r="140" spans="1:1" x14ac:dyDescent="0.2">
      <c r="A140" s="1135" t="str">
        <f>CONCATENATE(Programme!C141,Programme!D141,Programme!E141,Programme!F141,Programme!G141,Programme!H141,Programme!I141)</f>
        <v>&lt;/cellule&gt;</v>
      </c>
    </row>
    <row r="141" spans="1:1" x14ac:dyDescent="0.2">
      <c r="A141" s="1135" t="str">
        <f>CONCATENATE(Programme!C142,Programme!D142,Programme!E142,Programme!F142,Programme!G142,Programme!H142,Programme!I142)</f>
        <v>&lt;valeur&gt;0&lt;/valeur&gt;</v>
      </c>
    </row>
    <row r="142" spans="1:1" x14ac:dyDescent="0.2">
      <c r="A142" s="1135" t="str">
        <f>CONCATENATE(Programme!C143,Programme!D143,Programme!E143,Programme!F143,Programme!G143,Programme!H143,Programme!I143)</f>
        <v>&lt;/ValeurCellule&gt;</v>
      </c>
    </row>
    <row r="143" spans="1:1" x14ac:dyDescent="0.2">
      <c r="A143" s="1135" t="str">
        <f>CONCATENATE(Programme!C144,Programme!D144,Programme!E144,Programme!F144,Programme!G144,Programme!H144,Programme!I144)</f>
        <v>&lt;ValeurCellule&gt;</v>
      </c>
    </row>
    <row r="144" spans="1:1" x14ac:dyDescent="0.2">
      <c r="A144" s="1135" t="str">
        <f>CONCATENATE(Programme!C145,Programme!D145,Programme!E145,Programme!F145,Programme!G145,Programme!H145,Programme!I145)</f>
        <v>&lt;cellule&gt;</v>
      </c>
    </row>
    <row r="145" spans="1:1" x14ac:dyDescent="0.2">
      <c r="A145" s="1135" t="str">
        <f>CONCATENATE(Programme!C146,Programme!D146,Programme!E146,Programme!F146,Programme!G146,Programme!H146,Programme!I146)</f>
        <v>&lt;codeEdi&gt;278&lt;/codeEdi&gt;</v>
      </c>
    </row>
    <row r="146" spans="1:1" x14ac:dyDescent="0.2">
      <c r="A146" s="1135" t="str">
        <f>CONCATENATE(Programme!C147,Programme!D147,Programme!E147,Programme!F147,Programme!G147,Programme!H147,Programme!I147)</f>
        <v>&lt;/cellule&gt;</v>
      </c>
    </row>
    <row r="147" spans="1:1" x14ac:dyDescent="0.2">
      <c r="A147" s="1135" t="str">
        <f>CONCATENATE(Programme!C148,Programme!D148,Programme!E148,Programme!F148,Programme!G148,Programme!H148,Programme!I148)</f>
        <v>&lt;valeur&gt;0&lt;/valeur&gt;</v>
      </c>
    </row>
    <row r="148" spans="1:1" x14ac:dyDescent="0.2">
      <c r="A148" s="1135" t="str">
        <f>CONCATENATE(Programme!C149,Programme!D149,Programme!E149,Programme!F149,Programme!G149,Programme!H149,Programme!I149)</f>
        <v>&lt;/ValeurCellule&gt;</v>
      </c>
    </row>
    <row r="149" spans="1:1" x14ac:dyDescent="0.2">
      <c r="A149" s="1135" t="str">
        <f>CONCATENATE(Programme!C150,Programme!D150,Programme!E150,Programme!F150,Programme!G150,Programme!H150,Programme!I150)</f>
        <v>&lt;ValeurCellule&gt;</v>
      </c>
    </row>
    <row r="150" spans="1:1" x14ac:dyDescent="0.2">
      <c r="A150" s="1135" t="str">
        <f>CONCATENATE(Programme!C151,Programme!D151,Programme!E151,Programme!F151,Programme!G151,Programme!H151,Programme!I151)</f>
        <v>&lt;cellule&gt;</v>
      </c>
    </row>
    <row r="151" spans="1:1" x14ac:dyDescent="0.2">
      <c r="A151" s="1135" t="str">
        <f>CONCATENATE(Programme!C152,Programme!D152,Programme!E152,Programme!F152,Programme!G152,Programme!H152,Programme!I152)</f>
        <v>&lt;codeEdi&gt;279&lt;/codeEdi&gt;</v>
      </c>
    </row>
    <row r="152" spans="1:1" x14ac:dyDescent="0.2">
      <c r="A152" s="1135" t="str">
        <f>CONCATENATE(Programme!C153,Programme!D153,Programme!E153,Programme!F153,Programme!G153,Programme!H153,Programme!I153)</f>
        <v>&lt;/cellule&gt;</v>
      </c>
    </row>
    <row r="153" spans="1:1" x14ac:dyDescent="0.2">
      <c r="A153" s="1135" t="str">
        <f>CONCATENATE(Programme!C154,Programme!D154,Programme!E154,Programme!F154,Programme!G154,Programme!H154,Programme!I154)</f>
        <v>&lt;valeur&gt;0&lt;/valeur&gt;</v>
      </c>
    </row>
    <row r="154" spans="1:1" x14ac:dyDescent="0.2">
      <c r="A154" s="1135" t="str">
        <f>CONCATENATE(Programme!C155,Programme!D155,Programme!E155,Programme!F155,Programme!G155,Programme!H155,Programme!I155)</f>
        <v>&lt;/ValeurCellule&gt;</v>
      </c>
    </row>
    <row r="155" spans="1:1" x14ac:dyDescent="0.2">
      <c r="A155" s="1135" t="str">
        <f>CONCATENATE(Programme!C156,Programme!D156,Programme!E156,Programme!F156,Programme!G156,Programme!H156,Programme!I156)</f>
        <v>&lt;ValeurCellule&gt;</v>
      </c>
    </row>
    <row r="156" spans="1:1" x14ac:dyDescent="0.2">
      <c r="A156" s="1135" t="str">
        <f>CONCATENATE(Programme!C157,Programme!D157,Programme!E157,Programme!F157,Programme!G157,Programme!H157,Programme!I157)</f>
        <v>&lt;cellule&gt;</v>
      </c>
    </row>
    <row r="157" spans="1:1" x14ac:dyDescent="0.2">
      <c r="A157" s="1135" t="str">
        <f>CONCATENATE(Programme!C158,Programme!D158,Programme!E158,Programme!F158,Programme!G158,Programme!H158,Programme!I158)</f>
        <v>&lt;codeEdi&gt;280&lt;/codeEdi&gt;</v>
      </c>
    </row>
    <row r="158" spans="1:1" x14ac:dyDescent="0.2">
      <c r="A158" s="1135" t="str">
        <f>CONCATENATE(Programme!C159,Programme!D159,Programme!E159,Programme!F159,Programme!G159,Programme!H159,Programme!I159)</f>
        <v>&lt;/cellule&gt;</v>
      </c>
    </row>
    <row r="159" spans="1:1" x14ac:dyDescent="0.2">
      <c r="A159" s="1135" t="str">
        <f>CONCATENATE(Programme!C160,Programme!D160,Programme!E160,Programme!F160,Programme!G160,Programme!H160,Programme!I160)</f>
        <v>&lt;valeur&gt;0&lt;/valeur&gt;</v>
      </c>
    </row>
    <row r="160" spans="1:1" x14ac:dyDescent="0.2">
      <c r="A160" s="1135" t="str">
        <f>CONCATENATE(Programme!C161,Programme!D161,Programme!E161,Programme!F161,Programme!G161,Programme!H161,Programme!I161)</f>
        <v>&lt;/ValeurCellule&gt;</v>
      </c>
    </row>
    <row r="161" spans="1:1" x14ac:dyDescent="0.2">
      <c r="A161" s="1135" t="str">
        <f>CONCATENATE(Programme!C162,Programme!D162,Programme!E162,Programme!F162,Programme!G162,Programme!H162,Programme!I162)</f>
        <v>&lt;ValeurCellule&gt;</v>
      </c>
    </row>
    <row r="162" spans="1:1" x14ac:dyDescent="0.2">
      <c r="A162" s="1135" t="str">
        <f>CONCATENATE(Programme!C163,Programme!D163,Programme!E163,Programme!F163,Programme!G163,Programme!H163,Programme!I163)</f>
        <v>&lt;cellule&gt;</v>
      </c>
    </row>
    <row r="163" spans="1:1" x14ac:dyDescent="0.2">
      <c r="A163" s="1135" t="str">
        <f>CONCATENATE(Programme!C164,Programme!D164,Programme!E164,Programme!F164,Programme!G164,Programme!H164,Programme!I164)</f>
        <v>&lt;codeEdi&gt;281&lt;/codeEdi&gt;</v>
      </c>
    </row>
    <row r="164" spans="1:1" x14ac:dyDescent="0.2">
      <c r="A164" s="1135" t="str">
        <f>CONCATENATE(Programme!C165,Programme!D165,Programme!E165,Programme!F165,Programme!G165,Programme!H165,Programme!I165)</f>
        <v>&lt;/cellule&gt;</v>
      </c>
    </row>
    <row r="165" spans="1:1" x14ac:dyDescent="0.2">
      <c r="A165" s="1135" t="str">
        <f>CONCATENATE(Programme!C166,Programme!D166,Programme!E166,Programme!F166,Programme!G166,Programme!H166,Programme!I166)</f>
        <v>&lt;valeur&gt;0&lt;/valeur&gt;</v>
      </c>
    </row>
    <row r="166" spans="1:1" x14ac:dyDescent="0.2">
      <c r="A166" s="1135" t="str">
        <f>CONCATENATE(Programme!C167,Programme!D167,Programme!E167,Programme!F167,Programme!G167,Programme!H167,Programme!I167)</f>
        <v>&lt;/ValeurCellule&gt;</v>
      </c>
    </row>
    <row r="167" spans="1:1" x14ac:dyDescent="0.2">
      <c r="A167" s="1135" t="str">
        <f>CONCATENATE(Programme!C168,Programme!D168,Programme!E168,Programme!F168,Programme!G168,Programme!H168,Programme!I168)</f>
        <v>&lt;ValeurCellule&gt;</v>
      </c>
    </row>
    <row r="168" spans="1:1" x14ac:dyDescent="0.2">
      <c r="A168" s="1135" t="str">
        <f>CONCATENATE(Programme!C169,Programme!D169,Programme!E169,Programme!F169,Programme!G169,Programme!H169,Programme!I169)</f>
        <v>&lt;cellule&gt;</v>
      </c>
    </row>
    <row r="169" spans="1:1" x14ac:dyDescent="0.2">
      <c r="A169" s="1135" t="str">
        <f>CONCATENATE(Programme!C170,Programme!D170,Programme!E170,Programme!F170,Programme!G170,Programme!H170,Programme!I170)</f>
        <v>&lt;codeEdi&gt;503&lt;/codeEdi&gt;</v>
      </c>
    </row>
    <row r="170" spans="1:1" x14ac:dyDescent="0.2">
      <c r="A170" s="1135" t="str">
        <f>CONCATENATE(Programme!C171,Programme!D171,Programme!E171,Programme!F171,Programme!G171,Programme!H171,Programme!I171)</f>
        <v>&lt;/cellule&gt;</v>
      </c>
    </row>
    <row r="171" spans="1:1" x14ac:dyDescent="0.2">
      <c r="A171" s="1135" t="str">
        <f>CONCATENATE(Programme!C172,Programme!D172,Programme!E172,Programme!F172,Programme!G172,Programme!H172,Programme!I172)</f>
        <v>&lt;valeur&gt;0&lt;/valeur&gt;</v>
      </c>
    </row>
    <row r="172" spans="1:1" x14ac:dyDescent="0.2">
      <c r="A172" s="1135" t="str">
        <f>CONCATENATE(Programme!C173,Programme!D173,Programme!E173,Programme!F173,Programme!G173,Programme!H173,Programme!I173)</f>
        <v>&lt;/ValeurCellule&gt;</v>
      </c>
    </row>
    <row r="173" spans="1:1" x14ac:dyDescent="0.2">
      <c r="A173" s="1135" t="str">
        <f>CONCATENATE(Programme!C174,Programme!D174,Programme!E174,Programme!F174,Programme!G174,Programme!H174,Programme!I174)</f>
        <v>&lt;ValeurCellule&gt;</v>
      </c>
    </row>
    <row r="174" spans="1:1" x14ac:dyDescent="0.2">
      <c r="A174" s="1135" t="str">
        <f>CONCATENATE(Programme!C175,Programme!D175,Programme!E175,Programme!F175,Programme!G175,Programme!H175,Programme!I175)</f>
        <v>&lt;cellule&gt;</v>
      </c>
    </row>
    <row r="175" spans="1:1" x14ac:dyDescent="0.2">
      <c r="A175" s="1135" t="str">
        <f>CONCATENATE(Programme!C176,Programme!D176,Programme!E176,Programme!F176,Programme!G176,Programme!H176,Programme!I176)</f>
        <v>&lt;codeEdi&gt;282&lt;/codeEdi&gt;</v>
      </c>
    </row>
    <row r="176" spans="1:1" x14ac:dyDescent="0.2">
      <c r="A176" s="1135" t="str">
        <f>CONCATENATE(Programme!C177,Programme!D177,Programme!E177,Programme!F177,Programme!G177,Programme!H177,Programme!I177)</f>
        <v>&lt;/cellule&gt;</v>
      </c>
    </row>
    <row r="177" spans="1:1" x14ac:dyDescent="0.2">
      <c r="A177" s="1135" t="str">
        <f>CONCATENATE(Programme!C178,Programme!D178,Programme!E178,Programme!F178,Programme!G178,Programme!H178,Programme!I178)</f>
        <v>&lt;valeur&gt;0&lt;/valeur&gt;</v>
      </c>
    </row>
    <row r="178" spans="1:1" x14ac:dyDescent="0.2">
      <c r="A178" s="1135" t="str">
        <f>CONCATENATE(Programme!C179,Programme!D179,Programme!E179,Programme!F179,Programme!G179,Programme!H179,Programme!I179)</f>
        <v>&lt;/ValeurCellule&gt;</v>
      </c>
    </row>
    <row r="179" spans="1:1" x14ac:dyDescent="0.2">
      <c r="A179" s="1135" t="str">
        <f>CONCATENATE(Programme!C180,Programme!D180,Programme!E180,Programme!F180,Programme!G180,Programme!H180,Programme!I180)</f>
        <v>&lt;ValeurCellule&gt;</v>
      </c>
    </row>
    <row r="180" spans="1:1" x14ac:dyDescent="0.2">
      <c r="A180" s="1135" t="str">
        <f>CONCATENATE(Programme!C181,Programme!D181,Programme!E181,Programme!F181,Programme!G181,Programme!H181,Programme!I181)</f>
        <v>&lt;cellule&gt;</v>
      </c>
    </row>
    <row r="181" spans="1:1" x14ac:dyDescent="0.2">
      <c r="A181" s="1135" t="str">
        <f>CONCATENATE(Programme!C182,Programme!D182,Programme!E182,Programme!F182,Programme!G182,Programme!H182,Programme!I182)</f>
        <v>&lt;codeEdi&gt;283&lt;/codeEdi&gt;</v>
      </c>
    </row>
    <row r="182" spans="1:1" x14ac:dyDescent="0.2">
      <c r="A182" s="1135" t="str">
        <f>CONCATENATE(Programme!C183,Programme!D183,Programme!E183,Programme!F183,Programme!G183,Programme!H183,Programme!I183)</f>
        <v>&lt;/cellule&gt;</v>
      </c>
    </row>
    <row r="183" spans="1:1" x14ac:dyDescent="0.2">
      <c r="A183" s="1135" t="str">
        <f>CONCATENATE(Programme!C184,Programme!D184,Programme!E184,Programme!F184,Programme!G184,Programme!H184,Programme!I184)</f>
        <v>&lt;valeur&gt;0&lt;/valeur&gt;</v>
      </c>
    </row>
    <row r="184" spans="1:1" x14ac:dyDescent="0.2">
      <c r="A184" s="1135" t="str">
        <f>CONCATENATE(Programme!C185,Programme!D185,Programme!E185,Programme!F185,Programme!G185,Programme!H185,Programme!I185)</f>
        <v>&lt;/ValeurCellule&gt;</v>
      </c>
    </row>
    <row r="185" spans="1:1" x14ac:dyDescent="0.2">
      <c r="A185" s="1135" t="str">
        <f>CONCATENATE(Programme!C186,Programme!D186,Programme!E186,Programme!F186,Programme!G186,Programme!H186,Programme!I186)</f>
        <v>&lt;ValeurCellule&gt;</v>
      </c>
    </row>
    <row r="186" spans="1:1" x14ac:dyDescent="0.2">
      <c r="A186" s="1135" t="str">
        <f>CONCATENATE(Programme!C187,Programme!D187,Programme!E187,Programme!F187,Programme!G187,Programme!H187,Programme!I187)</f>
        <v>&lt;cellule&gt;</v>
      </c>
    </row>
    <row r="187" spans="1:1" x14ac:dyDescent="0.2">
      <c r="A187" s="1135" t="str">
        <f>CONCATENATE(Programme!C188,Programme!D188,Programme!E188,Programme!F188,Programme!G188,Programme!H188,Programme!I188)</f>
        <v>&lt;codeEdi&gt;284&lt;/codeEdi&gt;</v>
      </c>
    </row>
    <row r="188" spans="1:1" x14ac:dyDescent="0.2">
      <c r="A188" s="1135" t="str">
        <f>CONCATENATE(Programme!C189,Programme!D189,Programme!E189,Programme!F189,Programme!G189,Programme!H189,Programme!I189)</f>
        <v>&lt;/cellule&gt;</v>
      </c>
    </row>
    <row r="189" spans="1:1" x14ac:dyDescent="0.2">
      <c r="A189" s="1135" t="str">
        <f>CONCATENATE(Programme!C190,Programme!D190,Programme!E190,Programme!F190,Programme!G190,Programme!H190,Programme!I190)</f>
        <v>&lt;valeur&gt;0&lt;/valeur&gt;</v>
      </c>
    </row>
    <row r="190" spans="1:1" x14ac:dyDescent="0.2">
      <c r="A190" s="1135" t="str">
        <f>CONCATENATE(Programme!C191,Programme!D191,Programme!E191,Programme!F191,Programme!G191,Programme!H191,Programme!I191)</f>
        <v>&lt;/ValeurCellule&gt;</v>
      </c>
    </row>
    <row r="191" spans="1:1" x14ac:dyDescent="0.2">
      <c r="A191" s="1135" t="str">
        <f>CONCATENATE(Programme!C192,Programme!D192,Programme!E192,Programme!F192,Programme!G192,Programme!H192,Programme!I192)</f>
        <v>&lt;ValeurCellule&gt;</v>
      </c>
    </row>
    <row r="192" spans="1:1" x14ac:dyDescent="0.2">
      <c r="A192" s="1135" t="str">
        <f>CONCATENATE(Programme!C193,Programme!D193,Programme!E193,Programme!F193,Programme!G193,Programme!H193,Programme!I193)</f>
        <v>&lt;cellule&gt;</v>
      </c>
    </row>
    <row r="193" spans="1:1" x14ac:dyDescent="0.2">
      <c r="A193" s="1135" t="str">
        <f>CONCATENATE(Programme!C194,Programme!D194,Programme!E194,Programme!F194,Programme!G194,Programme!H194,Programme!I194)</f>
        <v>&lt;codeEdi&gt;285&lt;/codeEdi&gt;</v>
      </c>
    </row>
    <row r="194" spans="1:1" x14ac:dyDescent="0.2">
      <c r="A194" s="1135" t="str">
        <f>CONCATENATE(Programme!C195,Programme!D195,Programme!E195,Programme!F195,Programme!G195,Programme!H195,Programme!I195)</f>
        <v>&lt;/cellule&gt;</v>
      </c>
    </row>
    <row r="195" spans="1:1" x14ac:dyDescent="0.2">
      <c r="A195" s="1135" t="str">
        <f>CONCATENATE(Programme!C196,Programme!D196,Programme!E196,Programme!F196,Programme!G196,Programme!H196,Programme!I196)</f>
        <v>&lt;valeur&gt;0&lt;/valeur&gt;</v>
      </c>
    </row>
    <row r="196" spans="1:1" x14ac:dyDescent="0.2">
      <c r="A196" s="1135" t="str">
        <f>CONCATENATE(Programme!C197,Programme!D197,Programme!E197,Programme!F197,Programme!G197,Programme!H197,Programme!I197)</f>
        <v>&lt;/ValeurCellule&gt;</v>
      </c>
    </row>
    <row r="197" spans="1:1" x14ac:dyDescent="0.2">
      <c r="A197" s="1135" t="str">
        <f>CONCATENATE(Programme!C198,Programme!D198,Programme!E198,Programme!F198,Programme!G198,Programme!H198,Programme!I198)</f>
        <v>&lt;ValeurCellule&gt;</v>
      </c>
    </row>
    <row r="198" spans="1:1" x14ac:dyDescent="0.2">
      <c r="A198" s="1135" t="str">
        <f>CONCATENATE(Programme!C199,Programme!D199,Programme!E199,Programme!F199,Programme!G199,Programme!H199,Programme!I199)</f>
        <v>&lt;cellule&gt;</v>
      </c>
    </row>
    <row r="199" spans="1:1" x14ac:dyDescent="0.2">
      <c r="A199" s="1135" t="str">
        <f>CONCATENATE(Programme!C200,Programme!D200,Programme!E200,Programme!F200,Programme!G200,Programme!H200,Programme!I200)</f>
        <v>&lt;codeEdi&gt;504&lt;/codeEdi&gt;</v>
      </c>
    </row>
    <row r="200" spans="1:1" x14ac:dyDescent="0.2">
      <c r="A200" s="1135" t="str">
        <f>CONCATENATE(Programme!C201,Programme!D201,Programme!E201,Programme!F201,Programme!G201,Programme!H201,Programme!I201)</f>
        <v>&lt;/cellule&gt;</v>
      </c>
    </row>
    <row r="201" spans="1:1" x14ac:dyDescent="0.2">
      <c r="A201" s="1135" t="str">
        <f>CONCATENATE(Programme!C202,Programme!D202,Programme!E202,Programme!F202,Programme!G202,Programme!H202,Programme!I202)</f>
        <v>&lt;valeur&gt;0&lt;/valeur&gt;</v>
      </c>
    </row>
    <row r="202" spans="1:1" x14ac:dyDescent="0.2">
      <c r="A202" s="1135" t="str">
        <f>CONCATENATE(Programme!C203,Programme!D203,Programme!E203,Programme!F203,Programme!G203,Programme!H203,Programme!I203)</f>
        <v>&lt;/ValeurCellule&gt;</v>
      </c>
    </row>
    <row r="203" spans="1:1" x14ac:dyDescent="0.2">
      <c r="A203" s="1135" t="str">
        <f>CONCATENATE(Programme!C204,Programme!D204,Programme!E204,Programme!F204,Programme!G204,Programme!H204,Programme!I204)</f>
        <v>&lt;ValeurCellule&gt;</v>
      </c>
    </row>
    <row r="204" spans="1:1" x14ac:dyDescent="0.2">
      <c r="A204" s="1135" t="str">
        <f>CONCATENATE(Programme!C205,Programme!D205,Programme!E205,Programme!F205,Programme!G205,Programme!H205,Programme!I205)</f>
        <v>&lt;cellule&gt;</v>
      </c>
    </row>
    <row r="205" spans="1:1" x14ac:dyDescent="0.2">
      <c r="A205" s="1135" t="str">
        <f>CONCATENATE(Programme!C206,Programme!D206,Programme!E206,Programme!F206,Programme!G206,Programme!H206,Programme!I206)</f>
        <v>&lt;codeEdi&gt;286&lt;/codeEdi&gt;</v>
      </c>
    </row>
    <row r="206" spans="1:1" x14ac:dyDescent="0.2">
      <c r="A206" s="1135" t="str">
        <f>CONCATENATE(Programme!C207,Programme!D207,Programme!E207,Programme!F207,Programme!G207,Programme!H207,Programme!I207)</f>
        <v>&lt;/cellule&gt;</v>
      </c>
    </row>
    <row r="207" spans="1:1" x14ac:dyDescent="0.2">
      <c r="A207" s="1135" t="str">
        <f>CONCATENATE(Programme!C208,Programme!D208,Programme!E208,Programme!F208,Programme!G208,Programme!H208,Programme!I208)</f>
        <v>&lt;valeur&gt;0&lt;/valeur&gt;</v>
      </c>
    </row>
    <row r="208" spans="1:1" x14ac:dyDescent="0.2">
      <c r="A208" s="1135" t="str">
        <f>CONCATENATE(Programme!C209,Programme!D209,Programme!E209,Programme!F209,Programme!G209,Programme!H209,Programme!I209)</f>
        <v>&lt;/ValeurCellule&gt;</v>
      </c>
    </row>
    <row r="209" spans="1:1" x14ac:dyDescent="0.2">
      <c r="A209" s="1135" t="str">
        <f>CONCATENATE(Programme!C210,Programme!D210,Programme!E210,Programme!F210,Programme!G210,Programme!H210,Programme!I210)</f>
        <v>&lt;ValeurCellule&gt;</v>
      </c>
    </row>
    <row r="210" spans="1:1" x14ac:dyDescent="0.2">
      <c r="A210" s="1135" t="str">
        <f>CONCATENATE(Programme!C211,Programme!D211,Programme!E211,Programme!F211,Programme!G211,Programme!H211,Programme!I211)</f>
        <v>&lt;cellule&gt;</v>
      </c>
    </row>
    <row r="211" spans="1:1" x14ac:dyDescent="0.2">
      <c r="A211" s="1135" t="str">
        <f>CONCATENATE(Programme!C212,Programme!D212,Programme!E212,Programme!F212,Programme!G212,Programme!H212,Programme!I212)</f>
        <v>&lt;codeEdi&gt;287&lt;/codeEdi&gt;</v>
      </c>
    </row>
    <row r="212" spans="1:1" x14ac:dyDescent="0.2">
      <c r="A212" s="1135" t="str">
        <f>CONCATENATE(Programme!C213,Programme!D213,Programme!E213,Programme!F213,Programme!G213,Programme!H213,Programme!I213)</f>
        <v>&lt;/cellule&gt;</v>
      </c>
    </row>
    <row r="213" spans="1:1" x14ac:dyDescent="0.2">
      <c r="A213" s="1135" t="str">
        <f>CONCATENATE(Programme!C214,Programme!D214,Programme!E214,Programme!F214,Programme!G214,Programme!H214,Programme!I214)</f>
        <v>&lt;valeur&gt;0&lt;/valeur&gt;</v>
      </c>
    </row>
    <row r="214" spans="1:1" x14ac:dyDescent="0.2">
      <c r="A214" s="1135" t="str">
        <f>CONCATENATE(Programme!C215,Programme!D215,Programme!E215,Programme!F215,Programme!G215,Programme!H215,Programme!I215)</f>
        <v>&lt;/ValeurCellule&gt;</v>
      </c>
    </row>
    <row r="215" spans="1:1" x14ac:dyDescent="0.2">
      <c r="A215" s="1135" t="str">
        <f>CONCATENATE(Programme!C216,Programme!D216,Programme!E216,Programme!F216,Programme!G216,Programme!H216,Programme!I216)</f>
        <v>&lt;ValeurCellule&gt;</v>
      </c>
    </row>
    <row r="216" spans="1:1" x14ac:dyDescent="0.2">
      <c r="A216" s="1135" t="str">
        <f>CONCATENATE(Programme!C217,Programme!D217,Programme!E217,Programme!F217,Programme!G217,Programme!H217,Programme!I217)</f>
        <v>&lt;cellule&gt;</v>
      </c>
    </row>
    <row r="217" spans="1:1" x14ac:dyDescent="0.2">
      <c r="A217" s="1135" t="str">
        <f>CONCATENATE(Programme!C218,Programme!D218,Programme!E218,Programme!F218,Programme!G218,Programme!H218,Programme!I218)</f>
        <v>&lt;codeEdi&gt;288&lt;/codeEdi&gt;</v>
      </c>
    </row>
    <row r="218" spans="1:1" x14ac:dyDescent="0.2">
      <c r="A218" s="1135" t="str">
        <f>CONCATENATE(Programme!C219,Programme!D219,Programme!E219,Programme!F219,Programme!G219,Programme!H219,Programme!I219)</f>
        <v>&lt;/cellule&gt;</v>
      </c>
    </row>
    <row r="219" spans="1:1" x14ac:dyDescent="0.2">
      <c r="A219" s="1135" t="str">
        <f>CONCATENATE(Programme!C220,Programme!D220,Programme!E220,Programme!F220,Programme!G220,Programme!H220,Programme!I220)</f>
        <v>&lt;valeur&gt;0&lt;/valeur&gt;</v>
      </c>
    </row>
    <row r="220" spans="1:1" x14ac:dyDescent="0.2">
      <c r="A220" s="1135" t="str">
        <f>CONCATENATE(Programme!C221,Programme!D221,Programme!E221,Programme!F221,Programme!G221,Programme!H221,Programme!I221)</f>
        <v>&lt;/ValeurCellule&gt;</v>
      </c>
    </row>
    <row r="221" spans="1:1" x14ac:dyDescent="0.2">
      <c r="A221" s="1135" t="str">
        <f>CONCATENATE(Programme!C222,Programme!D222,Programme!E222,Programme!F222,Programme!G222,Programme!H222,Programme!I222)</f>
        <v>&lt;ValeurCellule&gt;</v>
      </c>
    </row>
    <row r="222" spans="1:1" x14ac:dyDescent="0.2">
      <c r="A222" s="1135" t="str">
        <f>CONCATENATE(Programme!C223,Programme!D223,Programme!E223,Programme!F223,Programme!G223,Programme!H223,Programme!I223)</f>
        <v>&lt;cellule&gt;</v>
      </c>
    </row>
    <row r="223" spans="1:1" x14ac:dyDescent="0.2">
      <c r="A223" s="1135" t="str">
        <f>CONCATENATE(Programme!C224,Programme!D224,Programme!E224,Programme!F224,Programme!G224,Programme!H224,Programme!I224)</f>
        <v>&lt;codeEdi&gt;289&lt;/codeEdi&gt;</v>
      </c>
    </row>
    <row r="224" spans="1:1" x14ac:dyDescent="0.2">
      <c r="A224" s="1135" t="str">
        <f>CONCATENATE(Programme!C225,Programme!D225,Programme!E225,Programme!F225,Programme!G225,Programme!H225,Programme!I225)</f>
        <v>&lt;/cellule&gt;</v>
      </c>
    </row>
    <row r="225" spans="1:1" x14ac:dyDescent="0.2">
      <c r="A225" s="1135" t="str">
        <f>CONCATENATE(Programme!C226,Programme!D226,Programme!E226,Programme!F226,Programme!G226,Programme!H226,Programme!I226)</f>
        <v>&lt;valeur&gt;0&lt;/valeur&gt;</v>
      </c>
    </row>
    <row r="226" spans="1:1" x14ac:dyDescent="0.2">
      <c r="A226" s="1135" t="str">
        <f>CONCATENATE(Programme!C227,Programme!D227,Programme!E227,Programme!F227,Programme!G227,Programme!H227,Programme!I227)</f>
        <v>&lt;/ValeurCellule&gt;</v>
      </c>
    </row>
    <row r="227" spans="1:1" x14ac:dyDescent="0.2">
      <c r="A227" s="1135" t="str">
        <f>CONCATENATE(Programme!C228,Programme!D228,Programme!E228,Programme!F228,Programme!G228,Programme!H228,Programme!I228)</f>
        <v>&lt;ValeurCellule&gt;</v>
      </c>
    </row>
    <row r="228" spans="1:1" x14ac:dyDescent="0.2">
      <c r="A228" s="1135" t="str">
        <f>CONCATENATE(Programme!C229,Programme!D229,Programme!E229,Programme!F229,Programme!G229,Programme!H229,Programme!I229)</f>
        <v>&lt;cellule&gt;</v>
      </c>
    </row>
    <row r="229" spans="1:1" x14ac:dyDescent="0.2">
      <c r="A229" s="1135" t="str">
        <f>CONCATENATE(Programme!C230,Programme!D230,Programme!E230,Programme!F230,Programme!G230,Programme!H230,Programme!I230)</f>
        <v>&lt;codeEdi&gt;505&lt;/codeEdi&gt;</v>
      </c>
    </row>
    <row r="230" spans="1:1" x14ac:dyDescent="0.2">
      <c r="A230" s="1135" t="str">
        <f>CONCATENATE(Programme!C231,Programme!D231,Programme!E231,Programme!F231,Programme!G231,Programme!H231,Programme!I231)</f>
        <v>&lt;/cellule&gt;</v>
      </c>
    </row>
    <row r="231" spans="1:1" x14ac:dyDescent="0.2">
      <c r="A231" s="1135" t="str">
        <f>CONCATENATE(Programme!C232,Programme!D232,Programme!E232,Programme!F232,Programme!G232,Programme!H232,Programme!I232)</f>
        <v>&lt;valeur&gt;0&lt;/valeur&gt;</v>
      </c>
    </row>
    <row r="232" spans="1:1" x14ac:dyDescent="0.2">
      <c r="A232" s="1135" t="str">
        <f>CONCATENATE(Programme!C233,Programme!D233,Programme!E233,Programme!F233,Programme!G233,Programme!H233,Programme!I233)</f>
        <v>&lt;/ValeurCellule&gt;</v>
      </c>
    </row>
    <row r="233" spans="1:1" x14ac:dyDescent="0.2">
      <c r="A233" s="1135" t="str">
        <f>CONCATENATE(Programme!C234,Programme!D234,Programme!E234,Programme!F234,Programme!G234,Programme!H234,Programme!I234)</f>
        <v>&lt;ValeurCellule&gt;</v>
      </c>
    </row>
    <row r="234" spans="1:1" x14ac:dyDescent="0.2">
      <c r="A234" s="1135" t="str">
        <f>CONCATENATE(Programme!C235,Programme!D235,Programme!E235,Programme!F235,Programme!G235,Programme!H235,Programme!I235)</f>
        <v>&lt;cellule&gt;</v>
      </c>
    </row>
    <row r="235" spans="1:1" x14ac:dyDescent="0.2">
      <c r="A235" s="1135" t="str">
        <f>CONCATENATE(Programme!C236,Programme!D236,Programme!E236,Programme!F236,Programme!G236,Programme!H236,Programme!I236)</f>
        <v>&lt;codeEdi&gt;207&lt;/codeEdi&gt;</v>
      </c>
    </row>
    <row r="236" spans="1:1" x14ac:dyDescent="0.2">
      <c r="A236" s="1135" t="str">
        <f>CONCATENATE(Programme!C237,Programme!D237,Programme!E237,Programme!F237,Programme!G237,Programme!H237,Programme!I237)</f>
        <v>&lt;/cellule&gt;</v>
      </c>
    </row>
    <row r="237" spans="1:1" x14ac:dyDescent="0.2">
      <c r="A237" s="1135" t="str">
        <f>CONCATENATE(Programme!C238,Programme!D238,Programme!E238,Programme!F238,Programme!G238,Programme!H238,Programme!I238)</f>
        <v>&lt;valeur&gt;0&lt;/valeur&gt;</v>
      </c>
    </row>
    <row r="238" spans="1:1" x14ac:dyDescent="0.2">
      <c r="A238" s="1135" t="str">
        <f>CONCATENATE(Programme!C239,Programme!D239,Programme!E239,Programme!F239,Programme!G239,Programme!H239,Programme!I239)</f>
        <v>&lt;/ValeurCellule&gt;</v>
      </c>
    </row>
    <row r="239" spans="1:1" x14ac:dyDescent="0.2">
      <c r="A239" s="1135" t="str">
        <f>CONCATENATE(Programme!C240,Programme!D240,Programme!E240,Programme!F240,Programme!G240,Programme!H240,Programme!I240)</f>
        <v>&lt;ValeurCellule&gt;</v>
      </c>
    </row>
    <row r="240" spans="1:1" x14ac:dyDescent="0.2">
      <c r="A240" s="1135" t="str">
        <f>CONCATENATE(Programme!C241,Programme!D241,Programme!E241,Programme!F241,Programme!G241,Programme!H241,Programme!I241)</f>
        <v>&lt;cellule&gt;</v>
      </c>
    </row>
    <row r="241" spans="1:1" x14ac:dyDescent="0.2">
      <c r="A241" s="1135" t="str">
        <f>CONCATENATE(Programme!C242,Programme!D242,Programme!E242,Programme!F242,Programme!G242,Programme!H242,Programme!I242)</f>
        <v>&lt;codeEdi&gt;208&lt;/codeEdi&gt;</v>
      </c>
    </row>
    <row r="242" spans="1:1" x14ac:dyDescent="0.2">
      <c r="A242" s="1135" t="str">
        <f>CONCATENATE(Programme!C243,Programme!D243,Programme!E243,Programme!F243,Programme!G243,Programme!H243,Programme!I243)</f>
        <v>&lt;/cellule&gt;</v>
      </c>
    </row>
    <row r="243" spans="1:1" x14ac:dyDescent="0.2">
      <c r="A243" s="1135" t="str">
        <f>CONCATENATE(Programme!C244,Programme!D244,Programme!E244,Programme!F244,Programme!G244,Programme!H244,Programme!I244)</f>
        <v>&lt;valeur&gt;9700&lt;/valeur&gt;</v>
      </c>
    </row>
    <row r="244" spans="1:1" x14ac:dyDescent="0.2">
      <c r="A244" s="1135" t="str">
        <f>CONCATENATE(Programme!C245,Programme!D245,Programme!E245,Programme!F245,Programme!G245,Programme!H245,Programme!I245)</f>
        <v>&lt;/ValeurCellule&gt;</v>
      </c>
    </row>
    <row r="245" spans="1:1" x14ac:dyDescent="0.2">
      <c r="A245" s="1135" t="str">
        <f>CONCATENATE(Programme!C246,Programme!D246,Programme!E246,Programme!F246,Programme!G246,Programme!H246,Programme!I246)</f>
        <v>&lt;ValeurCellule&gt;</v>
      </c>
    </row>
    <row r="246" spans="1:1" x14ac:dyDescent="0.2">
      <c r="A246" s="1135" t="str">
        <f>CONCATENATE(Programme!C247,Programme!D247,Programme!E247,Programme!F247,Programme!G247,Programme!H247,Programme!I247)</f>
        <v>&lt;cellule&gt;</v>
      </c>
    </row>
    <row r="247" spans="1:1" x14ac:dyDescent="0.2">
      <c r="A247" s="1135" t="str">
        <f>CONCATENATE(Programme!C248,Programme!D248,Programme!E248,Programme!F248,Programme!G248,Programme!H248,Programme!I248)</f>
        <v>&lt;codeEdi&gt;209&lt;/codeEdi&gt;</v>
      </c>
    </row>
    <row r="248" spans="1:1" x14ac:dyDescent="0.2">
      <c r="A248" s="1135" t="str">
        <f>CONCATENATE(Programme!C249,Programme!D249,Programme!E249,Programme!F249,Programme!G249,Programme!H249,Programme!I249)</f>
        <v>&lt;/cellule&gt;</v>
      </c>
    </row>
    <row r="249" spans="1:1" x14ac:dyDescent="0.2">
      <c r="A249" s="1135" t="str">
        <f>CONCATENATE(Programme!C250,Programme!D250,Programme!E250,Programme!F250,Programme!G250,Programme!H250,Programme!I250)</f>
        <v>&lt;valeur&gt;0&lt;/valeur&gt;</v>
      </c>
    </row>
    <row r="250" spans="1:1" x14ac:dyDescent="0.2">
      <c r="A250" s="1135" t="str">
        <f>CONCATENATE(Programme!C251,Programme!D251,Programme!E251,Programme!F251,Programme!G251,Programme!H251,Programme!I251)</f>
        <v>&lt;/ValeurCellule&gt;</v>
      </c>
    </row>
    <row r="251" spans="1:1" x14ac:dyDescent="0.2">
      <c r="A251" s="1135" t="str">
        <f>CONCATENATE(Programme!C252,Programme!D252,Programme!E252,Programme!F252,Programme!G252,Programme!H252,Programme!I252)</f>
        <v>&lt;ValeurCellule&gt;</v>
      </c>
    </row>
    <row r="252" spans="1:1" x14ac:dyDescent="0.2">
      <c r="A252" s="1135" t="str">
        <f>CONCATENATE(Programme!C253,Programme!D253,Programme!E253,Programme!F253,Programme!G253,Programme!H253,Programme!I253)</f>
        <v>&lt;cellule&gt;</v>
      </c>
    </row>
    <row r="253" spans="1:1" x14ac:dyDescent="0.2">
      <c r="A253" s="1135" t="str">
        <f>CONCATENATE(Programme!C254,Programme!D254,Programme!E254,Programme!F254,Programme!G254,Programme!H254,Programme!I254)</f>
        <v>&lt;codeEdi&gt;210&lt;/codeEdi&gt;</v>
      </c>
    </row>
    <row r="254" spans="1:1" x14ac:dyDescent="0.2">
      <c r="A254" s="1135" t="str">
        <f>CONCATENATE(Programme!C255,Programme!D255,Programme!E255,Programme!F255,Programme!G255,Programme!H255,Programme!I255)</f>
        <v>&lt;/cellule&gt;</v>
      </c>
    </row>
    <row r="255" spans="1:1" x14ac:dyDescent="0.2">
      <c r="A255" s="1135" t="str">
        <f>CONCATENATE(Programme!C256,Programme!D256,Programme!E256,Programme!F256,Programme!G256,Programme!H256,Programme!I256)</f>
        <v>&lt;valeur&gt;1578827,58&lt;/valeur&gt;</v>
      </c>
    </row>
    <row r="256" spans="1:1" x14ac:dyDescent="0.2">
      <c r="A256" s="1135" t="str">
        <f>CONCATENATE(Programme!C257,Programme!D257,Programme!E257,Programme!F257,Programme!G257,Programme!H257,Programme!I257)</f>
        <v>&lt;/ValeurCellule&gt;</v>
      </c>
    </row>
    <row r="257" spans="1:1" x14ac:dyDescent="0.2">
      <c r="A257" s="1135" t="str">
        <f>CONCATENATE(Programme!C258,Programme!D258,Programme!E258,Programme!F258,Programme!G258,Programme!H258,Programme!I258)</f>
        <v>&lt;ValeurCellule&gt;</v>
      </c>
    </row>
    <row r="258" spans="1:1" x14ac:dyDescent="0.2">
      <c r="A258" s="1135" t="str">
        <f>CONCATENATE(Programme!C259,Programme!D259,Programme!E259,Programme!F259,Programme!G259,Programme!H259,Programme!I259)</f>
        <v>&lt;cellule&gt;</v>
      </c>
    </row>
    <row r="259" spans="1:1" x14ac:dyDescent="0.2">
      <c r="A259" s="1135" t="str">
        <f>CONCATENATE(Programme!C260,Programme!D260,Programme!E260,Programme!F260,Programme!G260,Programme!H260,Programme!I260)</f>
        <v>&lt;codeEdi&gt;211&lt;/codeEdi&gt;</v>
      </c>
    </row>
    <row r="260" spans="1:1" x14ac:dyDescent="0.2">
      <c r="A260" s="1135" t="str">
        <f>CONCATENATE(Programme!C261,Programme!D261,Programme!E261,Programme!F261,Programme!G261,Programme!H261,Programme!I261)</f>
        <v>&lt;/cellule&gt;</v>
      </c>
    </row>
    <row r="261" spans="1:1" x14ac:dyDescent="0.2">
      <c r="A261" s="1135" t="str">
        <f>CONCATENATE(Programme!C262,Programme!D262,Programme!E262,Programme!F262,Programme!G262,Programme!H262,Programme!I262)</f>
        <v>&lt;valeur&gt;0&lt;/valeur&gt;</v>
      </c>
    </row>
    <row r="262" spans="1:1" x14ac:dyDescent="0.2">
      <c r="A262" s="1135" t="str">
        <f>CONCATENATE(Programme!C263,Programme!D263,Programme!E263,Programme!F263,Programme!G263,Programme!H263,Programme!I263)</f>
        <v>&lt;/ValeurCellule&gt;</v>
      </c>
    </row>
    <row r="263" spans="1:1" x14ac:dyDescent="0.2">
      <c r="A263" s="1135" t="str">
        <f>CONCATENATE(Programme!C264,Programme!D264,Programme!E264,Programme!F264,Programme!G264,Programme!H264,Programme!I264)</f>
        <v>&lt;ValeurCellule&gt;</v>
      </c>
    </row>
    <row r="264" spans="1:1" x14ac:dyDescent="0.2">
      <c r="A264" s="1135" t="str">
        <f>CONCATENATE(Programme!C265,Programme!D265,Programme!E265,Programme!F265,Programme!G265,Programme!H265,Programme!I265)</f>
        <v>&lt;cellule&gt;</v>
      </c>
    </row>
    <row r="265" spans="1:1" x14ac:dyDescent="0.2">
      <c r="A265" s="1135" t="str">
        <f>CONCATENATE(Programme!C266,Programme!D266,Programme!E266,Programme!F266,Programme!G266,Programme!H266,Programme!I266)</f>
        <v>&lt;codeEdi&gt;212&lt;/codeEdi&gt;</v>
      </c>
    </row>
    <row r="266" spans="1:1" x14ac:dyDescent="0.2">
      <c r="A266" s="1135" t="str">
        <f>CONCATENATE(Programme!C267,Programme!D267,Programme!E267,Programme!F267,Programme!G267,Programme!H267,Programme!I267)</f>
        <v>&lt;/cellule&gt;</v>
      </c>
    </row>
    <row r="267" spans="1:1" x14ac:dyDescent="0.2">
      <c r="A267" s="1135" t="str">
        <f>CONCATENATE(Programme!C268,Programme!D268,Programme!E268,Programme!F268,Programme!G268,Programme!H268,Programme!I268)</f>
        <v>&lt;valeur&gt;0&lt;/valeur&gt;</v>
      </c>
    </row>
    <row r="268" spans="1:1" x14ac:dyDescent="0.2">
      <c r="A268" s="1135" t="str">
        <f>CONCATENATE(Programme!C269,Programme!D269,Programme!E269,Programme!F269,Programme!G269,Programme!H269,Programme!I269)</f>
        <v>&lt;/ValeurCellule&gt;</v>
      </c>
    </row>
    <row r="269" spans="1:1" x14ac:dyDescent="0.2">
      <c r="A269" s="1135" t="str">
        <f>CONCATENATE(Programme!C270,Programme!D270,Programme!E270,Programme!F270,Programme!G270,Programme!H270,Programme!I270)</f>
        <v>&lt;ValeurCellule&gt;</v>
      </c>
    </row>
    <row r="270" spans="1:1" x14ac:dyDescent="0.2">
      <c r="A270" s="1135" t="str">
        <f>CONCATENATE(Programme!C271,Programme!D271,Programme!E271,Programme!F271,Programme!G271,Programme!H271,Programme!I271)</f>
        <v>&lt;cellule&gt;</v>
      </c>
    </row>
    <row r="271" spans="1:1" x14ac:dyDescent="0.2">
      <c r="A271" s="1135" t="str">
        <f>CONCATENATE(Programme!C272,Programme!D272,Programme!E272,Programme!F272,Programme!G272,Programme!H272,Programme!I272)</f>
        <v>&lt;codeEdi&gt;213&lt;/codeEdi&gt;</v>
      </c>
    </row>
    <row r="272" spans="1:1" x14ac:dyDescent="0.2">
      <c r="A272" s="1135" t="str">
        <f>CONCATENATE(Programme!C273,Programme!D273,Programme!E273,Programme!F273,Programme!G273,Programme!H273,Programme!I273)</f>
        <v>&lt;/cellule&gt;</v>
      </c>
    </row>
    <row r="273" spans="1:1" x14ac:dyDescent="0.2">
      <c r="A273" s="1135" t="str">
        <f>CONCATENATE(Programme!C274,Programme!D274,Programme!E274,Programme!F274,Programme!G274,Programme!H274,Programme!I274)</f>
        <v>&lt;valeur&gt;0&lt;/valeur&gt;</v>
      </c>
    </row>
    <row r="274" spans="1:1" x14ac:dyDescent="0.2">
      <c r="A274" s="1135" t="str">
        <f>CONCATENATE(Programme!C275,Programme!D275,Programme!E275,Programme!F275,Programme!G275,Programme!H275,Programme!I275)</f>
        <v>&lt;/ValeurCellule&gt;</v>
      </c>
    </row>
    <row r="275" spans="1:1" x14ac:dyDescent="0.2">
      <c r="A275" s="1135" t="str">
        <f>CONCATENATE(Programme!C276,Programme!D276,Programme!E276,Programme!F276,Programme!G276,Programme!H276,Programme!I276)</f>
        <v>&lt;ValeurCellule&gt;</v>
      </c>
    </row>
    <row r="276" spans="1:1" x14ac:dyDescent="0.2">
      <c r="A276" s="1135" t="str">
        <f>CONCATENATE(Programme!C277,Programme!D277,Programme!E277,Programme!F277,Programme!G277,Programme!H277,Programme!I277)</f>
        <v>&lt;cellule&gt;</v>
      </c>
    </row>
    <row r="277" spans="1:1" x14ac:dyDescent="0.2">
      <c r="A277" s="1135" t="str">
        <f>CONCATENATE(Programme!C278,Programme!D278,Programme!E278,Programme!F278,Programme!G278,Programme!H278,Programme!I278)</f>
        <v>&lt;codeEdi&gt;507&lt;/codeEdi&gt;</v>
      </c>
    </row>
    <row r="278" spans="1:1" x14ac:dyDescent="0.2">
      <c r="A278" s="1135" t="str">
        <f>CONCATENATE(Programme!C279,Programme!D279,Programme!E279,Programme!F279,Programme!G279,Programme!H279,Programme!I279)</f>
        <v>&lt;/cellule&gt;</v>
      </c>
    </row>
    <row r="279" spans="1:1" x14ac:dyDescent="0.2">
      <c r="A279" s="1135" t="str">
        <f>CONCATENATE(Programme!C280,Programme!D280,Programme!E280,Programme!F280,Programme!G280,Programme!H280,Programme!I280)</f>
        <v>&lt;valeur&gt;1588527,58&lt;/valeur&gt;</v>
      </c>
    </row>
    <row r="280" spans="1:1" x14ac:dyDescent="0.2">
      <c r="A280" s="1135" t="str">
        <f>CONCATENATE(Programme!C281,Programme!D281,Programme!E281,Programme!F281,Programme!G281,Programme!H281,Programme!I281)</f>
        <v>&lt;/ValeurCellule&gt;</v>
      </c>
    </row>
    <row r="281" spans="1:1" x14ac:dyDescent="0.2">
      <c r="A281" s="1135" t="str">
        <f>CONCATENATE(Programme!C282,Programme!D282,Programme!E282,Programme!F282,Programme!G282,Programme!H282,Programme!I282)</f>
        <v>&lt;ValeurCellule&gt;</v>
      </c>
    </row>
    <row r="282" spans="1:1" x14ac:dyDescent="0.2">
      <c r="A282" s="1135" t="str">
        <f>CONCATENATE(Programme!C283,Programme!D283,Programme!E283,Programme!F283,Programme!G283,Programme!H283,Programme!I283)</f>
        <v>&lt;cellule&gt;</v>
      </c>
    </row>
    <row r="283" spans="1:1" x14ac:dyDescent="0.2">
      <c r="A283" s="1135" t="str">
        <f>CONCATENATE(Programme!C284,Programme!D284,Programme!E284,Programme!F284,Programme!G284,Programme!H284,Programme!I284)</f>
        <v>&lt;codeEdi&gt;214&lt;/codeEdi&gt;</v>
      </c>
    </row>
    <row r="284" spans="1:1" x14ac:dyDescent="0.2">
      <c r="A284" s="1135" t="str">
        <f>CONCATENATE(Programme!C285,Programme!D285,Programme!E285,Programme!F285,Programme!G285,Programme!H285,Programme!I285)</f>
        <v>&lt;/cellule&gt;</v>
      </c>
    </row>
    <row r="285" spans="1:1" x14ac:dyDescent="0.2">
      <c r="A285" s="1135" t="str">
        <f>CONCATENATE(Programme!C286,Programme!D286,Programme!E286,Programme!F286,Programme!G286,Programme!H286,Programme!I286)</f>
        <v>&lt;valeur&gt;0&lt;/valeur&gt;</v>
      </c>
    </row>
    <row r="286" spans="1:1" x14ac:dyDescent="0.2">
      <c r="A286" s="1135" t="str">
        <f>CONCATENATE(Programme!C287,Programme!D287,Programme!E287,Programme!F287,Programme!G287,Programme!H287,Programme!I287)</f>
        <v>&lt;/ValeurCellule&gt;</v>
      </c>
    </row>
    <row r="287" spans="1:1" x14ac:dyDescent="0.2">
      <c r="A287" s="1135" t="str">
        <f>CONCATENATE(Programme!C288,Programme!D288,Programme!E288,Programme!F288,Programme!G288,Programme!H288,Programme!I288)</f>
        <v>&lt;ValeurCellule&gt;</v>
      </c>
    </row>
    <row r="288" spans="1:1" x14ac:dyDescent="0.2">
      <c r="A288" s="1135" t="str">
        <f>CONCATENATE(Programme!C289,Programme!D289,Programme!E289,Programme!F289,Programme!G289,Programme!H289,Programme!I289)</f>
        <v>&lt;cellule&gt;</v>
      </c>
    </row>
    <row r="289" spans="1:1" x14ac:dyDescent="0.2">
      <c r="A289" s="1135" t="str">
        <f>CONCATENATE(Programme!C290,Programme!D290,Programme!E290,Programme!F290,Programme!G290,Programme!H290,Programme!I290)</f>
        <v>&lt;codeEdi&gt;215&lt;/codeEdi&gt;</v>
      </c>
    </row>
    <row r="290" spans="1:1" x14ac:dyDescent="0.2">
      <c r="A290" s="1135" t="str">
        <f>CONCATENATE(Programme!C291,Programme!D291,Programme!E291,Programme!F291,Programme!G291,Programme!H291,Programme!I291)</f>
        <v>&lt;/cellule&gt;</v>
      </c>
    </row>
    <row r="291" spans="1:1" x14ac:dyDescent="0.2">
      <c r="A291" s="1135" t="str">
        <f>CONCATENATE(Programme!C292,Programme!D292,Programme!E292,Programme!F292,Programme!G292,Programme!H292,Programme!I292)</f>
        <v>&lt;valeur&gt;1215&lt;/valeur&gt;</v>
      </c>
    </row>
    <row r="292" spans="1:1" x14ac:dyDescent="0.2">
      <c r="A292" s="1135" t="str">
        <f>CONCATENATE(Programme!C293,Programme!D293,Programme!E293,Programme!F293,Programme!G293,Programme!H293,Programme!I293)</f>
        <v>&lt;/ValeurCellule&gt;</v>
      </c>
    </row>
    <row r="293" spans="1:1" x14ac:dyDescent="0.2">
      <c r="A293" s="1135" t="str">
        <f>CONCATENATE(Programme!C294,Programme!D294,Programme!E294,Programme!F294,Programme!G294,Programme!H294,Programme!I294)</f>
        <v>&lt;ValeurCellule&gt;</v>
      </c>
    </row>
    <row r="294" spans="1:1" x14ac:dyDescent="0.2">
      <c r="A294" s="1135" t="str">
        <f>CONCATENATE(Programme!C295,Programme!D295,Programme!E295,Programme!F295,Programme!G295,Programme!H295,Programme!I295)</f>
        <v>&lt;cellule&gt;</v>
      </c>
    </row>
    <row r="295" spans="1:1" x14ac:dyDescent="0.2">
      <c r="A295" s="1135" t="str">
        <f>CONCATENATE(Programme!C296,Programme!D296,Programme!E296,Programme!F296,Programme!G296,Programme!H296,Programme!I296)</f>
        <v>&lt;codeEdi&gt;216&lt;/codeEdi&gt;</v>
      </c>
    </row>
    <row r="296" spans="1:1" x14ac:dyDescent="0.2">
      <c r="A296" s="1135" t="str">
        <f>CONCATENATE(Programme!C297,Programme!D297,Programme!E297,Programme!F297,Programme!G297,Programme!H297,Programme!I297)</f>
        <v>&lt;/cellule&gt;</v>
      </c>
    </row>
    <row r="297" spans="1:1" x14ac:dyDescent="0.2">
      <c r="A297" s="1135" t="str">
        <f>CONCATENATE(Programme!C298,Programme!D298,Programme!E298,Programme!F298,Programme!G298,Programme!H298,Programme!I298)</f>
        <v>&lt;valeur&gt;0&lt;/valeur&gt;</v>
      </c>
    </row>
    <row r="298" spans="1:1" x14ac:dyDescent="0.2">
      <c r="A298" s="1135" t="str">
        <f>CONCATENATE(Programme!C299,Programme!D299,Programme!E299,Programme!F299,Programme!G299,Programme!H299,Programme!I299)</f>
        <v>&lt;/ValeurCellule&gt;</v>
      </c>
    </row>
    <row r="299" spans="1:1" x14ac:dyDescent="0.2">
      <c r="A299" s="1135" t="str">
        <f>CONCATENATE(Programme!C300,Programme!D300,Programme!E300,Programme!F300,Programme!G300,Programme!H300,Programme!I300)</f>
        <v>&lt;ValeurCellule&gt;</v>
      </c>
    </row>
    <row r="300" spans="1:1" x14ac:dyDescent="0.2">
      <c r="A300" s="1135" t="str">
        <f>CONCATENATE(Programme!C301,Programme!D301,Programme!E301,Programme!F301,Programme!G301,Programme!H301,Programme!I301)</f>
        <v>&lt;cellule&gt;</v>
      </c>
    </row>
    <row r="301" spans="1:1" x14ac:dyDescent="0.2">
      <c r="A301" s="1135" t="str">
        <f>CONCATENATE(Programme!C302,Programme!D302,Programme!E302,Programme!F302,Programme!G302,Programme!H302,Programme!I302)</f>
        <v>&lt;codeEdi&gt;217&lt;/codeEdi&gt;</v>
      </c>
    </row>
    <row r="302" spans="1:1" x14ac:dyDescent="0.2">
      <c r="A302" s="1135" t="str">
        <f>CONCATENATE(Programme!C303,Programme!D303,Programme!E303,Programme!F303,Programme!G303,Programme!H303,Programme!I303)</f>
        <v>&lt;/cellule&gt;</v>
      </c>
    </row>
    <row r="303" spans="1:1" x14ac:dyDescent="0.2">
      <c r="A303" s="1135" t="str">
        <f>CONCATENATE(Programme!C304,Programme!D304,Programme!E304,Programme!F304,Programme!G304,Programme!H304,Programme!I304)</f>
        <v>&lt;valeur&gt;169962,26&lt;/valeur&gt;</v>
      </c>
    </row>
    <row r="304" spans="1:1" x14ac:dyDescent="0.2">
      <c r="A304" s="1135" t="str">
        <f>CONCATENATE(Programme!C305,Programme!D305,Programme!E305,Programme!F305,Programme!G305,Programme!H305,Programme!I305)</f>
        <v>&lt;/ValeurCellule&gt;</v>
      </c>
    </row>
    <row r="305" spans="1:1" x14ac:dyDescent="0.2">
      <c r="A305" s="1135" t="str">
        <f>CONCATENATE(Programme!C306,Programme!D306,Programme!E306,Programme!F306,Programme!G306,Programme!H306,Programme!I306)</f>
        <v>&lt;ValeurCellule&gt;</v>
      </c>
    </row>
    <row r="306" spans="1:1" x14ac:dyDescent="0.2">
      <c r="A306" s="1135" t="str">
        <f>CONCATENATE(Programme!C307,Programme!D307,Programme!E307,Programme!F307,Programme!G307,Programme!H307,Programme!I307)</f>
        <v>&lt;cellule&gt;</v>
      </c>
    </row>
    <row r="307" spans="1:1" x14ac:dyDescent="0.2">
      <c r="A307" s="1135" t="str">
        <f>CONCATENATE(Programme!C308,Programme!D308,Programme!E308,Programme!F308,Programme!G308,Programme!H308,Programme!I308)</f>
        <v>&lt;codeEdi&gt;218&lt;/codeEdi&gt;</v>
      </c>
    </row>
    <row r="308" spans="1:1" x14ac:dyDescent="0.2">
      <c r="A308" s="1135" t="str">
        <f>CONCATENATE(Programme!C309,Programme!D309,Programme!E309,Programme!F309,Programme!G309,Programme!H309,Programme!I309)</f>
        <v>&lt;/cellule&gt;</v>
      </c>
    </row>
    <row r="309" spans="1:1" x14ac:dyDescent="0.2">
      <c r="A309" s="1135" t="str">
        <f>CONCATENATE(Programme!C310,Programme!D310,Programme!E310,Programme!F310,Programme!G310,Programme!H310,Programme!I310)</f>
        <v>&lt;valeur&gt;0&lt;/valeur&gt;</v>
      </c>
    </row>
    <row r="310" spans="1:1" x14ac:dyDescent="0.2">
      <c r="A310" s="1135" t="str">
        <f>CONCATENATE(Programme!C311,Programme!D311,Programme!E311,Programme!F311,Programme!G311,Programme!H311,Programme!I311)</f>
        <v>&lt;/ValeurCellule&gt;</v>
      </c>
    </row>
    <row r="311" spans="1:1" x14ac:dyDescent="0.2">
      <c r="A311" s="1135" t="str">
        <f>CONCATENATE(Programme!C312,Programme!D312,Programme!E312,Programme!F312,Programme!G312,Programme!H312,Programme!I312)</f>
        <v>&lt;ValeurCellule&gt;</v>
      </c>
    </row>
    <row r="312" spans="1:1" x14ac:dyDescent="0.2">
      <c r="A312" s="1135" t="str">
        <f>CONCATENATE(Programme!C313,Programme!D313,Programme!E313,Programme!F313,Programme!G313,Programme!H313,Programme!I313)</f>
        <v>&lt;cellule&gt;</v>
      </c>
    </row>
    <row r="313" spans="1:1" x14ac:dyDescent="0.2">
      <c r="A313" s="1135" t="str">
        <f>CONCATENATE(Programme!C314,Programme!D314,Programme!E314,Programme!F314,Programme!G314,Programme!H314,Programme!I314)</f>
        <v>&lt;codeEdi&gt;219&lt;/codeEdi&gt;</v>
      </c>
    </row>
    <row r="314" spans="1:1" x14ac:dyDescent="0.2">
      <c r="A314" s="1135" t="str">
        <f>CONCATENATE(Programme!C315,Programme!D315,Programme!E315,Programme!F315,Programme!G315,Programme!H315,Programme!I315)</f>
        <v>&lt;/cellule&gt;</v>
      </c>
    </row>
    <row r="315" spans="1:1" x14ac:dyDescent="0.2">
      <c r="A315" s="1135" t="str">
        <f>CONCATENATE(Programme!C316,Programme!D316,Programme!E316,Programme!F316,Programme!G316,Programme!H316,Programme!I316)</f>
        <v>&lt;valeur&gt;0&lt;/valeur&gt;</v>
      </c>
    </row>
    <row r="316" spans="1:1" x14ac:dyDescent="0.2">
      <c r="A316" s="1135" t="str">
        <f>CONCATENATE(Programme!C317,Programme!D317,Programme!E317,Programme!F317,Programme!G317,Programme!H317,Programme!I317)</f>
        <v>&lt;/ValeurCellule&gt;</v>
      </c>
    </row>
    <row r="317" spans="1:1" x14ac:dyDescent="0.2">
      <c r="A317" s="1135" t="str">
        <f>CONCATENATE(Programme!C318,Programme!D318,Programme!E318,Programme!F318,Programme!G318,Programme!H318,Programme!I318)</f>
        <v>&lt;ValeurCellule&gt;</v>
      </c>
    </row>
    <row r="318" spans="1:1" x14ac:dyDescent="0.2">
      <c r="A318" s="1135" t="str">
        <f>CONCATENATE(Programme!C319,Programme!D319,Programme!E319,Programme!F319,Programme!G319,Programme!H319,Programme!I319)</f>
        <v>&lt;cellule&gt;</v>
      </c>
    </row>
    <row r="319" spans="1:1" x14ac:dyDescent="0.2">
      <c r="A319" s="1135" t="str">
        <f>CONCATENATE(Programme!C320,Programme!D320,Programme!E320,Programme!F320,Programme!G320,Programme!H320,Programme!I320)</f>
        <v>&lt;codeEdi&gt;220&lt;/codeEdi&gt;</v>
      </c>
    </row>
    <row r="320" spans="1:1" x14ac:dyDescent="0.2">
      <c r="A320" s="1135" t="str">
        <f>CONCATENATE(Programme!C321,Programme!D321,Programme!E321,Programme!F321,Programme!G321,Programme!H321,Programme!I321)</f>
        <v>&lt;/cellule&gt;</v>
      </c>
    </row>
    <row r="321" spans="1:1" x14ac:dyDescent="0.2">
      <c r="A321" s="1135" t="str">
        <f>CONCATENATE(Programme!C322,Programme!D322,Programme!E322,Programme!F322,Programme!G322,Programme!H322,Programme!I322)</f>
        <v>&lt;valeur&gt;0&lt;/valeur&gt;</v>
      </c>
    </row>
    <row r="322" spans="1:1" x14ac:dyDescent="0.2">
      <c r="A322" s="1135" t="str">
        <f>CONCATENATE(Programme!C323,Programme!D323,Programme!E323,Programme!F323,Programme!G323,Programme!H323,Programme!I323)</f>
        <v>&lt;/ValeurCellule&gt;</v>
      </c>
    </row>
    <row r="323" spans="1:1" x14ac:dyDescent="0.2">
      <c r="A323" s="1135" t="str">
        <f>CONCATENATE(Programme!C324,Programme!D324,Programme!E324,Programme!F324,Programme!G324,Programme!H324,Programme!I324)</f>
        <v>&lt;ValeurCellule&gt;</v>
      </c>
    </row>
    <row r="324" spans="1:1" x14ac:dyDescent="0.2">
      <c r="A324" s="1135" t="str">
        <f>CONCATENATE(Programme!C325,Programme!D325,Programme!E325,Programme!F325,Programme!G325,Programme!H325,Programme!I325)</f>
        <v>&lt;cellule&gt;</v>
      </c>
    </row>
    <row r="325" spans="1:1" x14ac:dyDescent="0.2">
      <c r="A325" s="1135" t="str">
        <f>CONCATENATE(Programme!C326,Programme!D326,Programme!E326,Programme!F326,Programme!G326,Programme!H326,Programme!I326)</f>
        <v>&lt;codeEdi&gt;508&lt;/codeEdi&gt;</v>
      </c>
    </row>
    <row r="326" spans="1:1" x14ac:dyDescent="0.2">
      <c r="A326" s="1135" t="str">
        <f>CONCATENATE(Programme!C327,Programme!D327,Programme!E327,Programme!F327,Programme!G327,Programme!H327,Programme!I327)</f>
        <v>&lt;/cellule&gt;</v>
      </c>
    </row>
    <row r="327" spans="1:1" x14ac:dyDescent="0.2">
      <c r="A327" s="1135" t="str">
        <f>CONCATENATE(Programme!C328,Programme!D328,Programme!E328,Programme!F328,Programme!G328,Programme!H328,Programme!I328)</f>
        <v>&lt;valeur&gt;171177,26&lt;/valeur&gt;</v>
      </c>
    </row>
    <row r="328" spans="1:1" x14ac:dyDescent="0.2">
      <c r="A328" s="1135" t="str">
        <f>CONCATENATE(Programme!C329,Programme!D329,Programme!E329,Programme!F329,Programme!G329,Programme!H329,Programme!I329)</f>
        <v>&lt;/ValeurCellule&gt;</v>
      </c>
    </row>
    <row r="329" spans="1:1" x14ac:dyDescent="0.2">
      <c r="A329" s="1135" t="str">
        <f>CONCATENATE(Programme!C330,Programme!D330,Programme!E330,Programme!F330,Programme!G330,Programme!H330,Programme!I330)</f>
        <v>&lt;ValeurCellule&gt;</v>
      </c>
    </row>
    <row r="330" spans="1:1" x14ac:dyDescent="0.2">
      <c r="A330" s="1135" t="str">
        <f>CONCATENATE(Programme!C331,Programme!D331,Programme!E331,Programme!F331,Programme!G331,Programme!H331,Programme!I331)</f>
        <v>&lt;cellule&gt;</v>
      </c>
    </row>
    <row r="331" spans="1:1" x14ac:dyDescent="0.2">
      <c r="A331" s="1135" t="str">
        <f>CONCATENATE(Programme!C332,Programme!D332,Programme!E332,Programme!F332,Programme!G332,Programme!H332,Programme!I332)</f>
        <v>&lt;codeEdi&gt;221&lt;/codeEdi&gt;</v>
      </c>
    </row>
    <row r="332" spans="1:1" x14ac:dyDescent="0.2">
      <c r="A332" s="1135" t="str">
        <f>CONCATENATE(Programme!C333,Programme!D333,Programme!E333,Programme!F333,Programme!G333,Programme!H333,Programme!I333)</f>
        <v>&lt;/cellule&gt;</v>
      </c>
    </row>
    <row r="333" spans="1:1" x14ac:dyDescent="0.2">
      <c r="A333" s="1135" t="str">
        <f>CONCATENATE(Programme!C334,Programme!D334,Programme!E334,Programme!F334,Programme!G334,Programme!H334,Programme!I334)</f>
        <v>&lt;valeur&gt;0&lt;/valeur&gt;</v>
      </c>
    </row>
    <row r="334" spans="1:1" x14ac:dyDescent="0.2">
      <c r="A334" s="1135" t="str">
        <f>CONCATENATE(Programme!C335,Programme!D335,Programme!E335,Programme!F335,Programme!G335,Programme!H335,Programme!I335)</f>
        <v>&lt;/ValeurCellule&gt;</v>
      </c>
    </row>
    <row r="335" spans="1:1" x14ac:dyDescent="0.2">
      <c r="A335" s="1135" t="str">
        <f>CONCATENATE(Programme!C336,Programme!D336,Programme!E336,Programme!F336,Programme!G336,Programme!H336,Programme!I336)</f>
        <v>&lt;ValeurCellule&gt;</v>
      </c>
    </row>
    <row r="336" spans="1:1" x14ac:dyDescent="0.2">
      <c r="A336" s="1135" t="str">
        <f>CONCATENATE(Programme!C337,Programme!D337,Programme!E337,Programme!F337,Programme!G337,Programme!H337,Programme!I337)</f>
        <v>&lt;cellule&gt;</v>
      </c>
    </row>
    <row r="337" spans="1:1" x14ac:dyDescent="0.2">
      <c r="A337" s="1135" t="str">
        <f>CONCATENATE(Programme!C338,Programme!D338,Programme!E338,Programme!F338,Programme!G338,Programme!H338,Programme!I338)</f>
        <v>&lt;codeEdi&gt;222&lt;/codeEdi&gt;</v>
      </c>
    </row>
    <row r="338" spans="1:1" x14ac:dyDescent="0.2">
      <c r="A338" s="1135" t="str">
        <f>CONCATENATE(Programme!C339,Programme!D339,Programme!E339,Programme!F339,Programme!G339,Programme!H339,Programme!I339)</f>
        <v>&lt;/cellule&gt;</v>
      </c>
    </row>
    <row r="339" spans="1:1" x14ac:dyDescent="0.2">
      <c r="A339" s="1135" t="str">
        <f>CONCATENATE(Programme!C340,Programme!D340,Programme!E340,Programme!F340,Programme!G340,Programme!H340,Programme!I340)</f>
        <v>&lt;valeur&gt;8485&lt;/valeur&gt;</v>
      </c>
    </row>
    <row r="340" spans="1:1" x14ac:dyDescent="0.2">
      <c r="A340" s="1135" t="str">
        <f>CONCATENATE(Programme!C341,Programme!D341,Programme!E341,Programme!F341,Programme!G341,Programme!H341,Programme!I341)</f>
        <v>&lt;/ValeurCellule&gt;</v>
      </c>
    </row>
    <row r="341" spans="1:1" x14ac:dyDescent="0.2">
      <c r="A341" s="1135" t="str">
        <f>CONCATENATE(Programme!C342,Programme!D342,Programme!E342,Programme!F342,Programme!G342,Programme!H342,Programme!I342)</f>
        <v>&lt;ValeurCellule&gt;</v>
      </c>
    </row>
    <row r="342" spans="1:1" x14ac:dyDescent="0.2">
      <c r="A342" s="1135" t="str">
        <f>CONCATENATE(Programme!C343,Programme!D343,Programme!E343,Programme!F343,Programme!G343,Programme!H343,Programme!I343)</f>
        <v>&lt;cellule&gt;</v>
      </c>
    </row>
    <row r="343" spans="1:1" x14ac:dyDescent="0.2">
      <c r="A343" s="1135" t="str">
        <f>CONCATENATE(Programme!C344,Programme!D344,Programme!E344,Programme!F344,Programme!G344,Programme!H344,Programme!I344)</f>
        <v>&lt;codeEdi&gt;223&lt;/codeEdi&gt;</v>
      </c>
    </row>
    <row r="344" spans="1:1" x14ac:dyDescent="0.2">
      <c r="A344" s="1135" t="str">
        <f>CONCATENATE(Programme!C345,Programme!D345,Programme!E345,Programme!F345,Programme!G345,Programme!H345,Programme!I345)</f>
        <v>&lt;/cellule&gt;</v>
      </c>
    </row>
    <row r="345" spans="1:1" x14ac:dyDescent="0.2">
      <c r="A345" s="1135" t="str">
        <f>CONCATENATE(Programme!C346,Programme!D346,Programme!E346,Programme!F346,Programme!G346,Programme!H346,Programme!I346)</f>
        <v>&lt;valeur&gt;0&lt;/valeur&gt;</v>
      </c>
    </row>
    <row r="346" spans="1:1" x14ac:dyDescent="0.2">
      <c r="A346" s="1135" t="str">
        <f>CONCATENATE(Programme!C347,Programme!D347,Programme!E347,Programme!F347,Programme!G347,Programme!H347,Programme!I347)</f>
        <v>&lt;/ValeurCellule&gt;</v>
      </c>
    </row>
    <row r="347" spans="1:1" x14ac:dyDescent="0.2">
      <c r="A347" s="1135" t="str">
        <f>CONCATENATE(Programme!C348,Programme!D348,Programme!E348,Programme!F348,Programme!G348,Programme!H348,Programme!I348)</f>
        <v>&lt;ValeurCellule&gt;</v>
      </c>
    </row>
    <row r="348" spans="1:1" x14ac:dyDescent="0.2">
      <c r="A348" s="1135" t="str">
        <f>CONCATENATE(Programme!C349,Programme!D349,Programme!E349,Programme!F349,Programme!G349,Programme!H349,Programme!I349)</f>
        <v>&lt;cellule&gt;</v>
      </c>
    </row>
    <row r="349" spans="1:1" x14ac:dyDescent="0.2">
      <c r="A349" s="1135" t="str">
        <f>CONCATENATE(Programme!C350,Programme!D350,Programme!E350,Programme!F350,Programme!G350,Programme!H350,Programme!I350)</f>
        <v>&lt;codeEdi&gt;224&lt;/codeEdi&gt;</v>
      </c>
    </row>
    <row r="350" spans="1:1" x14ac:dyDescent="0.2">
      <c r="A350" s="1135" t="str">
        <f>CONCATENATE(Programme!C351,Programme!D351,Programme!E351,Programme!F351,Programme!G351,Programme!H351,Programme!I351)</f>
        <v>&lt;/cellule&gt;</v>
      </c>
    </row>
    <row r="351" spans="1:1" x14ac:dyDescent="0.2">
      <c r="A351" s="1135" t="str">
        <f>CONCATENATE(Programme!C352,Programme!D352,Programme!E352,Programme!F352,Programme!G352,Programme!H352,Programme!I352)</f>
        <v>&lt;valeur&gt;1408865,32&lt;/valeur&gt;</v>
      </c>
    </row>
    <row r="352" spans="1:1" x14ac:dyDescent="0.2">
      <c r="A352" s="1135" t="str">
        <f>CONCATENATE(Programme!C353,Programme!D353,Programme!E353,Programme!F353,Programme!G353,Programme!H353,Programme!I353)</f>
        <v>&lt;/ValeurCellule&gt;</v>
      </c>
    </row>
    <row r="353" spans="1:1" x14ac:dyDescent="0.2">
      <c r="A353" s="1135" t="str">
        <f>CONCATENATE(Programme!C354,Programme!D354,Programme!E354,Programme!F354,Programme!G354,Programme!H354,Programme!I354)</f>
        <v>&lt;ValeurCellule&gt;</v>
      </c>
    </row>
    <row r="354" spans="1:1" x14ac:dyDescent="0.2">
      <c r="A354" s="1135" t="str">
        <f>CONCATENATE(Programme!C355,Programme!D355,Programme!E355,Programme!F355,Programme!G355,Programme!H355,Programme!I355)</f>
        <v>&lt;cellule&gt;</v>
      </c>
    </row>
    <row r="355" spans="1:1" x14ac:dyDescent="0.2">
      <c r="A355" s="1135" t="str">
        <f>CONCATENATE(Programme!C356,Programme!D356,Programme!E356,Programme!F356,Programme!G356,Programme!H356,Programme!I356)</f>
        <v>&lt;codeEdi&gt;225&lt;/codeEdi&gt;</v>
      </c>
    </row>
    <row r="356" spans="1:1" x14ac:dyDescent="0.2">
      <c r="A356" s="1135" t="str">
        <f>CONCATENATE(Programme!C357,Programme!D357,Programme!E357,Programme!F357,Programme!G357,Programme!H357,Programme!I357)</f>
        <v>&lt;/cellule&gt;</v>
      </c>
    </row>
    <row r="357" spans="1:1" x14ac:dyDescent="0.2">
      <c r="A357" s="1135" t="str">
        <f>CONCATENATE(Programme!C358,Programme!D358,Programme!E358,Programme!F358,Programme!G358,Programme!H358,Programme!I358)</f>
        <v>&lt;valeur&gt;0&lt;/valeur&gt;</v>
      </c>
    </row>
    <row r="358" spans="1:1" x14ac:dyDescent="0.2">
      <c r="A358" s="1135" t="str">
        <f>CONCATENATE(Programme!C359,Programme!D359,Programme!E359,Programme!F359,Programme!G359,Programme!H359,Programme!I359)</f>
        <v>&lt;/ValeurCellule&gt;</v>
      </c>
    </row>
    <row r="359" spans="1:1" x14ac:dyDescent="0.2">
      <c r="A359" s="1135" t="str">
        <f>CONCATENATE(Programme!C360,Programme!D360,Programme!E360,Programme!F360,Programme!G360,Programme!H360,Programme!I360)</f>
        <v>&lt;ValeurCellule&gt;</v>
      </c>
    </row>
    <row r="360" spans="1:1" x14ac:dyDescent="0.2">
      <c r="A360" s="1135" t="str">
        <f>CONCATENATE(Programme!C361,Programme!D361,Programme!E361,Programme!F361,Programme!G361,Programme!H361,Programme!I361)</f>
        <v>&lt;cellule&gt;</v>
      </c>
    </row>
    <row r="361" spans="1:1" x14ac:dyDescent="0.2">
      <c r="A361" s="1135" t="str">
        <f>CONCATENATE(Programme!C362,Programme!D362,Programme!E362,Programme!F362,Programme!G362,Programme!H362,Programme!I362)</f>
        <v>&lt;codeEdi&gt;226&lt;/codeEdi&gt;</v>
      </c>
    </row>
    <row r="362" spans="1:1" x14ac:dyDescent="0.2">
      <c r="A362" s="1135" t="str">
        <f>CONCATENATE(Programme!C363,Programme!D363,Programme!E363,Programme!F363,Programme!G363,Programme!H363,Programme!I363)</f>
        <v>&lt;/cellule&gt;</v>
      </c>
    </row>
    <row r="363" spans="1:1" x14ac:dyDescent="0.2">
      <c r="A363" s="1135" t="str">
        <f>CONCATENATE(Programme!C364,Programme!D364,Programme!E364,Programme!F364,Programme!G364,Programme!H364,Programme!I364)</f>
        <v>&lt;valeur&gt;0&lt;/valeur&gt;</v>
      </c>
    </row>
    <row r="364" spans="1:1" x14ac:dyDescent="0.2">
      <c r="A364" s="1135" t="str">
        <f>CONCATENATE(Programme!C365,Programme!D365,Programme!E365,Programme!F365,Programme!G365,Programme!H365,Programme!I365)</f>
        <v>&lt;/ValeurCellule&gt;</v>
      </c>
    </row>
    <row r="365" spans="1:1" x14ac:dyDescent="0.2">
      <c r="A365" s="1135" t="str">
        <f>CONCATENATE(Programme!C366,Programme!D366,Programme!E366,Programme!F366,Programme!G366,Programme!H366,Programme!I366)</f>
        <v>&lt;ValeurCellule&gt;</v>
      </c>
    </row>
    <row r="366" spans="1:1" x14ac:dyDescent="0.2">
      <c r="A366" s="1135" t="str">
        <f>CONCATENATE(Programme!C367,Programme!D367,Programme!E367,Programme!F367,Programme!G367,Programme!H367,Programme!I367)</f>
        <v>&lt;cellule&gt;</v>
      </c>
    </row>
    <row r="367" spans="1:1" x14ac:dyDescent="0.2">
      <c r="A367" s="1135" t="str">
        <f>CONCATENATE(Programme!C368,Programme!D368,Programme!E368,Programme!F368,Programme!G368,Programme!H368,Programme!I368)</f>
        <v>&lt;codeEdi&gt;227&lt;/codeEdi&gt;</v>
      </c>
    </row>
    <row r="368" spans="1:1" x14ac:dyDescent="0.2">
      <c r="A368" s="1135" t="str">
        <f>CONCATENATE(Programme!C369,Programme!D369,Programme!E369,Programme!F369,Programme!G369,Programme!H369,Programme!I369)</f>
        <v>&lt;/cellule&gt;</v>
      </c>
    </row>
    <row r="369" spans="1:1" x14ac:dyDescent="0.2">
      <c r="A369" s="1135" t="str">
        <f>CONCATENATE(Programme!C370,Programme!D370,Programme!E370,Programme!F370,Programme!G370,Programme!H370,Programme!I370)</f>
        <v>&lt;valeur&gt;0&lt;/valeur&gt;</v>
      </c>
    </row>
    <row r="370" spans="1:1" x14ac:dyDescent="0.2">
      <c r="A370" s="1135" t="str">
        <f>CONCATENATE(Programme!C371,Programme!D371,Programme!E371,Programme!F371,Programme!G371,Programme!H371,Programme!I371)</f>
        <v>&lt;/ValeurCellule&gt;</v>
      </c>
    </row>
    <row r="371" spans="1:1" x14ac:dyDescent="0.2">
      <c r="A371" s="1135" t="str">
        <f>CONCATENATE(Programme!C372,Programme!D372,Programme!E372,Programme!F372,Programme!G372,Programme!H372,Programme!I372)</f>
        <v>&lt;ValeurCellule&gt;</v>
      </c>
    </row>
    <row r="372" spans="1:1" x14ac:dyDescent="0.2">
      <c r="A372" s="1135" t="str">
        <f>CONCATENATE(Programme!C373,Programme!D373,Programme!E373,Programme!F373,Programme!G373,Programme!H373,Programme!I373)</f>
        <v>&lt;cellule&gt;</v>
      </c>
    </row>
    <row r="373" spans="1:1" x14ac:dyDescent="0.2">
      <c r="A373" s="1135" t="str">
        <f>CONCATENATE(Programme!C374,Programme!D374,Programme!E374,Programme!F374,Programme!G374,Programme!H374,Programme!I374)</f>
        <v>&lt;codeEdi&gt;509&lt;/codeEdi&gt;</v>
      </c>
    </row>
    <row r="374" spans="1:1" x14ac:dyDescent="0.2">
      <c r="A374" s="1135" t="str">
        <f>CONCATENATE(Programme!C375,Programme!D375,Programme!E375,Programme!F375,Programme!G375,Programme!H375,Programme!I375)</f>
        <v>&lt;/cellule&gt;</v>
      </c>
    </row>
    <row r="375" spans="1:1" x14ac:dyDescent="0.2">
      <c r="A375" s="1135" t="str">
        <f>CONCATENATE(Programme!C376,Programme!D376,Programme!E376,Programme!F376,Programme!G376,Programme!H376,Programme!I376)</f>
        <v>&lt;valeur&gt;1417350,32&lt;/valeur&gt;</v>
      </c>
    </row>
    <row r="376" spans="1:1" x14ac:dyDescent="0.2">
      <c r="A376" s="1135" t="str">
        <f>CONCATENATE(Programme!C377,Programme!D377,Programme!E377,Programme!F377,Programme!G377,Programme!H377,Programme!I377)</f>
        <v>&lt;/ValeurCellule&gt;</v>
      </c>
    </row>
    <row r="377" spans="1:1" x14ac:dyDescent="0.2">
      <c r="A377" s="1135" t="str">
        <f>CONCATENATE(Programme!C378,Programme!D378,Programme!E378,Programme!F378,Programme!G378,Programme!H378,Programme!I378)</f>
        <v>&lt;ValeurCellule&gt;</v>
      </c>
    </row>
    <row r="378" spans="1:1" x14ac:dyDescent="0.2">
      <c r="A378" s="1135" t="str">
        <f>CONCATENATE(Programme!C379,Programme!D379,Programme!E379,Programme!F379,Programme!G379,Programme!H379,Programme!I379)</f>
        <v>&lt;cellule&gt;</v>
      </c>
    </row>
    <row r="379" spans="1:1" x14ac:dyDescent="0.2">
      <c r="A379" s="1135" t="str">
        <f>CONCATENATE(Programme!C380,Programme!D380,Programme!E380,Programme!F380,Programme!G380,Programme!H380,Programme!I380)</f>
        <v>&lt;codeEdi&gt;228&lt;/codeEdi&gt;</v>
      </c>
    </row>
    <row r="380" spans="1:1" x14ac:dyDescent="0.2">
      <c r="A380" s="1135" t="str">
        <f>CONCATENATE(Programme!C381,Programme!D381,Programme!E381,Programme!F381,Programme!G381,Programme!H381,Programme!I381)</f>
        <v>&lt;/cellule&gt;</v>
      </c>
    </row>
    <row r="381" spans="1:1" x14ac:dyDescent="0.2">
      <c r="A381" s="1135" t="str">
        <f>CONCATENATE(Programme!C382,Programme!D382,Programme!E382,Programme!F382,Programme!G382,Programme!H382,Programme!I382)</f>
        <v>&lt;valeur&gt;0&lt;/valeur&gt;</v>
      </c>
    </row>
    <row r="382" spans="1:1" x14ac:dyDescent="0.2">
      <c r="A382" s="1135" t="str">
        <f>CONCATENATE(Programme!C383,Programme!D383,Programme!E383,Programme!F383,Programme!G383,Programme!H383,Programme!I383)</f>
        <v>&lt;/ValeurCellule&gt;</v>
      </c>
    </row>
    <row r="383" spans="1:1" x14ac:dyDescent="0.2">
      <c r="A383" s="1135" t="str">
        <f>CONCATENATE(Programme!C384,Programme!D384,Programme!E384,Programme!F384,Programme!G384,Programme!H384,Programme!I384)</f>
        <v>&lt;ValeurCellule&gt;</v>
      </c>
    </row>
    <row r="384" spans="1:1" x14ac:dyDescent="0.2">
      <c r="A384" s="1135" t="str">
        <f>CONCATENATE(Programme!C385,Programme!D385,Programme!E385,Programme!F385,Programme!G385,Programme!H385,Programme!I385)</f>
        <v>&lt;cellule&gt;</v>
      </c>
    </row>
    <row r="385" spans="1:1" x14ac:dyDescent="0.2">
      <c r="A385" s="1135" t="str">
        <f>CONCATENATE(Programme!C386,Programme!D386,Programme!E386,Programme!F386,Programme!G386,Programme!H386,Programme!I386)</f>
        <v>&lt;codeEdi&gt;229&lt;/codeEdi&gt;</v>
      </c>
    </row>
    <row r="386" spans="1:1" x14ac:dyDescent="0.2">
      <c r="A386" s="1135" t="str">
        <f>CONCATENATE(Programme!C387,Programme!D387,Programme!E387,Programme!F387,Programme!G387,Programme!H387,Programme!I387)</f>
        <v>&lt;/cellule&gt;</v>
      </c>
    </row>
    <row r="387" spans="1:1" x14ac:dyDescent="0.2">
      <c r="A387" s="1135" t="str">
        <f>CONCATENATE(Programme!C388,Programme!D388,Programme!E388,Programme!F388,Programme!G388,Programme!H388,Programme!I388)</f>
        <v>&lt;valeur&gt;0&lt;/valeur&gt;</v>
      </c>
    </row>
    <row r="388" spans="1:1" x14ac:dyDescent="0.2">
      <c r="A388" s="1135" t="str">
        <f>CONCATENATE(Programme!C389,Programme!D389,Programme!E389,Programme!F389,Programme!G389,Programme!H389,Programme!I389)</f>
        <v>&lt;/ValeurCellule&gt;</v>
      </c>
    </row>
    <row r="389" spans="1:1" x14ac:dyDescent="0.2">
      <c r="A389" s="1135" t="str">
        <f>CONCATENATE(Programme!C390,Programme!D390,Programme!E390,Programme!F390,Programme!G390,Programme!H390,Programme!I390)</f>
        <v>&lt;ValeurCellule&gt;</v>
      </c>
    </row>
    <row r="390" spans="1:1" x14ac:dyDescent="0.2">
      <c r="A390" s="1135" t="str">
        <f>CONCATENATE(Programme!C391,Programme!D391,Programme!E391,Programme!F391,Programme!G391,Programme!H391,Programme!I391)</f>
        <v>&lt;cellule&gt;</v>
      </c>
    </row>
    <row r="391" spans="1:1" x14ac:dyDescent="0.2">
      <c r="A391" s="1135" t="str">
        <f>CONCATENATE(Programme!C392,Programme!D392,Programme!E392,Programme!F392,Programme!G392,Programme!H392,Programme!I392)</f>
        <v>&lt;codeEdi&gt;230&lt;/codeEdi&gt;</v>
      </c>
    </row>
    <row r="392" spans="1:1" x14ac:dyDescent="0.2">
      <c r="A392" s="1135" t="str">
        <f>CONCATENATE(Programme!C393,Programme!D393,Programme!E393,Programme!F393,Programme!G393,Programme!H393,Programme!I393)</f>
        <v>&lt;/cellule&gt;</v>
      </c>
    </row>
    <row r="393" spans="1:1" x14ac:dyDescent="0.2">
      <c r="A393" s="1135" t="str">
        <f>CONCATENATE(Programme!C394,Programme!D394,Programme!E394,Programme!F394,Programme!G394,Programme!H394,Programme!I394)</f>
        <v>&lt;valeur&gt;0&lt;/valeur&gt;</v>
      </c>
    </row>
    <row r="394" spans="1:1" x14ac:dyDescent="0.2">
      <c r="A394" s="1135" t="str">
        <f>CONCATENATE(Programme!C395,Programme!D395,Programme!E395,Programme!F395,Programme!G395,Programme!H395,Programme!I395)</f>
        <v>&lt;/ValeurCellule&gt;</v>
      </c>
    </row>
    <row r="395" spans="1:1" x14ac:dyDescent="0.2">
      <c r="A395" s="1135" t="str">
        <f>CONCATENATE(Programme!C396,Programme!D396,Programme!E396,Programme!F396,Programme!G396,Programme!H396,Programme!I396)</f>
        <v>&lt;ValeurCellule&gt;</v>
      </c>
    </row>
    <row r="396" spans="1:1" x14ac:dyDescent="0.2">
      <c r="A396" s="1135" t="str">
        <f>CONCATENATE(Programme!C397,Programme!D397,Programme!E397,Programme!F397,Programme!G397,Programme!H397,Programme!I397)</f>
        <v>&lt;cellule&gt;</v>
      </c>
    </row>
    <row r="397" spans="1:1" x14ac:dyDescent="0.2">
      <c r="A397" s="1135" t="str">
        <f>CONCATENATE(Programme!C398,Programme!D398,Programme!E398,Programme!F398,Programme!G398,Programme!H398,Programme!I398)</f>
        <v>&lt;codeEdi&gt;231&lt;/codeEdi&gt;</v>
      </c>
    </row>
    <row r="398" spans="1:1" x14ac:dyDescent="0.2">
      <c r="A398" s="1135" t="str">
        <f>CONCATENATE(Programme!C399,Programme!D399,Programme!E399,Programme!F399,Programme!G399,Programme!H399,Programme!I399)</f>
        <v>&lt;/cellule&gt;</v>
      </c>
    </row>
    <row r="399" spans="1:1" x14ac:dyDescent="0.2">
      <c r="A399" s="1135" t="str">
        <f>CONCATENATE(Programme!C400,Programme!D400,Programme!E400,Programme!F400,Programme!G400,Programme!H400,Programme!I400)</f>
        <v>&lt;valeur&gt;0&lt;/valeur&gt;</v>
      </c>
    </row>
    <row r="400" spans="1:1" x14ac:dyDescent="0.2">
      <c r="A400" s="1135" t="str">
        <f>CONCATENATE(Programme!C401,Programme!D401,Programme!E401,Programme!F401,Programme!G401,Programme!H401,Programme!I401)</f>
        <v>&lt;/ValeurCellule&gt;</v>
      </c>
    </row>
    <row r="401" spans="1:1" x14ac:dyDescent="0.2">
      <c r="A401" s="1135" t="str">
        <f>CONCATENATE(Programme!C402,Programme!D402,Programme!E402,Programme!F402,Programme!G402,Programme!H402,Programme!I402)</f>
        <v>&lt;ValeurCellule&gt;</v>
      </c>
    </row>
    <row r="402" spans="1:1" x14ac:dyDescent="0.2">
      <c r="A402" s="1135" t="str">
        <f>CONCATENATE(Programme!C403,Programme!D403,Programme!E403,Programme!F403,Programme!G403,Programme!H403,Programme!I403)</f>
        <v>&lt;cellule&gt;</v>
      </c>
    </row>
    <row r="403" spans="1:1" x14ac:dyDescent="0.2">
      <c r="A403" s="1135" t="str">
        <f>CONCATENATE(Programme!C404,Programme!D404,Programme!E404,Programme!F404,Programme!G404,Programme!H404,Programme!I404)</f>
        <v>&lt;codeEdi&gt;232&lt;/codeEdi&gt;</v>
      </c>
    </row>
    <row r="404" spans="1:1" x14ac:dyDescent="0.2">
      <c r="A404" s="1135" t="str">
        <f>CONCATENATE(Programme!C405,Programme!D405,Programme!E405,Programme!F405,Programme!G405,Programme!H405,Programme!I405)</f>
        <v>&lt;/cellule&gt;</v>
      </c>
    </row>
    <row r="405" spans="1:1" x14ac:dyDescent="0.2">
      <c r="A405" s="1135" t="str">
        <f>CONCATENATE(Programme!C406,Programme!D406,Programme!E406,Programme!F406,Programme!G406,Programme!H406,Programme!I406)</f>
        <v>&lt;valeur&gt;0&lt;/valeur&gt;</v>
      </c>
    </row>
    <row r="406" spans="1:1" x14ac:dyDescent="0.2">
      <c r="A406" s="1135" t="str">
        <f>CONCATENATE(Programme!C407,Programme!D407,Programme!E407,Programme!F407,Programme!G407,Programme!H407,Programme!I407)</f>
        <v>&lt;/ValeurCellule&gt;</v>
      </c>
    </row>
    <row r="407" spans="1:1" x14ac:dyDescent="0.2">
      <c r="A407" s="1135" t="str">
        <f>CONCATENATE(Programme!C408,Programme!D408,Programme!E408,Programme!F408,Programme!G408,Programme!H408,Programme!I408)</f>
        <v>&lt;ValeurCellule&gt;</v>
      </c>
    </row>
    <row r="408" spans="1:1" x14ac:dyDescent="0.2">
      <c r="A408" s="1135" t="str">
        <f>CONCATENATE(Programme!C409,Programme!D409,Programme!E409,Programme!F409,Programme!G409,Programme!H409,Programme!I409)</f>
        <v>&lt;cellule&gt;</v>
      </c>
    </row>
    <row r="409" spans="1:1" x14ac:dyDescent="0.2">
      <c r="A409" s="1135" t="str">
        <f>CONCATENATE(Programme!C410,Programme!D410,Programme!E410,Programme!F410,Programme!G410,Programme!H410,Programme!I410)</f>
        <v>&lt;codeEdi&gt;233&lt;/codeEdi&gt;</v>
      </c>
    </row>
    <row r="410" spans="1:1" x14ac:dyDescent="0.2">
      <c r="A410" s="1135" t="str">
        <f>CONCATENATE(Programme!C411,Programme!D411,Programme!E411,Programme!F411,Programme!G411,Programme!H411,Programme!I411)</f>
        <v>&lt;/cellule&gt;</v>
      </c>
    </row>
    <row r="411" spans="1:1" x14ac:dyDescent="0.2">
      <c r="A411" s="1135" t="str">
        <f>CONCATENATE(Programme!C412,Programme!D412,Programme!E412,Programme!F412,Programme!G412,Programme!H412,Programme!I412)</f>
        <v>&lt;valeur&gt;0&lt;/valeur&gt;</v>
      </c>
    </row>
    <row r="412" spans="1:1" x14ac:dyDescent="0.2">
      <c r="A412" s="1135" t="str">
        <f>CONCATENATE(Programme!C413,Programme!D413,Programme!E413,Programme!F413,Programme!G413,Programme!H413,Programme!I413)</f>
        <v>&lt;/ValeurCellule&gt;</v>
      </c>
    </row>
    <row r="413" spans="1:1" x14ac:dyDescent="0.2">
      <c r="A413" s="1135" t="str">
        <f>CONCATENATE(Programme!C414,Programme!D414,Programme!E414,Programme!F414,Programme!G414,Programme!H414,Programme!I414)</f>
        <v>&lt;ValeurCellule&gt;</v>
      </c>
    </row>
    <row r="414" spans="1:1" x14ac:dyDescent="0.2">
      <c r="A414" s="1135" t="str">
        <f>CONCATENATE(Programme!C415,Programme!D415,Programme!E415,Programme!F415,Programme!G415,Programme!H415,Programme!I415)</f>
        <v>&lt;cellule&gt;</v>
      </c>
    </row>
    <row r="415" spans="1:1" x14ac:dyDescent="0.2">
      <c r="A415" s="1135" t="str">
        <f>CONCATENATE(Programme!C416,Programme!D416,Programme!E416,Programme!F416,Programme!G416,Programme!H416,Programme!I416)</f>
        <v>&lt;codeEdi&gt;234&lt;/codeEdi&gt;</v>
      </c>
    </row>
    <row r="416" spans="1:1" x14ac:dyDescent="0.2">
      <c r="A416" s="1135" t="str">
        <f>CONCATENATE(Programme!C417,Programme!D417,Programme!E417,Programme!F417,Programme!G417,Programme!H417,Programme!I417)</f>
        <v>&lt;/cellule&gt;</v>
      </c>
    </row>
    <row r="417" spans="1:1" x14ac:dyDescent="0.2">
      <c r="A417" s="1135" t="str">
        <f>CONCATENATE(Programme!C418,Programme!D418,Programme!E418,Programme!F418,Programme!G418,Programme!H418,Programme!I418)</f>
        <v>&lt;valeur&gt;0&lt;/valeur&gt;</v>
      </c>
    </row>
    <row r="418" spans="1:1" x14ac:dyDescent="0.2">
      <c r="A418" s="1135" t="str">
        <f>CONCATENATE(Programme!C419,Programme!D419,Programme!E419,Programme!F419,Programme!G419,Programme!H419,Programme!I419)</f>
        <v>&lt;/ValeurCellule&gt;</v>
      </c>
    </row>
    <row r="419" spans="1:1" x14ac:dyDescent="0.2">
      <c r="A419" s="1135" t="str">
        <f>CONCATENATE(Programme!C420,Programme!D420,Programme!E420,Programme!F420,Programme!G420,Programme!H420,Programme!I420)</f>
        <v>&lt;ValeurCellule&gt;</v>
      </c>
    </row>
    <row r="420" spans="1:1" x14ac:dyDescent="0.2">
      <c r="A420" s="1135" t="str">
        <f>CONCATENATE(Programme!C421,Programme!D421,Programme!E421,Programme!F421,Programme!G421,Programme!H421,Programme!I421)</f>
        <v>&lt;cellule&gt;</v>
      </c>
    </row>
    <row r="421" spans="1:1" x14ac:dyDescent="0.2">
      <c r="A421" s="1135" t="str">
        <f>CONCATENATE(Programme!C422,Programme!D422,Programme!E422,Programme!F422,Programme!G422,Programme!H422,Programme!I422)</f>
        <v>&lt;codeEdi&gt;510&lt;/codeEdi&gt;</v>
      </c>
    </row>
    <row r="422" spans="1:1" x14ac:dyDescent="0.2">
      <c r="A422" s="1135" t="str">
        <f>CONCATENATE(Programme!C423,Programme!D423,Programme!E423,Programme!F423,Programme!G423,Programme!H423,Programme!I423)</f>
        <v>&lt;/cellule&gt;</v>
      </c>
    </row>
    <row r="423" spans="1:1" x14ac:dyDescent="0.2">
      <c r="A423" s="1135" t="str">
        <f>CONCATENATE(Programme!C424,Programme!D424,Programme!E424,Programme!F424,Programme!G424,Programme!H424,Programme!I424)</f>
        <v>&lt;valeur&gt;0&lt;/valeur&gt;</v>
      </c>
    </row>
    <row r="424" spans="1:1" x14ac:dyDescent="0.2">
      <c r="A424" s="1135" t="str">
        <f>CONCATENATE(Programme!C425,Programme!D425,Programme!E425,Programme!F425,Programme!G425,Programme!H425,Programme!I425)</f>
        <v>&lt;/ValeurCellule&gt;</v>
      </c>
    </row>
    <row r="425" spans="1:1" x14ac:dyDescent="0.2">
      <c r="A425" s="1135" t="str">
        <f>CONCATENATE(Programme!C426,Programme!D426,Programme!E426,Programme!F426,Programme!G426,Programme!H426,Programme!I426)</f>
        <v>&lt;ValeurCellule&gt;</v>
      </c>
    </row>
    <row r="426" spans="1:1" x14ac:dyDescent="0.2">
      <c r="A426" s="1135" t="str">
        <f>CONCATENATE(Programme!C427,Programme!D427,Programme!E427,Programme!F427,Programme!G427,Programme!H427,Programme!I427)</f>
        <v>&lt;cellule&gt;</v>
      </c>
    </row>
    <row r="427" spans="1:1" x14ac:dyDescent="0.2">
      <c r="A427" s="1135" t="str">
        <f>CONCATENATE(Programme!C428,Programme!D428,Programme!E428,Programme!F428,Programme!G428,Programme!H428,Programme!I428)</f>
        <v>&lt;codeEdi&gt;254&lt;/codeEdi&gt;</v>
      </c>
    </row>
    <row r="428" spans="1:1" x14ac:dyDescent="0.2">
      <c r="A428" s="1135" t="str">
        <f>CONCATENATE(Programme!C429,Programme!D429,Programme!E429,Programme!F429,Programme!G429,Programme!H429,Programme!I429)</f>
        <v>&lt;/cellule&gt;</v>
      </c>
    </row>
    <row r="429" spans="1:1" x14ac:dyDescent="0.2">
      <c r="A429" s="1135" t="str">
        <f>CONCATENATE(Programme!C430,Programme!D430,Programme!E430,Programme!F430,Programme!G430,Programme!H430,Programme!I430)</f>
        <v>&lt;valeur&gt;0&lt;/valeur&gt;</v>
      </c>
    </row>
    <row r="430" spans="1:1" x14ac:dyDescent="0.2">
      <c r="A430" s="1135" t="str">
        <f>CONCATENATE(Programme!C431,Programme!D431,Programme!E431,Programme!F431,Programme!G431,Programme!H431,Programme!I431)</f>
        <v>&lt;/ValeurCellule&gt;</v>
      </c>
    </row>
    <row r="431" spans="1:1" x14ac:dyDescent="0.2">
      <c r="A431" s="1135" t="str">
        <f>CONCATENATE(Programme!C432,Programme!D432,Programme!E432,Programme!F432,Programme!G432,Programme!H432,Programme!I432)</f>
        <v>&lt;ValeurCellule&gt;</v>
      </c>
    </row>
    <row r="432" spans="1:1" x14ac:dyDescent="0.2">
      <c r="A432" s="1135" t="str">
        <f>CONCATENATE(Programme!C433,Programme!D433,Programme!E433,Programme!F433,Programme!G433,Programme!H433,Programme!I433)</f>
        <v>&lt;cellule&gt;</v>
      </c>
    </row>
    <row r="433" spans="1:1" x14ac:dyDescent="0.2">
      <c r="A433" s="1135" t="str">
        <f>CONCATENATE(Programme!C434,Programme!D434,Programme!E434,Programme!F434,Programme!G434,Programme!H434,Programme!I434)</f>
        <v>&lt;codeEdi&gt;255&lt;/codeEdi&gt;</v>
      </c>
    </row>
    <row r="434" spans="1:1" x14ac:dyDescent="0.2">
      <c r="A434" s="1135" t="str">
        <f>CONCATENATE(Programme!C435,Programme!D435,Programme!E435,Programme!F435,Programme!G435,Programme!H435,Programme!I435)</f>
        <v>&lt;/cellule&gt;</v>
      </c>
    </row>
    <row r="435" spans="1:1" x14ac:dyDescent="0.2">
      <c r="A435" s="1135" t="str">
        <f>CONCATENATE(Programme!C436,Programme!D436,Programme!E436,Programme!F436,Programme!G436,Programme!H436,Programme!I436)</f>
        <v>&lt;valeur&gt;0&lt;/valeur&gt;</v>
      </c>
    </row>
    <row r="436" spans="1:1" x14ac:dyDescent="0.2">
      <c r="A436" s="1135" t="str">
        <f>CONCATENATE(Programme!C437,Programme!D437,Programme!E437,Programme!F437,Programme!G437,Programme!H437,Programme!I437)</f>
        <v>&lt;/ValeurCellule&gt;</v>
      </c>
    </row>
    <row r="437" spans="1:1" x14ac:dyDescent="0.2">
      <c r="A437" s="1135" t="str">
        <f>CONCATENATE(Programme!C438,Programme!D438,Programme!E438,Programme!F438,Programme!G438,Programme!H438,Programme!I438)</f>
        <v>&lt;ValeurCellule&gt;</v>
      </c>
    </row>
    <row r="438" spans="1:1" x14ac:dyDescent="0.2">
      <c r="A438" s="1135" t="str">
        <f>CONCATENATE(Programme!C439,Programme!D439,Programme!E439,Programme!F439,Programme!G439,Programme!H439,Programme!I439)</f>
        <v>&lt;cellule&gt;</v>
      </c>
    </row>
    <row r="439" spans="1:1" x14ac:dyDescent="0.2">
      <c r="A439" s="1135" t="str">
        <f>CONCATENATE(Programme!C440,Programme!D440,Programme!E440,Programme!F440,Programme!G440,Programme!H440,Programme!I440)</f>
        <v>&lt;codeEdi&gt;256&lt;/codeEdi&gt;</v>
      </c>
    </row>
    <row r="440" spans="1:1" x14ac:dyDescent="0.2">
      <c r="A440" s="1135" t="str">
        <f>CONCATENATE(Programme!C441,Programme!D441,Programme!E441,Programme!F441,Programme!G441,Programme!H441,Programme!I441)</f>
        <v>&lt;/cellule&gt;</v>
      </c>
    </row>
    <row r="441" spans="1:1" x14ac:dyDescent="0.2">
      <c r="A441" s="1135" t="str">
        <f>CONCATENATE(Programme!C442,Programme!D442,Programme!E442,Programme!F442,Programme!G442,Programme!H442,Programme!I442)</f>
        <v>&lt;valeur&gt;0&lt;/valeur&gt;</v>
      </c>
    </row>
    <row r="442" spans="1:1" x14ac:dyDescent="0.2">
      <c r="A442" s="1135" t="str">
        <f>CONCATENATE(Programme!C443,Programme!D443,Programme!E443,Programme!F443,Programme!G443,Programme!H443,Programme!I443)</f>
        <v>&lt;/ValeurCellule&gt;</v>
      </c>
    </row>
    <row r="443" spans="1:1" x14ac:dyDescent="0.2">
      <c r="A443" s="1135" t="str">
        <f>CONCATENATE(Programme!C444,Programme!D444,Programme!E444,Programme!F444,Programme!G444,Programme!H444,Programme!I444)</f>
        <v>&lt;ValeurCellule&gt;</v>
      </c>
    </row>
    <row r="444" spans="1:1" x14ac:dyDescent="0.2">
      <c r="A444" s="1135" t="str">
        <f>CONCATENATE(Programme!C445,Programme!D445,Programme!E445,Programme!F445,Programme!G445,Programme!H445,Programme!I445)</f>
        <v>&lt;cellule&gt;</v>
      </c>
    </row>
    <row r="445" spans="1:1" x14ac:dyDescent="0.2">
      <c r="A445" s="1135" t="str">
        <f>CONCATENATE(Programme!C446,Programme!D446,Programme!E446,Programme!F446,Programme!G446,Programme!H446,Programme!I446)</f>
        <v>&lt;codeEdi&gt;257&lt;/codeEdi&gt;</v>
      </c>
    </row>
    <row r="446" spans="1:1" x14ac:dyDescent="0.2">
      <c r="A446" s="1135" t="str">
        <f>CONCATENATE(Programme!C447,Programme!D447,Programme!E447,Programme!F447,Programme!G447,Programme!H447,Programme!I447)</f>
        <v>&lt;/cellule&gt;</v>
      </c>
    </row>
    <row r="447" spans="1:1" x14ac:dyDescent="0.2">
      <c r="A447" s="1135" t="str">
        <f>CONCATENATE(Programme!C448,Programme!D448,Programme!E448,Programme!F448,Programme!G448,Programme!H448,Programme!I448)</f>
        <v>&lt;valeur&gt;0&lt;/valeur&gt;</v>
      </c>
    </row>
    <row r="448" spans="1:1" x14ac:dyDescent="0.2">
      <c r="A448" s="1135" t="str">
        <f>CONCATENATE(Programme!C449,Programme!D449,Programme!E449,Programme!F449,Programme!G449,Programme!H449,Programme!I449)</f>
        <v>&lt;/ValeurCellule&gt;</v>
      </c>
    </row>
    <row r="449" spans="1:1" x14ac:dyDescent="0.2">
      <c r="A449" s="1135" t="str">
        <f>CONCATENATE(Programme!C450,Programme!D450,Programme!E450,Programme!F450,Programme!G450,Programme!H450,Programme!I450)</f>
        <v>&lt;ValeurCellule&gt;</v>
      </c>
    </row>
    <row r="450" spans="1:1" x14ac:dyDescent="0.2">
      <c r="A450" s="1135" t="str">
        <f>CONCATENATE(Programme!C451,Programme!D451,Programme!E451,Programme!F451,Programme!G451,Programme!H451,Programme!I451)</f>
        <v>&lt;cellule&gt;</v>
      </c>
    </row>
    <row r="451" spans="1:1" x14ac:dyDescent="0.2">
      <c r="A451" s="1135" t="str">
        <f>CONCATENATE(Programme!C452,Programme!D452,Programme!E452,Programme!F452,Programme!G452,Programme!H452,Programme!I452)</f>
        <v>&lt;codeEdi&gt;512&lt;/codeEdi&gt;</v>
      </c>
    </row>
    <row r="452" spans="1:1" x14ac:dyDescent="0.2">
      <c r="A452" s="1135" t="str">
        <f>CONCATENATE(Programme!C453,Programme!D453,Programme!E453,Programme!F453,Programme!G453,Programme!H453,Programme!I453)</f>
        <v>&lt;/cellule&gt;</v>
      </c>
    </row>
    <row r="453" spans="1:1" x14ac:dyDescent="0.2">
      <c r="A453" s="1135" t="str">
        <f>CONCATENATE(Programme!C454,Programme!D454,Programme!E454,Programme!F454,Programme!G454,Programme!H454,Programme!I454)</f>
        <v>&lt;valeur&gt;0&lt;/valeur&gt;</v>
      </c>
    </row>
    <row r="454" spans="1:1" x14ac:dyDescent="0.2">
      <c r="A454" s="1135" t="str">
        <f>CONCATENATE(Programme!C455,Programme!D455,Programme!E455,Programme!F455,Programme!G455,Programme!H455,Programme!I455)</f>
        <v>&lt;/ValeurCellule&gt;</v>
      </c>
    </row>
    <row r="455" spans="1:1" x14ac:dyDescent="0.2">
      <c r="A455" s="1135" t="str">
        <f>CONCATENATE(Programme!C456,Programme!D456,Programme!E456,Programme!F456,Programme!G456,Programme!H456,Programme!I456)</f>
        <v>&lt;ValeurCellule&gt;</v>
      </c>
    </row>
    <row r="456" spans="1:1" x14ac:dyDescent="0.2">
      <c r="A456" s="1135" t="str">
        <f>CONCATENATE(Programme!C457,Programme!D457,Programme!E457,Programme!F457,Programme!G457,Programme!H457,Programme!I457)</f>
        <v>&lt;cellule&gt;</v>
      </c>
    </row>
    <row r="457" spans="1:1" x14ac:dyDescent="0.2">
      <c r="A457" s="1135" t="str">
        <f>CONCATENATE(Programme!C458,Programme!D458,Programme!E458,Programme!F458,Programme!G458,Programme!H458,Programme!I458)</f>
        <v>&lt;codeEdi&gt;258&lt;/codeEdi&gt;</v>
      </c>
    </row>
    <row r="458" spans="1:1" x14ac:dyDescent="0.2">
      <c r="A458" s="1135" t="str">
        <f>CONCATENATE(Programme!C459,Programme!D459,Programme!E459,Programme!F459,Programme!G459,Programme!H459,Programme!I459)</f>
        <v>&lt;/cellule&gt;</v>
      </c>
    </row>
    <row r="459" spans="1:1" x14ac:dyDescent="0.2">
      <c r="A459" s="1135" t="str">
        <f>CONCATENATE(Programme!C460,Programme!D460,Programme!E460,Programme!F460,Programme!G460,Programme!H460,Programme!I460)</f>
        <v>&lt;valeur&gt;0&lt;/valeur&gt;</v>
      </c>
    </row>
    <row r="460" spans="1:1" x14ac:dyDescent="0.2">
      <c r="A460" s="1135" t="str">
        <f>CONCATENATE(Programme!C461,Programme!D461,Programme!E461,Programme!F461,Programme!G461,Programme!H461,Programme!I461)</f>
        <v>&lt;/ValeurCellule&gt;</v>
      </c>
    </row>
    <row r="461" spans="1:1" x14ac:dyDescent="0.2">
      <c r="A461" s="1135" t="str">
        <f>CONCATENATE(Programme!C462,Programme!D462,Programme!E462,Programme!F462,Programme!G462,Programme!H462,Programme!I462)</f>
        <v>&lt;ValeurCellule&gt;</v>
      </c>
    </row>
    <row r="462" spans="1:1" x14ac:dyDescent="0.2">
      <c r="A462" s="1135" t="str">
        <f>CONCATENATE(Programme!C463,Programme!D463,Programme!E463,Programme!F463,Programme!G463,Programme!H463,Programme!I463)</f>
        <v>&lt;cellule&gt;</v>
      </c>
    </row>
    <row r="463" spans="1:1" x14ac:dyDescent="0.2">
      <c r="A463" s="1135" t="str">
        <f>CONCATENATE(Programme!C464,Programme!D464,Programme!E464,Programme!F464,Programme!G464,Programme!H464,Programme!I464)</f>
        <v>&lt;codeEdi&gt;259&lt;/codeEdi&gt;</v>
      </c>
    </row>
    <row r="464" spans="1:1" x14ac:dyDescent="0.2">
      <c r="A464" s="1135" t="str">
        <f>CONCATENATE(Programme!C465,Programme!D465,Programme!E465,Programme!F465,Programme!G465,Programme!H465,Programme!I465)</f>
        <v>&lt;/cellule&gt;</v>
      </c>
    </row>
    <row r="465" spans="1:1" x14ac:dyDescent="0.2">
      <c r="A465" s="1135" t="str">
        <f>CONCATENATE(Programme!C466,Programme!D466,Programme!E466,Programme!F466,Programme!G466,Programme!H466,Programme!I466)</f>
        <v>&lt;valeur&gt;0&lt;/valeur&gt;</v>
      </c>
    </row>
    <row r="466" spans="1:1" x14ac:dyDescent="0.2">
      <c r="A466" s="1135" t="str">
        <f>CONCATENATE(Programme!C467,Programme!D467,Programme!E467,Programme!F467,Programme!G467,Programme!H467,Programme!I467)</f>
        <v>&lt;/ValeurCellule&gt;</v>
      </c>
    </row>
    <row r="467" spans="1:1" x14ac:dyDescent="0.2">
      <c r="A467" s="1135" t="str">
        <f>CONCATENATE(Programme!C468,Programme!D468,Programme!E468,Programme!F468,Programme!G468,Programme!H468,Programme!I468)</f>
        <v>&lt;ValeurCellule&gt;</v>
      </c>
    </row>
    <row r="468" spans="1:1" x14ac:dyDescent="0.2">
      <c r="A468" s="1135" t="str">
        <f>CONCATENATE(Programme!C469,Programme!D469,Programme!E469,Programme!F469,Programme!G469,Programme!H469,Programme!I469)</f>
        <v>&lt;cellule&gt;</v>
      </c>
    </row>
    <row r="469" spans="1:1" x14ac:dyDescent="0.2">
      <c r="A469" s="1135" t="str">
        <f>CONCATENATE(Programme!C470,Programme!D470,Programme!E470,Programme!F470,Programme!G470,Programme!H470,Programme!I470)</f>
        <v>&lt;codeEdi&gt;260&lt;/codeEdi&gt;</v>
      </c>
    </row>
    <row r="470" spans="1:1" x14ac:dyDescent="0.2">
      <c r="A470" s="1135" t="str">
        <f>CONCATENATE(Programme!C471,Programme!D471,Programme!E471,Programme!F471,Programme!G471,Programme!H471,Programme!I471)</f>
        <v>&lt;/cellule&gt;</v>
      </c>
    </row>
    <row r="471" spans="1:1" x14ac:dyDescent="0.2">
      <c r="A471" s="1135" t="str">
        <f>CONCATENATE(Programme!C472,Programme!D472,Programme!E472,Programme!F472,Programme!G472,Programme!H472,Programme!I472)</f>
        <v>&lt;valeur&gt;0&lt;/valeur&gt;</v>
      </c>
    </row>
    <row r="472" spans="1:1" x14ac:dyDescent="0.2">
      <c r="A472" s="1135" t="str">
        <f>CONCATENATE(Programme!C473,Programme!D473,Programme!E473,Programme!F473,Programme!G473,Programme!H473,Programme!I473)</f>
        <v>&lt;/ValeurCellule&gt;</v>
      </c>
    </row>
    <row r="473" spans="1:1" x14ac:dyDescent="0.2">
      <c r="A473" s="1135" t="str">
        <f>CONCATENATE(Programme!C474,Programme!D474,Programme!E474,Programme!F474,Programme!G474,Programme!H474,Programme!I474)</f>
        <v>&lt;ValeurCellule&gt;</v>
      </c>
    </row>
    <row r="474" spans="1:1" x14ac:dyDescent="0.2">
      <c r="A474" s="1135" t="str">
        <f>CONCATENATE(Programme!C475,Programme!D475,Programme!E475,Programme!F475,Programme!G475,Programme!H475,Programme!I475)</f>
        <v>&lt;cellule&gt;</v>
      </c>
    </row>
    <row r="475" spans="1:1" x14ac:dyDescent="0.2">
      <c r="A475" s="1135" t="str">
        <f>CONCATENATE(Programme!C476,Programme!D476,Programme!E476,Programme!F476,Programme!G476,Programme!H476,Programme!I476)</f>
        <v>&lt;codeEdi&gt;261&lt;/codeEdi&gt;</v>
      </c>
    </row>
    <row r="476" spans="1:1" x14ac:dyDescent="0.2">
      <c r="A476" s="1135" t="str">
        <f>CONCATENATE(Programme!C477,Programme!D477,Programme!E477,Programme!F477,Programme!G477,Programme!H477,Programme!I477)</f>
        <v>&lt;/cellule&gt;</v>
      </c>
    </row>
    <row r="477" spans="1:1" x14ac:dyDescent="0.2">
      <c r="A477" s="1135" t="str">
        <f>CONCATENATE(Programme!C478,Programme!D478,Programme!E478,Programme!F478,Programme!G478,Programme!H478,Programme!I478)</f>
        <v>&lt;valeur&gt;0&lt;/valeur&gt;</v>
      </c>
    </row>
    <row r="478" spans="1:1" x14ac:dyDescent="0.2">
      <c r="A478" s="1135" t="str">
        <f>CONCATENATE(Programme!C479,Programme!D479,Programme!E479,Programme!F479,Programme!G479,Programme!H479,Programme!I479)</f>
        <v>&lt;/ValeurCellule&gt;</v>
      </c>
    </row>
    <row r="479" spans="1:1" x14ac:dyDescent="0.2">
      <c r="A479" s="1135" t="str">
        <f>CONCATENATE(Programme!C480,Programme!D480,Programme!E480,Programme!F480,Programme!G480,Programme!H480,Programme!I480)</f>
        <v>&lt;ValeurCellule&gt;</v>
      </c>
    </row>
    <row r="480" spans="1:1" x14ac:dyDescent="0.2">
      <c r="A480" s="1135" t="str">
        <f>CONCATENATE(Programme!C481,Programme!D481,Programme!E481,Programme!F481,Programme!G481,Programme!H481,Programme!I481)</f>
        <v>&lt;cellule&gt;</v>
      </c>
    </row>
    <row r="481" spans="1:1" x14ac:dyDescent="0.2">
      <c r="A481" s="1135" t="str">
        <f>CONCATENATE(Programme!C482,Programme!D482,Programme!E482,Programme!F482,Programme!G482,Programme!H482,Programme!I482)</f>
        <v>&lt;codeEdi&gt;513&lt;/codeEdi&gt;</v>
      </c>
    </row>
    <row r="482" spans="1:1" x14ac:dyDescent="0.2">
      <c r="A482" s="1135" t="str">
        <f>CONCATENATE(Programme!C483,Programme!D483,Programme!E483,Programme!F483,Programme!G483,Programme!H483,Programme!I483)</f>
        <v>&lt;/cellule&gt;</v>
      </c>
    </row>
    <row r="483" spans="1:1" x14ac:dyDescent="0.2">
      <c r="A483" s="1135" t="str">
        <f>CONCATENATE(Programme!C484,Programme!D484,Programme!E484,Programme!F484,Programme!G484,Programme!H484,Programme!I484)</f>
        <v>&lt;valeur&gt;0&lt;/valeur&gt;</v>
      </c>
    </row>
    <row r="484" spans="1:1" x14ac:dyDescent="0.2">
      <c r="A484" s="1135" t="str">
        <f>CONCATENATE(Programme!C485,Programme!D485,Programme!E485,Programme!F485,Programme!G485,Programme!H485,Programme!I485)</f>
        <v>&lt;/ValeurCellule&gt;</v>
      </c>
    </row>
    <row r="485" spans="1:1" x14ac:dyDescent="0.2">
      <c r="A485" s="1135" t="str">
        <f>CONCATENATE(Programme!C486,Programme!D486,Programme!E486,Programme!F486,Programme!G486,Programme!H486,Programme!I486)</f>
        <v>&lt;ValeurCellule&gt;</v>
      </c>
    </row>
    <row r="486" spans="1:1" x14ac:dyDescent="0.2">
      <c r="A486" s="1135" t="str">
        <f>CONCATENATE(Programme!C487,Programme!D487,Programme!E487,Programme!F487,Programme!G487,Programme!H487,Programme!I487)</f>
        <v>&lt;cellule&gt;</v>
      </c>
    </row>
    <row r="487" spans="1:1" x14ac:dyDescent="0.2">
      <c r="A487" s="1135" t="str">
        <f>CONCATENATE(Programme!C488,Programme!D488,Programme!E488,Programme!F488,Programme!G488,Programme!H488,Programme!I488)</f>
        <v>&lt;codeEdi&gt;262&lt;/codeEdi&gt;</v>
      </c>
    </row>
    <row r="488" spans="1:1" x14ac:dyDescent="0.2">
      <c r="A488" s="1135" t="str">
        <f>CONCATENATE(Programme!C489,Programme!D489,Programme!E489,Programme!F489,Programme!G489,Programme!H489,Programme!I489)</f>
        <v>&lt;/cellule&gt;</v>
      </c>
    </row>
    <row r="489" spans="1:1" x14ac:dyDescent="0.2">
      <c r="A489" s="1135" t="str">
        <f>CONCATENATE(Programme!C490,Programme!D490,Programme!E490,Programme!F490,Programme!G490,Programme!H490,Programme!I490)</f>
        <v>&lt;valeur&gt;0&lt;/valeur&gt;</v>
      </c>
    </row>
    <row r="490" spans="1:1" x14ac:dyDescent="0.2">
      <c r="A490" s="1135" t="str">
        <f>CONCATENATE(Programme!C491,Programme!D491,Programme!E491,Programme!F491,Programme!G491,Programme!H491,Programme!I491)</f>
        <v>&lt;/ValeurCellule&gt;</v>
      </c>
    </row>
    <row r="491" spans="1:1" x14ac:dyDescent="0.2">
      <c r="A491" s="1135" t="str">
        <f>CONCATENATE(Programme!C492,Programme!D492,Programme!E492,Programme!F492,Programme!G492,Programme!H492,Programme!I492)</f>
        <v>&lt;ValeurCellule&gt;</v>
      </c>
    </row>
    <row r="492" spans="1:1" x14ac:dyDescent="0.2">
      <c r="A492" s="1135" t="str">
        <f>CONCATENATE(Programme!C493,Programme!D493,Programme!E493,Programme!F493,Programme!G493,Programme!H493,Programme!I493)</f>
        <v>&lt;cellule&gt;</v>
      </c>
    </row>
    <row r="493" spans="1:1" x14ac:dyDescent="0.2">
      <c r="A493" s="1135" t="str">
        <f>CONCATENATE(Programme!C494,Programme!D494,Programme!E494,Programme!F494,Programme!G494,Programme!H494,Programme!I494)</f>
        <v>&lt;codeEdi&gt;263&lt;/codeEdi&gt;</v>
      </c>
    </row>
    <row r="494" spans="1:1" x14ac:dyDescent="0.2">
      <c r="A494" s="1135" t="str">
        <f>CONCATENATE(Programme!C495,Programme!D495,Programme!E495,Programme!F495,Programme!G495,Programme!H495,Programme!I495)</f>
        <v>&lt;/cellule&gt;</v>
      </c>
    </row>
    <row r="495" spans="1:1" x14ac:dyDescent="0.2">
      <c r="A495" s="1135" t="str">
        <f>CONCATENATE(Programme!C496,Programme!D496,Programme!E496,Programme!F496,Programme!G496,Programme!H496,Programme!I496)</f>
        <v>&lt;valeur&gt;0&lt;/valeur&gt;</v>
      </c>
    </row>
    <row r="496" spans="1:1" x14ac:dyDescent="0.2">
      <c r="A496" s="1135" t="str">
        <f>CONCATENATE(Programme!C497,Programme!D497,Programme!E497,Programme!F497,Programme!G497,Programme!H497,Programme!I497)</f>
        <v>&lt;/ValeurCellule&gt;</v>
      </c>
    </row>
    <row r="497" spans="1:1" x14ac:dyDescent="0.2">
      <c r="A497" s="1135" t="str">
        <f>CONCATENATE(Programme!C498,Programme!D498,Programme!E498,Programme!F498,Programme!G498,Programme!H498,Programme!I498)</f>
        <v>&lt;ValeurCellule&gt;</v>
      </c>
    </row>
    <row r="498" spans="1:1" x14ac:dyDescent="0.2">
      <c r="A498" s="1135" t="str">
        <f>CONCATENATE(Programme!C499,Programme!D499,Programme!E499,Programme!F499,Programme!G499,Programme!H499,Programme!I499)</f>
        <v>&lt;cellule&gt;</v>
      </c>
    </row>
    <row r="499" spans="1:1" x14ac:dyDescent="0.2">
      <c r="A499" s="1135" t="str">
        <f>CONCATENATE(Programme!C500,Programme!D500,Programme!E500,Programme!F500,Programme!G500,Programme!H500,Programme!I500)</f>
        <v>&lt;codeEdi&gt;264&lt;/codeEdi&gt;</v>
      </c>
    </row>
    <row r="500" spans="1:1" x14ac:dyDescent="0.2">
      <c r="A500" s="1135" t="str">
        <f>CONCATENATE(Programme!C501,Programme!D501,Programme!E501,Programme!F501,Programme!G501,Programme!H501,Programme!I501)</f>
        <v>&lt;/cellule&gt;</v>
      </c>
    </row>
    <row r="501" spans="1:1" x14ac:dyDescent="0.2">
      <c r="A501" s="1135" t="str">
        <f>CONCATENATE(Programme!C502,Programme!D502,Programme!E502,Programme!F502,Programme!G502,Programme!H502,Programme!I502)</f>
        <v>&lt;valeur&gt;0&lt;/valeur&gt;</v>
      </c>
    </row>
    <row r="502" spans="1:1" x14ac:dyDescent="0.2">
      <c r="A502" s="1135" t="str">
        <f>CONCATENATE(Programme!C503,Programme!D503,Programme!E503,Programme!F503,Programme!G503,Programme!H503,Programme!I503)</f>
        <v>&lt;/ValeurCellule&gt;</v>
      </c>
    </row>
    <row r="503" spans="1:1" x14ac:dyDescent="0.2">
      <c r="A503" s="1135" t="str">
        <f>CONCATENATE(Programme!C504,Programme!D504,Programme!E504,Programme!F504,Programme!G504,Programme!H504,Programme!I504)</f>
        <v>&lt;ValeurCellule&gt;</v>
      </c>
    </row>
    <row r="504" spans="1:1" x14ac:dyDescent="0.2">
      <c r="A504" s="1135" t="str">
        <f>CONCATENATE(Programme!C505,Programme!D505,Programme!E505,Programme!F505,Programme!G505,Programme!H505,Programme!I505)</f>
        <v>&lt;cellule&gt;</v>
      </c>
    </row>
    <row r="505" spans="1:1" x14ac:dyDescent="0.2">
      <c r="A505" s="1135" t="str">
        <f>CONCATENATE(Programme!C506,Programme!D506,Programme!E506,Programme!F506,Programme!G506,Programme!H506,Programme!I506)</f>
        <v>&lt;codeEdi&gt;265&lt;/codeEdi&gt;</v>
      </c>
    </row>
    <row r="506" spans="1:1" x14ac:dyDescent="0.2">
      <c r="A506" s="1135" t="str">
        <f>CONCATENATE(Programme!C507,Programme!D507,Programme!E507,Programme!F507,Programme!G507,Programme!H507,Programme!I507)</f>
        <v>&lt;/cellule&gt;</v>
      </c>
    </row>
    <row r="507" spans="1:1" x14ac:dyDescent="0.2">
      <c r="A507" s="1135" t="str">
        <f>CONCATENATE(Programme!C508,Programme!D508,Programme!E508,Programme!F508,Programme!G508,Programme!H508,Programme!I508)</f>
        <v>&lt;valeur&gt;0&lt;/valeur&gt;</v>
      </c>
    </row>
    <row r="508" spans="1:1" x14ac:dyDescent="0.2">
      <c r="A508" s="1135" t="str">
        <f>CONCATENATE(Programme!C509,Programme!D509,Programme!E509,Programme!F509,Programme!G509,Programme!H509,Programme!I509)</f>
        <v>&lt;/ValeurCellule&gt;</v>
      </c>
    </row>
    <row r="509" spans="1:1" x14ac:dyDescent="0.2">
      <c r="A509" s="1135" t="str">
        <f>CONCATENATE(Programme!C510,Programme!D510,Programme!E510,Programme!F510,Programme!G510,Programme!H510,Programme!I510)</f>
        <v>&lt;ValeurCellule&gt;</v>
      </c>
    </row>
    <row r="510" spans="1:1" x14ac:dyDescent="0.2">
      <c r="A510" s="1135" t="str">
        <f>CONCATENATE(Programme!C511,Programme!D511,Programme!E511,Programme!F511,Programme!G511,Programme!H511,Programme!I511)</f>
        <v>&lt;cellule&gt;</v>
      </c>
    </row>
    <row r="511" spans="1:1" x14ac:dyDescent="0.2">
      <c r="A511" s="1135" t="str">
        <f>CONCATENATE(Programme!C512,Programme!D512,Programme!E512,Programme!F512,Programme!G512,Programme!H512,Programme!I512)</f>
        <v>&lt;codeEdi&gt;514&lt;/codeEdi&gt;</v>
      </c>
    </row>
    <row r="512" spans="1:1" x14ac:dyDescent="0.2">
      <c r="A512" s="1135" t="str">
        <f>CONCATENATE(Programme!C513,Programme!D513,Programme!E513,Programme!F513,Programme!G513,Programme!H513,Programme!I513)</f>
        <v>&lt;/cellule&gt;</v>
      </c>
    </row>
    <row r="513" spans="1:1" x14ac:dyDescent="0.2">
      <c r="A513" s="1135" t="str">
        <f>CONCATENATE(Programme!C514,Programme!D514,Programme!E514,Programme!F514,Programme!G514,Programme!H514,Programme!I514)</f>
        <v>&lt;valeur&gt;0&lt;/valeur&gt;</v>
      </c>
    </row>
    <row r="514" spans="1:1" x14ac:dyDescent="0.2">
      <c r="A514" s="1135" t="str">
        <f>CONCATENATE(Programme!C515,Programme!D515,Programme!E515,Programme!F515,Programme!G515,Programme!H515,Programme!I515)</f>
        <v>&lt;/ValeurCellule&gt;</v>
      </c>
    </row>
    <row r="515" spans="1:1" x14ac:dyDescent="0.2">
      <c r="A515" s="1135" t="str">
        <f>CONCATENATE(Programme!C516,Programme!D516,Programme!E516,Programme!F516,Programme!G516,Programme!H516,Programme!I516)</f>
        <v>&lt;ValeurCellule&gt;</v>
      </c>
    </row>
    <row r="516" spans="1:1" x14ac:dyDescent="0.2">
      <c r="A516" s="1135" t="str">
        <f>CONCATENATE(Programme!C517,Programme!D517,Programme!E517,Programme!F517,Programme!G517,Programme!H517,Programme!I517)</f>
        <v>&lt;cellule&gt;</v>
      </c>
    </row>
    <row r="517" spans="1:1" x14ac:dyDescent="0.2">
      <c r="A517" s="1135" t="str">
        <f>CONCATENATE(Programme!C518,Programme!D518,Programme!E518,Programme!F518,Programme!G518,Programme!H518,Programme!I518)</f>
        <v>&lt;codeEdi&gt;266&lt;/codeEdi&gt;</v>
      </c>
    </row>
    <row r="518" spans="1:1" x14ac:dyDescent="0.2">
      <c r="A518" s="1135" t="str">
        <f>CONCATENATE(Programme!C519,Programme!D519,Programme!E519,Programme!F519,Programme!G519,Programme!H519,Programme!I519)</f>
        <v>&lt;/cellule&gt;</v>
      </c>
    </row>
    <row r="519" spans="1:1" x14ac:dyDescent="0.2">
      <c r="A519" s="1135" t="str">
        <f>CONCATENATE(Programme!C520,Programme!D520,Programme!E520,Programme!F520,Programme!G520,Programme!H520,Programme!I520)</f>
        <v>&lt;valeur&gt;0&lt;/valeur&gt;</v>
      </c>
    </row>
    <row r="520" spans="1:1" x14ac:dyDescent="0.2">
      <c r="A520" s="1135" t="str">
        <f>CONCATENATE(Programme!C521,Programme!D521,Programme!E521,Programme!F521,Programme!G521,Programme!H521,Programme!I521)</f>
        <v>&lt;/ValeurCellule&gt;</v>
      </c>
    </row>
    <row r="521" spans="1:1" x14ac:dyDescent="0.2">
      <c r="A521" s="1135" t="str">
        <f>CONCATENATE(Programme!C522,Programme!D522,Programme!E522,Programme!F522,Programme!G522,Programme!H522,Programme!I522)</f>
        <v>&lt;ValeurCellule&gt;</v>
      </c>
    </row>
    <row r="522" spans="1:1" x14ac:dyDescent="0.2">
      <c r="A522" s="1135" t="str">
        <f>CONCATENATE(Programme!C523,Programme!D523,Programme!E523,Programme!F523,Programme!G523,Programme!H523,Programme!I523)</f>
        <v>&lt;cellule&gt;</v>
      </c>
    </row>
    <row r="523" spans="1:1" x14ac:dyDescent="0.2">
      <c r="A523" s="1135" t="str">
        <f>CONCATENATE(Programme!C524,Programme!D524,Programme!E524,Programme!F524,Programme!G524,Programme!H524,Programme!I524)</f>
        <v>&lt;codeEdi&gt;267&lt;/codeEdi&gt;</v>
      </c>
    </row>
    <row r="524" spans="1:1" x14ac:dyDescent="0.2">
      <c r="A524" s="1135" t="str">
        <f>CONCATENATE(Programme!C525,Programme!D525,Programme!E525,Programme!F525,Programme!G525,Programme!H525,Programme!I525)</f>
        <v>&lt;/cellule&gt;</v>
      </c>
    </row>
    <row r="525" spans="1:1" x14ac:dyDescent="0.2">
      <c r="A525" s="1135" t="str">
        <f>CONCATENATE(Programme!C526,Programme!D526,Programme!E526,Programme!F526,Programme!G526,Programme!H526,Programme!I526)</f>
        <v>&lt;valeur&gt;0&lt;/valeur&gt;</v>
      </c>
    </row>
    <row r="526" spans="1:1" x14ac:dyDescent="0.2">
      <c r="A526" s="1135" t="str">
        <f>CONCATENATE(Programme!C527,Programme!D527,Programme!E527,Programme!F527,Programme!G527,Programme!H527,Programme!I527)</f>
        <v>&lt;/ValeurCellule&gt;</v>
      </c>
    </row>
    <row r="527" spans="1:1" x14ac:dyDescent="0.2">
      <c r="A527" s="1135" t="str">
        <f>CONCATENATE(Programme!C528,Programme!D528,Programme!E528,Programme!F528,Programme!G528,Programme!H528,Programme!I528)</f>
        <v>&lt;ValeurCellule&gt;</v>
      </c>
    </row>
    <row r="528" spans="1:1" x14ac:dyDescent="0.2">
      <c r="A528" s="1135" t="str">
        <f>CONCATENATE(Programme!C529,Programme!D529,Programme!E529,Programme!F529,Programme!G529,Programme!H529,Programme!I529)</f>
        <v>&lt;cellule&gt;</v>
      </c>
    </row>
    <row r="529" spans="1:1" x14ac:dyDescent="0.2">
      <c r="A529" s="1135" t="str">
        <f>CONCATENATE(Programme!C530,Programme!D530,Programme!E530,Programme!F530,Programme!G530,Programme!H530,Programme!I530)</f>
        <v>&lt;codeEdi&gt;268&lt;/codeEdi&gt;</v>
      </c>
    </row>
    <row r="530" spans="1:1" x14ac:dyDescent="0.2">
      <c r="A530" s="1135" t="str">
        <f>CONCATENATE(Programme!C531,Programme!D531,Programme!E531,Programme!F531,Programme!G531,Programme!H531,Programme!I531)</f>
        <v>&lt;/cellule&gt;</v>
      </c>
    </row>
    <row r="531" spans="1:1" x14ac:dyDescent="0.2">
      <c r="A531" s="1135" t="str">
        <f>CONCATENATE(Programme!C532,Programme!D532,Programme!E532,Programme!F532,Programme!G532,Programme!H532,Programme!I532)</f>
        <v>&lt;valeur&gt;0&lt;/valeur&gt;</v>
      </c>
    </row>
    <row r="532" spans="1:1" x14ac:dyDescent="0.2">
      <c r="A532" s="1135" t="str">
        <f>CONCATENATE(Programme!C533,Programme!D533,Programme!E533,Programme!F533,Programme!G533,Programme!H533,Programme!I533)</f>
        <v>&lt;/ValeurCellule&gt;</v>
      </c>
    </row>
    <row r="533" spans="1:1" x14ac:dyDescent="0.2">
      <c r="A533" s="1135" t="str">
        <f>CONCATENATE(Programme!C534,Programme!D534,Programme!E534,Programme!F534,Programme!G534,Programme!H534,Programme!I534)</f>
        <v>&lt;ValeurCellule&gt;</v>
      </c>
    </row>
    <row r="534" spans="1:1" x14ac:dyDescent="0.2">
      <c r="A534" s="1135" t="str">
        <f>CONCATENATE(Programme!C535,Programme!D535,Programme!E535,Programme!F535,Programme!G535,Programme!H535,Programme!I535)</f>
        <v>&lt;cellule&gt;</v>
      </c>
    </row>
    <row r="535" spans="1:1" x14ac:dyDescent="0.2">
      <c r="A535" s="1135" t="str">
        <f>CONCATENATE(Programme!C536,Programme!D536,Programme!E536,Programme!F536,Programme!G536,Programme!H536,Programme!I536)</f>
        <v>&lt;codeEdi&gt;269&lt;/codeEdi&gt;</v>
      </c>
    </row>
    <row r="536" spans="1:1" x14ac:dyDescent="0.2">
      <c r="A536" s="1135" t="str">
        <f>CONCATENATE(Programme!C537,Programme!D537,Programme!E537,Programme!F537,Programme!G537,Programme!H537,Programme!I537)</f>
        <v>&lt;/cellule&gt;</v>
      </c>
    </row>
    <row r="537" spans="1:1" x14ac:dyDescent="0.2">
      <c r="A537" s="1135" t="str">
        <f>CONCATENATE(Programme!C538,Programme!D538,Programme!E538,Programme!F538,Programme!G538,Programme!H538,Programme!I538)</f>
        <v>&lt;valeur&gt;0&lt;/valeur&gt;</v>
      </c>
    </row>
    <row r="538" spans="1:1" x14ac:dyDescent="0.2">
      <c r="A538" s="1135" t="str">
        <f>CONCATENATE(Programme!C539,Programme!D539,Programme!E539,Programme!F539,Programme!G539,Programme!H539,Programme!I539)</f>
        <v>&lt;/ValeurCellule&gt;</v>
      </c>
    </row>
    <row r="539" spans="1:1" x14ac:dyDescent="0.2">
      <c r="A539" s="1135" t="str">
        <f>CONCATENATE(Programme!C540,Programme!D540,Programme!E540,Programme!F540,Programme!G540,Programme!H540,Programme!I540)</f>
        <v>&lt;ValeurCellule&gt;</v>
      </c>
    </row>
    <row r="540" spans="1:1" x14ac:dyDescent="0.2">
      <c r="A540" s="1135" t="str">
        <f>CONCATENATE(Programme!C541,Programme!D541,Programme!E541,Programme!F541,Programme!G541,Programme!H541,Programme!I541)</f>
        <v>&lt;cellule&gt;</v>
      </c>
    </row>
    <row r="541" spans="1:1" x14ac:dyDescent="0.2">
      <c r="A541" s="1135" t="str">
        <f>CONCATENATE(Programme!C542,Programme!D542,Programme!E542,Programme!F542,Programme!G542,Programme!H542,Programme!I542)</f>
        <v>&lt;codeEdi&gt;515&lt;/codeEdi&gt;</v>
      </c>
    </row>
    <row r="542" spans="1:1" x14ac:dyDescent="0.2">
      <c r="A542" s="1135" t="str">
        <f>CONCATENATE(Programme!C543,Programme!D543,Programme!E543,Programme!F543,Programme!G543,Programme!H543,Programme!I543)</f>
        <v>&lt;/cellule&gt;</v>
      </c>
    </row>
    <row r="543" spans="1:1" x14ac:dyDescent="0.2">
      <c r="A543" s="1135" t="str">
        <f>CONCATENATE(Programme!C544,Programme!D544,Programme!E544,Programme!F544,Programme!G544,Programme!H544,Programme!I544)</f>
        <v>&lt;valeur&gt;0&lt;/valeur&gt;</v>
      </c>
    </row>
    <row r="544" spans="1:1" x14ac:dyDescent="0.2">
      <c r="A544" s="1135" t="str">
        <f>CONCATENATE(Programme!C545,Programme!D545,Programme!E545,Programme!F545,Programme!G545,Programme!H545,Programme!I545)</f>
        <v>&lt;/ValeurCellule&gt;</v>
      </c>
    </row>
    <row r="545" spans="1:1" x14ac:dyDescent="0.2">
      <c r="A545" s="1135" t="str">
        <f>CONCATENATE(Programme!C546,Programme!D546,Programme!E546,Programme!F546,Programme!G546,Programme!H546,Programme!I546)</f>
        <v>&lt;ValeurCellule&gt;</v>
      </c>
    </row>
    <row r="546" spans="1:1" x14ac:dyDescent="0.2">
      <c r="A546" s="1135" t="str">
        <f>CONCATENATE(Programme!C547,Programme!D547,Programme!E547,Programme!F547,Programme!G547,Programme!H547,Programme!I547)</f>
        <v>&lt;cellule&gt;</v>
      </c>
    </row>
    <row r="547" spans="1:1" x14ac:dyDescent="0.2">
      <c r="A547" s="1135" t="str">
        <f>CONCATENATE(Programme!C548,Programme!D548,Programme!E548,Programme!F548,Programme!G548,Programme!H548,Programme!I548)</f>
        <v>&lt;codeEdi&gt;192&lt;/codeEdi&gt;</v>
      </c>
    </row>
    <row r="548" spans="1:1" x14ac:dyDescent="0.2">
      <c r="A548" s="1135" t="str">
        <f>CONCATENATE(Programme!C549,Programme!D549,Programme!E549,Programme!F549,Programme!G549,Programme!H549,Programme!I549)</f>
        <v>&lt;/cellule&gt;</v>
      </c>
    </row>
    <row r="549" spans="1:1" x14ac:dyDescent="0.2">
      <c r="A549" s="1135" t="str">
        <f>CONCATENATE(Programme!C550,Programme!D550,Programme!E550,Programme!F550,Programme!G550,Programme!H550,Programme!I550)</f>
        <v>&lt;valeur&gt;0&lt;/valeur&gt;</v>
      </c>
    </row>
    <row r="550" spans="1:1" x14ac:dyDescent="0.2">
      <c r="A550" s="1135" t="str">
        <f>CONCATENATE(Programme!C551,Programme!D551,Programme!E551,Programme!F551,Programme!G551,Programme!H551,Programme!I551)</f>
        <v>&lt;/ValeurCellule&gt;</v>
      </c>
    </row>
    <row r="551" spans="1:1" x14ac:dyDescent="0.2">
      <c r="A551" s="1135" t="str">
        <f>CONCATENATE(Programme!C552,Programme!D552,Programme!E552,Programme!F552,Programme!G552,Programme!H552,Programme!I552)</f>
        <v>&lt;ValeurCellule&gt;</v>
      </c>
    </row>
    <row r="552" spans="1:1" x14ac:dyDescent="0.2">
      <c r="A552" s="1135" t="str">
        <f>CONCATENATE(Programme!C553,Programme!D553,Programme!E553,Programme!F553,Programme!G553,Programme!H553,Programme!I553)</f>
        <v>&lt;cellule&gt;</v>
      </c>
    </row>
    <row r="553" spans="1:1" x14ac:dyDescent="0.2">
      <c r="A553" s="1135" t="str">
        <f>CONCATENATE(Programme!C554,Programme!D554,Programme!E554,Programme!F554,Programme!G554,Programme!H554,Programme!I554)</f>
        <v>&lt;codeEdi&gt;193&lt;/codeEdi&gt;</v>
      </c>
    </row>
    <row r="554" spans="1:1" x14ac:dyDescent="0.2">
      <c r="A554" s="1135" t="str">
        <f>CONCATENATE(Programme!C555,Programme!D555,Programme!E555,Programme!F555,Programme!G555,Programme!H555,Programme!I555)</f>
        <v>&lt;/cellule&gt;</v>
      </c>
    </row>
    <row r="555" spans="1:1" x14ac:dyDescent="0.2">
      <c r="A555" s="1135" t="str">
        <f>CONCATENATE(Programme!C556,Programme!D556,Programme!E556,Programme!F556,Programme!G556,Programme!H556,Programme!I556)</f>
        <v>&lt;valeur&gt;0&lt;/valeur&gt;</v>
      </c>
    </row>
    <row r="556" spans="1:1" x14ac:dyDescent="0.2">
      <c r="A556" s="1135" t="str">
        <f>CONCATENATE(Programme!C557,Programme!D557,Programme!E557,Programme!F557,Programme!G557,Programme!H557,Programme!I557)</f>
        <v>&lt;/ValeurCellule&gt;</v>
      </c>
    </row>
    <row r="557" spans="1:1" x14ac:dyDescent="0.2">
      <c r="A557" s="1135" t="str">
        <f>CONCATENATE(Programme!C558,Programme!D558,Programme!E558,Programme!F558,Programme!G558,Programme!H558,Programme!I558)</f>
        <v>&lt;ValeurCellule&gt;</v>
      </c>
    </row>
    <row r="558" spans="1:1" x14ac:dyDescent="0.2">
      <c r="A558" s="1135" t="str">
        <f>CONCATENATE(Programme!C559,Programme!D559,Programme!E559,Programme!F559,Programme!G559,Programme!H559,Programme!I559)</f>
        <v>&lt;cellule&gt;</v>
      </c>
    </row>
    <row r="559" spans="1:1" x14ac:dyDescent="0.2">
      <c r="A559" s="1135" t="str">
        <f>CONCATENATE(Programme!C560,Programme!D560,Programme!E560,Programme!F560,Programme!G560,Programme!H560,Programme!I560)</f>
        <v>&lt;codeEdi&gt;517&lt;/codeEdi&gt;</v>
      </c>
    </row>
    <row r="560" spans="1:1" x14ac:dyDescent="0.2">
      <c r="A560" s="1135" t="str">
        <f>CONCATENATE(Programme!C561,Programme!D561,Programme!E561,Programme!F561,Programme!G561,Programme!H561,Programme!I561)</f>
        <v>&lt;/cellule&gt;</v>
      </c>
    </row>
    <row r="561" spans="1:1" x14ac:dyDescent="0.2">
      <c r="A561" s="1135" t="str">
        <f>CONCATENATE(Programme!C562,Programme!D562,Programme!E562,Programme!F562,Programme!G562,Programme!H562,Programme!I562)</f>
        <v>&lt;valeur&gt;0&lt;/valeur&gt;</v>
      </c>
    </row>
    <row r="562" spans="1:1" x14ac:dyDescent="0.2">
      <c r="A562" s="1135" t="str">
        <f>CONCATENATE(Programme!C563,Programme!D563,Programme!E563,Programme!F563,Programme!G563,Programme!H563,Programme!I563)</f>
        <v>&lt;/ValeurCellule&gt;</v>
      </c>
    </row>
    <row r="563" spans="1:1" x14ac:dyDescent="0.2">
      <c r="A563" s="1135" t="str">
        <f>CONCATENATE(Programme!C564,Programme!D564,Programme!E564,Programme!F564,Programme!G564,Programme!H564,Programme!I564)</f>
        <v>&lt;ValeurCellule&gt;</v>
      </c>
    </row>
    <row r="564" spans="1:1" x14ac:dyDescent="0.2">
      <c r="A564" s="1135" t="str">
        <f>CONCATENATE(Programme!C565,Programme!D565,Programme!E565,Programme!F565,Programme!G565,Programme!H565,Programme!I565)</f>
        <v>&lt;cellule&gt;</v>
      </c>
    </row>
    <row r="565" spans="1:1" x14ac:dyDescent="0.2">
      <c r="A565" s="1135" t="str">
        <f>CONCATENATE(Programme!C566,Programme!D566,Programme!E566,Programme!F566,Programme!G566,Programme!H566,Programme!I566)</f>
        <v>&lt;codeEdi&gt;194&lt;/codeEdi&gt;</v>
      </c>
    </row>
    <row r="566" spans="1:1" x14ac:dyDescent="0.2">
      <c r="A566" s="1135" t="str">
        <f>CONCATENATE(Programme!C567,Programme!D567,Programme!E567,Programme!F567,Programme!G567,Programme!H567,Programme!I567)</f>
        <v>&lt;/cellule&gt;</v>
      </c>
    </row>
    <row r="567" spans="1:1" x14ac:dyDescent="0.2">
      <c r="A567" s="1135" t="str">
        <f>CONCATENATE(Programme!C568,Programme!D568,Programme!E568,Programme!F568,Programme!G568,Programme!H568,Programme!I568)</f>
        <v>&lt;valeur&gt;&lt;/valeur&gt;</v>
      </c>
    </row>
    <row r="568" spans="1:1" x14ac:dyDescent="0.2">
      <c r="A568" s="1135" t="str">
        <f>CONCATENATE(Programme!C569,Programme!D569,Programme!E569,Programme!F569,Programme!G569,Programme!H569,Programme!I569)</f>
        <v>&lt;/ValeurCellule&gt;</v>
      </c>
    </row>
    <row r="569" spans="1:1" x14ac:dyDescent="0.2">
      <c r="A569" s="1135" t="str">
        <f>CONCATENATE(Programme!C570,Programme!D570,Programme!E570,Programme!F570,Programme!G570,Programme!H570,Programme!I570)</f>
        <v>&lt;ValeurCellule&gt;</v>
      </c>
    </row>
    <row r="570" spans="1:1" x14ac:dyDescent="0.2">
      <c r="A570" s="1135" t="str">
        <f>CONCATENATE(Programme!C571,Programme!D571,Programme!E571,Programme!F571,Programme!G571,Programme!H571,Programme!I571)</f>
        <v>&lt;cellule&gt;</v>
      </c>
    </row>
    <row r="571" spans="1:1" x14ac:dyDescent="0.2">
      <c r="A571" s="1135" t="str">
        <f>CONCATENATE(Programme!C572,Programme!D572,Programme!E572,Programme!F572,Programme!G572,Programme!H572,Programme!I572)</f>
        <v>&lt;codeEdi&gt;195&lt;/codeEdi&gt;</v>
      </c>
    </row>
    <row r="572" spans="1:1" x14ac:dyDescent="0.2">
      <c r="A572" s="1135" t="str">
        <f>CONCATENATE(Programme!C573,Programme!D573,Programme!E573,Programme!F573,Programme!G573,Programme!H573,Programme!I573)</f>
        <v>&lt;/cellule&gt;</v>
      </c>
    </row>
    <row r="573" spans="1:1" x14ac:dyDescent="0.2">
      <c r="A573" s="1135" t="str">
        <f>CONCATENATE(Programme!C574,Programme!D574,Programme!E574,Programme!F574,Programme!G574,Programme!H574,Programme!I574)</f>
        <v>&lt;valeur&gt;&lt;/valeur&gt;</v>
      </c>
    </row>
    <row r="574" spans="1:1" x14ac:dyDescent="0.2">
      <c r="A574" s="1135" t="str">
        <f>CONCATENATE(Programme!C575,Programme!D575,Programme!E575,Programme!F575,Programme!G575,Programme!H575,Programme!I575)</f>
        <v>&lt;/ValeurCellule&gt;</v>
      </c>
    </row>
    <row r="575" spans="1:1" x14ac:dyDescent="0.2">
      <c r="A575" s="1135" t="str">
        <f>CONCATENATE(Programme!C576,Programme!D576,Programme!E576,Programme!F576,Programme!G576,Programme!H576,Programme!I576)</f>
        <v>&lt;ValeurCellule&gt;</v>
      </c>
    </row>
    <row r="576" spans="1:1" x14ac:dyDescent="0.2">
      <c r="A576" s="1135" t="str">
        <f>CONCATENATE(Programme!C577,Programme!D577,Programme!E577,Programme!F577,Programme!G577,Programme!H577,Programme!I577)</f>
        <v>&lt;cellule&gt;</v>
      </c>
    </row>
    <row r="577" spans="1:1" x14ac:dyDescent="0.2">
      <c r="A577" s="1135" t="str">
        <f>CONCATENATE(Programme!C578,Programme!D578,Programme!E578,Programme!F578,Programme!G578,Programme!H578,Programme!I578)</f>
        <v>&lt;codeEdi&gt;518&lt;/codeEdi&gt;</v>
      </c>
    </row>
    <row r="578" spans="1:1" x14ac:dyDescent="0.2">
      <c r="A578" s="1135" t="str">
        <f>CONCATENATE(Programme!C579,Programme!D579,Programme!E579,Programme!F579,Programme!G579,Programme!H579,Programme!I579)</f>
        <v>&lt;/cellule&gt;</v>
      </c>
    </row>
    <row r="579" spans="1:1" x14ac:dyDescent="0.2">
      <c r="A579" s="1135" t="str">
        <f>CONCATENATE(Programme!C580,Programme!D580,Programme!E580,Programme!F580,Programme!G580,Programme!H580,Programme!I580)</f>
        <v>&lt;valeur&gt;&lt;/valeur&gt;</v>
      </c>
    </row>
    <row r="580" spans="1:1" x14ac:dyDescent="0.2">
      <c r="A580" s="1135" t="str">
        <f>CONCATENATE(Programme!C581,Programme!D581,Programme!E581,Programme!F581,Programme!G581,Programme!H581,Programme!I581)</f>
        <v>&lt;/ValeurCellule&gt;</v>
      </c>
    </row>
    <row r="581" spans="1:1" x14ac:dyDescent="0.2">
      <c r="A581" s="1135" t="str">
        <f>CONCATENATE(Programme!C582,Programme!D582,Programme!E582,Programme!F582,Programme!G582,Programme!H582,Programme!I582)</f>
        <v>&lt;ValeurCellule&gt;</v>
      </c>
    </row>
    <row r="582" spans="1:1" x14ac:dyDescent="0.2">
      <c r="A582" s="1135" t="str">
        <f>CONCATENATE(Programme!C583,Programme!D583,Programme!E583,Programme!F583,Programme!G583,Programme!H583,Programme!I583)</f>
        <v>&lt;cellule&gt;</v>
      </c>
    </row>
    <row r="583" spans="1:1" x14ac:dyDescent="0.2">
      <c r="A583" s="1135" t="str">
        <f>CONCATENATE(Programme!C584,Programme!D584,Programme!E584,Programme!F584,Programme!G584,Programme!H584,Programme!I584)</f>
        <v>&lt;codeEdi&gt;196&lt;/codeEdi&gt;</v>
      </c>
    </row>
    <row r="584" spans="1:1" x14ac:dyDescent="0.2">
      <c r="A584" s="1135" t="str">
        <f>CONCATENATE(Programme!C585,Programme!D585,Programme!E585,Programme!F585,Programme!G585,Programme!H585,Programme!I585)</f>
        <v>&lt;/cellule&gt;</v>
      </c>
    </row>
    <row r="585" spans="1:1" x14ac:dyDescent="0.2">
      <c r="A585" s="1135" t="str">
        <f>CONCATENATE(Programme!C586,Programme!D586,Programme!E586,Programme!F586,Programme!G586,Programme!H586,Programme!I586)</f>
        <v>&lt;valeur&gt;0&lt;/valeur&gt;</v>
      </c>
    </row>
    <row r="586" spans="1:1" x14ac:dyDescent="0.2">
      <c r="A586" s="1135" t="str">
        <f>CONCATENATE(Programme!C587,Programme!D587,Programme!E587,Programme!F587,Programme!G587,Programme!H587,Programme!I587)</f>
        <v>&lt;/ValeurCellule&gt;</v>
      </c>
    </row>
    <row r="587" spans="1:1" x14ac:dyDescent="0.2">
      <c r="A587" s="1135" t="str">
        <f>CONCATENATE(Programme!C588,Programme!D588,Programme!E588,Programme!F588,Programme!G588,Programme!H588,Programme!I588)</f>
        <v>&lt;ValeurCellule&gt;</v>
      </c>
    </row>
    <row r="588" spans="1:1" x14ac:dyDescent="0.2">
      <c r="A588" s="1135" t="str">
        <f>CONCATENATE(Programme!C589,Programme!D589,Programme!E589,Programme!F589,Programme!G589,Programme!H589,Programme!I589)</f>
        <v>&lt;cellule&gt;</v>
      </c>
    </row>
    <row r="589" spans="1:1" x14ac:dyDescent="0.2">
      <c r="A589" s="1135" t="str">
        <f>CONCATENATE(Programme!C590,Programme!D590,Programme!E590,Programme!F590,Programme!G590,Programme!H590,Programme!I590)</f>
        <v>&lt;codeEdi&gt;197&lt;/codeEdi&gt;</v>
      </c>
    </row>
    <row r="590" spans="1:1" x14ac:dyDescent="0.2">
      <c r="A590" s="1135" t="str">
        <f>CONCATENATE(Programme!C591,Programme!D591,Programme!E591,Programme!F591,Programme!G591,Programme!H591,Programme!I591)</f>
        <v>&lt;/cellule&gt;</v>
      </c>
    </row>
    <row r="591" spans="1:1" x14ac:dyDescent="0.2">
      <c r="A591" s="1135" t="str">
        <f>CONCATENATE(Programme!C592,Programme!D592,Programme!E592,Programme!F592,Programme!G592,Programme!H592,Programme!I592)</f>
        <v>&lt;valeur&gt;0&lt;/valeur&gt;</v>
      </c>
    </row>
    <row r="592" spans="1:1" x14ac:dyDescent="0.2">
      <c r="A592" s="1135" t="str">
        <f>CONCATENATE(Programme!C593,Programme!D593,Programme!E593,Programme!F593,Programme!G593,Programme!H593,Programme!I593)</f>
        <v>&lt;/ValeurCellule&gt;</v>
      </c>
    </row>
    <row r="593" spans="1:1" x14ac:dyDescent="0.2">
      <c r="A593" s="1135" t="str">
        <f>CONCATENATE(Programme!C594,Programme!D594,Programme!E594,Programme!F594,Programme!G594,Programme!H594,Programme!I594)</f>
        <v>&lt;ValeurCellule&gt;</v>
      </c>
    </row>
    <row r="594" spans="1:1" x14ac:dyDescent="0.2">
      <c r="A594" s="1135" t="str">
        <f>CONCATENATE(Programme!C595,Programme!D595,Programme!E595,Programme!F595,Programme!G595,Programme!H595,Programme!I595)</f>
        <v>&lt;cellule&gt;</v>
      </c>
    </row>
    <row r="595" spans="1:1" x14ac:dyDescent="0.2">
      <c r="A595" s="1135" t="str">
        <f>CONCATENATE(Programme!C596,Programme!D596,Programme!E596,Programme!F596,Programme!G596,Programme!H596,Programme!I596)</f>
        <v>&lt;codeEdi&gt;519&lt;/codeEdi&gt;</v>
      </c>
    </row>
    <row r="596" spans="1:1" x14ac:dyDescent="0.2">
      <c r="A596" s="1135" t="str">
        <f>CONCATENATE(Programme!C597,Programme!D597,Programme!E597,Programme!F597,Programme!G597,Programme!H597,Programme!I597)</f>
        <v>&lt;/cellule&gt;</v>
      </c>
    </row>
    <row r="597" spans="1:1" x14ac:dyDescent="0.2">
      <c r="A597" s="1135" t="str">
        <f>CONCATENATE(Programme!C598,Programme!D598,Programme!E598,Programme!F598,Programme!G598,Programme!H598,Programme!I598)</f>
        <v>&lt;valeur&gt;0&lt;/valeur&gt;</v>
      </c>
    </row>
    <row r="598" spans="1:1" x14ac:dyDescent="0.2">
      <c r="A598" s="1135" t="str">
        <f>CONCATENATE(Programme!C599,Programme!D599,Programme!E599,Programme!F599,Programme!G599,Programme!H599,Programme!I599)</f>
        <v>&lt;/ValeurCellule&gt;</v>
      </c>
    </row>
    <row r="599" spans="1:1" x14ac:dyDescent="0.2">
      <c r="A599" s="1135" t="str">
        <f>CONCATENATE(Programme!C600,Programme!D600,Programme!E600,Programme!F600,Programme!G600,Programme!H600,Programme!I600)</f>
        <v>&lt;ValeurCellule&gt;</v>
      </c>
    </row>
    <row r="600" spans="1:1" x14ac:dyDescent="0.2">
      <c r="A600" s="1135" t="str">
        <f>CONCATENATE(Programme!C601,Programme!D601,Programme!E601,Programme!F601,Programme!G601,Programme!H601,Programme!I601)</f>
        <v>&lt;cellule&gt;</v>
      </c>
    </row>
    <row r="601" spans="1:1" x14ac:dyDescent="0.2">
      <c r="A601" s="1135" t="str">
        <f>CONCATENATE(Programme!C602,Programme!D602,Programme!E602,Programme!F602,Programme!G602,Programme!H602,Programme!I602)</f>
        <v>&lt;codeEdi&gt;198&lt;/codeEdi&gt;</v>
      </c>
    </row>
    <row r="602" spans="1:1" x14ac:dyDescent="0.2">
      <c r="A602" s="1135" t="str">
        <f>CONCATENATE(Programme!C603,Programme!D603,Programme!E603,Programme!F603,Programme!G603,Programme!H603,Programme!I603)</f>
        <v>&lt;/cellule&gt;</v>
      </c>
    </row>
    <row r="603" spans="1:1" x14ac:dyDescent="0.2">
      <c r="A603" s="1135" t="str">
        <f>CONCATENATE(Programme!C604,Programme!D604,Programme!E604,Programme!F604,Programme!G604,Programme!H604,Programme!I604)</f>
        <v>&lt;valeur&gt;0&lt;/valeur&gt;</v>
      </c>
    </row>
    <row r="604" spans="1:1" x14ac:dyDescent="0.2">
      <c r="A604" s="1135" t="str">
        <f>CONCATENATE(Programme!C605,Programme!D605,Programme!E605,Programme!F605,Programme!G605,Programme!H605,Programme!I605)</f>
        <v>&lt;/ValeurCellule&gt;</v>
      </c>
    </row>
    <row r="605" spans="1:1" x14ac:dyDescent="0.2">
      <c r="A605" s="1135" t="str">
        <f>CONCATENATE(Programme!C606,Programme!D606,Programme!E606,Programme!F606,Programme!G606,Programme!H606,Programme!I606)</f>
        <v>&lt;ValeurCellule&gt;</v>
      </c>
    </row>
    <row r="606" spans="1:1" x14ac:dyDescent="0.2">
      <c r="A606" s="1135" t="str">
        <f>CONCATENATE(Programme!C607,Programme!D607,Programme!E607,Programme!F607,Programme!G607,Programme!H607,Programme!I607)</f>
        <v>&lt;cellule&gt;</v>
      </c>
    </row>
    <row r="607" spans="1:1" x14ac:dyDescent="0.2">
      <c r="A607" s="1135" t="str">
        <f>CONCATENATE(Programme!C608,Programme!D608,Programme!E608,Programme!F608,Programme!G608,Programme!H608,Programme!I608)</f>
        <v>&lt;codeEdi&gt;199&lt;/codeEdi&gt;</v>
      </c>
    </row>
    <row r="608" spans="1:1" x14ac:dyDescent="0.2">
      <c r="A608" s="1135" t="str">
        <f>CONCATENATE(Programme!C609,Programme!D609,Programme!E609,Programme!F609,Programme!G609,Programme!H609,Programme!I609)</f>
        <v>&lt;/cellule&gt;</v>
      </c>
    </row>
    <row r="609" spans="1:1" x14ac:dyDescent="0.2">
      <c r="A609" s="1135" t="str">
        <f>CONCATENATE(Programme!C610,Programme!D610,Programme!E610,Programme!F610,Programme!G610,Programme!H610,Programme!I610)</f>
        <v>&lt;valeur&gt;0&lt;/valeur&gt;</v>
      </c>
    </row>
    <row r="610" spans="1:1" x14ac:dyDescent="0.2">
      <c r="A610" s="1135" t="str">
        <f>CONCATENATE(Programme!C611,Programme!D611,Programme!E611,Programme!F611,Programme!G611,Programme!H611,Programme!I611)</f>
        <v>&lt;/ValeurCellule&gt;</v>
      </c>
    </row>
    <row r="611" spans="1:1" x14ac:dyDescent="0.2">
      <c r="A611" s="1135" t="str">
        <f>CONCATENATE(Programme!C612,Programme!D612,Programme!E612,Programme!F612,Programme!G612,Programme!H612,Programme!I612)</f>
        <v>&lt;ValeurCellule&gt;</v>
      </c>
    </row>
    <row r="612" spans="1:1" x14ac:dyDescent="0.2">
      <c r="A612" s="1135" t="str">
        <f>CONCATENATE(Programme!C613,Programme!D613,Programme!E613,Programme!F613,Programme!G613,Programme!H613,Programme!I613)</f>
        <v>&lt;cellule&gt;</v>
      </c>
    </row>
    <row r="613" spans="1:1" x14ac:dyDescent="0.2">
      <c r="A613" s="1135" t="str">
        <f>CONCATENATE(Programme!C614,Programme!D614,Programme!E614,Programme!F614,Programme!G614,Programme!H614,Programme!I614)</f>
        <v>&lt;codeEdi&gt;520&lt;/codeEdi&gt;</v>
      </c>
    </row>
    <row r="614" spans="1:1" x14ac:dyDescent="0.2">
      <c r="A614" s="1135" t="str">
        <f>CONCATENATE(Programme!C615,Programme!D615,Programme!E615,Programme!F615,Programme!G615,Programme!H615,Programme!I615)</f>
        <v>&lt;/cellule&gt;</v>
      </c>
    </row>
    <row r="615" spans="1:1" x14ac:dyDescent="0.2">
      <c r="A615" s="1135" t="str">
        <f>CONCATENATE(Programme!C616,Programme!D616,Programme!E616,Programme!F616,Programme!G616,Programme!H616,Programme!I616)</f>
        <v>&lt;valeur&gt;0&lt;/valeur&gt;</v>
      </c>
    </row>
    <row r="616" spans="1:1" x14ac:dyDescent="0.2">
      <c r="A616" s="1135" t="str">
        <f>CONCATENATE(Programme!C617,Programme!D617,Programme!E617,Programme!F617,Programme!G617,Programme!H617,Programme!I617)</f>
        <v>&lt;/ValeurCellule&gt;</v>
      </c>
    </row>
    <row r="617" spans="1:1" x14ac:dyDescent="0.2">
      <c r="A617" s="1135" t="str">
        <f>CONCATENATE(Programme!C618,Programme!D618,Programme!E618,Programme!F618,Programme!G618,Programme!H618,Programme!I618)</f>
        <v>&lt;ValeurCellule&gt;</v>
      </c>
    </row>
    <row r="618" spans="1:1" x14ac:dyDescent="0.2">
      <c r="A618" s="1135" t="str">
        <f>CONCATENATE(Programme!C619,Programme!D619,Programme!E619,Programme!F619,Programme!G619,Programme!H619,Programme!I619)</f>
        <v>&lt;cellule&gt;</v>
      </c>
    </row>
    <row r="619" spans="1:1" x14ac:dyDescent="0.2">
      <c r="A619" s="1135" t="str">
        <f>CONCATENATE(Programme!C620,Programme!D620,Programme!E620,Programme!F620,Programme!G620,Programme!H620,Programme!I620)</f>
        <v>&lt;codeEdi&gt;291&lt;/codeEdi&gt;</v>
      </c>
    </row>
    <row r="620" spans="1:1" x14ac:dyDescent="0.2">
      <c r="A620" s="1135" t="str">
        <f>CONCATENATE(Programme!C621,Programme!D621,Programme!E621,Programme!F621,Programme!G621,Programme!H621,Programme!I621)</f>
        <v>&lt;/cellule&gt;</v>
      </c>
    </row>
    <row r="621" spans="1:1" x14ac:dyDescent="0.2">
      <c r="A621" s="1135" t="str">
        <f>CONCATENATE(Programme!C622,Programme!D622,Programme!E622,Programme!F622,Programme!G622,Programme!H622,Programme!I622)</f>
        <v>&lt;valeur&gt;1593527,58&lt;/valeur&gt;</v>
      </c>
    </row>
    <row r="622" spans="1:1" x14ac:dyDescent="0.2">
      <c r="A622" s="1135" t="str">
        <f>CONCATENATE(Programme!C623,Programme!D623,Programme!E623,Programme!F623,Programme!G623,Programme!H623,Programme!I623)</f>
        <v>&lt;/ValeurCellule&gt;</v>
      </c>
    </row>
    <row r="623" spans="1:1" x14ac:dyDescent="0.2">
      <c r="A623" s="1135" t="str">
        <f>CONCATENATE(Programme!C624,Programme!D624,Programme!E624,Programme!F624,Programme!G624,Programme!H624,Programme!I624)</f>
        <v>&lt;ValeurCellule&gt;</v>
      </c>
    </row>
    <row r="624" spans="1:1" x14ac:dyDescent="0.2">
      <c r="A624" s="1135" t="str">
        <f>CONCATENATE(Programme!C625,Programme!D625,Programme!E625,Programme!F625,Programme!G625,Programme!H625,Programme!I625)</f>
        <v>&lt;cellule&gt;</v>
      </c>
    </row>
    <row r="625" spans="1:1" x14ac:dyDescent="0.2">
      <c r="A625" s="1135" t="str">
        <f>CONCATENATE(Programme!C626,Programme!D626,Programme!E626,Programme!F626,Programme!G626,Programme!H626,Programme!I626)</f>
        <v>&lt;codeEdi&gt;292&lt;/codeEdi&gt;</v>
      </c>
    </row>
    <row r="626" spans="1:1" x14ac:dyDescent="0.2">
      <c r="A626" s="1135" t="str">
        <f>CONCATENATE(Programme!C627,Programme!D627,Programme!E627,Programme!F627,Programme!G627,Programme!H627,Programme!I627)</f>
        <v>&lt;/cellule&gt;</v>
      </c>
    </row>
    <row r="627" spans="1:1" x14ac:dyDescent="0.2">
      <c r="A627" s="1135" t="str">
        <f>CONCATENATE(Programme!C628,Programme!D628,Programme!E628,Programme!F628,Programme!G628,Programme!H628,Programme!I628)</f>
        <v>&lt;valeur&gt;173538,13&lt;/valeur&gt;</v>
      </c>
    </row>
    <row r="628" spans="1:1" x14ac:dyDescent="0.2">
      <c r="A628" s="1135" t="str">
        <f>CONCATENATE(Programme!C629,Programme!D629,Programme!E629,Programme!F629,Programme!G629,Programme!H629,Programme!I629)</f>
        <v>&lt;/ValeurCellule&gt;</v>
      </c>
    </row>
    <row r="629" spans="1:1" x14ac:dyDescent="0.2">
      <c r="A629" s="1135" t="str">
        <f>CONCATENATE(Programme!C630,Programme!D630,Programme!E630,Programme!F630,Programme!G630,Programme!H630,Programme!I630)</f>
        <v>&lt;ValeurCellule&gt;</v>
      </c>
    </row>
    <row r="630" spans="1:1" x14ac:dyDescent="0.2">
      <c r="A630" s="1135" t="str">
        <f>CONCATENATE(Programme!C631,Programme!D631,Programme!E631,Programme!F631,Programme!G631,Programme!H631,Programme!I631)</f>
        <v>&lt;cellule&gt;</v>
      </c>
    </row>
    <row r="631" spans="1:1" x14ac:dyDescent="0.2">
      <c r="A631" s="1135" t="str">
        <f>CONCATENATE(Programme!C632,Programme!D632,Programme!E632,Programme!F632,Programme!G632,Programme!H632,Programme!I632)</f>
        <v>&lt;codeEdi&gt;293&lt;/codeEdi&gt;</v>
      </c>
    </row>
    <row r="632" spans="1:1" x14ac:dyDescent="0.2">
      <c r="A632" s="1135" t="str">
        <f>CONCATENATE(Programme!C633,Programme!D633,Programme!E633,Programme!F633,Programme!G633,Programme!H633,Programme!I633)</f>
        <v>&lt;/cellule&gt;</v>
      </c>
    </row>
    <row r="633" spans="1:1" x14ac:dyDescent="0.2">
      <c r="A633" s="1135" t="str">
        <f>CONCATENATE(Programme!C634,Programme!D634,Programme!E634,Programme!F634,Programme!G634,Programme!H634,Programme!I634)</f>
        <v>&lt;valeur&gt;1419989,45&lt;/valeur&gt;</v>
      </c>
    </row>
    <row r="634" spans="1:1" x14ac:dyDescent="0.2">
      <c r="A634" s="1135" t="str">
        <f>CONCATENATE(Programme!C635,Programme!D635,Programme!E635,Programme!F635,Programme!G635,Programme!H635,Programme!I635)</f>
        <v>&lt;/ValeurCellule&gt;</v>
      </c>
    </row>
    <row r="635" spans="1:1" x14ac:dyDescent="0.2">
      <c r="A635" s="1135" t="str">
        <f>CONCATENATE(Programme!C636,Programme!D636,Programme!E636,Programme!F636,Programme!G636,Programme!H636,Programme!I636)</f>
        <v>&lt;ValeurCellule&gt;</v>
      </c>
    </row>
    <row r="636" spans="1:1" x14ac:dyDescent="0.2">
      <c r="A636" s="1135" t="str">
        <f>CONCATENATE(Programme!C637,Programme!D637,Programme!E637,Programme!F637,Programme!G637,Programme!H637,Programme!I637)</f>
        <v>&lt;cellule&gt;</v>
      </c>
    </row>
    <row r="637" spans="1:1" x14ac:dyDescent="0.2">
      <c r="A637" s="1135" t="str">
        <f>CONCATENATE(Programme!C638,Programme!D638,Programme!E638,Programme!F638,Programme!G638,Programme!H638,Programme!I638)</f>
        <v>&lt;codeEdi&gt;294&lt;/codeEdi&gt;</v>
      </c>
    </row>
    <row r="638" spans="1:1" x14ac:dyDescent="0.2">
      <c r="A638" s="1135" t="str">
        <f>CONCATENATE(Programme!C639,Programme!D639,Programme!E639,Programme!F639,Programme!G639,Programme!H639,Programme!I639)</f>
        <v>&lt;/cellule&gt;</v>
      </c>
    </row>
    <row r="639" spans="1:1" x14ac:dyDescent="0.2">
      <c r="A639" s="1135" t="str">
        <f>CONCATENATE(Programme!C640,Programme!D640,Programme!E640,Programme!F640,Programme!G640,Programme!H640,Programme!I640)</f>
        <v>&lt;valeur&gt;4305,63&lt;/valeur&gt;</v>
      </c>
    </row>
    <row r="640" spans="1:1" x14ac:dyDescent="0.2">
      <c r="A640" s="1135" t="str">
        <f>CONCATENATE(Programme!C641,Programme!D641,Programme!E641,Programme!F641,Programme!G641,Programme!H641,Programme!I641)</f>
        <v>&lt;/ValeurCellule&gt;</v>
      </c>
    </row>
    <row r="641" spans="1:1" x14ac:dyDescent="0.2">
      <c r="A641" s="1135" t="str">
        <f>CONCATENATE(Programme!C642,Programme!D642,Programme!E642,Programme!F642,Programme!G642,Programme!H642,Programme!I642)</f>
        <v>&lt;ValeurCellule&gt;</v>
      </c>
    </row>
    <row r="642" spans="1:1" x14ac:dyDescent="0.2">
      <c r="A642" s="1135" t="str">
        <f>CONCATENATE(Programme!C643,Programme!D643,Programme!E643,Programme!F643,Programme!G643,Programme!H643,Programme!I643)</f>
        <v>&lt;cellule&gt;</v>
      </c>
    </row>
    <row r="643" spans="1:1" x14ac:dyDescent="0.2">
      <c r="A643" s="1135" t="str">
        <f>CONCATENATE(Programme!C644,Programme!D644,Programme!E644,Programme!F644,Programme!G644,Programme!H644,Programme!I644)</f>
        <v>&lt;codeEdi&gt;160&lt;/codeEdi&gt;</v>
      </c>
    </row>
    <row r="644" spans="1:1" x14ac:dyDescent="0.2">
      <c r="A644" s="1135" t="str">
        <f>CONCATENATE(Programme!C645,Programme!D645,Programme!E645,Programme!F645,Programme!G645,Programme!H645,Programme!I645)</f>
        <v>&lt;/cellule&gt;</v>
      </c>
    </row>
    <row r="645" spans="1:1" x14ac:dyDescent="0.2">
      <c r="A645" s="1135" t="str">
        <f>CONCATENATE(Programme!C646,Programme!D646,Programme!E646,Programme!F646,Programme!G646,Programme!H646,Programme!I646)</f>
        <v>&lt;valeur&gt;0&lt;/valeur&gt;</v>
      </c>
    </row>
    <row r="646" spans="1:1" x14ac:dyDescent="0.2">
      <c r="A646" s="1135" t="str">
        <f>CONCATENATE(Programme!C647,Programme!D647,Programme!E647,Programme!F647,Programme!G647,Programme!H647,Programme!I647)</f>
        <v>&lt;/ValeurCellule&gt;</v>
      </c>
    </row>
    <row r="647" spans="1:1" x14ac:dyDescent="0.2">
      <c r="A647" s="1135" t="str">
        <f>CONCATENATE(Programme!C648,Programme!D648,Programme!E648,Programme!F648,Programme!G648,Programme!H648,Programme!I648)</f>
        <v>&lt;ValeurCellule&gt;</v>
      </c>
    </row>
    <row r="648" spans="1:1" x14ac:dyDescent="0.2">
      <c r="A648" s="1135" t="str">
        <f>CONCATENATE(Programme!C649,Programme!D649,Programme!E649,Programme!F649,Programme!G649,Programme!H649,Programme!I649)</f>
        <v>&lt;cellule&gt;</v>
      </c>
    </row>
    <row r="649" spans="1:1" x14ac:dyDescent="0.2">
      <c r="A649" s="1135" t="str">
        <f>CONCATENATE(Programme!C650,Programme!D650,Programme!E650,Programme!F650,Programme!G650,Programme!H650,Programme!I650)</f>
        <v>&lt;codeEdi&gt;161&lt;/codeEdi&gt;</v>
      </c>
    </row>
    <row r="650" spans="1:1" x14ac:dyDescent="0.2">
      <c r="A650" s="1135" t="str">
        <f>CONCATENATE(Programme!C651,Programme!D651,Programme!E651,Programme!F651,Programme!G651,Programme!H651,Programme!I651)</f>
        <v>&lt;/cellule&gt;</v>
      </c>
    </row>
    <row r="651" spans="1:1" x14ac:dyDescent="0.2">
      <c r="A651" s="1135" t="str">
        <f>CONCATENATE(Programme!C652,Programme!D652,Programme!E652,Programme!F652,Programme!G652,Programme!H652,Programme!I652)</f>
        <v>&lt;valeur&gt;0&lt;/valeur&gt;</v>
      </c>
    </row>
    <row r="652" spans="1:1" x14ac:dyDescent="0.2">
      <c r="A652" s="1135" t="str">
        <f>CONCATENATE(Programme!C653,Programme!D653,Programme!E653,Programme!F653,Programme!G653,Programme!H653,Programme!I653)</f>
        <v>&lt;/ValeurCellule&gt;</v>
      </c>
    </row>
    <row r="653" spans="1:1" x14ac:dyDescent="0.2">
      <c r="A653" s="1135" t="str">
        <f>CONCATENATE(Programme!C654,Programme!D654,Programme!E654,Programme!F654,Programme!G654,Programme!H654,Programme!I654)</f>
        <v>&lt;ValeurCellule&gt;</v>
      </c>
    </row>
    <row r="654" spans="1:1" x14ac:dyDescent="0.2">
      <c r="A654" s="1135" t="str">
        <f>CONCATENATE(Programme!C655,Programme!D655,Programme!E655,Programme!F655,Programme!G655,Programme!H655,Programme!I655)</f>
        <v>&lt;cellule&gt;</v>
      </c>
    </row>
    <row r="655" spans="1:1" x14ac:dyDescent="0.2">
      <c r="A655" s="1135" t="str">
        <f>CONCATENATE(Programme!C656,Programme!D656,Programme!E656,Programme!F656,Programme!G656,Programme!H656,Programme!I656)</f>
        <v>&lt;codeEdi&gt;162&lt;/codeEdi&gt;</v>
      </c>
    </row>
    <row r="656" spans="1:1" x14ac:dyDescent="0.2">
      <c r="A656" s="1135" t="str">
        <f>CONCATENATE(Programme!C657,Programme!D657,Programme!E657,Programme!F657,Programme!G657,Programme!H657,Programme!I657)</f>
        <v>&lt;/cellule&gt;</v>
      </c>
    </row>
    <row r="657" spans="1:1" x14ac:dyDescent="0.2">
      <c r="A657" s="1135" t="str">
        <f>CONCATENATE(Programme!C658,Programme!D658,Programme!E658,Programme!F658,Programme!G658,Programme!H658,Programme!I658)</f>
        <v>&lt;valeur&gt;0&lt;/valeur&gt;</v>
      </c>
    </row>
    <row r="658" spans="1:1" x14ac:dyDescent="0.2">
      <c r="A658" s="1135" t="str">
        <f>CONCATENATE(Programme!C659,Programme!D659,Programme!E659,Programme!F659,Programme!G659,Programme!H659,Programme!I659)</f>
        <v>&lt;/ValeurCellule&gt;</v>
      </c>
    </row>
    <row r="659" spans="1:1" x14ac:dyDescent="0.2">
      <c r="A659" s="1135" t="str">
        <f>CONCATENATE(Programme!C660,Programme!D660,Programme!E660,Programme!F660,Programme!G660,Programme!H660,Programme!I660)</f>
        <v>&lt;ValeurCellule&gt;</v>
      </c>
    </row>
    <row r="660" spans="1:1" x14ac:dyDescent="0.2">
      <c r="A660" s="1135" t="str">
        <f>CONCATENATE(Programme!C661,Programme!D661,Programme!E661,Programme!F661,Programme!G661,Programme!H661,Programme!I661)</f>
        <v>&lt;cellule&gt;</v>
      </c>
    </row>
    <row r="661" spans="1:1" x14ac:dyDescent="0.2">
      <c r="A661" s="1135" t="str">
        <f>CONCATENATE(Programme!C662,Programme!D662,Programme!E662,Programme!F662,Programme!G662,Programme!H662,Programme!I662)</f>
        <v>&lt;codeEdi&gt;163&lt;/codeEdi&gt;</v>
      </c>
    </row>
    <row r="662" spans="1:1" x14ac:dyDescent="0.2">
      <c r="A662" s="1135" t="str">
        <f>CONCATENATE(Programme!C663,Programme!D663,Programme!E663,Programme!F663,Programme!G663,Programme!H663,Programme!I663)</f>
        <v>&lt;/cellule&gt;</v>
      </c>
    </row>
    <row r="663" spans="1:1" x14ac:dyDescent="0.2">
      <c r="A663" s="1135" t="str">
        <f>CONCATENATE(Programme!C664,Programme!D664,Programme!E664,Programme!F664,Programme!G664,Programme!H664,Programme!I664)</f>
        <v>&lt;valeur&gt;0&lt;/valeur&gt;</v>
      </c>
    </row>
    <row r="664" spans="1:1" x14ac:dyDescent="0.2">
      <c r="A664" s="1135" t="str">
        <f>CONCATENATE(Programme!C665,Programme!D665,Programme!E665,Programme!F665,Programme!G665,Programme!H665,Programme!I665)</f>
        <v>&lt;/ValeurCellule&gt;</v>
      </c>
    </row>
    <row r="665" spans="1:1" x14ac:dyDescent="0.2">
      <c r="A665" s="1135" t="str">
        <f>CONCATENATE(Programme!C666,Programme!D666,Programme!E666,Programme!F666,Programme!G666,Programme!H666,Programme!I666)</f>
        <v>&lt;ValeurCellule&gt;</v>
      </c>
    </row>
    <row r="666" spans="1:1" x14ac:dyDescent="0.2">
      <c r="A666" s="1135" t="str">
        <f>CONCATENATE(Programme!C667,Programme!D667,Programme!E667,Programme!F667,Programme!G667,Programme!H667,Programme!I667)</f>
        <v>&lt;cellule&gt;</v>
      </c>
    </row>
    <row r="667" spans="1:1" x14ac:dyDescent="0.2">
      <c r="A667" s="1135" t="str">
        <f>CONCATENATE(Programme!C668,Programme!D668,Programme!E668,Programme!F668,Programme!G668,Programme!H668,Programme!I668)</f>
        <v>&lt;codeEdi&gt;164&lt;/codeEdi&gt;</v>
      </c>
    </row>
    <row r="668" spans="1:1" x14ac:dyDescent="0.2">
      <c r="A668" s="1135" t="str">
        <f>CONCATENATE(Programme!C669,Programme!D669,Programme!E669,Programme!F669,Programme!G669,Programme!H669,Programme!I669)</f>
        <v>&lt;/cellule&gt;</v>
      </c>
    </row>
    <row r="669" spans="1:1" x14ac:dyDescent="0.2">
      <c r="A669" s="1135" t="str">
        <f>CONCATENATE(Programme!C670,Programme!D670,Programme!E670,Programme!F670,Programme!G670,Programme!H670,Programme!I670)</f>
        <v>&lt;valeur&gt;0&lt;/valeur&gt;</v>
      </c>
    </row>
    <row r="670" spans="1:1" x14ac:dyDescent="0.2">
      <c r="A670" s="1135" t="str">
        <f>CONCATENATE(Programme!C671,Programme!D671,Programme!E671,Programme!F671,Programme!G671,Programme!H671,Programme!I671)</f>
        <v>&lt;/ValeurCellule&gt;</v>
      </c>
    </row>
    <row r="671" spans="1:1" x14ac:dyDescent="0.2">
      <c r="A671" s="1135" t="str">
        <f>CONCATENATE(Programme!C672,Programme!D672,Programme!E672,Programme!F672,Programme!G672,Programme!H672,Programme!I672)</f>
        <v>&lt;ValeurCellule&gt;</v>
      </c>
    </row>
    <row r="672" spans="1:1" x14ac:dyDescent="0.2">
      <c r="A672" s="1135" t="str">
        <f>CONCATENATE(Programme!C673,Programme!D673,Programme!E673,Programme!F673,Programme!G673,Programme!H673,Programme!I673)</f>
        <v>&lt;cellule&gt;</v>
      </c>
    </row>
    <row r="673" spans="1:1" x14ac:dyDescent="0.2">
      <c r="A673" s="1135" t="str">
        <f>CONCATENATE(Programme!C674,Programme!D674,Programme!E674,Programme!F674,Programme!G674,Programme!H674,Programme!I674)</f>
        <v>&lt;codeEdi&gt;522&lt;/codeEdi&gt;</v>
      </c>
    </row>
    <row r="674" spans="1:1" x14ac:dyDescent="0.2">
      <c r="A674" s="1135" t="str">
        <f>CONCATENATE(Programme!C675,Programme!D675,Programme!E675,Programme!F675,Programme!G675,Programme!H675,Programme!I675)</f>
        <v>&lt;/cellule&gt;</v>
      </c>
    </row>
    <row r="675" spans="1:1" x14ac:dyDescent="0.2">
      <c r="A675" s="1135" t="str">
        <f>CONCATENATE(Programme!C676,Programme!D676,Programme!E676,Programme!F676,Programme!G676,Programme!H676,Programme!I676)</f>
        <v>&lt;valeur&gt;0&lt;/valeur&gt;</v>
      </c>
    </row>
    <row r="676" spans="1:1" x14ac:dyDescent="0.2">
      <c r="A676" s="1135" t="str">
        <f>CONCATENATE(Programme!C677,Programme!D677,Programme!E677,Programme!F677,Programme!G677,Programme!H677,Programme!I677)</f>
        <v>&lt;/ValeurCellule&gt;</v>
      </c>
    </row>
    <row r="677" spans="1:1" x14ac:dyDescent="0.2">
      <c r="A677" s="1135" t="str">
        <f>CONCATENATE(Programme!C678,Programme!D678,Programme!E678,Programme!F678,Programme!G678,Programme!H678,Programme!I678)</f>
        <v>&lt;ValeurCellule&gt;</v>
      </c>
    </row>
    <row r="678" spans="1:1" x14ac:dyDescent="0.2">
      <c r="A678" s="1135" t="str">
        <f>CONCATENATE(Programme!C679,Programme!D679,Programme!E679,Programme!F679,Programme!G679,Programme!H679,Programme!I679)</f>
        <v>&lt;cellule&gt;</v>
      </c>
    </row>
    <row r="679" spans="1:1" x14ac:dyDescent="0.2">
      <c r="A679" s="1135" t="str">
        <f>CONCATENATE(Programme!C680,Programme!D680,Programme!E680,Programme!F680,Programme!G680,Programme!H680,Programme!I680)</f>
        <v>&lt;codeEdi&gt;165&lt;/codeEdi&gt;</v>
      </c>
    </row>
    <row r="680" spans="1:1" x14ac:dyDescent="0.2">
      <c r="A680" s="1135" t="str">
        <f>CONCATENATE(Programme!C681,Programme!D681,Programme!E681,Programme!F681,Programme!G681,Programme!H681,Programme!I681)</f>
        <v>&lt;/cellule&gt;</v>
      </c>
    </row>
    <row r="681" spans="1:1" x14ac:dyDescent="0.2">
      <c r="A681" s="1135" t="str">
        <f>CONCATENATE(Programme!C682,Programme!D682,Programme!E682,Programme!F682,Programme!G682,Programme!H682,Programme!I682)</f>
        <v>&lt;valeur&gt;0&lt;/valeur&gt;</v>
      </c>
    </row>
    <row r="682" spans="1:1" x14ac:dyDescent="0.2">
      <c r="A682" s="1135" t="str">
        <f>CONCATENATE(Programme!C683,Programme!D683,Programme!E683,Programme!F683,Programme!G683,Programme!H683,Programme!I683)</f>
        <v>&lt;/ValeurCellule&gt;</v>
      </c>
    </row>
    <row r="683" spans="1:1" x14ac:dyDescent="0.2">
      <c r="A683" s="1135" t="str">
        <f>CONCATENATE(Programme!C684,Programme!D684,Programme!E684,Programme!F684,Programme!G684,Programme!H684,Programme!I684)</f>
        <v>&lt;ValeurCellule&gt;</v>
      </c>
    </row>
    <row r="684" spans="1:1" x14ac:dyDescent="0.2">
      <c r="A684" s="1135" t="str">
        <f>CONCATENATE(Programme!C685,Programme!D685,Programme!E685,Programme!F685,Programme!G685,Programme!H685,Programme!I685)</f>
        <v>&lt;cellule&gt;</v>
      </c>
    </row>
    <row r="685" spans="1:1" x14ac:dyDescent="0.2">
      <c r="A685" s="1135" t="str">
        <f>CONCATENATE(Programme!C686,Programme!D686,Programme!E686,Programme!F686,Programme!G686,Programme!H686,Programme!I686)</f>
        <v>&lt;codeEdi&gt;166&lt;/codeEdi&gt;</v>
      </c>
    </row>
    <row r="686" spans="1:1" x14ac:dyDescent="0.2">
      <c r="A686" s="1135" t="str">
        <f>CONCATENATE(Programme!C687,Programme!D687,Programme!E687,Programme!F687,Programme!G687,Programme!H687,Programme!I687)</f>
        <v>&lt;/cellule&gt;</v>
      </c>
    </row>
    <row r="687" spans="1:1" x14ac:dyDescent="0.2">
      <c r="A687" s="1135" t="str">
        <f>CONCATENATE(Programme!C688,Programme!D688,Programme!E688,Programme!F688,Programme!G688,Programme!H688,Programme!I688)</f>
        <v>&lt;valeur&gt;0&lt;/valeur&gt;</v>
      </c>
    </row>
    <row r="688" spans="1:1" x14ac:dyDescent="0.2">
      <c r="A688" s="1135" t="str">
        <f>CONCATENATE(Programme!C689,Programme!D689,Programme!E689,Programme!F689,Programme!G689,Programme!H689,Programme!I689)</f>
        <v>&lt;/ValeurCellule&gt;</v>
      </c>
    </row>
    <row r="689" spans="1:1" x14ac:dyDescent="0.2">
      <c r="A689" s="1135" t="str">
        <f>CONCATENATE(Programme!C690,Programme!D690,Programme!E690,Programme!F690,Programme!G690,Programme!H690,Programme!I690)</f>
        <v>&lt;ValeurCellule&gt;</v>
      </c>
    </row>
    <row r="690" spans="1:1" x14ac:dyDescent="0.2">
      <c r="A690" s="1135" t="str">
        <f>CONCATENATE(Programme!C691,Programme!D691,Programme!E691,Programme!F691,Programme!G691,Programme!H691,Programme!I691)</f>
        <v>&lt;cellule&gt;</v>
      </c>
    </row>
    <row r="691" spans="1:1" x14ac:dyDescent="0.2">
      <c r="A691" s="1135" t="str">
        <f>CONCATENATE(Programme!C692,Programme!D692,Programme!E692,Programme!F692,Programme!G692,Programme!H692,Programme!I692)</f>
        <v>&lt;codeEdi&gt;167&lt;/codeEdi&gt;</v>
      </c>
    </row>
    <row r="692" spans="1:1" x14ac:dyDescent="0.2">
      <c r="A692" s="1135" t="str">
        <f>CONCATENATE(Programme!C693,Programme!D693,Programme!E693,Programme!F693,Programme!G693,Programme!H693,Programme!I693)</f>
        <v>&lt;/cellule&gt;</v>
      </c>
    </row>
    <row r="693" spans="1:1" x14ac:dyDescent="0.2">
      <c r="A693" s="1135" t="str">
        <f>CONCATENATE(Programme!C694,Programme!D694,Programme!E694,Programme!F694,Programme!G694,Programme!H694,Programme!I694)</f>
        <v>&lt;valeur&gt;0&lt;/valeur&gt;</v>
      </c>
    </row>
    <row r="694" spans="1:1" x14ac:dyDescent="0.2">
      <c r="A694" s="1135" t="str">
        <f>CONCATENATE(Programme!C695,Programme!D695,Programme!E695,Programme!F695,Programme!G695,Programme!H695,Programme!I695)</f>
        <v>&lt;/ValeurCellule&gt;</v>
      </c>
    </row>
    <row r="695" spans="1:1" x14ac:dyDescent="0.2">
      <c r="A695" s="1135" t="str">
        <f>CONCATENATE(Programme!C696,Programme!D696,Programme!E696,Programme!F696,Programme!G696,Programme!H696,Programme!I696)</f>
        <v>&lt;ValeurCellule&gt;</v>
      </c>
    </row>
    <row r="696" spans="1:1" x14ac:dyDescent="0.2">
      <c r="A696" s="1135" t="str">
        <f>CONCATENATE(Programme!C697,Programme!D697,Programme!E697,Programme!F697,Programme!G697,Programme!H697,Programme!I697)</f>
        <v>&lt;cellule&gt;</v>
      </c>
    </row>
    <row r="697" spans="1:1" x14ac:dyDescent="0.2">
      <c r="A697" s="1135" t="str">
        <f>CONCATENATE(Programme!C698,Programme!D698,Programme!E698,Programme!F698,Programme!G698,Programme!H698,Programme!I698)</f>
        <v>&lt;codeEdi&gt;168&lt;/codeEdi&gt;</v>
      </c>
    </row>
    <row r="698" spans="1:1" x14ac:dyDescent="0.2">
      <c r="A698" s="1135" t="str">
        <f>CONCATENATE(Programme!C699,Programme!D699,Programme!E699,Programme!F699,Programme!G699,Programme!H699,Programme!I699)</f>
        <v>&lt;/cellule&gt;</v>
      </c>
    </row>
    <row r="699" spans="1:1" x14ac:dyDescent="0.2">
      <c r="A699" s="1135" t="str">
        <f>CONCATENATE(Programme!C700,Programme!D700,Programme!E700,Programme!F700,Programme!G700,Programme!H700,Programme!I700)</f>
        <v>&lt;valeur&gt;0&lt;/valeur&gt;</v>
      </c>
    </row>
    <row r="700" spans="1:1" x14ac:dyDescent="0.2">
      <c r="A700" s="1135" t="str">
        <f>CONCATENATE(Programme!C701,Programme!D701,Programme!E701,Programme!F701,Programme!G701,Programme!H701,Programme!I701)</f>
        <v>&lt;/ValeurCellule&gt;</v>
      </c>
    </row>
    <row r="701" spans="1:1" x14ac:dyDescent="0.2">
      <c r="A701" s="1135" t="str">
        <f>CONCATENATE(Programme!C702,Programme!D702,Programme!E702,Programme!F702,Programme!G702,Programme!H702,Programme!I702)</f>
        <v>&lt;ValeurCellule&gt;</v>
      </c>
    </row>
    <row r="702" spans="1:1" x14ac:dyDescent="0.2">
      <c r="A702" s="1135" t="str">
        <f>CONCATENATE(Programme!C703,Programme!D703,Programme!E703,Programme!F703,Programme!G703,Programme!H703,Programme!I703)</f>
        <v>&lt;cellule&gt;</v>
      </c>
    </row>
    <row r="703" spans="1:1" x14ac:dyDescent="0.2">
      <c r="A703" s="1135" t="str">
        <f>CONCATENATE(Programme!C704,Programme!D704,Programme!E704,Programme!F704,Programme!G704,Programme!H704,Programme!I704)</f>
        <v>&lt;codeEdi&gt;169&lt;/codeEdi&gt;</v>
      </c>
    </row>
    <row r="704" spans="1:1" x14ac:dyDescent="0.2">
      <c r="A704" s="1135" t="str">
        <f>CONCATENATE(Programme!C705,Programme!D705,Programme!E705,Programme!F705,Programme!G705,Programme!H705,Programme!I705)</f>
        <v>&lt;/cellule&gt;</v>
      </c>
    </row>
    <row r="705" spans="1:1" x14ac:dyDescent="0.2">
      <c r="A705" s="1135" t="str">
        <f>CONCATENATE(Programme!C706,Programme!D706,Programme!E706,Programme!F706,Programme!G706,Programme!H706,Programme!I706)</f>
        <v>&lt;valeur&gt;0&lt;/valeur&gt;</v>
      </c>
    </row>
    <row r="706" spans="1:1" x14ac:dyDescent="0.2">
      <c r="A706" s="1135" t="str">
        <f>CONCATENATE(Programme!C707,Programme!D707,Programme!E707,Programme!F707,Programme!G707,Programme!H707,Programme!I707)</f>
        <v>&lt;/ValeurCellule&gt;</v>
      </c>
    </row>
    <row r="707" spans="1:1" x14ac:dyDescent="0.2">
      <c r="A707" s="1135" t="str">
        <f>CONCATENATE(Programme!C708,Programme!D708,Programme!E708,Programme!F708,Programme!G708,Programme!H708,Programme!I708)</f>
        <v>&lt;ValeurCellule&gt;</v>
      </c>
    </row>
    <row r="708" spans="1:1" x14ac:dyDescent="0.2">
      <c r="A708" s="1135" t="str">
        <f>CONCATENATE(Programme!C709,Programme!D709,Programme!E709,Programme!F709,Programme!G709,Programme!H709,Programme!I709)</f>
        <v>&lt;cellule&gt;</v>
      </c>
    </row>
    <row r="709" spans="1:1" x14ac:dyDescent="0.2">
      <c r="A709" s="1135" t="str">
        <f>CONCATENATE(Programme!C710,Programme!D710,Programme!E710,Programme!F710,Programme!G710,Programme!H710,Programme!I710)</f>
        <v>&lt;codeEdi&gt;523&lt;/codeEdi&gt;</v>
      </c>
    </row>
    <row r="710" spans="1:1" x14ac:dyDescent="0.2">
      <c r="A710" s="1135" t="str">
        <f>CONCATENATE(Programme!C711,Programme!D711,Programme!E711,Programme!F711,Programme!G711,Programme!H711,Programme!I711)</f>
        <v>&lt;/cellule&gt;</v>
      </c>
    </row>
    <row r="711" spans="1:1" x14ac:dyDescent="0.2">
      <c r="A711" s="1135" t="str">
        <f>CONCATENATE(Programme!C712,Programme!D712,Programme!E712,Programme!F712,Programme!G712,Programme!H712,Programme!I712)</f>
        <v>&lt;valeur&gt;0&lt;/valeur&gt;</v>
      </c>
    </row>
    <row r="712" spans="1:1" x14ac:dyDescent="0.2">
      <c r="A712" s="1135" t="str">
        <f>CONCATENATE(Programme!C713,Programme!D713,Programme!E713,Programme!F713,Programme!G713,Programme!H713,Programme!I713)</f>
        <v>&lt;/ValeurCellule&gt;</v>
      </c>
    </row>
    <row r="713" spans="1:1" x14ac:dyDescent="0.2">
      <c r="A713" s="1135" t="str">
        <f>CONCATENATE(Programme!C714,Programme!D714,Programme!E714,Programme!F714,Programme!G714,Programme!H714,Programme!I714)</f>
        <v>&lt;ValeurCellule&gt;</v>
      </c>
    </row>
    <row r="714" spans="1:1" x14ac:dyDescent="0.2">
      <c r="A714" s="1135" t="str">
        <f>CONCATENATE(Programme!C715,Programme!D715,Programme!E715,Programme!F715,Programme!G715,Programme!H715,Programme!I715)</f>
        <v>&lt;cellule&gt;</v>
      </c>
    </row>
    <row r="715" spans="1:1" x14ac:dyDescent="0.2">
      <c r="A715" s="1135" t="str">
        <f>CONCATENATE(Programme!C716,Programme!D716,Programme!E716,Programme!F716,Programme!G716,Programme!H716,Programme!I716)</f>
        <v>&lt;codeEdi&gt;170&lt;/codeEdi&gt;</v>
      </c>
    </row>
    <row r="716" spans="1:1" x14ac:dyDescent="0.2">
      <c r="A716" s="1135" t="str">
        <f>CONCATENATE(Programme!C717,Programme!D717,Programme!E717,Programme!F717,Programme!G717,Programme!H717,Programme!I717)</f>
        <v>&lt;/cellule&gt;</v>
      </c>
    </row>
    <row r="717" spans="1:1" x14ac:dyDescent="0.2">
      <c r="A717" s="1135" t="str">
        <f>CONCATENATE(Programme!C718,Programme!D718,Programme!E718,Programme!F718,Programme!G718,Programme!H718,Programme!I718)</f>
        <v>&lt;valeur&gt;0&lt;/valeur&gt;</v>
      </c>
    </row>
    <row r="718" spans="1:1" x14ac:dyDescent="0.2">
      <c r="A718" s="1135" t="str">
        <f>CONCATENATE(Programme!C719,Programme!D719,Programme!E719,Programme!F719,Programme!G719,Programme!H719,Programme!I719)</f>
        <v>&lt;/ValeurCellule&gt;</v>
      </c>
    </row>
    <row r="719" spans="1:1" x14ac:dyDescent="0.2">
      <c r="A719" s="1135" t="str">
        <f>CONCATENATE(Programme!C720,Programme!D720,Programme!E720,Programme!F720,Programme!G720,Programme!H720,Programme!I720)</f>
        <v>&lt;ValeurCellule&gt;</v>
      </c>
    </row>
    <row r="720" spans="1:1" x14ac:dyDescent="0.2">
      <c r="A720" s="1135" t="str">
        <f>CONCATENATE(Programme!C721,Programme!D721,Programme!E721,Programme!F721,Programme!G721,Programme!H721,Programme!I721)</f>
        <v>&lt;cellule&gt;</v>
      </c>
    </row>
    <row r="721" spans="1:1" x14ac:dyDescent="0.2">
      <c r="A721" s="1135" t="str">
        <f>CONCATENATE(Programme!C722,Programme!D722,Programme!E722,Programme!F722,Programme!G722,Programme!H722,Programme!I722)</f>
        <v>&lt;codeEdi&gt;171&lt;/codeEdi&gt;</v>
      </c>
    </row>
    <row r="722" spans="1:1" x14ac:dyDescent="0.2">
      <c r="A722" s="1135" t="str">
        <f>CONCATENATE(Programme!C723,Programme!D723,Programme!E723,Programme!F723,Programme!G723,Programme!H723,Programme!I723)</f>
        <v>&lt;/cellule&gt;</v>
      </c>
    </row>
    <row r="723" spans="1:1" x14ac:dyDescent="0.2">
      <c r="A723" s="1135" t="str">
        <f>CONCATENATE(Programme!C724,Programme!D724,Programme!E724,Programme!F724,Programme!G724,Programme!H724,Programme!I724)</f>
        <v>&lt;valeur&gt;0&lt;/valeur&gt;</v>
      </c>
    </row>
    <row r="724" spans="1:1" x14ac:dyDescent="0.2">
      <c r="A724" s="1135" t="str">
        <f>CONCATENATE(Programme!C725,Programme!D725,Programme!E725,Programme!F725,Programme!G725,Programme!H725,Programme!I725)</f>
        <v>&lt;/ValeurCellule&gt;</v>
      </c>
    </row>
    <row r="725" spans="1:1" x14ac:dyDescent="0.2">
      <c r="A725" s="1135" t="str">
        <f>CONCATENATE(Programme!C726,Programme!D726,Programme!E726,Programme!F726,Programme!G726,Programme!H726,Programme!I726)</f>
        <v>&lt;ValeurCellule&gt;</v>
      </c>
    </row>
    <row r="726" spans="1:1" x14ac:dyDescent="0.2">
      <c r="A726" s="1135" t="str">
        <f>CONCATENATE(Programme!C727,Programme!D727,Programme!E727,Programme!F727,Programme!G727,Programme!H727,Programme!I727)</f>
        <v>&lt;cellule&gt;</v>
      </c>
    </row>
    <row r="727" spans="1:1" x14ac:dyDescent="0.2">
      <c r="A727" s="1135" t="str">
        <f>CONCATENATE(Programme!C728,Programme!D728,Programme!E728,Programme!F728,Programme!G728,Programme!H728,Programme!I728)</f>
        <v>&lt;codeEdi&gt;172&lt;/codeEdi&gt;</v>
      </c>
    </row>
    <row r="728" spans="1:1" x14ac:dyDescent="0.2">
      <c r="A728" s="1135" t="str">
        <f>CONCATENATE(Programme!C729,Programme!D729,Programme!E729,Programme!F729,Programme!G729,Programme!H729,Programme!I729)</f>
        <v>&lt;/cellule&gt;</v>
      </c>
    </row>
    <row r="729" spans="1:1" x14ac:dyDescent="0.2">
      <c r="A729" s="1135" t="str">
        <f>CONCATENATE(Programme!C730,Programme!D730,Programme!E730,Programme!F730,Programme!G730,Programme!H730,Programme!I730)</f>
        <v>&lt;valeur&gt;0&lt;/valeur&gt;</v>
      </c>
    </row>
    <row r="730" spans="1:1" x14ac:dyDescent="0.2">
      <c r="A730" s="1135" t="str">
        <f>CONCATENATE(Programme!C731,Programme!D731,Programme!E731,Programme!F731,Programme!G731,Programme!H731,Programme!I731)</f>
        <v>&lt;/ValeurCellule&gt;</v>
      </c>
    </row>
    <row r="731" spans="1:1" x14ac:dyDescent="0.2">
      <c r="A731" s="1135" t="str">
        <f>CONCATENATE(Programme!C732,Programme!D732,Programme!E732,Programme!F732,Programme!G732,Programme!H732,Programme!I732)</f>
        <v>&lt;ValeurCellule&gt;</v>
      </c>
    </row>
    <row r="732" spans="1:1" x14ac:dyDescent="0.2">
      <c r="A732" s="1135" t="str">
        <f>CONCATENATE(Programme!C733,Programme!D733,Programme!E733,Programme!F733,Programme!G733,Programme!H733,Programme!I733)</f>
        <v>&lt;cellule&gt;</v>
      </c>
    </row>
    <row r="733" spans="1:1" x14ac:dyDescent="0.2">
      <c r="A733" s="1135" t="str">
        <f>CONCATENATE(Programme!C734,Programme!D734,Programme!E734,Programme!F734,Programme!G734,Programme!H734,Programme!I734)</f>
        <v>&lt;codeEdi&gt;173&lt;/codeEdi&gt;</v>
      </c>
    </row>
    <row r="734" spans="1:1" x14ac:dyDescent="0.2">
      <c r="A734" s="1135" t="str">
        <f>CONCATENATE(Programme!C735,Programme!D735,Programme!E735,Programme!F735,Programme!G735,Programme!H735,Programme!I735)</f>
        <v>&lt;/cellule&gt;</v>
      </c>
    </row>
    <row r="735" spans="1:1" x14ac:dyDescent="0.2">
      <c r="A735" s="1135" t="str">
        <f>CONCATENATE(Programme!C736,Programme!D736,Programme!E736,Programme!F736,Programme!G736,Programme!H736,Programme!I736)</f>
        <v>&lt;valeur&gt;0&lt;/valeur&gt;</v>
      </c>
    </row>
    <row r="736" spans="1:1" x14ac:dyDescent="0.2">
      <c r="A736" s="1135" t="str">
        <f>CONCATENATE(Programme!C737,Programme!D737,Programme!E737,Programme!F737,Programme!G737,Programme!H737,Programme!I737)</f>
        <v>&lt;/ValeurCellule&gt;</v>
      </c>
    </row>
    <row r="737" spans="1:1" x14ac:dyDescent="0.2">
      <c r="A737" s="1135" t="str">
        <f>CONCATENATE(Programme!C738,Programme!D738,Programme!E738,Programme!F738,Programme!G738,Programme!H738,Programme!I738)</f>
        <v>&lt;ValeurCellule&gt;</v>
      </c>
    </row>
    <row r="738" spans="1:1" x14ac:dyDescent="0.2">
      <c r="A738" s="1135" t="str">
        <f>CONCATENATE(Programme!C739,Programme!D739,Programme!E739,Programme!F739,Programme!G739,Programme!H739,Programme!I739)</f>
        <v>&lt;cellule&gt;</v>
      </c>
    </row>
    <row r="739" spans="1:1" x14ac:dyDescent="0.2">
      <c r="A739" s="1135" t="str">
        <f>CONCATENATE(Programme!C740,Programme!D740,Programme!E740,Programme!F740,Programme!G740,Programme!H740,Programme!I740)</f>
        <v>&lt;codeEdi&gt;174&lt;/codeEdi&gt;</v>
      </c>
    </row>
    <row r="740" spans="1:1" x14ac:dyDescent="0.2">
      <c r="A740" s="1135" t="str">
        <f>CONCATENATE(Programme!C741,Programme!D741,Programme!E741,Programme!F741,Programme!G741,Programme!H741,Programme!I741)</f>
        <v>&lt;/cellule&gt;</v>
      </c>
    </row>
    <row r="741" spans="1:1" x14ac:dyDescent="0.2">
      <c r="A741" s="1135" t="str">
        <f>CONCATENATE(Programme!C742,Programme!D742,Programme!E742,Programme!F742,Programme!G742,Programme!H742,Programme!I742)</f>
        <v>&lt;valeur&gt;0&lt;/valeur&gt;</v>
      </c>
    </row>
    <row r="742" spans="1:1" x14ac:dyDescent="0.2">
      <c r="A742" s="1135" t="str">
        <f>CONCATENATE(Programme!C743,Programme!D743,Programme!E743,Programme!F743,Programme!G743,Programme!H743,Programme!I743)</f>
        <v>&lt;/ValeurCellule&gt;</v>
      </c>
    </row>
    <row r="743" spans="1:1" x14ac:dyDescent="0.2">
      <c r="A743" s="1135" t="str">
        <f>CONCATENATE(Programme!C744,Programme!D744,Programme!E744,Programme!F744,Programme!G744,Programme!H744,Programme!I744)</f>
        <v>&lt;ValeurCellule&gt;</v>
      </c>
    </row>
    <row r="744" spans="1:1" x14ac:dyDescent="0.2">
      <c r="A744" s="1135" t="str">
        <f>CONCATENATE(Programme!C745,Programme!D745,Programme!E745,Programme!F745,Programme!G745,Programme!H745,Programme!I745)</f>
        <v>&lt;cellule&gt;</v>
      </c>
    </row>
    <row r="745" spans="1:1" x14ac:dyDescent="0.2">
      <c r="A745" s="1135" t="str">
        <f>CONCATENATE(Programme!C746,Programme!D746,Programme!E746,Programme!F746,Programme!G746,Programme!H746,Programme!I746)</f>
        <v>&lt;codeEdi&gt;524&lt;/codeEdi&gt;</v>
      </c>
    </row>
    <row r="746" spans="1:1" x14ac:dyDescent="0.2">
      <c r="A746" s="1135" t="str">
        <f>CONCATENATE(Programme!C747,Programme!D747,Programme!E747,Programme!F747,Programme!G747,Programme!H747,Programme!I747)</f>
        <v>&lt;/cellule&gt;</v>
      </c>
    </row>
    <row r="747" spans="1:1" x14ac:dyDescent="0.2">
      <c r="A747" s="1135" t="str">
        <f>CONCATENATE(Programme!C748,Programme!D748,Programme!E748,Programme!F748,Programme!G748,Programme!H748,Programme!I748)</f>
        <v>&lt;valeur&gt;0&lt;/valeur&gt;</v>
      </c>
    </row>
    <row r="748" spans="1:1" x14ac:dyDescent="0.2">
      <c r="A748" s="1135" t="str">
        <f>CONCATENATE(Programme!C749,Programme!D749,Programme!E749,Programme!F749,Programme!G749,Programme!H749,Programme!I749)</f>
        <v>&lt;/ValeurCellule&gt;</v>
      </c>
    </row>
    <row r="749" spans="1:1" x14ac:dyDescent="0.2">
      <c r="A749" s="1135" t="str">
        <f>CONCATENATE(Programme!C750,Programme!D750,Programme!E750,Programme!F750,Programme!G750,Programme!H750,Programme!I750)</f>
        <v>&lt;ValeurCellule&gt;</v>
      </c>
    </row>
    <row r="750" spans="1:1" x14ac:dyDescent="0.2">
      <c r="A750" s="1135" t="str">
        <f>CONCATENATE(Programme!C751,Programme!D751,Programme!E751,Programme!F751,Programme!G751,Programme!H751,Programme!I751)</f>
        <v>&lt;cellule&gt;</v>
      </c>
    </row>
    <row r="751" spans="1:1" x14ac:dyDescent="0.2">
      <c r="A751" s="1135" t="str">
        <f>CONCATENATE(Programme!C752,Programme!D752,Programme!E752,Programme!F752,Programme!G752,Programme!H752,Programme!I752)</f>
        <v>&lt;codeEdi&gt;175&lt;/codeEdi&gt;</v>
      </c>
    </row>
    <row r="752" spans="1:1" x14ac:dyDescent="0.2">
      <c r="A752" s="1135" t="str">
        <f>CONCATENATE(Programme!C753,Programme!D753,Programme!E753,Programme!F753,Programme!G753,Programme!H753,Programme!I753)</f>
        <v>&lt;/cellule&gt;</v>
      </c>
    </row>
    <row r="753" spans="1:1" x14ac:dyDescent="0.2">
      <c r="A753" s="1135" t="str">
        <f>CONCATENATE(Programme!C754,Programme!D754,Programme!E754,Programme!F754,Programme!G754,Programme!H754,Programme!I754)</f>
        <v>&lt;valeur&gt;0&lt;/valeur&gt;</v>
      </c>
    </row>
    <row r="754" spans="1:1" x14ac:dyDescent="0.2">
      <c r="A754" s="1135" t="str">
        <f>CONCATENATE(Programme!C755,Programme!D755,Programme!E755,Programme!F755,Programme!G755,Programme!H755,Programme!I755)</f>
        <v>&lt;/ValeurCellule&gt;</v>
      </c>
    </row>
    <row r="755" spans="1:1" x14ac:dyDescent="0.2">
      <c r="A755" s="1135" t="str">
        <f>CONCATENATE(Programme!C756,Programme!D756,Programme!E756,Programme!F756,Programme!G756,Programme!H756,Programme!I756)</f>
        <v>&lt;ValeurCellule&gt;</v>
      </c>
    </row>
    <row r="756" spans="1:1" x14ac:dyDescent="0.2">
      <c r="A756" s="1135" t="str">
        <f>CONCATENATE(Programme!C757,Programme!D757,Programme!E757,Programme!F757,Programme!G757,Programme!H757,Programme!I757)</f>
        <v>&lt;cellule&gt;</v>
      </c>
    </row>
    <row r="757" spans="1:1" x14ac:dyDescent="0.2">
      <c r="A757" s="1135" t="str">
        <f>CONCATENATE(Programme!C758,Programme!D758,Programme!E758,Programme!F758,Programme!G758,Programme!H758,Programme!I758)</f>
        <v>&lt;codeEdi&gt;176&lt;/codeEdi&gt;</v>
      </c>
    </row>
    <row r="758" spans="1:1" x14ac:dyDescent="0.2">
      <c r="A758" s="1135" t="str">
        <f>CONCATENATE(Programme!C759,Programme!D759,Programme!E759,Programme!F759,Programme!G759,Programme!H759,Programme!I759)</f>
        <v>&lt;/cellule&gt;</v>
      </c>
    </row>
    <row r="759" spans="1:1" x14ac:dyDescent="0.2">
      <c r="A759" s="1135" t="str">
        <f>CONCATENATE(Programme!C760,Programme!D760,Programme!E760,Programme!F760,Programme!G760,Programme!H760,Programme!I760)</f>
        <v>&lt;valeur&gt;0&lt;/valeur&gt;</v>
      </c>
    </row>
    <row r="760" spans="1:1" x14ac:dyDescent="0.2">
      <c r="A760" s="1135" t="str">
        <f>CONCATENATE(Programme!C761,Programme!D761,Programme!E761,Programme!F761,Programme!G761,Programme!H761,Programme!I761)</f>
        <v>&lt;/ValeurCellule&gt;</v>
      </c>
    </row>
    <row r="761" spans="1:1" x14ac:dyDescent="0.2">
      <c r="A761" s="1135" t="str">
        <f>CONCATENATE(Programme!C762,Programme!D762,Programme!E762,Programme!F762,Programme!G762,Programme!H762,Programme!I762)</f>
        <v>&lt;ValeurCellule&gt;</v>
      </c>
    </row>
    <row r="762" spans="1:1" x14ac:dyDescent="0.2">
      <c r="A762" s="1135" t="str">
        <f>CONCATENATE(Programme!C763,Programme!D763,Programme!E763,Programme!F763,Programme!G763,Programme!H763,Programme!I763)</f>
        <v>&lt;cellule&gt;</v>
      </c>
    </row>
    <row r="763" spans="1:1" x14ac:dyDescent="0.2">
      <c r="A763" s="1135" t="str">
        <f>CONCATENATE(Programme!C764,Programme!D764,Programme!E764,Programme!F764,Programme!G764,Programme!H764,Programme!I764)</f>
        <v>&lt;codeEdi&gt;177&lt;/codeEdi&gt;</v>
      </c>
    </row>
    <row r="764" spans="1:1" x14ac:dyDescent="0.2">
      <c r="A764" s="1135" t="str">
        <f>CONCATENATE(Programme!C765,Programme!D765,Programme!E765,Programme!F765,Programme!G765,Programme!H765,Programme!I765)</f>
        <v>&lt;/cellule&gt;</v>
      </c>
    </row>
    <row r="765" spans="1:1" x14ac:dyDescent="0.2">
      <c r="A765" s="1135" t="str">
        <f>CONCATENATE(Programme!C766,Programme!D766,Programme!E766,Programme!F766,Programme!G766,Programme!H766,Programme!I766)</f>
        <v>&lt;valeur&gt;0&lt;/valeur&gt;</v>
      </c>
    </row>
    <row r="766" spans="1:1" x14ac:dyDescent="0.2">
      <c r="A766" s="1135" t="str">
        <f>CONCATENATE(Programme!C767,Programme!D767,Programme!E767,Programme!F767,Programme!G767,Programme!H767,Programme!I767)</f>
        <v>&lt;/ValeurCellule&gt;</v>
      </c>
    </row>
    <row r="767" spans="1:1" x14ac:dyDescent="0.2">
      <c r="A767" s="1135" t="str">
        <f>CONCATENATE(Programme!C768,Programme!D768,Programme!E768,Programme!F768,Programme!G768,Programme!H768,Programme!I768)</f>
        <v>&lt;ValeurCellule&gt;</v>
      </c>
    </row>
    <row r="768" spans="1:1" x14ac:dyDescent="0.2">
      <c r="A768" s="1135" t="str">
        <f>CONCATENATE(Programme!C769,Programme!D769,Programme!E769,Programme!F769,Programme!G769,Programme!H769,Programme!I769)</f>
        <v>&lt;cellule&gt;</v>
      </c>
    </row>
    <row r="769" spans="1:1" x14ac:dyDescent="0.2">
      <c r="A769" s="1135" t="str">
        <f>CONCATENATE(Programme!C770,Programme!D770,Programme!E770,Programme!F770,Programme!G770,Programme!H770,Programme!I770)</f>
        <v>&lt;codeEdi&gt;178&lt;/codeEdi&gt;</v>
      </c>
    </row>
    <row r="770" spans="1:1" x14ac:dyDescent="0.2">
      <c r="A770" s="1135" t="str">
        <f>CONCATENATE(Programme!C771,Programme!D771,Programme!E771,Programme!F771,Programme!G771,Programme!H771,Programme!I771)</f>
        <v>&lt;/cellule&gt;</v>
      </c>
    </row>
    <row r="771" spans="1:1" x14ac:dyDescent="0.2">
      <c r="A771" s="1135" t="str">
        <f>CONCATENATE(Programme!C772,Programme!D772,Programme!E772,Programme!F772,Programme!G772,Programme!H772,Programme!I772)</f>
        <v>&lt;valeur&gt;0&lt;/valeur&gt;</v>
      </c>
    </row>
    <row r="772" spans="1:1" x14ac:dyDescent="0.2">
      <c r="A772" s="1135" t="str">
        <f>CONCATENATE(Programme!C773,Programme!D773,Programme!E773,Programme!F773,Programme!G773,Programme!H773,Programme!I773)</f>
        <v>&lt;/ValeurCellule&gt;</v>
      </c>
    </row>
    <row r="773" spans="1:1" x14ac:dyDescent="0.2">
      <c r="A773" s="1135" t="str">
        <f>CONCATENATE(Programme!C774,Programme!D774,Programme!E774,Programme!F774,Programme!G774,Programme!H774,Programme!I774)</f>
        <v>&lt;ValeurCellule&gt;</v>
      </c>
    </row>
    <row r="774" spans="1:1" x14ac:dyDescent="0.2">
      <c r="A774" s="1135" t="str">
        <f>CONCATENATE(Programme!C775,Programme!D775,Programme!E775,Programme!F775,Programme!G775,Programme!H775,Programme!I775)</f>
        <v>&lt;cellule&gt;</v>
      </c>
    </row>
    <row r="775" spans="1:1" x14ac:dyDescent="0.2">
      <c r="A775" s="1135" t="str">
        <f>CONCATENATE(Programme!C776,Programme!D776,Programme!E776,Programme!F776,Programme!G776,Programme!H776,Programme!I776)</f>
        <v>&lt;codeEdi&gt;179&lt;/codeEdi&gt;</v>
      </c>
    </row>
    <row r="776" spans="1:1" x14ac:dyDescent="0.2">
      <c r="A776" s="1135" t="str">
        <f>CONCATENATE(Programme!C777,Programme!D777,Programme!E777,Programme!F777,Programme!G777,Programme!H777,Programme!I777)</f>
        <v>&lt;/cellule&gt;</v>
      </c>
    </row>
    <row r="777" spans="1:1" x14ac:dyDescent="0.2">
      <c r="A777" s="1135" t="str">
        <f>CONCATENATE(Programme!C778,Programme!D778,Programme!E778,Programme!F778,Programme!G778,Programme!H778,Programme!I778)</f>
        <v>&lt;valeur&gt;0&lt;/valeur&gt;</v>
      </c>
    </row>
    <row r="778" spans="1:1" x14ac:dyDescent="0.2">
      <c r="A778" s="1135" t="str">
        <f>CONCATENATE(Programme!C779,Programme!D779,Programme!E779,Programme!F779,Programme!G779,Programme!H779,Programme!I779)</f>
        <v>&lt;/ValeurCellule&gt;</v>
      </c>
    </row>
    <row r="779" spans="1:1" x14ac:dyDescent="0.2">
      <c r="A779" s="1135" t="str">
        <f>CONCATENATE(Programme!C780,Programme!D780,Programme!E780,Programme!F780,Programme!G780,Programme!H780,Programme!I780)</f>
        <v>&lt;ValeurCellule&gt;</v>
      </c>
    </row>
    <row r="780" spans="1:1" x14ac:dyDescent="0.2">
      <c r="A780" s="1135" t="str">
        <f>CONCATENATE(Programme!C781,Programme!D781,Programme!E781,Programme!F781,Programme!G781,Programme!H781,Programme!I781)</f>
        <v>&lt;cellule&gt;</v>
      </c>
    </row>
    <row r="781" spans="1:1" x14ac:dyDescent="0.2">
      <c r="A781" s="1135" t="str">
        <f>CONCATENATE(Programme!C782,Programme!D782,Programme!E782,Programme!F782,Programme!G782,Programme!H782,Programme!I782)</f>
        <v>&lt;codeEdi&gt;525&lt;/codeEdi&gt;</v>
      </c>
    </row>
    <row r="782" spans="1:1" x14ac:dyDescent="0.2">
      <c r="A782" s="1135" t="str">
        <f>CONCATENATE(Programme!C783,Programme!D783,Programme!E783,Programme!F783,Programme!G783,Programme!H783,Programme!I783)</f>
        <v>&lt;/cellule&gt;</v>
      </c>
    </row>
    <row r="783" spans="1:1" x14ac:dyDescent="0.2">
      <c r="A783" s="1135" t="str">
        <f>CONCATENATE(Programme!C784,Programme!D784,Programme!E784,Programme!F784,Programme!G784,Programme!H784,Programme!I784)</f>
        <v>&lt;valeur&gt;0&lt;/valeur&gt;</v>
      </c>
    </row>
    <row r="784" spans="1:1" x14ac:dyDescent="0.2">
      <c r="A784" s="1135" t="str">
        <f>CONCATENATE(Programme!C785,Programme!D785,Programme!E785,Programme!F785,Programme!G785,Programme!H785,Programme!I785)</f>
        <v>&lt;/ValeurCellule&gt;</v>
      </c>
    </row>
    <row r="785" spans="1:1" x14ac:dyDescent="0.2">
      <c r="A785" s="1135" t="str">
        <f>CONCATENATE(Programme!C786,Programme!D786,Programme!E786,Programme!F786,Programme!G786,Programme!H786,Programme!I786)</f>
        <v>&lt;ValeurCellule&gt;</v>
      </c>
    </row>
    <row r="786" spans="1:1" x14ac:dyDescent="0.2">
      <c r="A786" s="1135" t="str">
        <f>CONCATENATE(Programme!C787,Programme!D787,Programme!E787,Programme!F787,Programme!G787,Programme!H787,Programme!I787)</f>
        <v>&lt;cellule&gt;</v>
      </c>
    </row>
    <row r="787" spans="1:1" x14ac:dyDescent="0.2">
      <c r="A787" s="1135" t="str">
        <f>CONCATENATE(Programme!C788,Programme!D788,Programme!E788,Programme!F788,Programme!G788,Programme!H788,Programme!I788)</f>
        <v>&lt;codeEdi&gt;122&lt;/codeEdi&gt;</v>
      </c>
    </row>
    <row r="788" spans="1:1" x14ac:dyDescent="0.2">
      <c r="A788" s="1135" t="str">
        <f>CONCATENATE(Programme!C789,Programme!D789,Programme!E789,Programme!F789,Programme!G789,Programme!H789,Programme!I789)</f>
        <v>&lt;/cellule&gt;</v>
      </c>
    </row>
    <row r="789" spans="1:1" x14ac:dyDescent="0.2">
      <c r="A789" s="1135" t="str">
        <f>CONCATENATE(Programme!C790,Programme!D790,Programme!E790,Programme!F790,Programme!G790,Programme!H790,Programme!I790)</f>
        <v>&lt;valeur&gt;0&lt;/valeur&gt;</v>
      </c>
    </row>
    <row r="790" spans="1:1" x14ac:dyDescent="0.2">
      <c r="A790" s="1135" t="str">
        <f>CONCATENATE(Programme!C791,Programme!D791,Programme!E791,Programme!F791,Programme!G791,Programme!H791,Programme!I791)</f>
        <v>&lt;/ValeurCellule&gt;</v>
      </c>
    </row>
    <row r="791" spans="1:1" x14ac:dyDescent="0.2">
      <c r="A791" s="1135" t="str">
        <f>CONCATENATE(Programme!C792,Programme!D792,Programme!E792,Programme!F792,Programme!G792,Programme!H792,Programme!I792)</f>
        <v>&lt;ValeurCellule&gt;</v>
      </c>
    </row>
    <row r="792" spans="1:1" x14ac:dyDescent="0.2">
      <c r="A792" s="1135" t="str">
        <f>CONCATENATE(Programme!C793,Programme!D793,Programme!E793,Programme!F793,Programme!G793,Programme!H793,Programme!I793)</f>
        <v>&lt;cellule&gt;</v>
      </c>
    </row>
    <row r="793" spans="1:1" x14ac:dyDescent="0.2">
      <c r="A793" s="1135" t="str">
        <f>CONCATENATE(Programme!C794,Programme!D794,Programme!E794,Programme!F794,Programme!G794,Programme!H794,Programme!I794)</f>
        <v>&lt;codeEdi&gt;123&lt;/codeEdi&gt;</v>
      </c>
    </row>
    <row r="794" spans="1:1" x14ac:dyDescent="0.2">
      <c r="A794" s="1135" t="str">
        <f>CONCATENATE(Programme!C795,Programme!D795,Programme!E795,Programme!F795,Programme!G795,Programme!H795,Programme!I795)</f>
        <v>&lt;/cellule&gt;</v>
      </c>
    </row>
    <row r="795" spans="1:1" x14ac:dyDescent="0.2">
      <c r="A795" s="1135" t="str">
        <f>CONCATENATE(Programme!C796,Programme!D796,Programme!E796,Programme!F796,Programme!G796,Programme!H796,Programme!I796)</f>
        <v>&lt;valeur&gt;288000&lt;/valeur&gt;</v>
      </c>
    </row>
    <row r="796" spans="1:1" x14ac:dyDescent="0.2">
      <c r="A796" s="1135" t="str">
        <f>CONCATENATE(Programme!C797,Programme!D797,Programme!E797,Programme!F797,Programme!G797,Programme!H797,Programme!I797)</f>
        <v>&lt;/ValeurCellule&gt;</v>
      </c>
    </row>
    <row r="797" spans="1:1" x14ac:dyDescent="0.2">
      <c r="A797" s="1135" t="str">
        <f>CONCATENATE(Programme!C798,Programme!D798,Programme!E798,Programme!F798,Programme!G798,Programme!H798,Programme!I798)</f>
        <v>&lt;ValeurCellule&gt;</v>
      </c>
    </row>
    <row r="798" spans="1:1" x14ac:dyDescent="0.2">
      <c r="A798" s="1135" t="str">
        <f>CONCATENATE(Programme!C799,Programme!D799,Programme!E799,Programme!F799,Programme!G799,Programme!H799,Programme!I799)</f>
        <v>&lt;cellule&gt;</v>
      </c>
    </row>
    <row r="799" spans="1:1" x14ac:dyDescent="0.2">
      <c r="A799" s="1135" t="str">
        <f>CONCATENATE(Programme!C800,Programme!D800,Programme!E800,Programme!F800,Programme!G800,Programme!H800,Programme!I800)</f>
        <v>&lt;codeEdi&gt;124&lt;/codeEdi&gt;</v>
      </c>
    </row>
    <row r="800" spans="1:1" x14ac:dyDescent="0.2">
      <c r="A800" s="1135" t="str">
        <f>CONCATENATE(Programme!C801,Programme!D801,Programme!E801,Programme!F801,Programme!G801,Programme!H801,Programme!I801)</f>
        <v>&lt;/cellule&gt;</v>
      </c>
    </row>
    <row r="801" spans="1:1" x14ac:dyDescent="0.2">
      <c r="A801" s="1135" t="str">
        <f>CONCATENATE(Programme!C802,Programme!D802,Programme!E802,Programme!F802,Programme!G802,Programme!H802,Programme!I802)</f>
        <v>&lt;valeur&gt;0&lt;/valeur&gt;</v>
      </c>
    </row>
    <row r="802" spans="1:1" x14ac:dyDescent="0.2">
      <c r="A802" s="1135" t="str">
        <f>CONCATENATE(Programme!C803,Programme!D803,Programme!E803,Programme!F803,Programme!G803,Programme!H803,Programme!I803)</f>
        <v>&lt;/ValeurCellule&gt;</v>
      </c>
    </row>
    <row r="803" spans="1:1" x14ac:dyDescent="0.2">
      <c r="A803" s="1135" t="str">
        <f>CONCATENATE(Programme!C804,Programme!D804,Programme!E804,Programme!F804,Programme!G804,Programme!H804,Programme!I804)</f>
        <v>&lt;ValeurCellule&gt;</v>
      </c>
    </row>
    <row r="804" spans="1:1" x14ac:dyDescent="0.2">
      <c r="A804" s="1135" t="str">
        <f>CONCATENATE(Programme!C805,Programme!D805,Programme!E805,Programme!F805,Programme!G805,Programme!H805,Programme!I805)</f>
        <v>&lt;cellule&gt;</v>
      </c>
    </row>
    <row r="805" spans="1:1" x14ac:dyDescent="0.2">
      <c r="A805" s="1135" t="str">
        <f>CONCATENATE(Programme!C806,Programme!D806,Programme!E806,Programme!F806,Programme!G806,Programme!H806,Programme!I806)</f>
        <v>&lt;codeEdi&gt;125&lt;/codeEdi&gt;</v>
      </c>
    </row>
    <row r="806" spans="1:1" x14ac:dyDescent="0.2">
      <c r="A806" s="1135" t="str">
        <f>CONCATENATE(Programme!C807,Programme!D807,Programme!E807,Programme!F807,Programme!G807,Programme!H807,Programme!I807)</f>
        <v>&lt;/cellule&gt;</v>
      </c>
    </row>
    <row r="807" spans="1:1" x14ac:dyDescent="0.2">
      <c r="A807" s="1135" t="str">
        <f>CONCATENATE(Programme!C808,Programme!D808,Programme!E808,Programme!F808,Programme!G808,Programme!H808,Programme!I808)</f>
        <v>&lt;valeur&gt;20800,72&lt;/valeur&gt;</v>
      </c>
    </row>
    <row r="808" spans="1:1" x14ac:dyDescent="0.2">
      <c r="A808" s="1135" t="str">
        <f>CONCATENATE(Programme!C809,Programme!D809,Programme!E809,Programme!F809,Programme!G809,Programme!H809,Programme!I809)</f>
        <v>&lt;/ValeurCellule&gt;</v>
      </c>
    </row>
    <row r="809" spans="1:1" x14ac:dyDescent="0.2">
      <c r="A809" s="1135" t="str">
        <f>CONCATENATE(Programme!C810,Programme!D810,Programme!E810,Programme!F810,Programme!G810,Programme!H810,Programme!I810)</f>
        <v>&lt;ValeurCellule&gt;</v>
      </c>
    </row>
    <row r="810" spans="1:1" x14ac:dyDescent="0.2">
      <c r="A810" s="1135" t="str">
        <f>CONCATENATE(Programme!C811,Programme!D811,Programme!E811,Programme!F811,Programme!G811,Programme!H811,Programme!I811)</f>
        <v>&lt;cellule&gt;</v>
      </c>
    </row>
    <row r="811" spans="1:1" x14ac:dyDescent="0.2">
      <c r="A811" s="1135" t="str">
        <f>CONCATENATE(Programme!C812,Programme!D812,Programme!E812,Programme!F812,Programme!G812,Programme!H812,Programme!I812)</f>
        <v>&lt;codeEdi&gt;126&lt;/codeEdi&gt;</v>
      </c>
    </row>
    <row r="812" spans="1:1" x14ac:dyDescent="0.2">
      <c r="A812" s="1135" t="str">
        <f>CONCATENATE(Programme!C813,Programme!D813,Programme!E813,Programme!F813,Programme!G813,Programme!H813,Programme!I813)</f>
        <v>&lt;/cellule&gt;</v>
      </c>
    </row>
    <row r="813" spans="1:1" x14ac:dyDescent="0.2">
      <c r="A813" s="1135" t="str">
        <f>CONCATENATE(Programme!C814,Programme!D814,Programme!E814,Programme!F814,Programme!G814,Programme!H814,Programme!I814)</f>
        <v>&lt;valeur&gt;0&lt;/valeur&gt;</v>
      </c>
    </row>
    <row r="814" spans="1:1" x14ac:dyDescent="0.2">
      <c r="A814" s="1135" t="str">
        <f>CONCATENATE(Programme!C815,Programme!D815,Programme!E815,Programme!F815,Programme!G815,Programme!H815,Programme!I815)</f>
        <v>&lt;/ValeurCellule&gt;</v>
      </c>
    </row>
    <row r="815" spans="1:1" x14ac:dyDescent="0.2">
      <c r="A815" s="1135" t="str">
        <f>CONCATENATE(Programme!C816,Programme!D816,Programme!E816,Programme!F816,Programme!G816,Programme!H816,Programme!I816)</f>
        <v>&lt;ValeurCellule&gt;</v>
      </c>
    </row>
    <row r="816" spans="1:1" x14ac:dyDescent="0.2">
      <c r="A816" s="1135" t="str">
        <f>CONCATENATE(Programme!C817,Programme!D817,Programme!E817,Programme!F817,Programme!G817,Programme!H817,Programme!I817)</f>
        <v>&lt;cellule&gt;</v>
      </c>
    </row>
    <row r="817" spans="1:1" x14ac:dyDescent="0.2">
      <c r="A817" s="1135" t="str">
        <f>CONCATENATE(Programme!C818,Programme!D818,Programme!E818,Programme!F818,Programme!G818,Programme!H818,Programme!I818)</f>
        <v>&lt;codeEdi&gt;127&lt;/codeEdi&gt;</v>
      </c>
    </row>
    <row r="818" spans="1:1" x14ac:dyDescent="0.2">
      <c r="A818" s="1135" t="str">
        <f>CONCATENATE(Programme!C819,Programme!D819,Programme!E819,Programme!F819,Programme!G819,Programme!H819,Programme!I819)</f>
        <v>&lt;/cellule&gt;</v>
      </c>
    </row>
    <row r="819" spans="1:1" x14ac:dyDescent="0.2">
      <c r="A819" s="1135" t="str">
        <f>CONCATENATE(Programme!C820,Programme!D820,Programme!E820,Programme!F820,Programme!G820,Programme!H820,Programme!I820)</f>
        <v>&lt;valeur&gt;0&lt;/valeur&gt;</v>
      </c>
    </row>
    <row r="820" spans="1:1" x14ac:dyDescent="0.2">
      <c r="A820" s="1135" t="str">
        <f>CONCATENATE(Programme!C821,Programme!D821,Programme!E821,Programme!F821,Programme!G821,Programme!H821,Programme!I821)</f>
        <v>&lt;/ValeurCellule&gt;</v>
      </c>
    </row>
    <row r="821" spans="1:1" x14ac:dyDescent="0.2">
      <c r="A821" s="1135" t="str">
        <f>CONCATENATE(Programme!C822,Programme!D822,Programme!E822,Programme!F822,Programme!G822,Programme!H822,Programme!I822)</f>
        <v>&lt;ValeurCellule&gt;</v>
      </c>
    </row>
    <row r="822" spans="1:1" x14ac:dyDescent="0.2">
      <c r="A822" s="1135" t="str">
        <f>CONCATENATE(Programme!C823,Programme!D823,Programme!E823,Programme!F823,Programme!G823,Programme!H823,Programme!I823)</f>
        <v>&lt;cellule&gt;</v>
      </c>
    </row>
    <row r="823" spans="1:1" x14ac:dyDescent="0.2">
      <c r="A823" s="1135" t="str">
        <f>CONCATENATE(Programme!C824,Programme!D824,Programme!E824,Programme!F824,Programme!G824,Programme!H824,Programme!I824)</f>
        <v>&lt;codeEdi&gt;128&lt;/codeEdi&gt;</v>
      </c>
    </row>
    <row r="824" spans="1:1" x14ac:dyDescent="0.2">
      <c r="A824" s="1135" t="str">
        <f>CONCATENATE(Programme!C825,Programme!D825,Programme!E825,Programme!F825,Programme!G825,Programme!H825,Programme!I825)</f>
        <v>&lt;/cellule&gt;</v>
      </c>
    </row>
    <row r="825" spans="1:1" x14ac:dyDescent="0.2">
      <c r="A825" s="1135" t="str">
        <f>CONCATENATE(Programme!C826,Programme!D826,Programme!E826,Programme!F826,Programme!G826,Programme!H826,Programme!I826)</f>
        <v>&lt;valeur&gt;0&lt;/valeur&gt;</v>
      </c>
    </row>
    <row r="826" spans="1:1" x14ac:dyDescent="0.2">
      <c r="A826" s="1135" t="str">
        <f>CONCATENATE(Programme!C827,Programme!D827,Programme!E827,Programme!F827,Programme!G827,Programme!H827,Programme!I827)</f>
        <v>&lt;/ValeurCellule&gt;</v>
      </c>
    </row>
    <row r="827" spans="1:1" x14ac:dyDescent="0.2">
      <c r="A827" s="1135" t="str">
        <f>CONCATENATE(Programme!C828,Programme!D828,Programme!E828,Programme!F828,Programme!G828,Programme!H828,Programme!I828)</f>
        <v>&lt;ValeurCellule&gt;</v>
      </c>
    </row>
    <row r="828" spans="1:1" x14ac:dyDescent="0.2">
      <c r="A828" s="1135" t="str">
        <f>CONCATENATE(Programme!C829,Programme!D829,Programme!E829,Programme!F829,Programme!G829,Programme!H829,Programme!I829)</f>
        <v>&lt;cellule&gt;</v>
      </c>
    </row>
    <row r="829" spans="1:1" x14ac:dyDescent="0.2">
      <c r="A829" s="1135" t="str">
        <f>CONCATENATE(Programme!C830,Programme!D830,Programme!E830,Programme!F830,Programme!G830,Programme!H830,Programme!I830)</f>
        <v>&lt;codeEdi&gt;527&lt;/codeEdi&gt;</v>
      </c>
    </row>
    <row r="830" spans="1:1" x14ac:dyDescent="0.2">
      <c r="A830" s="1135" t="str">
        <f>CONCATENATE(Programme!C831,Programme!D831,Programme!E831,Programme!F831,Programme!G831,Programme!H831,Programme!I831)</f>
        <v>&lt;/cellule&gt;</v>
      </c>
    </row>
    <row r="831" spans="1:1" x14ac:dyDescent="0.2">
      <c r="A831" s="1135" t="str">
        <f>CONCATENATE(Programme!C832,Programme!D832,Programme!E832,Programme!F832,Programme!G832,Programme!H832,Programme!I832)</f>
        <v>&lt;valeur&gt;308800,72&lt;/valeur&gt;</v>
      </c>
    </row>
    <row r="832" spans="1:1" x14ac:dyDescent="0.2">
      <c r="A832" s="1135" t="str">
        <f>CONCATENATE(Programme!C833,Programme!D833,Programme!E833,Programme!F833,Programme!G833,Programme!H833,Programme!I833)</f>
        <v>&lt;/ValeurCellule&gt;</v>
      </c>
    </row>
    <row r="833" spans="1:1" x14ac:dyDescent="0.2">
      <c r="A833" s="1135" t="str">
        <f>CONCATENATE(Programme!C834,Programme!D834,Programme!E834,Programme!F834,Programme!G834,Programme!H834,Programme!I834)</f>
        <v>&lt;ValeurCellule&gt;</v>
      </c>
    </row>
    <row r="834" spans="1:1" x14ac:dyDescent="0.2">
      <c r="A834" s="1135" t="str">
        <f>CONCATENATE(Programme!C835,Programme!D835,Programme!E835,Programme!F835,Programme!G835,Programme!H835,Programme!I835)</f>
        <v>&lt;cellule&gt;</v>
      </c>
    </row>
    <row r="835" spans="1:1" x14ac:dyDescent="0.2">
      <c r="A835" s="1135" t="str">
        <f>CONCATENATE(Programme!C836,Programme!D836,Programme!E836,Programme!F836,Programme!G836,Programme!H836,Programme!I836)</f>
        <v>&lt;codeEdi&gt;129&lt;/codeEdi&gt;</v>
      </c>
    </row>
    <row r="836" spans="1:1" x14ac:dyDescent="0.2">
      <c r="A836" s="1135" t="str">
        <f>CONCATENATE(Programme!C837,Programme!D837,Programme!E837,Programme!F837,Programme!G837,Programme!H837,Programme!I837)</f>
        <v>&lt;/cellule&gt;</v>
      </c>
    </row>
    <row r="837" spans="1:1" x14ac:dyDescent="0.2">
      <c r="A837" s="1135" t="str">
        <f>CONCATENATE(Programme!C838,Programme!D838,Programme!E838,Programme!F838,Programme!G838,Programme!H838,Programme!I838)</f>
        <v>&lt;valeur&gt;0&lt;/valeur&gt;</v>
      </c>
    </row>
    <row r="838" spans="1:1" x14ac:dyDescent="0.2">
      <c r="A838" s="1135" t="str">
        <f>CONCATENATE(Programme!C839,Programme!D839,Programme!E839,Programme!F839,Programme!G839,Programme!H839,Programme!I839)</f>
        <v>&lt;/ValeurCellule&gt;</v>
      </c>
    </row>
    <row r="839" spans="1:1" x14ac:dyDescent="0.2">
      <c r="A839" s="1135" t="str">
        <f>CONCATENATE(Programme!C840,Programme!D840,Programme!E840,Programme!F840,Programme!G840,Programme!H840,Programme!I840)</f>
        <v>&lt;ValeurCellule&gt;</v>
      </c>
    </row>
    <row r="840" spans="1:1" x14ac:dyDescent="0.2">
      <c r="A840" s="1135" t="str">
        <f>CONCATENATE(Programme!C841,Programme!D841,Programme!E841,Programme!F841,Programme!G841,Programme!H841,Programme!I841)</f>
        <v>&lt;cellule&gt;</v>
      </c>
    </row>
    <row r="841" spans="1:1" x14ac:dyDescent="0.2">
      <c r="A841" s="1135" t="str">
        <f>CONCATENATE(Programme!C842,Programme!D842,Programme!E842,Programme!F842,Programme!G842,Programme!H842,Programme!I842)</f>
        <v>&lt;codeEdi&gt;130&lt;/codeEdi&gt;</v>
      </c>
    </row>
    <row r="842" spans="1:1" x14ac:dyDescent="0.2">
      <c r="A842" s="1135" t="str">
        <f>CONCATENATE(Programme!C843,Programme!D843,Programme!E843,Programme!F843,Programme!G843,Programme!H843,Programme!I843)</f>
        <v>&lt;/cellule&gt;</v>
      </c>
    </row>
    <row r="843" spans="1:1" x14ac:dyDescent="0.2">
      <c r="A843" s="1135" t="str">
        <f>CONCATENATE(Programme!C844,Programme!D844,Programme!E844,Programme!F844,Programme!G844,Programme!H844,Programme!I844)</f>
        <v>&lt;valeur&gt;0&lt;/valeur&gt;</v>
      </c>
    </row>
    <row r="844" spans="1:1" x14ac:dyDescent="0.2">
      <c r="A844" s="1135" t="str">
        <f>CONCATENATE(Programme!C845,Programme!D845,Programme!E845,Programme!F845,Programme!G845,Programme!H845,Programme!I845)</f>
        <v>&lt;/ValeurCellule&gt;</v>
      </c>
    </row>
    <row r="845" spans="1:1" x14ac:dyDescent="0.2">
      <c r="A845" s="1135" t="str">
        <f>CONCATENATE(Programme!C846,Programme!D846,Programme!E846,Programme!F846,Programme!G846,Programme!H846,Programme!I846)</f>
        <v>&lt;ValeurCellule&gt;</v>
      </c>
    </row>
    <row r="846" spans="1:1" x14ac:dyDescent="0.2">
      <c r="A846" s="1135" t="str">
        <f>CONCATENATE(Programme!C847,Programme!D847,Programme!E847,Programme!F847,Programme!G847,Programme!H847,Programme!I847)</f>
        <v>&lt;cellule&gt;</v>
      </c>
    </row>
    <row r="847" spans="1:1" x14ac:dyDescent="0.2">
      <c r="A847" s="1135" t="str">
        <f>CONCATENATE(Programme!C848,Programme!D848,Programme!E848,Programme!F848,Programme!G848,Programme!H848,Programme!I848)</f>
        <v>&lt;codeEdi&gt;131&lt;/codeEdi&gt;</v>
      </c>
    </row>
    <row r="848" spans="1:1" x14ac:dyDescent="0.2">
      <c r="A848" s="1135" t="str">
        <f>CONCATENATE(Programme!C849,Programme!D849,Programme!E849,Programme!F849,Programme!G849,Programme!H849,Programme!I849)</f>
        <v>&lt;/cellule&gt;</v>
      </c>
    </row>
    <row r="849" spans="1:1" x14ac:dyDescent="0.2">
      <c r="A849" s="1135" t="str">
        <f>CONCATENATE(Programme!C850,Programme!D850,Programme!E850,Programme!F850,Programme!G850,Programme!H850,Programme!I850)</f>
        <v>&lt;valeur&gt;0&lt;/valeur&gt;</v>
      </c>
    </row>
    <row r="850" spans="1:1" x14ac:dyDescent="0.2">
      <c r="A850" s="1135" t="str">
        <f>CONCATENATE(Programme!C851,Programme!D851,Programme!E851,Programme!F851,Programme!G851,Programme!H851,Programme!I851)</f>
        <v>&lt;/ValeurCellule&gt;</v>
      </c>
    </row>
    <row r="851" spans="1:1" x14ac:dyDescent="0.2">
      <c r="A851" s="1135" t="str">
        <f>CONCATENATE(Programme!C852,Programme!D852,Programme!E852,Programme!F852,Programme!G852,Programme!H852,Programme!I852)</f>
        <v>&lt;ValeurCellule&gt;</v>
      </c>
    </row>
    <row r="852" spans="1:1" x14ac:dyDescent="0.2">
      <c r="A852" s="1135" t="str">
        <f>CONCATENATE(Programme!C853,Programme!D853,Programme!E853,Programme!F853,Programme!G853,Programme!H853,Programme!I853)</f>
        <v>&lt;cellule&gt;</v>
      </c>
    </row>
    <row r="853" spans="1:1" x14ac:dyDescent="0.2">
      <c r="A853" s="1135" t="str">
        <f>CONCATENATE(Programme!C854,Programme!D854,Programme!E854,Programme!F854,Programme!G854,Programme!H854,Programme!I854)</f>
        <v>&lt;codeEdi&gt;132&lt;/codeEdi&gt;</v>
      </c>
    </row>
    <row r="854" spans="1:1" x14ac:dyDescent="0.2">
      <c r="A854" s="1135" t="str">
        <f>CONCATENATE(Programme!C855,Programme!D855,Programme!E855,Programme!F855,Programme!G855,Programme!H855,Programme!I855)</f>
        <v>&lt;/cellule&gt;</v>
      </c>
    </row>
    <row r="855" spans="1:1" x14ac:dyDescent="0.2">
      <c r="A855" s="1135" t="str">
        <f>CONCATENATE(Programme!C856,Programme!D856,Programme!E856,Programme!F856,Programme!G856,Programme!H856,Programme!I856)</f>
        <v>&lt;valeur&gt;0&lt;/valeur&gt;</v>
      </c>
    </row>
    <row r="856" spans="1:1" x14ac:dyDescent="0.2">
      <c r="A856" s="1135" t="str">
        <f>CONCATENATE(Programme!C857,Programme!D857,Programme!E857,Programme!F857,Programme!G857,Programme!H857,Programme!I857)</f>
        <v>&lt;/ValeurCellule&gt;</v>
      </c>
    </row>
    <row r="857" spans="1:1" x14ac:dyDescent="0.2">
      <c r="A857" s="1135" t="str">
        <f>CONCATENATE(Programme!C858,Programme!D858,Programme!E858,Programme!F858,Programme!G858,Programme!H858,Programme!I858)</f>
        <v>&lt;ValeurCellule&gt;</v>
      </c>
    </row>
    <row r="858" spans="1:1" x14ac:dyDescent="0.2">
      <c r="A858" s="1135" t="str">
        <f>CONCATENATE(Programme!C859,Programme!D859,Programme!E859,Programme!F859,Programme!G859,Programme!H859,Programme!I859)</f>
        <v>&lt;cellule&gt;</v>
      </c>
    </row>
    <row r="859" spans="1:1" x14ac:dyDescent="0.2">
      <c r="A859" s="1135" t="str">
        <f>CONCATENATE(Programme!C860,Programme!D860,Programme!E860,Programme!F860,Programme!G860,Programme!H860,Programme!I860)</f>
        <v>&lt;codeEdi&gt;133&lt;/codeEdi&gt;</v>
      </c>
    </row>
    <row r="860" spans="1:1" x14ac:dyDescent="0.2">
      <c r="A860" s="1135" t="str">
        <f>CONCATENATE(Programme!C861,Programme!D861,Programme!E861,Programme!F861,Programme!G861,Programme!H861,Programme!I861)</f>
        <v>&lt;/cellule&gt;</v>
      </c>
    </row>
    <row r="861" spans="1:1" x14ac:dyDescent="0.2">
      <c r="A861" s="1135" t="str">
        <f>CONCATENATE(Programme!C862,Programme!D862,Programme!E862,Programme!F862,Programme!G862,Programme!H862,Programme!I862)</f>
        <v>&lt;valeur&gt;0&lt;/valeur&gt;</v>
      </c>
    </row>
    <row r="862" spans="1:1" x14ac:dyDescent="0.2">
      <c r="A862" s="1135" t="str">
        <f>CONCATENATE(Programme!C863,Programme!D863,Programme!E863,Programme!F863,Programme!G863,Programme!H863,Programme!I863)</f>
        <v>&lt;/ValeurCellule&gt;</v>
      </c>
    </row>
    <row r="863" spans="1:1" x14ac:dyDescent="0.2">
      <c r="A863" s="1135" t="str">
        <f>CONCATENATE(Programme!C864,Programme!D864,Programme!E864,Programme!F864,Programme!G864,Programme!H864,Programme!I864)</f>
        <v>&lt;ValeurCellule&gt;</v>
      </c>
    </row>
    <row r="864" spans="1:1" x14ac:dyDescent="0.2">
      <c r="A864" s="1135" t="str">
        <f>CONCATENATE(Programme!C865,Programme!D865,Programme!E865,Programme!F865,Programme!G865,Programme!H865,Programme!I865)</f>
        <v>&lt;cellule&gt;</v>
      </c>
    </row>
    <row r="865" spans="1:1" x14ac:dyDescent="0.2">
      <c r="A865" s="1135" t="str">
        <f>CONCATENATE(Programme!C866,Programme!D866,Programme!E866,Programme!F866,Programme!G866,Programme!H866,Programme!I866)</f>
        <v>&lt;codeEdi&gt;134&lt;/codeEdi&gt;</v>
      </c>
    </row>
    <row r="866" spans="1:1" x14ac:dyDescent="0.2">
      <c r="A866" s="1135" t="str">
        <f>CONCATENATE(Programme!C867,Programme!D867,Programme!E867,Programme!F867,Programme!G867,Programme!H867,Programme!I867)</f>
        <v>&lt;/cellule&gt;</v>
      </c>
    </row>
    <row r="867" spans="1:1" x14ac:dyDescent="0.2">
      <c r="A867" s="1135" t="str">
        <f>CONCATENATE(Programme!C868,Programme!D868,Programme!E868,Programme!F868,Programme!G868,Programme!H868,Programme!I868)</f>
        <v>&lt;valeur&gt;0&lt;/valeur&gt;</v>
      </c>
    </row>
    <row r="868" spans="1:1" x14ac:dyDescent="0.2">
      <c r="A868" s="1135" t="str">
        <f>CONCATENATE(Programme!C869,Programme!D869,Programme!E869,Programme!F869,Programme!G869,Programme!H869,Programme!I869)</f>
        <v>&lt;/ValeurCellule&gt;</v>
      </c>
    </row>
    <row r="869" spans="1:1" x14ac:dyDescent="0.2">
      <c r="A869" s="1135" t="str">
        <f>CONCATENATE(Programme!C870,Programme!D870,Programme!E870,Programme!F870,Programme!G870,Programme!H870,Programme!I870)</f>
        <v>&lt;ValeurCellule&gt;</v>
      </c>
    </row>
    <row r="870" spans="1:1" x14ac:dyDescent="0.2">
      <c r="A870" s="1135" t="str">
        <f>CONCATENATE(Programme!C871,Programme!D871,Programme!E871,Programme!F871,Programme!G871,Programme!H871,Programme!I871)</f>
        <v>&lt;cellule&gt;</v>
      </c>
    </row>
    <row r="871" spans="1:1" x14ac:dyDescent="0.2">
      <c r="A871" s="1135" t="str">
        <f>CONCATENATE(Programme!C872,Programme!D872,Programme!E872,Programme!F872,Programme!G872,Programme!H872,Programme!I872)</f>
        <v>&lt;codeEdi&gt;135&lt;/codeEdi&gt;</v>
      </c>
    </row>
    <row r="872" spans="1:1" x14ac:dyDescent="0.2">
      <c r="A872" s="1135" t="str">
        <f>CONCATENATE(Programme!C873,Programme!D873,Programme!E873,Programme!F873,Programme!G873,Programme!H873,Programme!I873)</f>
        <v>&lt;/cellule&gt;</v>
      </c>
    </row>
    <row r="873" spans="1:1" x14ac:dyDescent="0.2">
      <c r="A873" s="1135" t="str">
        <f>CONCATENATE(Programme!C874,Programme!D874,Programme!E874,Programme!F874,Programme!G874,Programme!H874,Programme!I874)</f>
        <v>&lt;valeur&gt;0&lt;/valeur&gt;</v>
      </c>
    </row>
    <row r="874" spans="1:1" x14ac:dyDescent="0.2">
      <c r="A874" s="1135" t="str">
        <f>CONCATENATE(Programme!C875,Programme!D875,Programme!E875,Programme!F875,Programme!G875,Programme!H875,Programme!I875)</f>
        <v>&lt;/ValeurCellule&gt;</v>
      </c>
    </row>
    <row r="875" spans="1:1" x14ac:dyDescent="0.2">
      <c r="A875" s="1135" t="str">
        <f>CONCATENATE(Programme!C876,Programme!D876,Programme!E876,Programme!F876,Programme!G876,Programme!H876,Programme!I876)</f>
        <v>&lt;ValeurCellule&gt;</v>
      </c>
    </row>
    <row r="876" spans="1:1" x14ac:dyDescent="0.2">
      <c r="A876" s="1135" t="str">
        <f>CONCATENATE(Programme!C877,Programme!D877,Programme!E877,Programme!F877,Programme!G877,Programme!H877,Programme!I877)</f>
        <v>&lt;cellule&gt;</v>
      </c>
    </row>
    <row r="877" spans="1:1" x14ac:dyDescent="0.2">
      <c r="A877" s="1135" t="str">
        <f>CONCATENATE(Programme!C878,Programme!D878,Programme!E878,Programme!F878,Programme!G878,Programme!H878,Programme!I878)</f>
        <v>&lt;codeEdi&gt;528&lt;/codeEdi&gt;</v>
      </c>
    </row>
    <row r="878" spans="1:1" x14ac:dyDescent="0.2">
      <c r="A878" s="1135" t="str">
        <f>CONCATENATE(Programme!C879,Programme!D879,Programme!E879,Programme!F879,Programme!G879,Programme!H879,Programme!I879)</f>
        <v>&lt;/cellule&gt;</v>
      </c>
    </row>
    <row r="879" spans="1:1" x14ac:dyDescent="0.2">
      <c r="A879" s="1135" t="str">
        <f>CONCATENATE(Programme!C880,Programme!D880,Programme!E880,Programme!F880,Programme!G880,Programme!H880,Programme!I880)</f>
        <v>&lt;valeur&gt;0&lt;/valeur&gt;</v>
      </c>
    </row>
    <row r="880" spans="1:1" x14ac:dyDescent="0.2">
      <c r="A880" s="1135" t="str">
        <f>CONCATENATE(Programme!C881,Programme!D881,Programme!E881,Programme!F881,Programme!G881,Programme!H881,Programme!I881)</f>
        <v>&lt;/ValeurCellule&gt;</v>
      </c>
    </row>
    <row r="881" spans="1:1" x14ac:dyDescent="0.2">
      <c r="A881" s="1135" t="str">
        <f>CONCATENATE(Programme!C882,Programme!D882,Programme!E882,Programme!F882,Programme!G882,Programme!H882,Programme!I882)</f>
        <v>&lt;ValeurCellule&gt;</v>
      </c>
    </row>
    <row r="882" spans="1:1" x14ac:dyDescent="0.2">
      <c r="A882" s="1135" t="str">
        <f>CONCATENATE(Programme!C883,Programme!D883,Programme!E883,Programme!F883,Programme!G883,Programme!H883,Programme!I883)</f>
        <v>&lt;cellule&gt;</v>
      </c>
    </row>
    <row r="883" spans="1:1" x14ac:dyDescent="0.2">
      <c r="A883" s="1135" t="str">
        <f>CONCATENATE(Programme!C884,Programme!D884,Programme!E884,Programme!F884,Programme!G884,Programme!H884,Programme!I884)</f>
        <v>&lt;codeEdi&gt;141&lt;/codeEdi&gt;</v>
      </c>
    </row>
    <row r="884" spans="1:1" x14ac:dyDescent="0.2">
      <c r="A884" s="1135" t="str">
        <f>CONCATENATE(Programme!C885,Programme!D885,Programme!E885,Programme!F885,Programme!G885,Programme!H885,Programme!I885)</f>
        <v>&lt;/cellule&gt;</v>
      </c>
    </row>
    <row r="885" spans="1:1" x14ac:dyDescent="0.2">
      <c r="A885" s="1135" t="str">
        <f>CONCATENATE(Programme!C886,Programme!D886,Programme!E886,Programme!F886,Programme!G886,Programme!H886,Programme!I886)</f>
        <v>&lt;valeur&gt;0&lt;/valeur&gt;</v>
      </c>
    </row>
    <row r="886" spans="1:1" x14ac:dyDescent="0.2">
      <c r="A886" s="1135" t="str">
        <f>CONCATENATE(Programme!C887,Programme!D887,Programme!E887,Programme!F887,Programme!G887,Programme!H887,Programme!I887)</f>
        <v>&lt;/ValeurCellule&gt;</v>
      </c>
    </row>
    <row r="887" spans="1:1" x14ac:dyDescent="0.2">
      <c r="A887" s="1135" t="str">
        <f>CONCATENATE(Programme!C888,Programme!D888,Programme!E888,Programme!F888,Programme!G888,Programme!H888,Programme!I888)</f>
        <v>&lt;ValeurCellule&gt;</v>
      </c>
    </row>
    <row r="888" spans="1:1" x14ac:dyDescent="0.2">
      <c r="A888" s="1135" t="str">
        <f>CONCATENATE(Programme!C889,Programme!D889,Programme!E889,Programme!F889,Programme!G889,Programme!H889,Programme!I889)</f>
        <v>&lt;cellule&gt;</v>
      </c>
    </row>
    <row r="889" spans="1:1" x14ac:dyDescent="0.2">
      <c r="A889" s="1135" t="str">
        <f>CONCATENATE(Programme!C890,Programme!D890,Programme!E890,Programme!F890,Programme!G890,Programme!H890,Programme!I890)</f>
        <v>&lt;codeEdi&gt;142&lt;/codeEdi&gt;</v>
      </c>
    </row>
    <row r="890" spans="1:1" x14ac:dyDescent="0.2">
      <c r="A890" s="1135" t="str">
        <f>CONCATENATE(Programme!C891,Programme!D891,Programme!E891,Programme!F891,Programme!G891,Programme!H891,Programme!I891)</f>
        <v>&lt;/cellule&gt;</v>
      </c>
    </row>
    <row r="891" spans="1:1" x14ac:dyDescent="0.2">
      <c r="A891" s="1135" t="str">
        <f>CONCATENATE(Programme!C892,Programme!D892,Programme!E892,Programme!F892,Programme!G892,Programme!H892,Programme!I892)</f>
        <v>&lt;valeur&gt;0&lt;/valeur&gt;</v>
      </c>
    </row>
    <row r="892" spans="1:1" x14ac:dyDescent="0.2">
      <c r="A892" s="1135" t="str">
        <f>CONCATENATE(Programme!C893,Programme!D893,Programme!E893,Programme!F893,Programme!G893,Programme!H893,Programme!I893)</f>
        <v>&lt;/ValeurCellule&gt;</v>
      </c>
    </row>
    <row r="893" spans="1:1" x14ac:dyDescent="0.2">
      <c r="A893" s="1135" t="str">
        <f>CONCATENATE(Programme!C894,Programme!D894,Programme!E894,Programme!F894,Programme!G894,Programme!H894,Programme!I894)</f>
        <v>&lt;ValeurCellule&gt;</v>
      </c>
    </row>
    <row r="894" spans="1:1" x14ac:dyDescent="0.2">
      <c r="A894" s="1135" t="str">
        <f>CONCATENATE(Programme!C895,Programme!D895,Programme!E895,Programme!F895,Programme!G895,Programme!H895,Programme!I895)</f>
        <v>&lt;cellule&gt;</v>
      </c>
    </row>
    <row r="895" spans="1:1" x14ac:dyDescent="0.2">
      <c r="A895" s="1135" t="str">
        <f>CONCATENATE(Programme!C896,Programme!D896,Programme!E896,Programme!F896,Programme!G896,Programme!H896,Programme!I896)</f>
        <v>&lt;codeEdi&gt;136&lt;/codeEdi&gt;</v>
      </c>
    </row>
    <row r="896" spans="1:1" x14ac:dyDescent="0.2">
      <c r="A896" s="1135" t="str">
        <f>CONCATENATE(Programme!C897,Programme!D897,Programme!E897,Programme!F897,Programme!G897,Programme!H897,Programme!I897)</f>
        <v>&lt;/cellule&gt;</v>
      </c>
    </row>
    <row r="897" spans="1:1" x14ac:dyDescent="0.2">
      <c r="A897" s="1135" t="str">
        <f>CONCATENATE(Programme!C898,Programme!D898,Programme!E898,Programme!F898,Programme!G898,Programme!H898,Programme!I898)</f>
        <v>&lt;valeur&gt;0&lt;/valeur&gt;</v>
      </c>
    </row>
    <row r="898" spans="1:1" x14ac:dyDescent="0.2">
      <c r="A898" s="1135" t="str">
        <f>CONCATENATE(Programme!C899,Programme!D899,Programme!E899,Programme!F899,Programme!G899,Programme!H899,Programme!I899)</f>
        <v>&lt;/ValeurCellule&gt;</v>
      </c>
    </row>
    <row r="899" spans="1:1" x14ac:dyDescent="0.2">
      <c r="A899" s="1135" t="str">
        <f>CONCATENATE(Programme!C900,Programme!D900,Programme!E900,Programme!F900,Programme!G900,Programme!H900,Programme!I900)</f>
        <v>&lt;ValeurCellule&gt;</v>
      </c>
    </row>
    <row r="900" spans="1:1" x14ac:dyDescent="0.2">
      <c r="A900" s="1135" t="str">
        <f>CONCATENATE(Programme!C901,Programme!D901,Programme!E901,Programme!F901,Programme!G901,Programme!H901,Programme!I901)</f>
        <v>&lt;cellule&gt;</v>
      </c>
    </row>
    <row r="901" spans="1:1" x14ac:dyDescent="0.2">
      <c r="A901" s="1135" t="str">
        <f>CONCATENATE(Programme!C902,Programme!D902,Programme!E902,Programme!F902,Programme!G902,Programme!H902,Programme!I902)</f>
        <v>&lt;codeEdi&gt;137&lt;/codeEdi&gt;</v>
      </c>
    </row>
    <row r="902" spans="1:1" x14ac:dyDescent="0.2">
      <c r="A902" s="1135" t="str">
        <f>CONCATENATE(Programme!C903,Programme!D903,Programme!E903,Programme!F903,Programme!G903,Programme!H903,Programme!I903)</f>
        <v>&lt;/cellule&gt;</v>
      </c>
    </row>
    <row r="903" spans="1:1" x14ac:dyDescent="0.2">
      <c r="A903" s="1135" t="str">
        <f>CONCATENATE(Programme!C904,Programme!D904,Programme!E904,Programme!F904,Programme!G904,Programme!H904,Programme!I904)</f>
        <v>&lt;valeur&gt;288000&lt;/valeur&gt;</v>
      </c>
    </row>
    <row r="904" spans="1:1" x14ac:dyDescent="0.2">
      <c r="A904" s="1135" t="str">
        <f>CONCATENATE(Programme!C905,Programme!D905,Programme!E905,Programme!F905,Programme!G905,Programme!H905,Programme!I905)</f>
        <v>&lt;/ValeurCellule&gt;</v>
      </c>
    </row>
    <row r="905" spans="1:1" x14ac:dyDescent="0.2">
      <c r="A905" s="1135" t="str">
        <f>CONCATENATE(Programme!C906,Programme!D906,Programme!E906,Programme!F906,Programme!G906,Programme!H906,Programme!I906)</f>
        <v>&lt;ValeurCellule&gt;</v>
      </c>
    </row>
    <row r="906" spans="1:1" x14ac:dyDescent="0.2">
      <c r="A906" s="1135" t="str">
        <f>CONCATENATE(Programme!C907,Programme!D907,Programme!E907,Programme!F907,Programme!G907,Programme!H907,Programme!I907)</f>
        <v>&lt;cellule&gt;</v>
      </c>
    </row>
    <row r="907" spans="1:1" x14ac:dyDescent="0.2">
      <c r="A907" s="1135" t="str">
        <f>CONCATENATE(Programme!C908,Programme!D908,Programme!E908,Programme!F908,Programme!G908,Programme!H908,Programme!I908)</f>
        <v>&lt;codeEdi&gt;138&lt;/codeEdi&gt;</v>
      </c>
    </row>
    <row r="908" spans="1:1" x14ac:dyDescent="0.2">
      <c r="A908" s="1135" t="str">
        <f>CONCATENATE(Programme!C909,Programme!D909,Programme!E909,Programme!F909,Programme!G909,Programme!H909,Programme!I909)</f>
        <v>&lt;/cellule&gt;</v>
      </c>
    </row>
    <row r="909" spans="1:1" x14ac:dyDescent="0.2">
      <c r="A909" s="1135" t="str">
        <f>CONCATENATE(Programme!C910,Programme!D910,Programme!E910,Programme!F910,Programme!G910,Programme!H910,Programme!I910)</f>
        <v>&lt;valeur&gt;0&lt;/valeur&gt;</v>
      </c>
    </row>
    <row r="910" spans="1:1" x14ac:dyDescent="0.2">
      <c r="A910" s="1135" t="str">
        <f>CONCATENATE(Programme!C911,Programme!D911,Programme!E911,Programme!F911,Programme!G911,Programme!H911,Programme!I911)</f>
        <v>&lt;/ValeurCellule&gt;</v>
      </c>
    </row>
    <row r="911" spans="1:1" x14ac:dyDescent="0.2">
      <c r="A911" s="1135" t="str">
        <f>CONCATENATE(Programme!C912,Programme!D912,Programme!E912,Programme!F912,Programme!G912,Programme!H912,Programme!I912)</f>
        <v>&lt;ValeurCellule&gt;</v>
      </c>
    </row>
    <row r="912" spans="1:1" x14ac:dyDescent="0.2">
      <c r="A912" s="1135" t="str">
        <f>CONCATENATE(Programme!C913,Programme!D913,Programme!E913,Programme!F913,Programme!G913,Programme!H913,Programme!I913)</f>
        <v>&lt;cellule&gt;</v>
      </c>
    </row>
    <row r="913" spans="1:1" x14ac:dyDescent="0.2">
      <c r="A913" s="1135" t="str">
        <f>CONCATENATE(Programme!C914,Programme!D914,Programme!E914,Programme!F914,Programme!G914,Programme!H914,Programme!I914)</f>
        <v>&lt;codeEdi&gt;139&lt;/codeEdi&gt;</v>
      </c>
    </row>
    <row r="914" spans="1:1" x14ac:dyDescent="0.2">
      <c r="A914" s="1135" t="str">
        <f>CONCATENATE(Programme!C915,Programme!D915,Programme!E915,Programme!F915,Programme!G915,Programme!H915,Programme!I915)</f>
        <v>&lt;/cellule&gt;</v>
      </c>
    </row>
    <row r="915" spans="1:1" x14ac:dyDescent="0.2">
      <c r="A915" s="1135" t="str">
        <f>CONCATENATE(Programme!C916,Programme!D916,Programme!E916,Programme!F916,Programme!G916,Programme!H916,Programme!I916)</f>
        <v>&lt;valeur&gt;20800,72&lt;/valeur&gt;</v>
      </c>
    </row>
    <row r="916" spans="1:1" x14ac:dyDescent="0.2">
      <c r="A916" s="1135" t="str">
        <f>CONCATENATE(Programme!C917,Programme!D917,Programme!E917,Programme!F917,Programme!G917,Programme!H917,Programme!I917)</f>
        <v>&lt;/ValeurCellule&gt;</v>
      </c>
    </row>
    <row r="917" spans="1:1" x14ac:dyDescent="0.2">
      <c r="A917" s="1135" t="str">
        <f>CONCATENATE(Programme!C918,Programme!D918,Programme!E918,Programme!F918,Programme!G918,Programme!H918,Programme!I918)</f>
        <v>&lt;ValeurCellule&gt;</v>
      </c>
    </row>
    <row r="918" spans="1:1" x14ac:dyDescent="0.2">
      <c r="A918" s="1135" t="str">
        <f>CONCATENATE(Programme!C919,Programme!D919,Programme!E919,Programme!F919,Programme!G919,Programme!H919,Programme!I919)</f>
        <v>&lt;cellule&gt;</v>
      </c>
    </row>
    <row r="919" spans="1:1" x14ac:dyDescent="0.2">
      <c r="A919" s="1135" t="str">
        <f>CONCATENATE(Programme!C920,Programme!D920,Programme!E920,Programme!F920,Programme!G920,Programme!H920,Programme!I920)</f>
        <v>&lt;codeEdi&gt;140&lt;/codeEdi&gt;</v>
      </c>
    </row>
    <row r="920" spans="1:1" x14ac:dyDescent="0.2">
      <c r="A920" s="1135" t="str">
        <f>CONCATENATE(Programme!C921,Programme!D921,Programme!E921,Programme!F921,Programme!G921,Programme!H921,Programme!I921)</f>
        <v>&lt;/cellule&gt;</v>
      </c>
    </row>
    <row r="921" spans="1:1" x14ac:dyDescent="0.2">
      <c r="A921" s="1135" t="str">
        <f>CONCATENATE(Programme!C922,Programme!D922,Programme!E922,Programme!F922,Programme!G922,Programme!H922,Programme!I922)</f>
        <v>&lt;valeur&gt;0&lt;/valeur&gt;</v>
      </c>
    </row>
    <row r="922" spans="1:1" x14ac:dyDescent="0.2">
      <c r="A922" s="1135" t="str">
        <f>CONCATENATE(Programme!C923,Programme!D923,Programme!E923,Programme!F923,Programme!G923,Programme!H923,Programme!I923)</f>
        <v>&lt;/ValeurCellule&gt;</v>
      </c>
    </row>
    <row r="923" spans="1:1" x14ac:dyDescent="0.2">
      <c r="A923" s="1135" t="str">
        <f>CONCATENATE(Programme!C924,Programme!D924,Programme!E924,Programme!F924,Programme!G924,Programme!H924,Programme!I924)</f>
        <v>&lt;ValeurCellule&gt;</v>
      </c>
    </row>
    <row r="924" spans="1:1" x14ac:dyDescent="0.2">
      <c r="A924" s="1135" t="str">
        <f>CONCATENATE(Programme!C925,Programme!D925,Programme!E925,Programme!F925,Programme!G925,Programme!H925,Programme!I925)</f>
        <v>&lt;cellule&gt;</v>
      </c>
    </row>
    <row r="925" spans="1:1" x14ac:dyDescent="0.2">
      <c r="A925" s="1135" t="str">
        <f>CONCATENATE(Programme!C926,Programme!D926,Programme!E926,Programme!F926,Programme!G926,Programme!H926,Programme!I926)</f>
        <v>&lt;codeEdi&gt;529&lt;/codeEdi&gt;</v>
      </c>
    </row>
    <row r="926" spans="1:1" x14ac:dyDescent="0.2">
      <c r="A926" s="1135" t="str">
        <f>CONCATENATE(Programme!C927,Programme!D927,Programme!E927,Programme!F927,Programme!G927,Programme!H927,Programme!I927)</f>
        <v>&lt;/cellule&gt;</v>
      </c>
    </row>
    <row r="927" spans="1:1" x14ac:dyDescent="0.2">
      <c r="A927" s="1135" t="str">
        <f>CONCATENATE(Programme!C928,Programme!D928,Programme!E928,Programme!F928,Programme!G928,Programme!H928,Programme!I928)</f>
        <v>&lt;valeur&gt;308800,72&lt;/valeur&gt;</v>
      </c>
    </row>
    <row r="928" spans="1:1" x14ac:dyDescent="0.2">
      <c r="A928" s="1135" t="str">
        <f>CONCATENATE(Programme!C929,Programme!D929,Programme!E929,Programme!F929,Programme!G929,Programme!H929,Programme!I929)</f>
        <v>&lt;/ValeurCellule&gt;</v>
      </c>
    </row>
    <row r="929" spans="1:1" x14ac:dyDescent="0.2">
      <c r="A929" s="1135" t="str">
        <f>CONCATENATE(Programme!C930,Programme!D930,Programme!E930,Programme!F930,Programme!G930,Programme!H930,Programme!I930)</f>
        <v>&lt;ValeurCellule&gt;</v>
      </c>
    </row>
    <row r="930" spans="1:1" x14ac:dyDescent="0.2">
      <c r="A930" s="1135" t="str">
        <f>CONCATENATE(Programme!C931,Programme!D931,Programme!E931,Programme!F931,Programme!G931,Programme!H931,Programme!I931)</f>
        <v>&lt;cellule&gt;</v>
      </c>
    </row>
    <row r="931" spans="1:1" x14ac:dyDescent="0.2">
      <c r="A931" s="1135" t="str">
        <f>CONCATENATE(Programme!C932,Programme!D932,Programme!E932,Programme!F932,Programme!G932,Programme!H932,Programme!I932)</f>
        <v>&lt;codeEdi&gt;143&lt;/codeEdi&gt;</v>
      </c>
    </row>
    <row r="932" spans="1:1" x14ac:dyDescent="0.2">
      <c r="A932" s="1135" t="str">
        <f>CONCATENATE(Programme!C933,Programme!D933,Programme!E933,Programme!F933,Programme!G933,Programme!H933,Programme!I933)</f>
        <v>&lt;/cellule&gt;</v>
      </c>
    </row>
    <row r="933" spans="1:1" x14ac:dyDescent="0.2">
      <c r="A933" s="1135" t="str">
        <f>CONCATENATE(Programme!C934,Programme!D934,Programme!E934,Programme!F934,Programme!G934,Programme!H934,Programme!I934)</f>
        <v>&lt;valeur&gt;0&lt;/valeur&gt;</v>
      </c>
    </row>
    <row r="934" spans="1:1" x14ac:dyDescent="0.2">
      <c r="A934" s="1135" t="str">
        <f>CONCATENATE(Programme!C935,Programme!D935,Programme!E935,Programme!F935,Programme!G935,Programme!H935,Programme!I935)</f>
        <v>&lt;/ValeurCellule&gt;</v>
      </c>
    </row>
    <row r="935" spans="1:1" x14ac:dyDescent="0.2">
      <c r="A935" s="1135" t="str">
        <f>CONCATENATE(Programme!C936,Programme!D936,Programme!E936,Programme!F936,Programme!G936,Programme!H936,Programme!I936)</f>
        <v>&lt;ValeurCellule&gt;</v>
      </c>
    </row>
    <row r="936" spans="1:1" x14ac:dyDescent="0.2">
      <c r="A936" s="1135" t="str">
        <f>CONCATENATE(Programme!C937,Programme!D937,Programme!E937,Programme!F937,Programme!G937,Programme!H937,Programme!I937)</f>
        <v>&lt;cellule&gt;</v>
      </c>
    </row>
    <row r="937" spans="1:1" x14ac:dyDescent="0.2">
      <c r="A937" s="1135" t="str">
        <f>CONCATENATE(Programme!C938,Programme!D938,Programme!E938,Programme!F938,Programme!G938,Programme!H938,Programme!I938)</f>
        <v>&lt;codeEdi&gt;144&lt;/codeEdi&gt;</v>
      </c>
    </row>
    <row r="938" spans="1:1" x14ac:dyDescent="0.2">
      <c r="A938" s="1135" t="str">
        <f>CONCATENATE(Programme!C939,Programme!D939,Programme!E939,Programme!F939,Programme!G939,Programme!H939,Programme!I939)</f>
        <v>&lt;/cellule&gt;</v>
      </c>
    </row>
    <row r="939" spans="1:1" x14ac:dyDescent="0.2">
      <c r="A939" s="1135" t="str">
        <f>CONCATENATE(Programme!C940,Programme!D940,Programme!E940,Programme!F940,Programme!G940,Programme!H940,Programme!I940)</f>
        <v>&lt;valeur&gt;0&lt;/valeur&gt;</v>
      </c>
    </row>
    <row r="940" spans="1:1" x14ac:dyDescent="0.2">
      <c r="A940" s="1135" t="str">
        <f>CONCATENATE(Programme!C941,Programme!D941,Programme!E941,Programme!F941,Programme!G941,Programme!H941,Programme!I941)</f>
        <v>&lt;/ValeurCellule&gt;</v>
      </c>
    </row>
    <row r="941" spans="1:1" x14ac:dyDescent="0.2">
      <c r="A941" s="1135" t="str">
        <f>CONCATENATE(Programme!C942,Programme!D942,Programme!E942,Programme!F942,Programme!G942,Programme!H942,Programme!I942)</f>
        <v>&lt;ValeurCellule&gt;</v>
      </c>
    </row>
    <row r="942" spans="1:1" x14ac:dyDescent="0.2">
      <c r="A942" s="1135" t="str">
        <f>CONCATENATE(Programme!C943,Programme!D943,Programme!E943,Programme!F943,Programme!G943,Programme!H943,Programme!I943)</f>
        <v>&lt;cellule&gt;</v>
      </c>
    </row>
    <row r="943" spans="1:1" x14ac:dyDescent="0.2">
      <c r="A943" s="1135" t="str">
        <f>CONCATENATE(Programme!C944,Programme!D944,Programme!E944,Programme!F944,Programme!G944,Programme!H944,Programme!I944)</f>
        <v>&lt;codeEdi&gt;145&lt;/codeEdi&gt;</v>
      </c>
    </row>
    <row r="944" spans="1:1" x14ac:dyDescent="0.2">
      <c r="A944" s="1135" t="str">
        <f>CONCATENATE(Programme!C945,Programme!D945,Programme!E945,Programme!F945,Programme!G945,Programme!H945,Programme!I945)</f>
        <v>&lt;/cellule&gt;</v>
      </c>
    </row>
    <row r="945" spans="1:1" x14ac:dyDescent="0.2">
      <c r="A945" s="1135" t="str">
        <f>CONCATENATE(Programme!C946,Programme!D946,Programme!E946,Programme!F946,Programme!G946,Programme!H946,Programme!I946)</f>
        <v>&lt;valeur&gt;0&lt;/valeur&gt;</v>
      </c>
    </row>
    <row r="946" spans="1:1" x14ac:dyDescent="0.2">
      <c r="A946" s="1135" t="str">
        <f>CONCATENATE(Programme!C947,Programme!D947,Programme!E947,Programme!F947,Programme!G947,Programme!H947,Programme!I947)</f>
        <v>&lt;/ValeurCellule&gt;</v>
      </c>
    </row>
    <row r="947" spans="1:1" x14ac:dyDescent="0.2">
      <c r="A947" s="1135" t="str">
        <f>CONCATENATE(Programme!C948,Programme!D948,Programme!E948,Programme!F948,Programme!G948,Programme!H948,Programme!I948)</f>
        <v>&lt;ValeurCellule&gt;</v>
      </c>
    </row>
    <row r="948" spans="1:1" x14ac:dyDescent="0.2">
      <c r="A948" s="1135" t="str">
        <f>CONCATENATE(Programme!C949,Programme!D949,Programme!E949,Programme!F949,Programme!G949,Programme!H949,Programme!I949)</f>
        <v>&lt;cellule&gt;</v>
      </c>
    </row>
    <row r="949" spans="1:1" x14ac:dyDescent="0.2">
      <c r="A949" s="1135" t="str">
        <f>CONCATENATE(Programme!C950,Programme!D950,Programme!E950,Programme!F950,Programme!G950,Programme!H950,Programme!I950)</f>
        <v>&lt;codeEdi&gt;146&lt;/codeEdi&gt;</v>
      </c>
    </row>
    <row r="950" spans="1:1" x14ac:dyDescent="0.2">
      <c r="A950" s="1135" t="str">
        <f>CONCATENATE(Programme!C951,Programme!D951,Programme!E951,Programme!F951,Programme!G951,Programme!H951,Programme!I951)</f>
        <v>&lt;/cellule&gt;</v>
      </c>
    </row>
    <row r="951" spans="1:1" x14ac:dyDescent="0.2">
      <c r="A951" s="1135" t="str">
        <f>CONCATENATE(Programme!C952,Programme!D952,Programme!E952,Programme!F952,Programme!G952,Programme!H952,Programme!I952)</f>
        <v>&lt;valeur&gt;34,53&lt;/valeur&gt;</v>
      </c>
    </row>
    <row r="952" spans="1:1" x14ac:dyDescent="0.2">
      <c r="A952" s="1135" t="str">
        <f>CONCATENATE(Programme!C953,Programme!D953,Programme!E953,Programme!F953,Programme!G953,Programme!H953,Programme!I953)</f>
        <v>&lt;/ValeurCellule&gt;</v>
      </c>
    </row>
    <row r="953" spans="1:1" x14ac:dyDescent="0.2">
      <c r="A953" s="1135" t="str">
        <f>CONCATENATE(Programme!C954,Programme!D954,Programme!E954,Programme!F954,Programme!G954,Programme!H954,Programme!I954)</f>
        <v>&lt;ValeurCellule&gt;</v>
      </c>
    </row>
    <row r="954" spans="1:1" x14ac:dyDescent="0.2">
      <c r="A954" s="1135" t="str">
        <f>CONCATENATE(Programme!C955,Programme!D955,Programme!E955,Programme!F955,Programme!G955,Programme!H955,Programme!I955)</f>
        <v>&lt;cellule&gt;</v>
      </c>
    </row>
    <row r="955" spans="1:1" x14ac:dyDescent="0.2">
      <c r="A955" s="1135" t="str">
        <f>CONCATENATE(Programme!C956,Programme!D956,Programme!E956,Programme!F956,Programme!G956,Programme!H956,Programme!I956)</f>
        <v>&lt;codeEdi&gt;147&lt;/codeEdi&gt;</v>
      </c>
    </row>
    <row r="956" spans="1:1" x14ac:dyDescent="0.2">
      <c r="A956" s="1135" t="str">
        <f>CONCATENATE(Programme!C957,Programme!D957,Programme!E957,Programme!F957,Programme!G957,Programme!H957,Programme!I957)</f>
        <v>&lt;/cellule&gt;</v>
      </c>
    </row>
    <row r="957" spans="1:1" x14ac:dyDescent="0.2">
      <c r="A957" s="1135" t="str">
        <f>CONCATENATE(Programme!C958,Programme!D958,Programme!E958,Programme!F958,Programme!G958,Programme!H958,Programme!I958)</f>
        <v>&lt;valeur&gt;0&lt;/valeur&gt;</v>
      </c>
    </row>
    <row r="958" spans="1:1" x14ac:dyDescent="0.2">
      <c r="A958" s="1135" t="str">
        <f>CONCATENATE(Programme!C959,Programme!D959,Programme!E959,Programme!F959,Programme!G959,Programme!H959,Programme!I959)</f>
        <v>&lt;/ValeurCellule&gt;</v>
      </c>
    </row>
    <row r="959" spans="1:1" x14ac:dyDescent="0.2">
      <c r="A959" s="1135" t="str">
        <f>CONCATENATE(Programme!C960,Programme!D960,Programme!E960,Programme!F960,Programme!G960,Programme!H960,Programme!I960)</f>
        <v>&lt;ValeurCellule&gt;</v>
      </c>
    </row>
    <row r="960" spans="1:1" x14ac:dyDescent="0.2">
      <c r="A960" s="1135" t="str">
        <f>CONCATENATE(Programme!C961,Programme!D961,Programme!E961,Programme!F961,Programme!G961,Programme!H961,Programme!I961)</f>
        <v>&lt;cellule&gt;</v>
      </c>
    </row>
    <row r="961" spans="1:1" x14ac:dyDescent="0.2">
      <c r="A961" s="1135" t="str">
        <f>CONCATENATE(Programme!C962,Programme!D962,Programme!E962,Programme!F962,Programme!G962,Programme!H962,Programme!I962)</f>
        <v>&lt;codeEdi&gt;148&lt;/codeEdi&gt;</v>
      </c>
    </row>
    <row r="962" spans="1:1" x14ac:dyDescent="0.2">
      <c r="A962" s="1135" t="str">
        <f>CONCATENATE(Programme!C963,Programme!D963,Programme!E963,Programme!F963,Programme!G963,Programme!H963,Programme!I963)</f>
        <v>&lt;/cellule&gt;</v>
      </c>
    </row>
    <row r="963" spans="1:1" x14ac:dyDescent="0.2">
      <c r="A963" s="1135" t="str">
        <f>CONCATENATE(Programme!C964,Programme!D964,Programme!E964,Programme!F964,Programme!G964,Programme!H964,Programme!I964)</f>
        <v>&lt;valeur&gt;0&lt;/valeur&gt;</v>
      </c>
    </row>
    <row r="964" spans="1:1" x14ac:dyDescent="0.2">
      <c r="A964" s="1135" t="str">
        <f>CONCATENATE(Programme!C965,Programme!D965,Programme!E965,Programme!F965,Programme!G965,Programme!H965,Programme!I965)</f>
        <v>&lt;/ValeurCellule&gt;</v>
      </c>
    </row>
    <row r="965" spans="1:1" x14ac:dyDescent="0.2">
      <c r="A965" s="1135" t="str">
        <f>CONCATENATE(Programme!C966,Programme!D966,Programme!E966,Programme!F966,Programme!G966,Programme!H966,Programme!I966)</f>
        <v>&lt;ValeurCellule&gt;</v>
      </c>
    </row>
    <row r="966" spans="1:1" x14ac:dyDescent="0.2">
      <c r="A966" s="1135" t="str">
        <f>CONCATENATE(Programme!C967,Programme!D967,Programme!E967,Programme!F967,Programme!G967,Programme!H967,Programme!I967)</f>
        <v>&lt;cellule&gt;</v>
      </c>
    </row>
    <row r="967" spans="1:1" x14ac:dyDescent="0.2">
      <c r="A967" s="1135" t="str">
        <f>CONCATENATE(Programme!C968,Programme!D968,Programme!E968,Programme!F968,Programme!G968,Programme!H968,Programme!I968)</f>
        <v>&lt;codeEdi&gt;149&lt;/codeEdi&gt;</v>
      </c>
    </row>
    <row r="968" spans="1:1" x14ac:dyDescent="0.2">
      <c r="A968" s="1135" t="str">
        <f>CONCATENATE(Programme!C969,Programme!D969,Programme!E969,Programme!F969,Programme!G969,Programme!H969,Programme!I969)</f>
        <v>&lt;/cellule&gt;</v>
      </c>
    </row>
    <row r="969" spans="1:1" x14ac:dyDescent="0.2">
      <c r="A969" s="1135" t="str">
        <f>CONCATENATE(Programme!C970,Programme!D970,Programme!E970,Programme!F970,Programme!G970,Programme!H970,Programme!I970)</f>
        <v>&lt;valeur&gt;0&lt;/valeur&gt;</v>
      </c>
    </row>
    <row r="970" spans="1:1" x14ac:dyDescent="0.2">
      <c r="A970" s="1135" t="str">
        <f>CONCATENATE(Programme!C971,Programme!D971,Programme!E971,Programme!F971,Programme!G971,Programme!H971,Programme!I971)</f>
        <v>&lt;/ValeurCellule&gt;</v>
      </c>
    </row>
    <row r="971" spans="1:1" x14ac:dyDescent="0.2">
      <c r="A971" s="1135" t="str">
        <f>CONCATENATE(Programme!C972,Programme!D972,Programme!E972,Programme!F972,Programme!G972,Programme!H972,Programme!I972)</f>
        <v>&lt;ValeurCellule&gt;</v>
      </c>
    </row>
    <row r="972" spans="1:1" x14ac:dyDescent="0.2">
      <c r="A972" s="1135" t="str">
        <f>CONCATENATE(Programme!C973,Programme!D973,Programme!E973,Programme!F973,Programme!G973,Programme!H973,Programme!I973)</f>
        <v>&lt;cellule&gt;</v>
      </c>
    </row>
    <row r="973" spans="1:1" x14ac:dyDescent="0.2">
      <c r="A973" s="1135" t="str">
        <f>CONCATENATE(Programme!C974,Programme!D974,Programme!E974,Programme!F974,Programme!G974,Programme!H974,Programme!I974)</f>
        <v>&lt;codeEdi&gt;530&lt;/codeEdi&gt;</v>
      </c>
    </row>
    <row r="974" spans="1:1" x14ac:dyDescent="0.2">
      <c r="A974" s="1135" t="str">
        <f>CONCATENATE(Programme!C975,Programme!D975,Programme!E975,Programme!F975,Programme!G975,Programme!H975,Programme!I975)</f>
        <v>&lt;/cellule&gt;</v>
      </c>
    </row>
    <row r="975" spans="1:1" x14ac:dyDescent="0.2">
      <c r="A975" s="1135" t="str">
        <f>CONCATENATE(Programme!C976,Programme!D976,Programme!E976,Programme!F976,Programme!G976,Programme!H976,Programme!I976)</f>
        <v>&lt;valeur&gt;34,53&lt;/valeur&gt;</v>
      </c>
    </row>
    <row r="976" spans="1:1" x14ac:dyDescent="0.2">
      <c r="A976" s="1135" t="str">
        <f>CONCATENATE(Programme!C977,Programme!D977,Programme!E977,Programme!F977,Programme!G977,Programme!H977,Programme!I977)</f>
        <v>&lt;/ValeurCellule&gt;</v>
      </c>
    </row>
    <row r="977" spans="1:1" x14ac:dyDescent="0.2">
      <c r="A977" s="1135" t="str">
        <f>CONCATENATE(Programme!C978,Programme!D978,Programme!E978,Programme!F978,Programme!G978,Programme!H978,Programme!I978)</f>
        <v>&lt;ValeurCellule&gt;</v>
      </c>
    </row>
    <row r="978" spans="1:1" x14ac:dyDescent="0.2">
      <c r="A978" s="1135" t="str">
        <f>CONCATENATE(Programme!C979,Programme!D979,Programme!E979,Programme!F979,Programme!G979,Programme!H979,Programme!I979)</f>
        <v>&lt;cellule&gt;</v>
      </c>
    </row>
    <row r="979" spans="1:1" x14ac:dyDescent="0.2">
      <c r="A979" s="1135" t="str">
        <f>CONCATENATE(Programme!C980,Programme!D980,Programme!E980,Programme!F980,Programme!G980,Programme!H980,Programme!I980)</f>
        <v>&lt;codeEdi&gt;181&lt;/codeEdi&gt;</v>
      </c>
    </row>
    <row r="980" spans="1:1" x14ac:dyDescent="0.2">
      <c r="A980" s="1135" t="str">
        <f>CONCATENATE(Programme!C981,Programme!D981,Programme!E981,Programme!F981,Programme!G981,Programme!H981,Programme!I981)</f>
        <v>&lt;/cellule&gt;</v>
      </c>
    </row>
    <row r="981" spans="1:1" x14ac:dyDescent="0.2">
      <c r="A981" s="1135" t="str">
        <f>CONCATENATE(Programme!C982,Programme!D982,Programme!E982,Programme!F982,Programme!G982,Programme!H982,Programme!I982)</f>
        <v>&lt;valeur&gt;0&lt;/valeur&gt;</v>
      </c>
    </row>
    <row r="982" spans="1:1" x14ac:dyDescent="0.2">
      <c r="A982" s="1135" t="str">
        <f>CONCATENATE(Programme!C983,Programme!D983,Programme!E983,Programme!F983,Programme!G983,Programme!H983,Programme!I983)</f>
        <v>&lt;/ValeurCellule&gt;</v>
      </c>
    </row>
    <row r="983" spans="1:1" x14ac:dyDescent="0.2">
      <c r="A983" s="1135" t="str">
        <f>CONCATENATE(Programme!C984,Programme!D984,Programme!E984,Programme!F984,Programme!G984,Programme!H984,Programme!I984)</f>
        <v>&lt;ValeurCellule&gt;</v>
      </c>
    </row>
    <row r="984" spans="1:1" x14ac:dyDescent="0.2">
      <c r="A984" s="1135" t="str">
        <f>CONCATENATE(Programme!C985,Programme!D985,Programme!E985,Programme!F985,Programme!G985,Programme!H985,Programme!I985)</f>
        <v>&lt;cellule&gt;</v>
      </c>
    </row>
    <row r="985" spans="1:1" x14ac:dyDescent="0.2">
      <c r="A985" s="1135" t="str">
        <f>CONCATENATE(Programme!C986,Programme!D986,Programme!E986,Programme!F986,Programme!G986,Programme!H986,Programme!I986)</f>
        <v>&lt;codeEdi&gt;182&lt;/codeEdi&gt;</v>
      </c>
    </row>
    <row r="986" spans="1:1" x14ac:dyDescent="0.2">
      <c r="A986" s="1135" t="str">
        <f>CONCATENATE(Programme!C987,Programme!D987,Programme!E987,Programme!F987,Programme!G987,Programme!H987,Programme!I987)</f>
        <v>&lt;/cellule&gt;</v>
      </c>
    </row>
    <row r="987" spans="1:1" x14ac:dyDescent="0.2">
      <c r="A987" s="1135" t="str">
        <f>CONCATENATE(Programme!C988,Programme!D988,Programme!E988,Programme!F988,Programme!G988,Programme!H988,Programme!I988)</f>
        <v>&lt;valeur&gt;0&lt;/valeur&gt;</v>
      </c>
    </row>
    <row r="988" spans="1:1" x14ac:dyDescent="0.2">
      <c r="A988" s="1135" t="str">
        <f>CONCATENATE(Programme!C989,Programme!D989,Programme!E989,Programme!F989,Programme!G989,Programme!H989,Programme!I989)</f>
        <v>&lt;/ValeurCellule&gt;</v>
      </c>
    </row>
    <row r="989" spans="1:1" x14ac:dyDescent="0.2">
      <c r="A989" s="1135" t="str">
        <f>CONCATENATE(Programme!C990,Programme!D990,Programme!E990,Programme!F990,Programme!G990,Programme!H990,Programme!I990)</f>
        <v>&lt;ValeurCellule&gt;</v>
      </c>
    </row>
    <row r="990" spans="1:1" x14ac:dyDescent="0.2">
      <c r="A990" s="1135" t="str">
        <f>CONCATENATE(Programme!C991,Programme!D991,Programme!E991,Programme!F991,Programme!G991,Programme!H991,Programme!I991)</f>
        <v>&lt;cellule&gt;</v>
      </c>
    </row>
    <row r="991" spans="1:1" x14ac:dyDescent="0.2">
      <c r="A991" s="1135" t="str">
        <f>CONCATENATE(Programme!C992,Programme!D992,Programme!E992,Programme!F992,Programme!G992,Programme!H992,Programme!I992)</f>
        <v>&lt;codeEdi&gt;183&lt;/codeEdi&gt;</v>
      </c>
    </row>
    <row r="992" spans="1:1" x14ac:dyDescent="0.2">
      <c r="A992" s="1135" t="str">
        <f>CONCATENATE(Programme!C993,Programme!D993,Programme!E993,Programme!F993,Programme!G993,Programme!H993,Programme!I993)</f>
        <v>&lt;/cellule&gt;</v>
      </c>
    </row>
    <row r="993" spans="1:1" x14ac:dyDescent="0.2">
      <c r="A993" s="1135" t="str">
        <f>CONCATENATE(Programme!C994,Programme!D994,Programme!E994,Programme!F994,Programme!G994,Programme!H994,Programme!I994)</f>
        <v>&lt;valeur&gt;0&lt;/valeur&gt;</v>
      </c>
    </row>
    <row r="994" spans="1:1" x14ac:dyDescent="0.2">
      <c r="A994" s="1135" t="str">
        <f>CONCATENATE(Programme!C995,Programme!D995,Programme!E995,Programme!F995,Programme!G995,Programme!H995,Programme!I995)</f>
        <v>&lt;/ValeurCellule&gt;</v>
      </c>
    </row>
    <row r="995" spans="1:1" x14ac:dyDescent="0.2">
      <c r="A995" s="1135" t="str">
        <f>CONCATENATE(Programme!C996,Programme!D996,Programme!E996,Programme!F996,Programme!G996,Programme!H996,Programme!I996)</f>
        <v>&lt;ValeurCellule&gt;</v>
      </c>
    </row>
    <row r="996" spans="1:1" x14ac:dyDescent="0.2">
      <c r="A996" s="1135" t="str">
        <f>CONCATENATE(Programme!C997,Programme!D997,Programme!E997,Programme!F997,Programme!G997,Programme!H997,Programme!I997)</f>
        <v>&lt;cellule&gt;</v>
      </c>
    </row>
    <row r="997" spans="1:1" x14ac:dyDescent="0.2">
      <c r="A997" s="1135" t="str">
        <f>CONCATENATE(Programme!C998,Programme!D998,Programme!E998,Programme!F998,Programme!G998,Programme!H998,Programme!I998)</f>
        <v>&lt;codeEdi&gt;184&lt;/codeEdi&gt;</v>
      </c>
    </row>
    <row r="998" spans="1:1" x14ac:dyDescent="0.2">
      <c r="A998" s="1135" t="str">
        <f>CONCATENATE(Programme!C999,Programme!D999,Programme!E999,Programme!F999,Programme!G999,Programme!H999,Programme!I999)</f>
        <v>&lt;/cellule&gt;</v>
      </c>
    </row>
    <row r="999" spans="1:1" x14ac:dyDescent="0.2">
      <c r="A999" s="1135" t="str">
        <f>CONCATENATE(Programme!C1000,Programme!D1000,Programme!E1000,Programme!F1000,Programme!G1000,Programme!H1000,Programme!I1000)</f>
        <v>&lt;valeur&gt;0&lt;/valeur&gt;</v>
      </c>
    </row>
    <row r="1000" spans="1:1" x14ac:dyDescent="0.2">
      <c r="A1000" s="1135" t="str">
        <f>CONCATENATE(Programme!C1001,Programme!D1001,Programme!E1001,Programme!F1001,Programme!G1001,Programme!H1001,Programme!I1001)</f>
        <v>&lt;/ValeurCellule&gt;</v>
      </c>
    </row>
    <row r="1001" spans="1:1" x14ac:dyDescent="0.2">
      <c r="A1001" s="1135" t="str">
        <f>CONCATENATE(Programme!C1002,Programme!D1002,Programme!E1002,Programme!F1002,Programme!G1002,Programme!H1002,Programme!I1002)</f>
        <v>&lt;ValeurCellule&gt;</v>
      </c>
    </row>
    <row r="1002" spans="1:1" x14ac:dyDescent="0.2">
      <c r="A1002" s="1135" t="str">
        <f>CONCATENATE(Programme!C1003,Programme!D1003,Programme!E1003,Programme!F1003,Programme!G1003,Programme!H1003,Programme!I1003)</f>
        <v>&lt;cellule&gt;</v>
      </c>
    </row>
    <row r="1003" spans="1:1" x14ac:dyDescent="0.2">
      <c r="A1003" s="1135" t="str">
        <f>CONCATENATE(Programme!C1004,Programme!D1004,Programme!E1004,Programme!F1004,Programme!G1004,Programme!H1004,Programme!I1004)</f>
        <v>&lt;codeEdi&gt;151&lt;/codeEdi&gt;</v>
      </c>
    </row>
    <row r="1004" spans="1:1" x14ac:dyDescent="0.2">
      <c r="A1004" s="1135" t="str">
        <f>CONCATENATE(Programme!C1005,Programme!D1005,Programme!E1005,Programme!F1005,Programme!G1005,Programme!H1005,Programme!I1005)</f>
        <v>&lt;/cellule&gt;</v>
      </c>
    </row>
    <row r="1005" spans="1:1" x14ac:dyDescent="0.2">
      <c r="A1005" s="1135" t="str">
        <f>CONCATENATE(Programme!C1006,Programme!D1006,Programme!E1006,Programme!F1006,Programme!G1006,Programme!H1006,Programme!I1006)</f>
        <v>&lt;valeur&gt;0&lt;/valeur&gt;</v>
      </c>
    </row>
    <row r="1006" spans="1:1" x14ac:dyDescent="0.2">
      <c r="A1006" s="1135" t="str">
        <f>CONCATENATE(Programme!C1007,Programme!D1007,Programme!E1007,Programme!F1007,Programme!G1007,Programme!H1007,Programme!I1007)</f>
        <v>&lt;/ValeurCellule&gt;</v>
      </c>
    </row>
    <row r="1007" spans="1:1" x14ac:dyDescent="0.2">
      <c r="A1007" s="1135" t="str">
        <f>CONCATENATE(Programme!C1008,Programme!D1008,Programme!E1008,Programme!F1008,Programme!G1008,Programme!H1008,Programme!I1008)</f>
        <v>&lt;ValeurCellule&gt;</v>
      </c>
    </row>
    <row r="1008" spans="1:1" x14ac:dyDescent="0.2">
      <c r="A1008" s="1135" t="str">
        <f>CONCATENATE(Programme!C1009,Programme!D1009,Programme!E1009,Programme!F1009,Programme!G1009,Programme!H1009,Programme!I1009)</f>
        <v>&lt;cellule&gt;</v>
      </c>
    </row>
    <row r="1009" spans="1:1" x14ac:dyDescent="0.2">
      <c r="A1009" s="1135" t="str">
        <f>CONCATENATE(Programme!C1010,Programme!D1010,Programme!E1010,Programme!F1010,Programme!G1010,Programme!H1010,Programme!I1010)</f>
        <v>&lt;codeEdi&gt;152&lt;/codeEdi&gt;</v>
      </c>
    </row>
    <row r="1010" spans="1:1" x14ac:dyDescent="0.2">
      <c r="A1010" s="1135" t="str">
        <f>CONCATENATE(Programme!C1011,Programme!D1011,Programme!E1011,Programme!F1011,Programme!G1011,Programme!H1011,Programme!I1011)</f>
        <v>&lt;/cellule&gt;</v>
      </c>
    </row>
    <row r="1011" spans="1:1" x14ac:dyDescent="0.2">
      <c r="A1011" s="1135" t="str">
        <f>CONCATENATE(Programme!C1012,Programme!D1012,Programme!E1012,Programme!F1012,Programme!G1012,Programme!H1012,Programme!I1012)</f>
        <v>&lt;valeur&gt;&lt;/valeur&gt;</v>
      </c>
    </row>
    <row r="1012" spans="1:1" x14ac:dyDescent="0.2">
      <c r="A1012" s="1135" t="str">
        <f>CONCATENATE(Programme!C1013,Programme!D1013,Programme!E1013,Programme!F1013,Programme!G1013,Programme!H1013,Programme!I1013)</f>
        <v>&lt;/ValeurCellule&gt;</v>
      </c>
    </row>
    <row r="1013" spans="1:1" x14ac:dyDescent="0.2">
      <c r="A1013" s="1135" t="str">
        <f>CONCATENATE(Programme!C1014,Programme!D1014,Programme!E1014,Programme!F1014,Programme!G1014,Programme!H1014,Programme!I1014)</f>
        <v>&lt;ValeurCellule&gt;</v>
      </c>
    </row>
    <row r="1014" spans="1:1" x14ac:dyDescent="0.2">
      <c r="A1014" s="1135" t="str">
        <f>CONCATENATE(Programme!C1015,Programme!D1015,Programme!E1015,Programme!F1015,Programme!G1015,Programme!H1015,Programme!I1015)</f>
        <v>&lt;cellule&gt;</v>
      </c>
    </row>
    <row r="1015" spans="1:1" x14ac:dyDescent="0.2">
      <c r="A1015" s="1135" t="str">
        <f>CONCATENATE(Programme!C1016,Programme!D1016,Programme!E1016,Programme!F1016,Programme!G1016,Programme!H1016,Programme!I1016)</f>
        <v>&lt;codeEdi&gt;153&lt;/codeEdi&gt;</v>
      </c>
    </row>
    <row r="1016" spans="1:1" x14ac:dyDescent="0.2">
      <c r="A1016" s="1135" t="str">
        <f>CONCATENATE(Programme!C1017,Programme!D1017,Programme!E1017,Programme!F1017,Programme!G1017,Programme!H1017,Programme!I1017)</f>
        <v>&lt;/cellule&gt;</v>
      </c>
    </row>
    <row r="1017" spans="1:1" x14ac:dyDescent="0.2">
      <c r="A1017" s="1135" t="str">
        <f>CONCATENATE(Programme!C1018,Programme!D1018,Programme!E1018,Programme!F1018,Programme!G1018,Programme!H1018,Programme!I1018)</f>
        <v>&lt;valeur&gt;0&lt;/valeur&gt;</v>
      </c>
    </row>
    <row r="1018" spans="1:1" x14ac:dyDescent="0.2">
      <c r="A1018" s="1135" t="str">
        <f>CONCATENATE(Programme!C1019,Programme!D1019,Programme!E1019,Programme!F1019,Programme!G1019,Programme!H1019,Programme!I1019)</f>
        <v>&lt;/ValeurCellule&gt;</v>
      </c>
    </row>
    <row r="1019" spans="1:1" x14ac:dyDescent="0.2">
      <c r="A1019" s="1135" t="str">
        <f>CONCATENATE(Programme!C1020,Programme!D1020,Programme!E1020,Programme!F1020,Programme!G1020,Programme!H1020,Programme!I1020)</f>
        <v>&lt;ValeurCellule&gt;</v>
      </c>
    </row>
    <row r="1020" spans="1:1" x14ac:dyDescent="0.2">
      <c r="A1020" s="1135" t="str">
        <f>CONCATENATE(Programme!C1021,Programme!D1021,Programme!E1021,Programme!F1021,Programme!G1021,Programme!H1021,Programme!I1021)</f>
        <v>&lt;cellule&gt;</v>
      </c>
    </row>
    <row r="1021" spans="1:1" x14ac:dyDescent="0.2">
      <c r="A1021" s="1135" t="str">
        <f>CONCATENATE(Programme!C1022,Programme!D1022,Programme!E1022,Programme!F1022,Programme!G1022,Programme!H1022,Programme!I1022)</f>
        <v>&lt;codeEdi&gt;154&lt;/codeEdi&gt;</v>
      </c>
    </row>
    <row r="1022" spans="1:1" x14ac:dyDescent="0.2">
      <c r="A1022" s="1135" t="str">
        <f>CONCATENATE(Programme!C1023,Programme!D1023,Programme!E1023,Programme!F1023,Programme!G1023,Programme!H1023,Programme!I1023)</f>
        <v>&lt;/cellule&gt;</v>
      </c>
    </row>
    <row r="1023" spans="1:1" x14ac:dyDescent="0.2">
      <c r="A1023" s="1135" t="str">
        <f>CONCATENATE(Programme!C1024,Programme!D1024,Programme!E1024,Programme!F1024,Programme!G1024,Programme!H1024,Programme!I1024)</f>
        <v>&lt;valeur&gt;0&lt;/valeur&gt;</v>
      </c>
    </row>
    <row r="1024" spans="1:1" x14ac:dyDescent="0.2">
      <c r="A1024" s="1135" t="str">
        <f>CONCATENATE(Programme!C1025,Programme!D1025,Programme!E1025,Programme!F1025,Programme!G1025,Programme!H1025,Programme!I1025)</f>
        <v>&lt;/ValeurCellule&gt;</v>
      </c>
    </row>
    <row r="1025" spans="1:1" x14ac:dyDescent="0.2">
      <c r="A1025" s="1135" t="str">
        <f>CONCATENATE(Programme!C1026,Programme!D1026,Programme!E1026,Programme!F1026,Programme!G1026,Programme!H1026,Programme!I1026)</f>
        <v>&lt;ValeurCellule&gt;</v>
      </c>
    </row>
    <row r="1026" spans="1:1" x14ac:dyDescent="0.2">
      <c r="A1026" s="1135" t="str">
        <f>CONCATENATE(Programme!C1027,Programme!D1027,Programme!E1027,Programme!F1027,Programme!G1027,Programme!H1027,Programme!I1027)</f>
        <v>&lt;cellule&gt;</v>
      </c>
    </row>
    <row r="1027" spans="1:1" x14ac:dyDescent="0.2">
      <c r="A1027" s="1135" t="str">
        <f>CONCATENATE(Programme!C1028,Programme!D1028,Programme!E1028,Programme!F1028,Programme!G1028,Programme!H1028,Programme!I1028)</f>
        <v>&lt;codeEdi&gt;296&lt;/codeEdi&gt;</v>
      </c>
    </row>
    <row r="1028" spans="1:1" x14ac:dyDescent="0.2">
      <c r="A1028" s="1135" t="str">
        <f>CONCATENATE(Programme!C1029,Programme!D1029,Programme!E1029,Programme!F1029,Programme!G1029,Programme!H1029,Programme!I1029)</f>
        <v>&lt;/cellule&gt;</v>
      </c>
    </row>
    <row r="1029" spans="1:1" x14ac:dyDescent="0.2">
      <c r="A1029" s="1135" t="str">
        <f>CONCATENATE(Programme!C1030,Programme!D1030,Programme!E1030,Programme!F1030,Programme!G1030,Programme!H1030,Programme!I1030)</f>
        <v>&lt;valeur&gt;308800,72&lt;/valeur&gt;</v>
      </c>
    </row>
    <row r="1030" spans="1:1" x14ac:dyDescent="0.2">
      <c r="A1030" s="1135" t="str">
        <f>CONCATENATE(Programme!C1031,Programme!D1031,Programme!E1031,Programme!F1031,Programme!G1031,Programme!H1031,Programme!I1031)</f>
        <v>&lt;/ValeurCellule&gt;</v>
      </c>
    </row>
    <row r="1031" spans="1:1" x14ac:dyDescent="0.2">
      <c r="A1031" s="1135" t="str">
        <f>CONCATENATE(Programme!C1032,Programme!D1032,Programme!E1032,Programme!F1032,Programme!G1032,Programme!H1032,Programme!I1032)</f>
        <v>&lt;ValeurCellule&gt;</v>
      </c>
    </row>
    <row r="1032" spans="1:1" x14ac:dyDescent="0.2">
      <c r="A1032" s="1135" t="str">
        <f>CONCATENATE(Programme!C1033,Programme!D1033,Programme!E1033,Programme!F1033,Programme!G1033,Programme!H1033,Programme!I1033)</f>
        <v>&lt;cellule&gt;</v>
      </c>
    </row>
    <row r="1033" spans="1:1" x14ac:dyDescent="0.2">
      <c r="A1033" s="1135" t="str">
        <f>CONCATENATE(Programme!C1034,Programme!D1034,Programme!E1034,Programme!F1034,Programme!G1034,Programme!H1034,Programme!I1034)</f>
        <v>&lt;codeEdi&gt;297&lt;/codeEdi&gt;</v>
      </c>
    </row>
    <row r="1034" spans="1:1" x14ac:dyDescent="0.2">
      <c r="A1034" s="1135" t="str">
        <f>CONCATENATE(Programme!C1035,Programme!D1035,Programme!E1035,Programme!F1035,Programme!G1035,Programme!H1035,Programme!I1035)</f>
        <v>&lt;/cellule&gt;</v>
      </c>
    </row>
    <row r="1035" spans="1:1" x14ac:dyDescent="0.2">
      <c r="A1035" s="1135" t="str">
        <f>CONCATENATE(Programme!C1036,Programme!D1036,Programme!E1036,Programme!F1036,Programme!G1036,Programme!H1036,Programme!I1036)</f>
        <v>&lt;valeur&gt;0&lt;/valeur&gt;</v>
      </c>
    </row>
    <row r="1036" spans="1:1" x14ac:dyDescent="0.2">
      <c r="A1036" s="1135" t="str">
        <f>CONCATENATE(Programme!C1037,Programme!D1037,Programme!E1037,Programme!F1037,Programme!G1037,Programme!H1037,Programme!I1037)</f>
        <v>&lt;/ValeurCellule&gt;</v>
      </c>
    </row>
    <row r="1037" spans="1:1" x14ac:dyDescent="0.2">
      <c r="A1037" s="1135" t="str">
        <f>CONCATENATE(Programme!C1038,Programme!D1038,Programme!E1038,Programme!F1038,Programme!G1038,Programme!H1038,Programme!I1038)</f>
        <v>&lt;ValeurCellule&gt;</v>
      </c>
    </row>
    <row r="1038" spans="1:1" x14ac:dyDescent="0.2">
      <c r="A1038" s="1135" t="str">
        <f>CONCATENATE(Programme!C1039,Programme!D1039,Programme!E1039,Programme!F1039,Programme!G1039,Programme!H1039,Programme!I1039)</f>
        <v>&lt;cellule&gt;</v>
      </c>
    </row>
    <row r="1039" spans="1:1" x14ac:dyDescent="0.2">
      <c r="A1039" s="1135" t="str">
        <f>CONCATENATE(Programme!C1040,Programme!D1040,Programme!E1040,Programme!F1040,Programme!G1040,Programme!H1040,Programme!I1040)</f>
        <v>&lt;codeEdi&gt;298&lt;/codeEdi&gt;</v>
      </c>
    </row>
    <row r="1040" spans="1:1" x14ac:dyDescent="0.2">
      <c r="A1040" s="1135" t="str">
        <f>CONCATENATE(Programme!C1041,Programme!D1041,Programme!E1041,Programme!F1041,Programme!G1041,Programme!H1041,Programme!I1041)</f>
        <v>&lt;/cellule&gt;</v>
      </c>
    </row>
    <row r="1041" spans="1:1" x14ac:dyDescent="0.2">
      <c r="A1041" s="1135" t="str">
        <f>CONCATENATE(Programme!C1042,Programme!D1042,Programme!E1042,Programme!F1042,Programme!G1042,Programme!H1042,Programme!I1042)</f>
        <v>&lt;valeur&gt;308800,72&lt;/valeur&gt;</v>
      </c>
    </row>
    <row r="1042" spans="1:1" x14ac:dyDescent="0.2">
      <c r="A1042" s="1135" t="str">
        <f>CONCATENATE(Programme!C1043,Programme!D1043,Programme!E1043,Programme!F1043,Programme!G1043,Programme!H1043,Programme!I1043)</f>
        <v>&lt;/ValeurCellule&gt;</v>
      </c>
    </row>
    <row r="1043" spans="1:1" x14ac:dyDescent="0.2">
      <c r="A1043" s="1135" t="str">
        <f>CONCATENATE(Programme!C1044,Programme!D1044,Programme!E1044,Programme!F1044,Programme!G1044,Programme!H1044,Programme!I1044)</f>
        <v>&lt;ValeurCellule&gt;</v>
      </c>
    </row>
    <row r="1044" spans="1:1" x14ac:dyDescent="0.2">
      <c r="A1044" s="1135" t="str">
        <f>CONCATENATE(Programme!C1045,Programme!D1045,Programme!E1045,Programme!F1045,Programme!G1045,Programme!H1045,Programme!I1045)</f>
        <v>&lt;cellule&gt;</v>
      </c>
    </row>
    <row r="1045" spans="1:1" x14ac:dyDescent="0.2">
      <c r="A1045" s="1135" t="str">
        <f>CONCATENATE(Programme!C1046,Programme!D1046,Programme!E1046,Programme!F1046,Programme!G1046,Programme!H1046,Programme!I1046)</f>
        <v>&lt;codeEdi&gt;299&lt;/codeEdi&gt;</v>
      </c>
    </row>
    <row r="1046" spans="1:1" x14ac:dyDescent="0.2">
      <c r="A1046" s="1135" t="str">
        <f>CONCATENATE(Programme!C1047,Programme!D1047,Programme!E1047,Programme!F1047,Programme!G1047,Programme!H1047,Programme!I1047)</f>
        <v>&lt;/cellule&gt;</v>
      </c>
    </row>
    <row r="1047" spans="1:1" x14ac:dyDescent="0.2">
      <c r="A1047" s="1135" t="str">
        <f>CONCATENATE(Programme!C1048,Programme!D1048,Programme!E1048,Programme!F1048,Programme!G1048,Programme!H1048,Programme!I1048)</f>
        <v>&lt;valeur&gt;34,53&lt;/valeur&gt;</v>
      </c>
    </row>
    <row r="1048" spans="1:1" x14ac:dyDescent="0.2">
      <c r="A1048" s="1135" t="str">
        <f>CONCATENATE(Programme!C1049,Programme!D1049,Programme!E1049,Programme!F1049,Programme!G1049,Programme!H1049,Programme!I1049)</f>
        <v>&lt;/ValeurCellule&gt;</v>
      </c>
    </row>
    <row r="1049" spans="1:1" x14ac:dyDescent="0.2">
      <c r="A1049" s="1135" t="str">
        <f>CONCATENATE(Programme!C1050,Programme!D1050,Programme!E1050,Programme!F1050,Programme!G1050,Programme!H1050,Programme!I1050)</f>
        <v>&lt;ValeurCellule&gt;</v>
      </c>
    </row>
    <row r="1050" spans="1:1" x14ac:dyDescent="0.2">
      <c r="A1050" s="1135" t="str">
        <f>CONCATENATE(Programme!C1051,Programme!D1051,Programme!E1051,Programme!F1051,Programme!G1051,Programme!H1051,Programme!I1051)</f>
        <v>&lt;cellule&gt;</v>
      </c>
    </row>
    <row r="1051" spans="1:1" x14ac:dyDescent="0.2">
      <c r="A1051" s="1135" t="str">
        <f>CONCATENATE(Programme!C1052,Programme!D1052,Programme!E1052,Programme!F1052,Programme!G1052,Programme!H1052,Programme!I1052)</f>
        <v>&lt;codeEdi&gt;303&lt;/codeEdi&gt;</v>
      </c>
    </row>
    <row r="1052" spans="1:1" x14ac:dyDescent="0.2">
      <c r="A1052" s="1135" t="str">
        <f>CONCATENATE(Programme!C1053,Programme!D1053,Programme!E1053,Programme!F1053,Programme!G1053,Programme!H1053,Programme!I1053)</f>
        <v>&lt;/cellule&gt;</v>
      </c>
    </row>
    <row r="1053" spans="1:1" x14ac:dyDescent="0.2">
      <c r="A1053" s="1135" t="str">
        <f>CONCATENATE(Programme!C1054,Programme!D1054,Programme!E1054,Programme!F1054,Programme!G1054,Programme!H1054,Programme!I1054)</f>
        <v>&lt;valeur&gt;0&lt;/valeur&gt;</v>
      </c>
    </row>
    <row r="1054" spans="1:1" x14ac:dyDescent="0.2">
      <c r="A1054" s="1135" t="str">
        <f>CONCATENATE(Programme!C1055,Programme!D1055,Programme!E1055,Programme!F1055,Programme!G1055,Programme!H1055,Programme!I1055)</f>
        <v>&lt;/ValeurCellule&gt;</v>
      </c>
    </row>
    <row r="1055" spans="1:1" x14ac:dyDescent="0.2">
      <c r="A1055" s="1135" t="str">
        <f>CONCATENATE(Programme!C1056,Programme!D1056,Programme!E1056,Programme!F1056,Programme!G1056,Programme!H1056,Programme!I1056)</f>
        <v>&lt;ValeurCellule&gt;</v>
      </c>
    </row>
    <row r="1056" spans="1:1" x14ac:dyDescent="0.2">
      <c r="A1056" s="1135" t="str">
        <f>CONCATENATE(Programme!C1057,Programme!D1057,Programme!E1057,Programme!F1057,Programme!G1057,Programme!H1057,Programme!I1057)</f>
        <v>&lt;cellule&gt;</v>
      </c>
    </row>
    <row r="1057" spans="1:1" x14ac:dyDescent="0.2">
      <c r="A1057" s="1135" t="str">
        <f>CONCATENATE(Programme!C1058,Programme!D1058,Programme!E1058,Programme!F1058,Programme!G1058,Programme!H1058,Programme!I1058)</f>
        <v>&lt;codeEdi&gt;304&lt;/codeEdi&gt;</v>
      </c>
    </row>
    <row r="1058" spans="1:1" x14ac:dyDescent="0.2">
      <c r="A1058" s="1135" t="str">
        <f>CONCATENATE(Programme!C1059,Programme!D1059,Programme!E1059,Programme!F1059,Programme!G1059,Programme!H1059,Programme!I1059)</f>
        <v>&lt;/cellule&gt;</v>
      </c>
    </row>
    <row r="1059" spans="1:1" x14ac:dyDescent="0.2">
      <c r="A1059" s="1135" t="str">
        <f>CONCATENATE(Programme!C1060,Programme!D1060,Programme!E1060,Programme!F1060,Programme!G1060,Programme!H1060,Programme!I1060)</f>
        <v>&lt;valeur&gt;323,11&lt;/valeur&gt;</v>
      </c>
    </row>
    <row r="1060" spans="1:1" x14ac:dyDescent="0.2">
      <c r="A1060" s="1135" t="str">
        <f>CONCATENATE(Programme!C1061,Programme!D1061,Programme!E1061,Programme!F1061,Programme!G1061,Programme!H1061,Programme!I1061)</f>
        <v>&lt;/ValeurCellule&gt;</v>
      </c>
    </row>
    <row r="1061" spans="1:1" x14ac:dyDescent="0.2">
      <c r="A1061" s="1135" t="str">
        <f>CONCATENATE(Programme!C1062,Programme!D1062,Programme!E1062,Programme!F1062,Programme!G1062,Programme!H1062,Programme!I1062)</f>
        <v>&lt;ValeurCellule&gt;</v>
      </c>
    </row>
    <row r="1062" spans="1:1" x14ac:dyDescent="0.2">
      <c r="A1062" s="1135" t="str">
        <f>CONCATENATE(Programme!C1063,Programme!D1063,Programme!E1063,Programme!F1063,Programme!G1063,Programme!H1063,Programme!I1063)</f>
        <v>&lt;cellule&gt;</v>
      </c>
    </row>
    <row r="1063" spans="1:1" x14ac:dyDescent="0.2">
      <c r="A1063" s="1135" t="str">
        <f>CONCATENATE(Programme!C1064,Programme!D1064,Programme!E1064,Programme!F1064,Programme!G1064,Programme!H1064,Programme!I1064)</f>
        <v>&lt;codeEdi&gt;305&lt;/codeEdi&gt;</v>
      </c>
    </row>
    <row r="1064" spans="1:1" x14ac:dyDescent="0.2">
      <c r="A1064" s="1135" t="str">
        <f>CONCATENATE(Programme!C1065,Programme!D1065,Programme!E1065,Programme!F1065,Programme!G1065,Programme!H1065,Programme!I1065)</f>
        <v>&lt;/cellule&gt;</v>
      </c>
    </row>
    <row r="1065" spans="1:1" x14ac:dyDescent="0.2">
      <c r="A1065" s="1135" t="str">
        <f>CONCATENATE(Programme!C1066,Programme!D1066,Programme!E1066,Programme!F1066,Programme!G1066,Programme!H1066,Programme!I1066)</f>
        <v>&lt;valeur&gt;169,43&lt;/valeur&gt;</v>
      </c>
    </row>
    <row r="1066" spans="1:1" x14ac:dyDescent="0.2">
      <c r="A1066" s="1135" t="str">
        <f>CONCATENATE(Programme!C1067,Programme!D1067,Programme!E1067,Programme!F1067,Programme!G1067,Programme!H1067,Programme!I1067)</f>
        <v>&lt;/ValeurCellule&gt;</v>
      </c>
    </row>
    <row r="1067" spans="1:1" x14ac:dyDescent="0.2">
      <c r="A1067" s="1135" t="str">
        <f>CONCATENATE(Programme!C1068,Programme!D1068,Programme!E1068,Programme!F1068,Programme!G1068,Programme!H1068,Programme!I1068)</f>
        <v>&lt;ValeurCellule&gt;</v>
      </c>
    </row>
    <row r="1068" spans="1:1" x14ac:dyDescent="0.2">
      <c r="A1068" s="1135" t="str">
        <f>CONCATENATE(Programme!C1069,Programme!D1069,Programme!E1069,Programme!F1069,Programme!G1069,Programme!H1069,Programme!I1069)</f>
        <v>&lt;cellule&gt;</v>
      </c>
    </row>
    <row r="1069" spans="1:1" x14ac:dyDescent="0.2">
      <c r="A1069" s="1135" t="str">
        <f>CONCATENATE(Programme!C1070,Programme!D1070,Programme!E1070,Programme!F1070,Programme!G1070,Programme!H1070,Programme!I1070)</f>
        <v>&lt;codeEdi&gt;532&lt;/codeEdi&gt;</v>
      </c>
    </row>
    <row r="1070" spans="1:1" x14ac:dyDescent="0.2">
      <c r="A1070" s="1135" t="str">
        <f>CONCATENATE(Programme!C1071,Programme!D1071,Programme!E1071,Programme!F1071,Programme!G1071,Programme!H1071,Programme!I1071)</f>
        <v>&lt;/cellule&gt;</v>
      </c>
    </row>
    <row r="1071" spans="1:1" x14ac:dyDescent="0.2">
      <c r="A1071" s="1135" t="str">
        <f>CONCATENATE(Programme!C1072,Programme!D1072,Programme!E1072,Programme!F1072,Programme!G1072,Programme!H1072,Programme!I1072)</f>
        <v>&lt;valeur&gt;492,54&lt;/valeur&gt;</v>
      </c>
    </row>
    <row r="1072" spans="1:1" x14ac:dyDescent="0.2">
      <c r="A1072" s="1135" t="str">
        <f>CONCATENATE(Programme!C1073,Programme!D1073,Programme!E1073,Programme!F1073,Programme!G1073,Programme!H1073,Programme!I1073)</f>
        <v>&lt;/ValeurCellule&gt;</v>
      </c>
    </row>
    <row r="1073" spans="1:1" x14ac:dyDescent="0.2">
      <c r="A1073" s="1135" t="str">
        <f>CONCATENATE(Programme!C1074,Programme!D1074,Programme!E1074,Programme!F1074,Programme!G1074,Programme!H1074,Programme!I1074)</f>
        <v>&lt;ValeurCellule&gt;</v>
      </c>
    </row>
    <row r="1074" spans="1:1" x14ac:dyDescent="0.2">
      <c r="A1074" s="1135" t="str">
        <f>CONCATENATE(Programme!C1075,Programme!D1075,Programme!E1075,Programme!F1075,Programme!G1075,Programme!H1075,Programme!I1075)</f>
        <v>&lt;cellule&gt;</v>
      </c>
    </row>
    <row r="1075" spans="1:1" x14ac:dyDescent="0.2">
      <c r="A1075" s="1135" t="str">
        <f>CONCATENATE(Programme!C1076,Programme!D1076,Programme!E1076,Programme!F1076,Programme!G1076,Programme!H1076,Programme!I1076)</f>
        <v>&lt;codeEdi&gt;306&lt;/codeEdi&gt;</v>
      </c>
    </row>
    <row r="1076" spans="1:1" x14ac:dyDescent="0.2">
      <c r="A1076" s="1135" t="str">
        <f>CONCATENATE(Programme!C1077,Programme!D1077,Programme!E1077,Programme!F1077,Programme!G1077,Programme!H1077,Programme!I1077)</f>
        <v>&lt;/cellule&gt;</v>
      </c>
    </row>
    <row r="1077" spans="1:1" x14ac:dyDescent="0.2">
      <c r="A1077" s="1135" t="str">
        <f>CONCATENATE(Programme!C1078,Programme!D1078,Programme!E1078,Programme!F1078,Programme!G1078,Programme!H1078,Programme!I1078)</f>
        <v>&lt;valeur&gt;0&lt;/valeur&gt;</v>
      </c>
    </row>
    <row r="1078" spans="1:1" x14ac:dyDescent="0.2">
      <c r="A1078" s="1135" t="str">
        <f>CONCATENATE(Programme!C1079,Programme!D1079,Programme!E1079,Programme!F1079,Programme!G1079,Programme!H1079,Programme!I1079)</f>
        <v>&lt;/ValeurCellule&gt;</v>
      </c>
    </row>
    <row r="1079" spans="1:1" x14ac:dyDescent="0.2">
      <c r="A1079" s="1135" t="str">
        <f>CONCATENATE(Programme!C1080,Programme!D1080,Programme!E1080,Programme!F1080,Programme!G1080,Programme!H1080,Programme!I1080)</f>
        <v>&lt;ValeurCellule&gt;</v>
      </c>
    </row>
    <row r="1080" spans="1:1" x14ac:dyDescent="0.2">
      <c r="A1080" s="1135" t="str">
        <f>CONCATENATE(Programme!C1081,Programme!D1081,Programme!E1081,Programme!F1081,Programme!G1081,Programme!H1081,Programme!I1081)</f>
        <v>&lt;cellule&gt;</v>
      </c>
    </row>
    <row r="1081" spans="1:1" x14ac:dyDescent="0.2">
      <c r="A1081" s="1135" t="str">
        <f>CONCATENATE(Programme!C1082,Programme!D1082,Programme!E1082,Programme!F1082,Programme!G1082,Programme!H1082,Programme!I1082)</f>
        <v>&lt;codeEdi&gt;307&lt;/codeEdi&gt;</v>
      </c>
    </row>
    <row r="1082" spans="1:1" x14ac:dyDescent="0.2">
      <c r="A1082" s="1135" t="str">
        <f>CONCATENATE(Programme!C1083,Programme!D1083,Programme!E1083,Programme!F1083,Programme!G1083,Programme!H1083,Programme!I1083)</f>
        <v>&lt;/cellule&gt;</v>
      </c>
    </row>
    <row r="1083" spans="1:1" x14ac:dyDescent="0.2">
      <c r="A1083" s="1135" t="str">
        <f>CONCATENATE(Programme!C1084,Programme!D1084,Programme!E1084,Programme!F1084,Programme!G1084,Programme!H1084,Programme!I1084)</f>
        <v>&lt;valeur&gt;0&lt;/valeur&gt;</v>
      </c>
    </row>
    <row r="1084" spans="1:1" x14ac:dyDescent="0.2">
      <c r="A1084" s="1135" t="str">
        <f>CONCATENATE(Programme!C1085,Programme!D1085,Programme!E1085,Programme!F1085,Programme!G1085,Programme!H1085,Programme!I1085)</f>
        <v>&lt;/ValeurCellule&gt;</v>
      </c>
    </row>
    <row r="1085" spans="1:1" x14ac:dyDescent="0.2">
      <c r="A1085" s="1135" t="str">
        <f>CONCATENATE(Programme!C1086,Programme!D1086,Programme!E1086,Programme!F1086,Programme!G1086,Programme!H1086,Programme!I1086)</f>
        <v>&lt;ValeurCellule&gt;</v>
      </c>
    </row>
    <row r="1086" spans="1:1" x14ac:dyDescent="0.2">
      <c r="A1086" s="1135" t="str">
        <f>CONCATENATE(Programme!C1087,Programme!D1087,Programme!E1087,Programme!F1087,Programme!G1087,Programme!H1087,Programme!I1087)</f>
        <v>&lt;cellule&gt;</v>
      </c>
    </row>
    <row r="1087" spans="1:1" x14ac:dyDescent="0.2">
      <c r="A1087" s="1135" t="str">
        <f>CONCATENATE(Programme!C1088,Programme!D1088,Programme!E1088,Programme!F1088,Programme!G1088,Programme!H1088,Programme!I1088)</f>
        <v>&lt;codeEdi&gt;308&lt;/codeEdi&gt;</v>
      </c>
    </row>
    <row r="1088" spans="1:1" x14ac:dyDescent="0.2">
      <c r="A1088" s="1135" t="str">
        <f>CONCATENATE(Programme!C1089,Programme!D1089,Programme!E1089,Programme!F1089,Programme!G1089,Programme!H1089,Programme!I1089)</f>
        <v>&lt;/cellule&gt;</v>
      </c>
    </row>
    <row r="1089" spans="1:1" x14ac:dyDescent="0.2">
      <c r="A1089" s="1135" t="str">
        <f>CONCATENATE(Programme!C1090,Programme!D1090,Programme!E1090,Programme!F1090,Programme!G1090,Programme!H1090,Programme!I1090)</f>
        <v>&lt;valeur&gt;0&lt;/valeur&gt;</v>
      </c>
    </row>
    <row r="1090" spans="1:1" x14ac:dyDescent="0.2">
      <c r="A1090" s="1135" t="str">
        <f>CONCATENATE(Programme!C1091,Programme!D1091,Programme!E1091,Programme!F1091,Programme!G1091,Programme!H1091,Programme!I1091)</f>
        <v>&lt;/ValeurCellule&gt;</v>
      </c>
    </row>
    <row r="1091" spans="1:1" x14ac:dyDescent="0.2">
      <c r="A1091" s="1135" t="str">
        <f>CONCATENATE(Programme!C1092,Programme!D1092,Programme!E1092,Programme!F1092,Programme!G1092,Programme!H1092,Programme!I1092)</f>
        <v>&lt;ValeurCellule&gt;</v>
      </c>
    </row>
    <row r="1092" spans="1:1" x14ac:dyDescent="0.2">
      <c r="A1092" s="1135" t="str">
        <f>CONCATENATE(Programme!C1093,Programme!D1093,Programme!E1093,Programme!F1093,Programme!G1093,Programme!H1093,Programme!I1093)</f>
        <v>&lt;cellule&gt;</v>
      </c>
    </row>
    <row r="1093" spans="1:1" x14ac:dyDescent="0.2">
      <c r="A1093" s="1135" t="str">
        <f>CONCATENATE(Programme!C1094,Programme!D1094,Programme!E1094,Programme!F1094,Programme!G1094,Programme!H1094,Programme!I1094)</f>
        <v>&lt;codeEdi&gt;533&lt;/codeEdi&gt;</v>
      </c>
    </row>
    <row r="1094" spans="1:1" x14ac:dyDescent="0.2">
      <c r="A1094" s="1135" t="str">
        <f>CONCATENATE(Programme!C1095,Programme!D1095,Programme!E1095,Programme!F1095,Programme!G1095,Programme!H1095,Programme!I1095)</f>
        <v>&lt;/cellule&gt;</v>
      </c>
    </row>
    <row r="1095" spans="1:1" x14ac:dyDescent="0.2">
      <c r="A1095" s="1135" t="str">
        <f>CONCATENATE(Programme!C1096,Programme!D1096,Programme!E1096,Programme!F1096,Programme!G1096,Programme!H1096,Programme!I1096)</f>
        <v>&lt;valeur&gt;0&lt;/valeur&gt;</v>
      </c>
    </row>
    <row r="1096" spans="1:1" x14ac:dyDescent="0.2">
      <c r="A1096" s="1135" t="str">
        <f>CONCATENATE(Programme!C1097,Programme!D1097,Programme!E1097,Programme!F1097,Programme!G1097,Programme!H1097,Programme!I1097)</f>
        <v>&lt;/ValeurCellule&gt;</v>
      </c>
    </row>
    <row r="1097" spans="1:1" x14ac:dyDescent="0.2">
      <c r="A1097" s="1135" t="str">
        <f>CONCATENATE(Programme!C1098,Programme!D1098,Programme!E1098,Programme!F1098,Programme!G1098,Programme!H1098,Programme!I1098)</f>
        <v>&lt;ValeurCellule&gt;</v>
      </c>
    </row>
    <row r="1098" spans="1:1" x14ac:dyDescent="0.2">
      <c r="A1098" s="1135" t="str">
        <f>CONCATENATE(Programme!C1099,Programme!D1099,Programme!E1099,Programme!F1099,Programme!G1099,Programme!H1099,Programme!I1099)</f>
        <v>&lt;cellule&gt;</v>
      </c>
    </row>
    <row r="1099" spans="1:1" x14ac:dyDescent="0.2">
      <c r="A1099" s="1135" t="str">
        <f>CONCATENATE(Programme!C1100,Programme!D1100,Programme!E1100,Programme!F1100,Programme!G1100,Programme!H1100,Programme!I1100)</f>
        <v>&lt;codeEdi&gt;309&lt;/codeEdi&gt;</v>
      </c>
    </row>
    <row r="1100" spans="1:1" x14ac:dyDescent="0.2">
      <c r="A1100" s="1135" t="str">
        <f>CONCATENATE(Programme!C1101,Programme!D1101,Programme!E1101,Programme!F1101,Programme!G1101,Programme!H1101,Programme!I1101)</f>
        <v>&lt;/cellule&gt;</v>
      </c>
    </row>
    <row r="1101" spans="1:1" x14ac:dyDescent="0.2">
      <c r="A1101" s="1135" t="str">
        <f>CONCATENATE(Programme!C1102,Programme!D1102,Programme!E1102,Programme!F1102,Programme!G1102,Programme!H1102,Programme!I1102)</f>
        <v>&lt;valeur&gt;0&lt;/valeur&gt;</v>
      </c>
    </row>
    <row r="1102" spans="1:1" x14ac:dyDescent="0.2">
      <c r="A1102" s="1135" t="str">
        <f>CONCATENATE(Programme!C1103,Programme!D1103,Programme!E1103,Programme!F1103,Programme!G1103,Programme!H1103,Programme!I1103)</f>
        <v>&lt;/ValeurCellule&gt;</v>
      </c>
    </row>
    <row r="1103" spans="1:1" x14ac:dyDescent="0.2">
      <c r="A1103" s="1135" t="str">
        <f>CONCATENATE(Programme!C1104,Programme!D1104,Programme!E1104,Programme!F1104,Programme!G1104,Programme!H1104,Programme!I1104)</f>
        <v>&lt;ValeurCellule&gt;</v>
      </c>
    </row>
    <row r="1104" spans="1:1" x14ac:dyDescent="0.2">
      <c r="A1104" s="1135" t="str">
        <f>CONCATENATE(Programme!C1105,Programme!D1105,Programme!E1105,Programme!F1105,Programme!G1105,Programme!H1105,Programme!I1105)</f>
        <v>&lt;cellule&gt;</v>
      </c>
    </row>
    <row r="1105" spans="1:1" x14ac:dyDescent="0.2">
      <c r="A1105" s="1135" t="str">
        <f>CONCATENATE(Programme!C1106,Programme!D1106,Programme!E1106,Programme!F1106,Programme!G1106,Programme!H1106,Programme!I1106)</f>
        <v>&lt;codeEdi&gt;310&lt;/codeEdi&gt;</v>
      </c>
    </row>
    <row r="1106" spans="1:1" x14ac:dyDescent="0.2">
      <c r="A1106" s="1135" t="str">
        <f>CONCATENATE(Programme!C1107,Programme!D1107,Programme!E1107,Programme!F1107,Programme!G1107,Programme!H1107,Programme!I1107)</f>
        <v>&lt;/cellule&gt;</v>
      </c>
    </row>
    <row r="1107" spans="1:1" x14ac:dyDescent="0.2">
      <c r="A1107" s="1135" t="str">
        <f>CONCATENATE(Programme!C1108,Programme!D1108,Programme!E1108,Programme!F1108,Programme!G1108,Programme!H1108,Programme!I1108)</f>
        <v>&lt;valeur&gt;323,11&lt;/valeur&gt;</v>
      </c>
    </row>
    <row r="1108" spans="1:1" x14ac:dyDescent="0.2">
      <c r="A1108" s="1135" t="str">
        <f>CONCATENATE(Programme!C1109,Programme!D1109,Programme!E1109,Programme!F1109,Programme!G1109,Programme!H1109,Programme!I1109)</f>
        <v>&lt;/ValeurCellule&gt;</v>
      </c>
    </row>
    <row r="1109" spans="1:1" x14ac:dyDescent="0.2">
      <c r="A1109" s="1135" t="str">
        <f>CONCATENATE(Programme!C1110,Programme!D1110,Programme!E1110,Programme!F1110,Programme!G1110,Programme!H1110,Programme!I1110)</f>
        <v>&lt;ValeurCellule&gt;</v>
      </c>
    </row>
    <row r="1110" spans="1:1" x14ac:dyDescent="0.2">
      <c r="A1110" s="1135" t="str">
        <f>CONCATENATE(Programme!C1111,Programme!D1111,Programme!E1111,Programme!F1111,Programme!G1111,Programme!H1111,Programme!I1111)</f>
        <v>&lt;cellule&gt;</v>
      </c>
    </row>
    <row r="1111" spans="1:1" x14ac:dyDescent="0.2">
      <c r="A1111" s="1135" t="str">
        <f>CONCATENATE(Programme!C1112,Programme!D1112,Programme!E1112,Programme!F1112,Programme!G1112,Programme!H1112,Programme!I1112)</f>
        <v>&lt;codeEdi&gt;311&lt;/codeEdi&gt;</v>
      </c>
    </row>
    <row r="1112" spans="1:1" x14ac:dyDescent="0.2">
      <c r="A1112" s="1135" t="str">
        <f>CONCATENATE(Programme!C1113,Programme!D1113,Programme!E1113,Programme!F1113,Programme!G1113,Programme!H1113,Programme!I1113)</f>
        <v>&lt;/cellule&gt;</v>
      </c>
    </row>
    <row r="1113" spans="1:1" x14ac:dyDescent="0.2">
      <c r="A1113" s="1135" t="str">
        <f>CONCATENATE(Programme!C1114,Programme!D1114,Programme!E1114,Programme!F1114,Programme!G1114,Programme!H1114,Programme!I1114)</f>
        <v>&lt;valeur&gt;169,43&lt;/valeur&gt;</v>
      </c>
    </row>
    <row r="1114" spans="1:1" x14ac:dyDescent="0.2">
      <c r="A1114" s="1135" t="str">
        <f>CONCATENATE(Programme!C1115,Programme!D1115,Programme!E1115,Programme!F1115,Programme!G1115,Programme!H1115,Programme!I1115)</f>
        <v>&lt;/ValeurCellule&gt;</v>
      </c>
    </row>
    <row r="1115" spans="1:1" x14ac:dyDescent="0.2">
      <c r="A1115" s="1135" t="str">
        <f>CONCATENATE(Programme!C1116,Programme!D1116,Programme!E1116,Programme!F1116,Programme!G1116,Programme!H1116,Programme!I1116)</f>
        <v>&lt;ValeurCellule&gt;</v>
      </c>
    </row>
    <row r="1116" spans="1:1" x14ac:dyDescent="0.2">
      <c r="A1116" s="1135" t="str">
        <f>CONCATENATE(Programme!C1117,Programme!D1117,Programme!E1117,Programme!F1117,Programme!G1117,Programme!H1117,Programme!I1117)</f>
        <v>&lt;cellule&gt;</v>
      </c>
    </row>
    <row r="1117" spans="1:1" x14ac:dyDescent="0.2">
      <c r="A1117" s="1135" t="str">
        <f>CONCATENATE(Programme!C1118,Programme!D1118,Programme!E1118,Programme!F1118,Programme!G1118,Programme!H1118,Programme!I1118)</f>
        <v>&lt;codeEdi&gt;534&lt;/codeEdi&gt;</v>
      </c>
    </row>
    <row r="1118" spans="1:1" x14ac:dyDescent="0.2">
      <c r="A1118" s="1135" t="str">
        <f>CONCATENATE(Programme!C1119,Programme!D1119,Programme!E1119,Programme!F1119,Programme!G1119,Programme!H1119,Programme!I1119)</f>
        <v>&lt;/cellule&gt;</v>
      </c>
    </row>
    <row r="1119" spans="1:1" x14ac:dyDescent="0.2">
      <c r="A1119" s="1135" t="str">
        <f>CONCATENATE(Programme!C1120,Programme!D1120,Programme!E1120,Programme!F1120,Programme!G1120,Programme!H1120,Programme!I1120)</f>
        <v>&lt;valeur&gt;492,54&lt;/valeur&gt;</v>
      </c>
    </row>
    <row r="1120" spans="1:1" x14ac:dyDescent="0.2">
      <c r="A1120" s="1135" t="str">
        <f>CONCATENATE(Programme!C1121,Programme!D1121,Programme!E1121,Programme!F1121,Programme!G1121,Programme!H1121,Programme!I1121)</f>
        <v>&lt;/ValeurCellule&gt;</v>
      </c>
    </row>
    <row r="1121" spans="1:1" x14ac:dyDescent="0.2">
      <c r="A1121" s="1135" t="str">
        <f>CONCATENATE(Programme!C1122,Programme!D1122,Programme!E1122,Programme!F1122,Programme!G1122,Programme!H1122,Programme!I1122)</f>
        <v>&lt;ValeurCellule&gt;</v>
      </c>
    </row>
    <row r="1122" spans="1:1" x14ac:dyDescent="0.2">
      <c r="A1122" s="1135" t="str">
        <f>CONCATENATE(Programme!C1123,Programme!D1123,Programme!E1123,Programme!F1123,Programme!G1123,Programme!H1123,Programme!I1123)</f>
        <v>&lt;cellule&gt;</v>
      </c>
    </row>
    <row r="1123" spans="1:1" x14ac:dyDescent="0.2">
      <c r="A1123" s="1135" t="str">
        <f>CONCATENATE(Programme!C1124,Programme!D1124,Programme!E1124,Programme!F1124,Programme!G1124,Programme!H1124,Programme!I1124)</f>
        <v>&lt;codeEdi&gt;312&lt;/codeEdi&gt;</v>
      </c>
    </row>
    <row r="1124" spans="1:1" x14ac:dyDescent="0.2">
      <c r="A1124" s="1135" t="str">
        <f>CONCATENATE(Programme!C1125,Programme!D1125,Programme!E1125,Programme!F1125,Programme!G1125,Programme!H1125,Programme!I1125)</f>
        <v>&lt;/cellule&gt;</v>
      </c>
    </row>
    <row r="1125" spans="1:1" x14ac:dyDescent="0.2">
      <c r="A1125" s="1135" t="str">
        <f>CONCATENATE(Programme!C1126,Programme!D1126,Programme!E1126,Programme!F1126,Programme!G1126,Programme!H1126,Programme!I1126)</f>
        <v>&lt;valeur&gt;0&lt;/valeur&gt;</v>
      </c>
    </row>
    <row r="1126" spans="1:1" x14ac:dyDescent="0.2">
      <c r="A1126" s="1135" t="str">
        <f>CONCATENATE(Programme!C1127,Programme!D1127,Programme!E1127,Programme!F1127,Programme!G1127,Programme!H1127,Programme!I1127)</f>
        <v>&lt;/ValeurCellule&gt;</v>
      </c>
    </row>
    <row r="1127" spans="1:1" x14ac:dyDescent="0.2">
      <c r="A1127" s="1135" t="str">
        <f>CONCATENATE(Programme!C1128,Programme!D1128,Programme!E1128,Programme!F1128,Programme!G1128,Programme!H1128,Programme!I1128)</f>
        <v>&lt;ValeurCellule&gt;</v>
      </c>
    </row>
    <row r="1128" spans="1:1" x14ac:dyDescent="0.2">
      <c r="A1128" s="1135" t="str">
        <f>CONCATENATE(Programme!C1129,Programme!D1129,Programme!E1129,Programme!F1129,Programme!G1129,Programme!H1129,Programme!I1129)</f>
        <v>&lt;cellule&gt;</v>
      </c>
    </row>
    <row r="1129" spans="1:1" x14ac:dyDescent="0.2">
      <c r="A1129" s="1135" t="str">
        <f>CONCATENATE(Programme!C1130,Programme!D1130,Programme!E1130,Programme!F1130,Programme!G1130,Programme!H1130,Programme!I1130)</f>
        <v>&lt;codeEdi&gt;313&lt;/codeEdi&gt;</v>
      </c>
    </row>
    <row r="1130" spans="1:1" x14ac:dyDescent="0.2">
      <c r="A1130" s="1135" t="str">
        <f>CONCATENATE(Programme!C1131,Programme!D1131,Programme!E1131,Programme!F1131,Programme!G1131,Programme!H1131,Programme!I1131)</f>
        <v>&lt;/cellule&gt;</v>
      </c>
    </row>
    <row r="1131" spans="1:1" x14ac:dyDescent="0.2">
      <c r="A1131" s="1135" t="str">
        <f>CONCATENATE(Programme!C1132,Programme!D1132,Programme!E1132,Programme!F1132,Programme!G1132,Programme!H1132,Programme!I1132)</f>
        <v>&lt;valeur&gt;222845,67&lt;/valeur&gt;</v>
      </c>
    </row>
    <row r="1132" spans="1:1" x14ac:dyDescent="0.2">
      <c r="A1132" s="1135" t="str">
        <f>CONCATENATE(Programme!C1133,Programme!D1133,Programme!E1133,Programme!F1133,Programme!G1133,Programme!H1133,Programme!I1133)</f>
        <v>&lt;/ValeurCellule&gt;</v>
      </c>
    </row>
    <row r="1133" spans="1:1" x14ac:dyDescent="0.2">
      <c r="A1133" s="1135" t="str">
        <f>CONCATENATE(Programme!C1134,Programme!D1134,Programme!E1134,Programme!F1134,Programme!G1134,Programme!H1134,Programme!I1134)</f>
        <v>&lt;ValeurCellule&gt;</v>
      </c>
    </row>
    <row r="1134" spans="1:1" x14ac:dyDescent="0.2">
      <c r="A1134" s="1135" t="str">
        <f>CONCATENATE(Programme!C1135,Programme!D1135,Programme!E1135,Programme!F1135,Programme!G1135,Programme!H1135,Programme!I1135)</f>
        <v>&lt;cellule&gt;</v>
      </c>
    </row>
    <row r="1135" spans="1:1" x14ac:dyDescent="0.2">
      <c r="A1135" s="1135" t="str">
        <f>CONCATENATE(Programme!C1136,Programme!D1136,Programme!E1136,Programme!F1136,Programme!G1136,Programme!H1136,Programme!I1136)</f>
        <v>&lt;codeEdi&gt;314&lt;/codeEdi&gt;</v>
      </c>
    </row>
    <row r="1136" spans="1:1" x14ac:dyDescent="0.2">
      <c r="A1136" s="1135" t="str">
        <f>CONCATENATE(Programme!C1137,Programme!D1137,Programme!E1137,Programme!F1137,Programme!G1137,Programme!H1137,Programme!I1137)</f>
        <v>&lt;/cellule&gt;</v>
      </c>
    </row>
    <row r="1137" spans="1:1" x14ac:dyDescent="0.2">
      <c r="A1137" s="1135" t="str">
        <f>CONCATENATE(Programme!C1138,Programme!D1138,Programme!E1138,Programme!F1138,Programme!G1138,Programme!H1138,Programme!I1138)</f>
        <v>&lt;valeur&gt;88900&lt;/valeur&gt;</v>
      </c>
    </row>
    <row r="1138" spans="1:1" x14ac:dyDescent="0.2">
      <c r="A1138" s="1135" t="str">
        <f>CONCATENATE(Programme!C1139,Programme!D1139,Programme!E1139,Programme!F1139,Programme!G1139,Programme!H1139,Programme!I1139)</f>
        <v>&lt;/ValeurCellule&gt;</v>
      </c>
    </row>
    <row r="1139" spans="1:1" x14ac:dyDescent="0.2">
      <c r="A1139" s="1135" t="str">
        <f>CONCATENATE(Programme!C1140,Programme!D1140,Programme!E1140,Programme!F1140,Programme!G1140,Programme!H1140,Programme!I1140)</f>
        <v>&lt;ValeurCellule&gt;</v>
      </c>
    </row>
    <row r="1140" spans="1:1" x14ac:dyDescent="0.2">
      <c r="A1140" s="1135" t="str">
        <f>CONCATENATE(Programme!C1141,Programme!D1141,Programme!E1141,Programme!F1141,Programme!G1141,Programme!H1141,Programme!I1141)</f>
        <v>&lt;cellule&gt;</v>
      </c>
    </row>
    <row r="1141" spans="1:1" x14ac:dyDescent="0.2">
      <c r="A1141" s="1135" t="str">
        <f>CONCATENATE(Programme!C1142,Programme!D1142,Programme!E1142,Programme!F1142,Programme!G1142,Programme!H1142,Programme!I1142)</f>
        <v>&lt;codeEdi&gt;535&lt;/codeEdi&gt;</v>
      </c>
    </row>
    <row r="1142" spans="1:1" x14ac:dyDescent="0.2">
      <c r="A1142" s="1135" t="str">
        <f>CONCATENATE(Programme!C1143,Programme!D1143,Programme!E1143,Programme!F1143,Programme!G1143,Programme!H1143,Programme!I1143)</f>
        <v>&lt;/cellule&gt;</v>
      </c>
    </row>
    <row r="1143" spans="1:1" x14ac:dyDescent="0.2">
      <c r="A1143" s="1135" t="str">
        <f>CONCATENATE(Programme!C1144,Programme!D1144,Programme!E1144,Programme!F1144,Programme!G1144,Programme!H1144,Programme!I1144)</f>
        <v>&lt;valeur&gt;311745,67&lt;/valeur&gt;</v>
      </c>
    </row>
    <row r="1144" spans="1:1" x14ac:dyDescent="0.2">
      <c r="A1144" s="1135" t="str">
        <f>CONCATENATE(Programme!C1145,Programme!D1145,Programme!E1145,Programme!F1145,Programme!G1145,Programme!H1145,Programme!I1145)</f>
        <v>&lt;/ValeurCellule&gt;</v>
      </c>
    </row>
    <row r="1145" spans="1:1" x14ac:dyDescent="0.2">
      <c r="A1145" s="1135" t="str">
        <f>CONCATENATE(Programme!C1146,Programme!D1146,Programme!E1146,Programme!F1146,Programme!G1146,Programme!H1146,Programme!I1146)</f>
        <v>&lt;ValeurCellule&gt;</v>
      </c>
    </row>
    <row r="1146" spans="1:1" x14ac:dyDescent="0.2">
      <c r="A1146" s="1135" t="str">
        <f>CONCATENATE(Programme!C1147,Programme!D1147,Programme!E1147,Programme!F1147,Programme!G1147,Programme!H1147,Programme!I1147)</f>
        <v>&lt;cellule&gt;</v>
      </c>
    </row>
    <row r="1147" spans="1:1" x14ac:dyDescent="0.2">
      <c r="A1147" s="1135" t="str">
        <f>CONCATENATE(Programme!C1148,Programme!D1148,Programme!E1148,Programme!F1148,Programme!G1148,Programme!H1148,Programme!I1148)</f>
        <v>&lt;codeEdi&gt;316&lt;/codeEdi&gt;</v>
      </c>
    </row>
    <row r="1148" spans="1:1" x14ac:dyDescent="0.2">
      <c r="A1148" s="1135" t="str">
        <f>CONCATENATE(Programme!C1149,Programme!D1149,Programme!E1149,Programme!F1149,Programme!G1149,Programme!H1149,Programme!I1149)</f>
        <v>&lt;/cellule&gt;</v>
      </c>
    </row>
    <row r="1149" spans="1:1" x14ac:dyDescent="0.2">
      <c r="A1149" s="1135" t="str">
        <f>CONCATENATE(Programme!C1150,Programme!D1150,Programme!E1150,Programme!F1150,Programme!G1150,Programme!H1150,Programme!I1150)</f>
        <v>&lt;valeur&gt;492,54&lt;/valeur&gt;</v>
      </c>
    </row>
    <row r="1150" spans="1:1" x14ac:dyDescent="0.2">
      <c r="A1150" s="1135" t="str">
        <f>CONCATENATE(Programme!C1151,Programme!D1151,Programme!E1151,Programme!F1151,Programme!G1151,Programme!H1151,Programme!I1151)</f>
        <v>&lt;/ValeurCellule&gt;</v>
      </c>
    </row>
    <row r="1151" spans="1:1" x14ac:dyDescent="0.2">
      <c r="A1151" s="1135" t="str">
        <f>CONCATENATE(Programme!C1152,Programme!D1152,Programme!E1152,Programme!F1152,Programme!G1152,Programme!H1152,Programme!I1152)</f>
        <v>&lt;ValeurCellule&gt;</v>
      </c>
    </row>
    <row r="1152" spans="1:1" x14ac:dyDescent="0.2">
      <c r="A1152" s="1135" t="str">
        <f>CONCATENATE(Programme!C1153,Programme!D1153,Programme!E1153,Programme!F1153,Programme!G1153,Programme!H1153,Programme!I1153)</f>
        <v>&lt;cellule&gt;</v>
      </c>
    </row>
    <row r="1153" spans="1:1" x14ac:dyDescent="0.2">
      <c r="A1153" s="1135" t="str">
        <f>CONCATENATE(Programme!C1154,Programme!D1154,Programme!E1154,Programme!F1154,Programme!G1154,Programme!H1154,Programme!I1154)</f>
        <v>&lt;codeEdi&gt;317&lt;/codeEdi&gt;</v>
      </c>
    </row>
    <row r="1154" spans="1:1" x14ac:dyDescent="0.2">
      <c r="A1154" s="1135" t="str">
        <f>CONCATENATE(Programme!C1155,Programme!D1155,Programme!E1155,Programme!F1155,Programme!G1155,Programme!H1155,Programme!I1155)</f>
        <v>&lt;/cellule&gt;</v>
      </c>
    </row>
    <row r="1155" spans="1:1" x14ac:dyDescent="0.2">
      <c r="A1155" s="1135" t="str">
        <f>CONCATENATE(Programme!C1156,Programme!D1156,Programme!E1156,Programme!F1156,Programme!G1156,Programme!H1156,Programme!I1156)</f>
        <v>&lt;valeur&gt;0&lt;/valeur&gt;</v>
      </c>
    </row>
    <row r="1156" spans="1:1" x14ac:dyDescent="0.2">
      <c r="A1156" s="1135" t="str">
        <f>CONCATENATE(Programme!C1157,Programme!D1157,Programme!E1157,Programme!F1157,Programme!G1157,Programme!H1157,Programme!I1157)</f>
        <v>&lt;/ValeurCellule&gt;</v>
      </c>
    </row>
    <row r="1157" spans="1:1" x14ac:dyDescent="0.2">
      <c r="A1157" s="1135" t="str">
        <f>CONCATENATE(Programme!C1158,Programme!D1158,Programme!E1158,Programme!F1158,Programme!G1158,Programme!H1158,Programme!I1158)</f>
        <v>&lt;ValeurCellule&gt;</v>
      </c>
    </row>
    <row r="1158" spans="1:1" x14ac:dyDescent="0.2">
      <c r="A1158" s="1135" t="str">
        <f>CONCATENATE(Programme!C1159,Programme!D1159,Programme!E1159,Programme!F1159,Programme!G1159,Programme!H1159,Programme!I1159)</f>
        <v>&lt;cellule&gt;</v>
      </c>
    </row>
    <row r="1159" spans="1:1" x14ac:dyDescent="0.2">
      <c r="A1159" s="1135" t="str">
        <f>CONCATENATE(Programme!C1160,Programme!D1160,Programme!E1160,Programme!F1160,Programme!G1160,Programme!H1160,Programme!I1160)</f>
        <v>&lt;codeEdi&gt;318&lt;/codeEdi&gt;</v>
      </c>
    </row>
    <row r="1160" spans="1:1" x14ac:dyDescent="0.2">
      <c r="A1160" s="1135" t="str">
        <f>CONCATENATE(Programme!C1161,Programme!D1161,Programme!E1161,Programme!F1161,Programme!G1161,Programme!H1161,Programme!I1161)</f>
        <v>&lt;/cellule&gt;</v>
      </c>
    </row>
    <row r="1161" spans="1:1" x14ac:dyDescent="0.2">
      <c r="A1161" s="1135" t="str">
        <f>CONCATENATE(Programme!C1162,Programme!D1162,Programme!E1162,Programme!F1162,Programme!G1162,Programme!H1162,Programme!I1162)</f>
        <v>&lt;valeur&gt;492,54&lt;/valeur&gt;</v>
      </c>
    </row>
    <row r="1162" spans="1:1" x14ac:dyDescent="0.2">
      <c r="A1162" s="1135" t="str">
        <f>CONCATENATE(Programme!C1163,Programme!D1163,Programme!E1163,Programme!F1163,Programme!G1163,Programme!H1163,Programme!I1163)</f>
        <v>&lt;/ValeurCellule&gt;</v>
      </c>
    </row>
    <row r="1163" spans="1:1" x14ac:dyDescent="0.2">
      <c r="A1163" s="1135" t="str">
        <f>CONCATENATE(Programme!C1164,Programme!D1164,Programme!E1164,Programme!F1164,Programme!G1164,Programme!H1164,Programme!I1164)</f>
        <v>&lt;ValeurCellule&gt;</v>
      </c>
    </row>
    <row r="1164" spans="1:1" x14ac:dyDescent="0.2">
      <c r="A1164" s="1135" t="str">
        <f>CONCATENATE(Programme!C1165,Programme!D1165,Programme!E1165,Programme!F1165,Programme!G1165,Programme!H1165,Programme!I1165)</f>
        <v>&lt;cellule&gt;</v>
      </c>
    </row>
    <row r="1165" spans="1:1" x14ac:dyDescent="0.2">
      <c r="A1165" s="1135" t="str">
        <f>CONCATENATE(Programme!C1166,Programme!D1166,Programme!E1166,Programme!F1166,Programme!G1166,Programme!H1166,Programme!I1166)</f>
        <v>&lt;codeEdi&gt;319&lt;/codeEdi&gt;</v>
      </c>
    </row>
    <row r="1166" spans="1:1" x14ac:dyDescent="0.2">
      <c r="A1166" s="1135" t="str">
        <f>CONCATENATE(Programme!C1167,Programme!D1167,Programme!E1167,Programme!F1167,Programme!G1167,Programme!H1167,Programme!I1167)</f>
        <v>&lt;/cellule&gt;</v>
      </c>
    </row>
    <row r="1167" spans="1:1" x14ac:dyDescent="0.2">
      <c r="A1167" s="1135" t="str">
        <f>CONCATENATE(Programme!C1168,Programme!D1168,Programme!E1168,Programme!F1168,Programme!G1168,Programme!H1168,Programme!I1168)</f>
        <v>&lt;valeur&gt;311745,67&lt;/valeur&gt;</v>
      </c>
    </row>
    <row r="1168" spans="1:1" x14ac:dyDescent="0.2">
      <c r="A1168" s="1135" t="str">
        <f>CONCATENATE(Programme!C1169,Programme!D1169,Programme!E1169,Programme!F1169,Programme!G1169,Programme!H1169,Programme!I1169)</f>
        <v>&lt;/ValeurCellule&gt;</v>
      </c>
    </row>
    <row r="1169" spans="1:1" x14ac:dyDescent="0.2">
      <c r="A1169" s="1135" t="str">
        <f>CONCATENATE(Programme!C1170,Programme!D1170,Programme!E1170,Programme!F1170,Programme!G1170,Programme!H1170,Programme!I1170)</f>
        <v>&lt;ValeurCellule&gt;</v>
      </c>
    </row>
    <row r="1170" spans="1:1" x14ac:dyDescent="0.2">
      <c r="A1170" s="1135" t="str">
        <f>CONCATENATE(Programme!C1171,Programme!D1171,Programme!E1171,Programme!F1171,Programme!G1171,Programme!H1171,Programme!I1171)</f>
        <v>&lt;cellule&gt;</v>
      </c>
    </row>
    <row r="1171" spans="1:1" x14ac:dyDescent="0.2">
      <c r="A1171" s="1135" t="str">
        <f>CONCATENATE(Programme!C1172,Programme!D1172,Programme!E1172,Programme!F1172,Programme!G1172,Programme!H1172,Programme!I1172)</f>
        <v>&lt;codeEdi&gt;186&lt;/codeEdi&gt;</v>
      </c>
    </row>
    <row r="1172" spans="1:1" x14ac:dyDescent="0.2">
      <c r="A1172" s="1135" t="str">
        <f>CONCATENATE(Programme!C1173,Programme!D1173,Programme!E1173,Programme!F1173,Programme!G1173,Programme!H1173,Programme!I1173)</f>
        <v>&lt;/cellule&gt;</v>
      </c>
    </row>
    <row r="1173" spans="1:1" x14ac:dyDescent="0.2">
      <c r="A1173" s="1135" t="str">
        <f>CONCATENATE(Programme!C1174,Programme!D1174,Programme!E1174,Programme!F1174,Programme!G1174,Programme!H1174,Programme!I1174)</f>
        <v>&lt;valeur&gt;1902820,84&lt;/valeur&gt;</v>
      </c>
    </row>
    <row r="1174" spans="1:1" x14ac:dyDescent="0.2">
      <c r="A1174" s="1135" t="str">
        <f>CONCATENATE(Programme!C1175,Programme!D1175,Programme!E1175,Programme!F1175,Programme!G1175,Programme!H1175,Programme!I1175)</f>
        <v>&lt;/ValeurCellule&gt;</v>
      </c>
    </row>
    <row r="1175" spans="1:1" x14ac:dyDescent="0.2">
      <c r="A1175" s="1135" t="str">
        <f>CONCATENATE(Programme!C1176,Programme!D1176,Programme!E1176,Programme!F1176,Programme!G1176,Programme!H1176,Programme!I1176)</f>
        <v>&lt;ValeurCellule&gt;</v>
      </c>
    </row>
    <row r="1176" spans="1:1" x14ac:dyDescent="0.2">
      <c r="A1176" s="1135" t="str">
        <f>CONCATENATE(Programme!C1177,Programme!D1177,Programme!E1177,Programme!F1177,Programme!G1177,Programme!H1177,Programme!I1177)</f>
        <v>&lt;cellule&gt;</v>
      </c>
    </row>
    <row r="1177" spans="1:1" x14ac:dyDescent="0.2">
      <c r="A1177" s="1135" t="str">
        <f>CONCATENATE(Programme!C1178,Programme!D1178,Programme!E1178,Programme!F1178,Programme!G1178,Programme!H1178,Programme!I1178)</f>
        <v>&lt;codeEdi&gt;187&lt;/codeEdi&gt;</v>
      </c>
    </row>
    <row r="1178" spans="1:1" x14ac:dyDescent="0.2">
      <c r="A1178" s="1135" t="str">
        <f>CONCATENATE(Programme!C1179,Programme!D1179,Programme!E1179,Programme!F1179,Programme!G1179,Programme!H1179,Programme!I1179)</f>
        <v>&lt;/cellule&gt;</v>
      </c>
    </row>
    <row r="1179" spans="1:1" x14ac:dyDescent="0.2">
      <c r="A1179" s="1135" t="str">
        <f>CONCATENATE(Programme!C1180,Programme!D1180,Programme!E1180,Programme!F1180,Programme!G1180,Programme!H1180,Programme!I1180)</f>
        <v>&lt;valeur&gt;173538,13&lt;/valeur&gt;</v>
      </c>
    </row>
    <row r="1180" spans="1:1" x14ac:dyDescent="0.2">
      <c r="A1180" s="1135" t="str">
        <f>CONCATENATE(Programme!C1181,Programme!D1181,Programme!E1181,Programme!F1181,Programme!G1181,Programme!H1181,Programme!I1181)</f>
        <v>&lt;/ValeurCellule&gt;</v>
      </c>
    </row>
    <row r="1181" spans="1:1" x14ac:dyDescent="0.2">
      <c r="A1181" s="1135" t="str">
        <f>CONCATENATE(Programme!C1182,Programme!D1182,Programme!E1182,Programme!F1182,Programme!G1182,Programme!H1182,Programme!I1182)</f>
        <v>&lt;ValeurCellule&gt;</v>
      </c>
    </row>
    <row r="1182" spans="1:1" x14ac:dyDescent="0.2">
      <c r="A1182" s="1135" t="str">
        <f>CONCATENATE(Programme!C1183,Programme!D1183,Programme!E1183,Programme!F1183,Programme!G1183,Programme!H1183,Programme!I1183)</f>
        <v>&lt;cellule&gt;</v>
      </c>
    </row>
    <row r="1183" spans="1:1" x14ac:dyDescent="0.2">
      <c r="A1183" s="1135" t="str">
        <f>CONCATENATE(Programme!C1184,Programme!D1184,Programme!E1184,Programme!F1184,Programme!G1184,Programme!H1184,Programme!I1184)</f>
        <v>&lt;codeEdi&gt;188&lt;/codeEdi&gt;</v>
      </c>
    </row>
    <row r="1184" spans="1:1" x14ac:dyDescent="0.2">
      <c r="A1184" s="1135" t="str">
        <f>CONCATENATE(Programme!C1185,Programme!D1185,Programme!E1185,Programme!F1185,Programme!G1185,Programme!H1185,Programme!I1185)</f>
        <v>&lt;/cellule&gt;</v>
      </c>
    </row>
    <row r="1185" spans="1:1" x14ac:dyDescent="0.2">
      <c r="A1185" s="1135" t="str">
        <f>CONCATENATE(Programme!C1186,Programme!D1186,Programme!E1186,Programme!F1186,Programme!G1186,Programme!H1186,Programme!I1186)</f>
        <v>&lt;valeur&gt;1729282,71&lt;/valeur&gt;</v>
      </c>
    </row>
    <row r="1186" spans="1:1" x14ac:dyDescent="0.2">
      <c r="A1186" s="1135" t="str">
        <f>CONCATENATE(Programme!C1187,Programme!D1187,Programme!E1187,Programme!F1187,Programme!G1187,Programme!H1187,Programme!I1187)</f>
        <v>&lt;/ValeurCellule&gt;</v>
      </c>
    </row>
    <row r="1187" spans="1:1" x14ac:dyDescent="0.2">
      <c r="A1187" s="1135" t="str">
        <f>CONCATENATE(Programme!C1188,Programme!D1188,Programme!E1188,Programme!F1188,Programme!G1188,Programme!H1188,Programme!I1188)</f>
        <v>&lt;ValeurCellule&gt;</v>
      </c>
    </row>
    <row r="1188" spans="1:1" x14ac:dyDescent="0.2">
      <c r="A1188" s="1135" t="str">
        <f>CONCATENATE(Programme!C1189,Programme!D1189,Programme!E1189,Programme!F1189,Programme!G1189,Programme!H1189,Programme!I1189)</f>
        <v>&lt;cellule&gt;</v>
      </c>
    </row>
    <row r="1189" spans="1:1" x14ac:dyDescent="0.2">
      <c r="A1189" s="1135" t="str">
        <f>CONCATENATE(Programme!C1190,Programme!D1190,Programme!E1190,Programme!F1190,Programme!G1190,Programme!H1190,Programme!I1190)</f>
        <v>&lt;codeEdi&gt;189&lt;/codeEdi&gt;</v>
      </c>
    </row>
    <row r="1190" spans="1:1" x14ac:dyDescent="0.2">
      <c r="A1190" s="1135" t="str">
        <f>CONCATENATE(Programme!C1191,Programme!D1191,Programme!E1191,Programme!F1191,Programme!G1191,Programme!H1191,Programme!I1191)</f>
        <v>&lt;/cellule&gt;</v>
      </c>
    </row>
    <row r="1191" spans="1:1" x14ac:dyDescent="0.2">
      <c r="A1191" s="1135" t="str">
        <f>CONCATENATE(Programme!C1192,Programme!D1192,Programme!E1192,Programme!F1192,Programme!G1192,Programme!H1192,Programme!I1192)</f>
        <v>&lt;valeur&gt;316085,83&lt;/valeur&gt;</v>
      </c>
    </row>
    <row r="1192" spans="1:1" x14ac:dyDescent="0.2">
      <c r="A1192" s="1135" t="str">
        <f>CONCATENATE(Programme!C1193,Programme!D1193,Programme!E1193,Programme!F1193,Programme!G1193,Programme!H1193,Programme!I1193)</f>
        <v>&lt;/ValeurCellule&gt;</v>
      </c>
    </row>
    <row r="1193" spans="1:1" x14ac:dyDescent="0.2">
      <c r="A1193" s="1135" t="str">
        <f>CONCATENATE(Programme!C1194,Programme!D1194,Programme!E1194,Programme!F1194,Programme!G1194,Programme!H1194,Programme!I1194)</f>
        <v>&lt;/groupeValeurs&gt;</v>
      </c>
    </row>
    <row r="1194" spans="1:1" x14ac:dyDescent="0.2">
      <c r="A1194" s="1135" t="str">
        <f>CONCATENATE(Programme!C1195,Programme!D1195,Programme!E1195,Programme!F1195,Programme!G1195,Programme!H1195,Programme!I1195)</f>
        <v>&lt;extraFieldvaleurs&gt;</v>
      </c>
    </row>
    <row r="1195" spans="1:1" x14ac:dyDescent="0.2">
      <c r="A1195" s="1135" t="str">
        <f>CONCATENATE(Programme!C1196,Programme!D1196,Programme!E1196,Programme!F1196,Programme!G1196,Programme!H1196,Programme!I1196)</f>
        <v>&lt;/extraFieldvaleurs&gt;</v>
      </c>
    </row>
    <row r="1196" spans="1:1" x14ac:dyDescent="0.2">
      <c r="A1196" s="1135" t="str">
        <f>CONCATENATE(Programme!C1197,Programme!D1197,Programme!E1197,Programme!F1197,Programme!G1197,Programme!H1197,Programme!I1197)</f>
        <v>&lt;/ValeursTableau&gt;</v>
      </c>
    </row>
    <row r="1197" spans="1:1" x14ac:dyDescent="0.2">
      <c r="A1197" s="1135" t="str">
        <f>CONCATENATE(Programme!C1198,Programme!D1198,Programme!E1198,Programme!F1198,Programme!G1198,Programme!H1198,Programme!I1198)</f>
        <v>&lt;ValeursTableau&gt;</v>
      </c>
    </row>
    <row r="1198" spans="1:1" x14ac:dyDescent="0.2">
      <c r="A1198" s="1135" t="str">
        <f>CONCATENATE(Programme!C1199,Programme!D1199,Programme!E1199,Programme!F1199,Programme!G1199,Programme!H1199,Programme!I1199)</f>
        <v>&lt;tableau&gt;&lt;id&gt;1&lt;/id&gt;&lt;/tableau&gt;</v>
      </c>
    </row>
    <row r="1199" spans="1:1" x14ac:dyDescent="0.2">
      <c r="A1199" s="1135" t="str">
        <f>CONCATENATE(Programme!C1200,Programme!D1200,Programme!E1200,Programme!F1200,Programme!G1200,Programme!H1200,Programme!I1200)</f>
        <v>&lt;groupeValeurs&gt;</v>
      </c>
    </row>
    <row r="1200" spans="1:1" x14ac:dyDescent="0.2">
      <c r="A1200" s="1135" t="str">
        <f>CONCATENATE(Programme!C1201,Programme!D1201,Programme!E1201,Programme!F1201,Programme!G1201,Programme!H1201,Programme!I1201)</f>
        <v>&lt;ValeurCellule&gt;</v>
      </c>
    </row>
    <row r="1201" spans="1:1" x14ac:dyDescent="0.2">
      <c r="A1201" s="1135" t="str">
        <f>CONCATENATE(Programme!C1202,Programme!D1202,Programme!E1202,Programme!F1202,Programme!G1202,Programme!H1202,Programme!I1202)</f>
        <v>&lt;cellule&gt;</v>
      </c>
    </row>
    <row r="1202" spans="1:1" x14ac:dyDescent="0.2">
      <c r="A1202" s="1135" t="str">
        <f>CONCATENATE(Programme!C1203,Programme!D1203,Programme!E1203,Programme!F1203,Programme!G1203,Programme!H1203,Programme!I1203)</f>
        <v>&lt;codeEdi&gt;13406&lt;/codeEdi&gt;</v>
      </c>
    </row>
    <row r="1203" spans="1:1" x14ac:dyDescent="0.2">
      <c r="A1203" s="1135" t="str">
        <f>CONCATENATE(Programme!C1204,Programme!D1204,Programme!E1204,Programme!F1204,Programme!G1204,Programme!H1204,Programme!I1204)</f>
        <v>&lt;/cellule&gt;</v>
      </c>
    </row>
    <row r="1204" spans="1:1" x14ac:dyDescent="0.2">
      <c r="A1204" s="1135" t="str">
        <f>CONCATENATE(Programme!C1205,Programme!D1205,Programme!E1205,Programme!F1205,Programme!G1205,Programme!H1205,Programme!I1205)</f>
        <v>&lt;valeur&gt;0&lt;/valeur&gt;</v>
      </c>
    </row>
    <row r="1205" spans="1:1" x14ac:dyDescent="0.2">
      <c r="A1205" s="1135" t="str">
        <f>CONCATENATE(Programme!C1206,Programme!D1206,Programme!E1206,Programme!F1206,Programme!G1206,Programme!H1206,Programme!I1206)</f>
        <v>&lt;/ValeurCellule&gt;</v>
      </c>
    </row>
    <row r="1206" spans="1:1" x14ac:dyDescent="0.2">
      <c r="A1206" s="1135" t="str">
        <f>CONCATENATE(Programme!C1207,Programme!D1207,Programme!E1207,Programme!F1207,Programme!G1207,Programme!H1207,Programme!I1207)</f>
        <v>&lt;ValeurCellule&gt;</v>
      </c>
    </row>
    <row r="1207" spans="1:1" x14ac:dyDescent="0.2">
      <c r="A1207" s="1135" t="str">
        <f>CONCATENATE(Programme!C1208,Programme!D1208,Programme!E1208,Programme!F1208,Programme!G1208,Programme!H1208,Programme!I1208)</f>
        <v>&lt;cellule&gt;</v>
      </c>
    </row>
    <row r="1208" spans="1:1" x14ac:dyDescent="0.2">
      <c r="A1208" s="1135" t="str">
        <f>CONCATENATE(Programme!C1209,Programme!D1209,Programme!E1209,Programme!F1209,Programme!G1209,Programme!H1209,Programme!I1209)</f>
        <v>&lt;codeEdi&gt;13407&lt;/codeEdi&gt;</v>
      </c>
    </row>
    <row r="1209" spans="1:1" x14ac:dyDescent="0.2">
      <c r="A1209" s="1135" t="str">
        <f>CONCATENATE(Programme!C1210,Programme!D1210,Programme!E1210,Programme!F1210,Programme!G1210,Programme!H1210,Programme!I1210)</f>
        <v>&lt;/cellule&gt;</v>
      </c>
    </row>
    <row r="1210" spans="1:1" x14ac:dyDescent="0.2">
      <c r="A1210" s="1135" t="str">
        <f>CONCATENATE(Programme!C1211,Programme!D1211,Programme!E1211,Programme!F1211,Programme!G1211,Programme!H1211,Programme!I1211)</f>
        <v>&lt;valeur&gt;-18918,67&lt;/valeur&gt;</v>
      </c>
    </row>
    <row r="1211" spans="1:1" x14ac:dyDescent="0.2">
      <c r="A1211" s="1135" t="str">
        <f>CONCATENATE(Programme!C1212,Programme!D1212,Programme!E1212,Programme!F1212,Programme!G1212,Programme!H1212,Programme!I1212)</f>
        <v>&lt;/ValeurCellule&gt;</v>
      </c>
    </row>
    <row r="1212" spans="1:1" x14ac:dyDescent="0.2">
      <c r="A1212" s="1135" t="str">
        <f>CONCATENATE(Programme!C1213,Programme!D1213,Programme!E1213,Programme!F1213,Programme!G1213,Programme!H1213,Programme!I1213)</f>
        <v>&lt;ValeurCellule&gt;</v>
      </c>
    </row>
    <row r="1213" spans="1:1" x14ac:dyDescent="0.2">
      <c r="A1213" s="1135" t="str">
        <f>CONCATENATE(Programme!C1214,Programme!D1214,Programme!E1214,Programme!F1214,Programme!G1214,Programme!H1214,Programme!I1214)</f>
        <v>&lt;cellule&gt;</v>
      </c>
    </row>
    <row r="1214" spans="1:1" x14ac:dyDescent="0.2">
      <c r="A1214" s="1135" t="str">
        <f>CONCATENATE(Programme!C1215,Programme!D1215,Programme!E1215,Programme!F1215,Programme!G1215,Programme!H1215,Programme!I1215)</f>
        <v>&lt;codeEdi&gt;13408&lt;/codeEdi&gt;</v>
      </c>
    </row>
    <row r="1215" spans="1:1" x14ac:dyDescent="0.2">
      <c r="A1215" s="1135" t="str">
        <f>CONCATENATE(Programme!C1216,Programme!D1216,Programme!E1216,Programme!F1216,Programme!G1216,Programme!H1216,Programme!I1216)</f>
        <v>&lt;/cellule&gt;</v>
      </c>
    </row>
    <row r="1216" spans="1:1" x14ac:dyDescent="0.2">
      <c r="A1216" s="1135" t="str">
        <f>CONCATENATE(Programme!C1217,Programme!D1217,Programme!E1217,Programme!F1217,Programme!G1217,Programme!H1217,Programme!I1217)</f>
        <v>&lt;valeur&gt;0&lt;/valeur&gt;</v>
      </c>
    </row>
    <row r="1217" spans="1:1" x14ac:dyDescent="0.2">
      <c r="A1217" s="1135" t="str">
        <f>CONCATENATE(Programme!C1218,Programme!D1218,Programme!E1218,Programme!F1218,Programme!G1218,Programme!H1218,Programme!I1218)</f>
        <v>&lt;/ValeurCellule&gt;</v>
      </c>
    </row>
    <row r="1218" spans="1:1" x14ac:dyDescent="0.2">
      <c r="A1218" s="1135" t="str">
        <f>CONCATENATE(Programme!C1219,Programme!D1219,Programme!E1219,Programme!F1219,Programme!G1219,Programme!H1219,Programme!I1219)</f>
        <v>&lt;ValeurCellule&gt;</v>
      </c>
    </row>
    <row r="1219" spans="1:1" x14ac:dyDescent="0.2">
      <c r="A1219" s="1135" t="str">
        <f>CONCATENATE(Programme!C1220,Programme!D1220,Programme!E1220,Programme!F1220,Programme!G1220,Programme!H1220,Programme!I1220)</f>
        <v>&lt;cellule&gt;</v>
      </c>
    </row>
    <row r="1220" spans="1:1" x14ac:dyDescent="0.2">
      <c r="A1220" s="1135" t="str">
        <f>CONCATENATE(Programme!C1221,Programme!D1221,Programme!E1221,Programme!F1221,Programme!G1221,Programme!H1221,Programme!I1221)</f>
        <v>&lt;codeEdi&gt;13409&lt;/codeEdi&gt;</v>
      </c>
    </row>
    <row r="1221" spans="1:1" x14ac:dyDescent="0.2">
      <c r="A1221" s="1135" t="str">
        <f>CONCATENATE(Programme!C1222,Programme!D1222,Programme!E1222,Programme!F1222,Programme!G1222,Programme!H1222,Programme!I1222)</f>
        <v>&lt;/cellule&gt;</v>
      </c>
    </row>
    <row r="1222" spans="1:1" x14ac:dyDescent="0.2">
      <c r="A1222" s="1135" t="str">
        <f>CONCATENATE(Programme!C1223,Programme!D1223,Programme!E1223,Programme!F1223,Programme!G1223,Programme!H1223,Programme!I1223)</f>
        <v>&lt;valeur&gt;21452,44&lt;/valeur&gt;</v>
      </c>
    </row>
    <row r="1223" spans="1:1" x14ac:dyDescent="0.2">
      <c r="A1223" s="1135" t="str">
        <f>CONCATENATE(Programme!C1224,Programme!D1224,Programme!E1224,Programme!F1224,Programme!G1224,Programme!H1224,Programme!I1224)</f>
        <v>&lt;/ValeurCellule&gt;</v>
      </c>
    </row>
    <row r="1224" spans="1:1" x14ac:dyDescent="0.2">
      <c r="A1224" s="1135" t="str">
        <f>CONCATENATE(Programme!C1225,Programme!D1225,Programme!E1225,Programme!F1225,Programme!G1225,Programme!H1225,Programme!I1225)</f>
        <v>&lt;ValeurCellule&gt;</v>
      </c>
    </row>
    <row r="1225" spans="1:1" x14ac:dyDescent="0.2">
      <c r="A1225" s="1135" t="str">
        <f>CONCATENATE(Programme!C1226,Programme!D1226,Programme!E1226,Programme!F1226,Programme!G1226,Programme!H1226,Programme!I1226)</f>
        <v>&lt;cellule&gt;</v>
      </c>
    </row>
    <row r="1226" spans="1:1" x14ac:dyDescent="0.2">
      <c r="A1226" s="1135" t="str">
        <f>CONCATENATE(Programme!C1227,Programme!D1227,Programme!E1227,Programme!F1227,Programme!G1227,Programme!H1227,Programme!I1227)</f>
        <v>&lt;codeEdi&gt;13410&lt;/codeEdi&gt;</v>
      </c>
    </row>
    <row r="1227" spans="1:1" x14ac:dyDescent="0.2">
      <c r="A1227" s="1135" t="str">
        <f>CONCATENATE(Programme!C1228,Programme!D1228,Programme!E1228,Programme!F1228,Programme!G1228,Programme!H1228,Programme!I1228)</f>
        <v>&lt;/cellule&gt;</v>
      </c>
    </row>
    <row r="1228" spans="1:1" x14ac:dyDescent="0.2">
      <c r="A1228" s="1135" t="str">
        <f>CONCATENATE(Programme!C1229,Programme!D1229,Programme!E1229,Programme!F1229,Programme!G1229,Programme!H1229,Programme!I1229)</f>
        <v>&lt;valeur&gt;102533,77&lt;/valeur&gt;</v>
      </c>
    </row>
    <row r="1229" spans="1:1" x14ac:dyDescent="0.2">
      <c r="A1229" s="1135" t="str">
        <f>CONCATENATE(Programme!C1230,Programme!D1230,Programme!E1230,Programme!F1230,Programme!G1230,Programme!H1230,Programme!I1230)</f>
        <v>&lt;/ValeurCellule&gt;</v>
      </c>
    </row>
    <row r="1230" spans="1:1" x14ac:dyDescent="0.2">
      <c r="A1230" s="1135" t="str">
        <f>CONCATENATE(Programme!C1231,Programme!D1231,Programme!E1231,Programme!F1231,Programme!G1231,Programme!H1231,Programme!I1231)</f>
        <v>&lt;ValeurCellule&gt;</v>
      </c>
    </row>
    <row r="1231" spans="1:1" x14ac:dyDescent="0.2">
      <c r="A1231" s="1135" t="str">
        <f>CONCATENATE(Programme!C1232,Programme!D1232,Programme!E1232,Programme!F1232,Programme!G1232,Programme!H1232,Programme!I1232)</f>
        <v>&lt;cellule&gt;</v>
      </c>
    </row>
    <row r="1232" spans="1:1" x14ac:dyDescent="0.2">
      <c r="A1232" s="1135" t="str">
        <f>CONCATENATE(Programme!C1233,Programme!D1233,Programme!E1233,Programme!F1233,Programme!G1233,Programme!H1233,Programme!I1233)</f>
        <v>&lt;codeEdi&gt;13400&lt;/codeEdi&gt;</v>
      </c>
    </row>
    <row r="1233" spans="1:1" x14ac:dyDescent="0.2">
      <c r="A1233" s="1135" t="str">
        <f>CONCATENATE(Programme!C1234,Programme!D1234,Programme!E1234,Programme!F1234,Programme!G1234,Programme!H1234,Programme!I1234)</f>
        <v>&lt;/cellule&gt;</v>
      </c>
    </row>
    <row r="1234" spans="1:1" x14ac:dyDescent="0.2">
      <c r="A1234" s="1135" t="str">
        <f>CONCATENATE(Programme!C1235,Programme!D1235,Programme!E1235,Programme!F1235,Programme!G1235,Programme!H1235,Programme!I1235)</f>
        <v>&lt;valeur&gt;100000&lt;/valeur&gt;</v>
      </c>
    </row>
    <row r="1235" spans="1:1" x14ac:dyDescent="0.2">
      <c r="A1235" s="1135" t="str">
        <f>CONCATENATE(Programme!C1236,Programme!D1236,Programme!E1236,Programme!F1236,Programme!G1236,Programme!H1236,Programme!I1236)</f>
        <v>&lt;/ValeurCellule&gt;</v>
      </c>
    </row>
    <row r="1236" spans="1:1" x14ac:dyDescent="0.2">
      <c r="A1236" s="1135" t="str">
        <f>CONCATENATE(Programme!C1237,Programme!D1237,Programme!E1237,Programme!F1237,Programme!G1237,Programme!H1237,Programme!I1237)</f>
        <v>&lt;ValeurCellule&gt;</v>
      </c>
    </row>
    <row r="1237" spans="1:1" x14ac:dyDescent="0.2">
      <c r="A1237" s="1135" t="str">
        <f>CONCATENATE(Programme!C1238,Programme!D1238,Programme!E1238,Programme!F1238,Programme!G1238,Programme!H1238,Programme!I1238)</f>
        <v>&lt;cellule&gt;</v>
      </c>
    </row>
    <row r="1238" spans="1:1" x14ac:dyDescent="0.2">
      <c r="A1238" s="1135" t="str">
        <f>CONCATENATE(Programme!C1239,Programme!D1239,Programme!E1239,Programme!F1239,Programme!G1239,Programme!H1239,Programme!I1239)</f>
        <v>&lt;codeEdi&gt;13401&lt;/codeEdi&gt;</v>
      </c>
    </row>
    <row r="1239" spans="1:1" x14ac:dyDescent="0.2">
      <c r="A1239" s="1135" t="str">
        <f>CONCATENATE(Programme!C1240,Programme!D1240,Programme!E1240,Programme!F1240,Programme!G1240,Programme!H1240,Programme!I1240)</f>
        <v>&lt;/cellule&gt;</v>
      </c>
    </row>
    <row r="1240" spans="1:1" x14ac:dyDescent="0.2">
      <c r="A1240" s="1135" t="str">
        <f>CONCATENATE(Programme!C1241,Programme!D1241,Programme!E1241,Programme!F1241,Programme!G1241,Programme!H1241,Programme!I1241)</f>
        <v>&lt;valeur&gt;0&lt;/valeur&gt;</v>
      </c>
    </row>
    <row r="1241" spans="1:1" x14ac:dyDescent="0.2">
      <c r="A1241" s="1135" t="str">
        <f>CONCATENATE(Programme!C1242,Programme!D1242,Programme!E1242,Programme!F1242,Programme!G1242,Programme!H1242,Programme!I1242)</f>
        <v>&lt;/ValeurCellule&gt;</v>
      </c>
    </row>
    <row r="1242" spans="1:1" x14ac:dyDescent="0.2">
      <c r="A1242" s="1135" t="str">
        <f>CONCATENATE(Programme!C1243,Programme!D1243,Programme!E1243,Programme!F1243,Programme!G1243,Programme!H1243,Programme!I1243)</f>
        <v>&lt;ValeurCellule&gt;</v>
      </c>
    </row>
    <row r="1243" spans="1:1" x14ac:dyDescent="0.2">
      <c r="A1243" s="1135" t="str">
        <f>CONCATENATE(Programme!C1244,Programme!D1244,Programme!E1244,Programme!F1244,Programme!G1244,Programme!H1244,Programme!I1244)</f>
        <v>&lt;cellule&gt;</v>
      </c>
    </row>
    <row r="1244" spans="1:1" x14ac:dyDescent="0.2">
      <c r="A1244" s="1135" t="str">
        <f>CONCATENATE(Programme!C1245,Programme!D1245,Programme!E1245,Programme!F1245,Programme!G1245,Programme!H1245,Programme!I1245)</f>
        <v>&lt;codeEdi&gt;13402&lt;/codeEdi&gt;</v>
      </c>
    </row>
    <row r="1245" spans="1:1" x14ac:dyDescent="0.2">
      <c r="A1245" s="1135" t="str">
        <f>CONCATENATE(Programme!C1246,Programme!D1246,Programme!E1246,Programme!F1246,Programme!G1246,Programme!H1246,Programme!I1246)</f>
        <v>&lt;/cellule&gt;</v>
      </c>
    </row>
    <row r="1246" spans="1:1" x14ac:dyDescent="0.2">
      <c r="A1246" s="1135" t="str">
        <f>CONCATENATE(Programme!C1247,Programme!D1247,Programme!E1247,Programme!F1247,Programme!G1247,Programme!H1247,Programme!I1247)</f>
        <v>&lt;valeur&gt;&lt;/valeur&gt;</v>
      </c>
    </row>
    <row r="1247" spans="1:1" x14ac:dyDescent="0.2">
      <c r="A1247" s="1135" t="str">
        <f>CONCATENATE(Programme!C1248,Programme!D1248,Programme!E1248,Programme!F1248,Programme!G1248,Programme!H1248,Programme!I1248)</f>
        <v>&lt;/ValeurCellule&gt;</v>
      </c>
    </row>
    <row r="1248" spans="1:1" x14ac:dyDescent="0.2">
      <c r="A1248" s="1135" t="str">
        <f>CONCATENATE(Programme!C1249,Programme!D1249,Programme!E1249,Programme!F1249,Programme!G1249,Programme!H1249,Programme!I1249)</f>
        <v>&lt;ValeurCellule&gt;</v>
      </c>
    </row>
    <row r="1249" spans="1:1" x14ac:dyDescent="0.2">
      <c r="A1249" s="1135" t="str">
        <f>CONCATENATE(Programme!C1250,Programme!D1250,Programme!E1250,Programme!F1250,Programme!G1250,Programme!H1250,Programme!I1250)</f>
        <v>&lt;cellule&gt;</v>
      </c>
    </row>
    <row r="1250" spans="1:1" x14ac:dyDescent="0.2">
      <c r="A1250" s="1135" t="str">
        <f>CONCATENATE(Programme!C1251,Programme!D1251,Programme!E1251,Programme!F1251,Programme!G1251,Programme!H1251,Programme!I1251)</f>
        <v>&lt;codeEdi&gt;13403&lt;/codeEdi&gt;</v>
      </c>
    </row>
    <row r="1251" spans="1:1" x14ac:dyDescent="0.2">
      <c r="A1251" s="1135" t="str">
        <f>CONCATENATE(Programme!C1252,Programme!D1252,Programme!E1252,Programme!F1252,Programme!G1252,Programme!H1252,Programme!I1252)</f>
        <v>&lt;/cellule&gt;</v>
      </c>
    </row>
    <row r="1252" spans="1:1" x14ac:dyDescent="0.2">
      <c r="A1252" s="1135" t="str">
        <f>CONCATENATE(Programme!C1253,Programme!D1253,Programme!E1253,Programme!F1253,Programme!G1253,Programme!H1253,Programme!I1253)</f>
        <v>&lt;valeur&gt;0&lt;/valeur&gt;</v>
      </c>
    </row>
    <row r="1253" spans="1:1" x14ac:dyDescent="0.2">
      <c r="A1253" s="1135" t="str">
        <f>CONCATENATE(Programme!C1254,Programme!D1254,Programme!E1254,Programme!F1254,Programme!G1254,Programme!H1254,Programme!I1254)</f>
        <v>&lt;/ValeurCellule&gt;</v>
      </c>
    </row>
    <row r="1254" spans="1:1" x14ac:dyDescent="0.2">
      <c r="A1254" s="1135" t="str">
        <f>CONCATENATE(Programme!C1255,Programme!D1255,Programme!E1255,Programme!F1255,Programme!G1255,Programme!H1255,Programme!I1255)</f>
        <v>&lt;ValeurCellule&gt;</v>
      </c>
    </row>
    <row r="1255" spans="1:1" x14ac:dyDescent="0.2">
      <c r="A1255" s="1135" t="str">
        <f>CONCATENATE(Programme!C1256,Programme!D1256,Programme!E1256,Programme!F1256,Programme!G1256,Programme!H1256,Programme!I1256)</f>
        <v>&lt;cellule&gt;</v>
      </c>
    </row>
    <row r="1256" spans="1:1" x14ac:dyDescent="0.2">
      <c r="A1256" s="1135" t="str">
        <f>CONCATENATE(Programme!C1257,Programme!D1257,Programme!E1257,Programme!F1257,Programme!G1257,Programme!H1257,Programme!I1257)</f>
        <v>&lt;codeEdi&gt;13404&lt;/codeEdi&gt;</v>
      </c>
    </row>
    <row r="1257" spans="1:1" x14ac:dyDescent="0.2">
      <c r="A1257" s="1135" t="str">
        <f>CONCATENATE(Programme!C1258,Programme!D1258,Programme!E1258,Programme!F1258,Programme!G1258,Programme!H1258,Programme!I1258)</f>
        <v>&lt;/cellule&gt;</v>
      </c>
    </row>
    <row r="1258" spans="1:1" x14ac:dyDescent="0.2">
      <c r="A1258" s="1135" t="str">
        <f>CONCATENATE(Programme!C1259,Programme!D1259,Programme!E1259,Programme!F1259,Programme!G1259,Programme!H1259,Programme!I1259)</f>
        <v>&lt;valeur&gt;0&lt;/valeur&gt;</v>
      </c>
    </row>
    <row r="1259" spans="1:1" x14ac:dyDescent="0.2">
      <c r="A1259" s="1135" t="str">
        <f>CONCATENATE(Programme!C1260,Programme!D1260,Programme!E1260,Programme!F1260,Programme!G1260,Programme!H1260,Programme!I1260)</f>
        <v>&lt;/ValeurCellule&gt;</v>
      </c>
    </row>
    <row r="1260" spans="1:1" x14ac:dyDescent="0.2">
      <c r="A1260" s="1135" t="str">
        <f>CONCATENATE(Programme!C1261,Programme!D1261,Programme!E1261,Programme!F1261,Programme!G1261,Programme!H1261,Programme!I1261)</f>
        <v>&lt;ValeurCellule&gt;</v>
      </c>
    </row>
    <row r="1261" spans="1:1" x14ac:dyDescent="0.2">
      <c r="A1261" s="1135" t="str">
        <f>CONCATENATE(Programme!C1262,Programme!D1262,Programme!E1262,Programme!F1262,Programme!G1262,Programme!H1262,Programme!I1262)</f>
        <v>&lt;cellule&gt;</v>
      </c>
    </row>
    <row r="1262" spans="1:1" x14ac:dyDescent="0.2">
      <c r="A1262" s="1135" t="str">
        <f>CONCATENATE(Programme!C1263,Programme!D1263,Programme!E1263,Programme!F1263,Programme!G1263,Programme!H1263,Programme!I1263)</f>
        <v>&lt;codeEdi&gt;13405&lt;/codeEdi&gt;</v>
      </c>
    </row>
    <row r="1263" spans="1:1" x14ac:dyDescent="0.2">
      <c r="A1263" s="1135" t="str">
        <f>CONCATENATE(Programme!C1264,Programme!D1264,Programme!E1264,Programme!F1264,Programme!G1264,Programme!H1264,Programme!I1264)</f>
        <v>&lt;/cellule&gt;</v>
      </c>
    </row>
    <row r="1264" spans="1:1" x14ac:dyDescent="0.2">
      <c r="A1264" s="1135" t="str">
        <f>CONCATENATE(Programme!C1265,Programme!D1265,Programme!E1265,Programme!F1265,Programme!G1265,Programme!H1265,Programme!I1265)</f>
        <v>&lt;valeur&gt;0&lt;/valeur&gt;</v>
      </c>
    </row>
    <row r="1265" spans="1:1" x14ac:dyDescent="0.2">
      <c r="A1265" s="1135" t="str">
        <f>CONCATENATE(Programme!C1266,Programme!D1266,Programme!E1266,Programme!F1266,Programme!G1266,Programme!H1266,Programme!I1266)</f>
        <v>&lt;/ValeurCellule&gt;</v>
      </c>
    </row>
    <row r="1266" spans="1:1" x14ac:dyDescent="0.2">
      <c r="A1266" s="1135" t="str">
        <f>CONCATENATE(Programme!C1267,Programme!D1267,Programme!E1267,Programme!F1267,Programme!G1267,Programme!H1267,Programme!I1267)</f>
        <v>&lt;ValeurCellule&gt;</v>
      </c>
    </row>
    <row r="1267" spans="1:1" x14ac:dyDescent="0.2">
      <c r="A1267" s="1135" t="str">
        <f>CONCATENATE(Programme!C1268,Programme!D1268,Programme!E1268,Programme!F1268,Programme!G1268,Programme!H1268,Programme!I1268)</f>
        <v>&lt;cellule&gt;</v>
      </c>
    </row>
    <row r="1268" spans="1:1" x14ac:dyDescent="0.2">
      <c r="A1268" s="1135" t="str">
        <f>CONCATENATE(Programme!C1269,Programme!D1269,Programme!E1269,Programme!F1269,Programme!G1269,Programme!H1269,Programme!I1269)</f>
        <v>&lt;codeEdi&gt;13411&lt;/codeEdi&gt;</v>
      </c>
    </row>
    <row r="1269" spans="1:1" x14ac:dyDescent="0.2">
      <c r="A1269" s="1135" t="str">
        <f>CONCATENATE(Programme!C1270,Programme!D1270,Programme!E1270,Programme!F1270,Programme!G1270,Programme!H1270,Programme!I1270)</f>
        <v>&lt;/cellule&gt;</v>
      </c>
    </row>
    <row r="1270" spans="1:1" x14ac:dyDescent="0.2">
      <c r="A1270" s="1135" t="str">
        <f>CONCATENATE(Programme!C1271,Programme!D1271,Programme!E1271,Programme!F1271,Programme!G1271,Programme!H1271,Programme!I1271)</f>
        <v>&lt;valeur&gt;100000&lt;/valeur&gt;</v>
      </c>
    </row>
    <row r="1271" spans="1:1" x14ac:dyDescent="0.2">
      <c r="A1271" s="1135" t="str">
        <f>CONCATENATE(Programme!C1272,Programme!D1272,Programme!E1272,Programme!F1272,Programme!G1272,Programme!H1272,Programme!I1272)</f>
        <v>&lt;/ValeurCellule&gt;</v>
      </c>
    </row>
    <row r="1272" spans="1:1" x14ac:dyDescent="0.2">
      <c r="A1272" s="1135" t="str">
        <f>CONCATENATE(Programme!C1273,Programme!D1273,Programme!E1273,Programme!F1273,Programme!G1273,Programme!H1273,Programme!I1273)</f>
        <v>&lt;ValeurCellule&gt;</v>
      </c>
    </row>
    <row r="1273" spans="1:1" x14ac:dyDescent="0.2">
      <c r="A1273" s="1135" t="str">
        <f>CONCATENATE(Programme!C1274,Programme!D1274,Programme!E1274,Programme!F1274,Programme!G1274,Programme!H1274,Programme!I1274)</f>
        <v>&lt;cellule&gt;</v>
      </c>
    </row>
    <row r="1274" spans="1:1" x14ac:dyDescent="0.2">
      <c r="A1274" s="1135" t="str">
        <f>CONCATENATE(Programme!C1275,Programme!D1275,Programme!E1275,Programme!F1275,Programme!G1275,Programme!H1275,Programme!I1275)</f>
        <v>&lt;codeEdi&gt;13412&lt;/codeEdi&gt;</v>
      </c>
    </row>
    <row r="1275" spans="1:1" x14ac:dyDescent="0.2">
      <c r="A1275" s="1135" t="str">
        <f>CONCATENATE(Programme!C1276,Programme!D1276,Programme!E1276,Programme!F1276,Programme!G1276,Programme!H1276,Programme!I1276)</f>
        <v>&lt;/cellule&gt;</v>
      </c>
    </row>
    <row r="1276" spans="1:1" x14ac:dyDescent="0.2">
      <c r="A1276" s="1135" t="str">
        <f>CONCATENATE(Programme!C1277,Programme!D1277,Programme!E1277,Programme!F1277,Programme!G1277,Programme!H1277,Programme!I1277)</f>
        <v>&lt;valeur&gt;0&lt;/valeur&gt;</v>
      </c>
    </row>
    <row r="1277" spans="1:1" x14ac:dyDescent="0.2">
      <c r="A1277" s="1135" t="str">
        <f>CONCATENATE(Programme!C1278,Programme!D1278,Programme!E1278,Programme!F1278,Programme!G1278,Programme!H1278,Programme!I1278)</f>
        <v>&lt;/ValeurCellule&gt;</v>
      </c>
    </row>
    <row r="1278" spans="1:1" x14ac:dyDescent="0.2">
      <c r="A1278" s="1135" t="str">
        <f>CONCATENATE(Programme!C1279,Programme!D1279,Programme!E1279,Programme!F1279,Programme!G1279,Programme!H1279,Programme!I1279)</f>
        <v>&lt;ValeurCellule&gt;</v>
      </c>
    </row>
    <row r="1279" spans="1:1" x14ac:dyDescent="0.2">
      <c r="A1279" s="1135" t="str">
        <f>CONCATENATE(Programme!C1280,Programme!D1280,Programme!E1280,Programme!F1280,Programme!G1280,Programme!H1280,Programme!I1280)</f>
        <v>&lt;cellule&gt;</v>
      </c>
    </row>
    <row r="1280" spans="1:1" x14ac:dyDescent="0.2">
      <c r="A1280" s="1135" t="str">
        <f>CONCATENATE(Programme!C1281,Programme!D1281,Programme!E1281,Programme!F1281,Programme!G1281,Programme!H1281,Programme!I1281)</f>
        <v>&lt;codeEdi&gt;13413&lt;/codeEdi&gt;</v>
      </c>
    </row>
    <row r="1281" spans="1:1" x14ac:dyDescent="0.2">
      <c r="A1281" s="1135" t="str">
        <f>CONCATENATE(Programme!C1282,Programme!D1282,Programme!E1282,Programme!F1282,Programme!G1282,Programme!H1282,Programme!I1282)</f>
        <v>&lt;/cellule&gt;</v>
      </c>
    </row>
    <row r="1282" spans="1:1" x14ac:dyDescent="0.2">
      <c r="A1282" s="1135" t="str">
        <f>CONCATENATE(Programme!C1283,Programme!D1283,Programme!E1283,Programme!F1283,Programme!G1283,Programme!H1283,Programme!I1283)</f>
        <v>&lt;valeur&gt;&lt;/valeur&gt;</v>
      </c>
    </row>
    <row r="1283" spans="1:1" x14ac:dyDescent="0.2">
      <c r="A1283" s="1135" t="str">
        <f>CONCATENATE(Programme!C1284,Programme!D1284,Programme!E1284,Programme!F1284,Programme!G1284,Programme!H1284,Programme!I1284)</f>
        <v>&lt;/ValeurCellule&gt;</v>
      </c>
    </row>
    <row r="1284" spans="1:1" x14ac:dyDescent="0.2">
      <c r="A1284" s="1135" t="str">
        <f>CONCATENATE(Programme!C1285,Programme!D1285,Programme!E1285,Programme!F1285,Programme!G1285,Programme!H1285,Programme!I1285)</f>
        <v>&lt;ValeurCellule&gt;</v>
      </c>
    </row>
    <row r="1285" spans="1:1" x14ac:dyDescent="0.2">
      <c r="A1285" s="1135" t="str">
        <f>CONCATENATE(Programme!C1286,Programme!D1286,Programme!E1286,Programme!F1286,Programme!G1286,Programme!H1286,Programme!I1286)</f>
        <v>&lt;cellule&gt;</v>
      </c>
    </row>
    <row r="1286" spans="1:1" x14ac:dyDescent="0.2">
      <c r="A1286" s="1135" t="str">
        <f>CONCATENATE(Programme!C1287,Programme!D1287,Programme!E1287,Programme!F1287,Programme!G1287,Programme!H1287,Programme!I1287)</f>
        <v>&lt;codeEdi&gt;13414&lt;/codeEdi&gt;</v>
      </c>
    </row>
    <row r="1287" spans="1:1" x14ac:dyDescent="0.2">
      <c r="A1287" s="1135" t="str">
        <f>CONCATENATE(Programme!C1288,Programme!D1288,Programme!E1288,Programme!F1288,Programme!G1288,Programme!H1288,Programme!I1288)</f>
        <v>&lt;/cellule&gt;</v>
      </c>
    </row>
    <row r="1288" spans="1:1" x14ac:dyDescent="0.2">
      <c r="A1288" s="1135" t="str">
        <f>CONCATENATE(Programme!C1289,Programme!D1289,Programme!E1289,Programme!F1289,Programme!G1289,Programme!H1289,Programme!I1289)</f>
        <v>&lt;valeur&gt;0&lt;/valeur&gt;</v>
      </c>
    </row>
    <row r="1289" spans="1:1" x14ac:dyDescent="0.2">
      <c r="A1289" s="1135" t="str">
        <f>CONCATENATE(Programme!C1290,Programme!D1290,Programme!E1290,Programme!F1290,Programme!G1290,Programme!H1290,Programme!I1290)</f>
        <v>&lt;/ValeurCellule&gt;</v>
      </c>
    </row>
    <row r="1290" spans="1:1" x14ac:dyDescent="0.2">
      <c r="A1290" s="1135" t="str">
        <f>CONCATENATE(Programme!C1291,Programme!D1291,Programme!E1291,Programme!F1291,Programme!G1291,Programme!H1291,Programme!I1291)</f>
        <v>&lt;ValeurCellule&gt;</v>
      </c>
    </row>
    <row r="1291" spans="1:1" x14ac:dyDescent="0.2">
      <c r="A1291" s="1135" t="str">
        <f>CONCATENATE(Programme!C1292,Programme!D1292,Programme!E1292,Programme!F1292,Programme!G1292,Programme!H1292,Programme!I1292)</f>
        <v>&lt;cellule&gt;</v>
      </c>
    </row>
    <row r="1292" spans="1:1" x14ac:dyDescent="0.2">
      <c r="A1292" s="1135" t="str">
        <f>CONCATENATE(Programme!C1293,Programme!D1293,Programme!E1293,Programme!F1293,Programme!G1293,Programme!H1293,Programme!I1293)</f>
        <v>&lt;codeEdi&gt;13415&lt;/codeEdi&gt;</v>
      </c>
    </row>
    <row r="1293" spans="1:1" x14ac:dyDescent="0.2">
      <c r="A1293" s="1135" t="str">
        <f>CONCATENATE(Programme!C1294,Programme!D1294,Programme!E1294,Programme!F1294,Programme!G1294,Programme!H1294,Programme!I1294)</f>
        <v>&lt;/cellule&gt;</v>
      </c>
    </row>
    <row r="1294" spans="1:1" x14ac:dyDescent="0.2">
      <c r="A1294" s="1135" t="str">
        <f>CONCATENATE(Programme!C1295,Programme!D1295,Programme!E1295,Programme!F1295,Programme!G1295,Programme!H1295,Programme!I1295)</f>
        <v>&lt;valeur&gt;0&lt;/valeur&gt;</v>
      </c>
    </row>
    <row r="1295" spans="1:1" x14ac:dyDescent="0.2">
      <c r="A1295" s="1135" t="str">
        <f>CONCATENATE(Programme!C1296,Programme!D1296,Programme!E1296,Programme!F1296,Programme!G1296,Programme!H1296,Programme!I1296)</f>
        <v>&lt;/ValeurCellule&gt;</v>
      </c>
    </row>
    <row r="1296" spans="1:1" x14ac:dyDescent="0.2">
      <c r="A1296" s="1135" t="str">
        <f>CONCATENATE(Programme!C1297,Programme!D1297,Programme!E1297,Programme!F1297,Programme!G1297,Programme!H1297,Programme!I1297)</f>
        <v>&lt;ValeurCellule&gt;</v>
      </c>
    </row>
    <row r="1297" spans="1:1" x14ac:dyDescent="0.2">
      <c r="A1297" s="1135" t="str">
        <f>CONCATENATE(Programme!C1298,Programme!D1298,Programme!E1298,Programme!F1298,Programme!G1298,Programme!H1298,Programme!I1298)</f>
        <v>&lt;cellule&gt;</v>
      </c>
    </row>
    <row r="1298" spans="1:1" x14ac:dyDescent="0.2">
      <c r="A1298" s="1135" t="str">
        <f>CONCATENATE(Programme!C1299,Programme!D1299,Programme!E1299,Programme!F1299,Programme!G1299,Programme!H1299,Programme!I1299)</f>
        <v>&lt;codeEdi&gt;13416&lt;/codeEdi&gt;</v>
      </c>
    </row>
    <row r="1299" spans="1:1" x14ac:dyDescent="0.2">
      <c r="A1299" s="1135" t="str">
        <f>CONCATENATE(Programme!C1300,Programme!D1300,Programme!E1300,Programme!F1300,Programme!G1300,Programme!H1300,Programme!I1300)</f>
        <v>&lt;/cellule&gt;</v>
      </c>
    </row>
    <row r="1300" spans="1:1" x14ac:dyDescent="0.2">
      <c r="A1300" s="1135" t="str">
        <f>CONCATENATE(Programme!C1301,Programme!D1301,Programme!E1301,Programme!F1301,Programme!G1301,Programme!H1301,Programme!I1301)</f>
        <v>&lt;valeur&gt;0&lt;/valeur&gt;</v>
      </c>
    </row>
    <row r="1301" spans="1:1" x14ac:dyDescent="0.2">
      <c r="A1301" s="1135" t="str">
        <f>CONCATENATE(Programme!C1302,Programme!D1302,Programme!E1302,Programme!F1302,Programme!G1302,Programme!H1302,Programme!I1302)</f>
        <v>&lt;/ValeurCellule&gt;</v>
      </c>
    </row>
    <row r="1302" spans="1:1" x14ac:dyDescent="0.2">
      <c r="A1302" s="1135" t="str">
        <f>CONCATENATE(Programme!C1303,Programme!D1303,Programme!E1303,Programme!F1303,Programme!G1303,Programme!H1303,Programme!I1303)</f>
        <v>&lt;ValeurCellule&gt;</v>
      </c>
    </row>
    <row r="1303" spans="1:1" x14ac:dyDescent="0.2">
      <c r="A1303" s="1135" t="str">
        <f>CONCATENATE(Programme!C1304,Programme!D1304,Programme!E1304,Programme!F1304,Programme!G1304,Programme!H1304,Programme!I1304)</f>
        <v>&lt;cellule&gt;</v>
      </c>
    </row>
    <row r="1304" spans="1:1" x14ac:dyDescent="0.2">
      <c r="A1304" s="1135" t="str">
        <f>CONCATENATE(Programme!C1305,Programme!D1305,Programme!E1305,Programme!F1305,Programme!G1305,Programme!H1305,Programme!I1305)</f>
        <v>&lt;codeEdi&gt;13417&lt;/codeEdi&gt;</v>
      </c>
    </row>
    <row r="1305" spans="1:1" x14ac:dyDescent="0.2">
      <c r="A1305" s="1135" t="str">
        <f>CONCATENATE(Programme!C1306,Programme!D1306,Programme!E1306,Programme!F1306,Programme!G1306,Programme!H1306,Programme!I1306)</f>
        <v>&lt;/cellule&gt;</v>
      </c>
    </row>
    <row r="1306" spans="1:1" x14ac:dyDescent="0.2">
      <c r="A1306" s="1135" t="str">
        <f>CONCATENATE(Programme!C1307,Programme!D1307,Programme!E1307,Programme!F1307,Programme!G1307,Programme!H1307,Programme!I1307)</f>
        <v>&lt;valeur&gt;0&lt;/valeur&gt;</v>
      </c>
    </row>
    <row r="1307" spans="1:1" x14ac:dyDescent="0.2">
      <c r="A1307" s="1135" t="str">
        <f>CONCATENATE(Programme!C1308,Programme!D1308,Programme!E1308,Programme!F1308,Programme!G1308,Programme!H1308,Programme!I1308)</f>
        <v>&lt;/ValeurCellule&gt;</v>
      </c>
    </row>
    <row r="1308" spans="1:1" x14ac:dyDescent="0.2">
      <c r="A1308" s="1135" t="str">
        <f>CONCATENATE(Programme!C1309,Programme!D1309,Programme!E1309,Programme!F1309,Programme!G1309,Programme!H1309,Programme!I1309)</f>
        <v>&lt;ValeurCellule&gt;</v>
      </c>
    </row>
    <row r="1309" spans="1:1" x14ac:dyDescent="0.2">
      <c r="A1309" s="1135" t="str">
        <f>CONCATENATE(Programme!C1310,Programme!D1310,Programme!E1310,Programme!F1310,Programme!G1310,Programme!H1310,Programme!I1310)</f>
        <v>&lt;cellule&gt;</v>
      </c>
    </row>
    <row r="1310" spans="1:1" x14ac:dyDescent="0.2">
      <c r="A1310" s="1135" t="str">
        <f>CONCATENATE(Programme!C1311,Programme!D1311,Programme!E1311,Programme!F1311,Programme!G1311,Programme!H1311,Programme!I1311)</f>
        <v>&lt;codeEdi&gt;13418&lt;/codeEdi&gt;</v>
      </c>
    </row>
    <row r="1311" spans="1:1" x14ac:dyDescent="0.2">
      <c r="A1311" s="1135" t="str">
        <f>CONCATENATE(Programme!C1312,Programme!D1312,Programme!E1312,Programme!F1312,Programme!G1312,Programme!H1312,Programme!I1312)</f>
        <v>&lt;/cellule&gt;</v>
      </c>
    </row>
    <row r="1312" spans="1:1" x14ac:dyDescent="0.2">
      <c r="A1312" s="1135" t="str">
        <f>CONCATENATE(Programme!C1313,Programme!D1313,Programme!E1313,Programme!F1313,Programme!G1313,Programme!H1313,Programme!I1313)</f>
        <v>&lt;valeur&gt;0&lt;/valeur&gt;</v>
      </c>
    </row>
    <row r="1313" spans="1:1" x14ac:dyDescent="0.2">
      <c r="A1313" s="1135" t="str">
        <f>CONCATENATE(Programme!C1314,Programme!D1314,Programme!E1314,Programme!F1314,Programme!G1314,Programme!H1314,Programme!I1314)</f>
        <v>&lt;/ValeurCellule&gt;</v>
      </c>
    </row>
    <row r="1314" spans="1:1" x14ac:dyDescent="0.2">
      <c r="A1314" s="1135" t="str">
        <f>CONCATENATE(Programme!C1315,Programme!D1315,Programme!E1315,Programme!F1315,Programme!G1315,Programme!H1315,Programme!I1315)</f>
        <v>&lt;ValeurCellule&gt;</v>
      </c>
    </row>
    <row r="1315" spans="1:1" x14ac:dyDescent="0.2">
      <c r="A1315" s="1135" t="str">
        <f>CONCATENATE(Programme!C1316,Programme!D1316,Programme!E1316,Programme!F1316,Programme!G1316,Programme!H1316,Programme!I1316)</f>
        <v>&lt;cellule&gt;</v>
      </c>
    </row>
    <row r="1316" spans="1:1" x14ac:dyDescent="0.2">
      <c r="A1316" s="1135" t="str">
        <f>CONCATENATE(Programme!C1317,Programme!D1317,Programme!E1317,Programme!F1317,Programme!G1317,Programme!H1317,Programme!I1317)</f>
        <v>&lt;codeEdi&gt;13419&lt;/codeEdi&gt;</v>
      </c>
    </row>
    <row r="1317" spans="1:1" x14ac:dyDescent="0.2">
      <c r="A1317" s="1135" t="str">
        <f>CONCATENATE(Programme!C1318,Programme!D1318,Programme!E1318,Programme!F1318,Programme!G1318,Programme!H1318,Programme!I1318)</f>
        <v>&lt;/cellule&gt;</v>
      </c>
    </row>
    <row r="1318" spans="1:1" x14ac:dyDescent="0.2">
      <c r="A1318" s="1135" t="str">
        <f>CONCATENATE(Programme!C1319,Programme!D1319,Programme!E1319,Programme!F1319,Programme!G1319,Programme!H1319,Programme!I1319)</f>
        <v>&lt;valeur&gt;0&lt;/valeur&gt;</v>
      </c>
    </row>
    <row r="1319" spans="1:1" x14ac:dyDescent="0.2">
      <c r="A1319" s="1135" t="str">
        <f>CONCATENATE(Programme!C1320,Programme!D1320,Programme!E1320,Programme!F1320,Programme!G1320,Programme!H1320,Programme!I1320)</f>
        <v>&lt;/ValeurCellule&gt;</v>
      </c>
    </row>
    <row r="1320" spans="1:1" x14ac:dyDescent="0.2">
      <c r="A1320" s="1135" t="str">
        <f>CONCATENATE(Programme!C1321,Programme!D1321,Programme!E1321,Programme!F1321,Programme!G1321,Programme!H1321,Programme!I1321)</f>
        <v>&lt;ValeurCellule&gt;</v>
      </c>
    </row>
    <row r="1321" spans="1:1" x14ac:dyDescent="0.2">
      <c r="A1321" s="1135" t="str">
        <f>CONCATENATE(Programme!C1322,Programme!D1322,Programme!E1322,Programme!F1322,Programme!G1322,Programme!H1322,Programme!I1322)</f>
        <v>&lt;cellule&gt;</v>
      </c>
    </row>
    <row r="1322" spans="1:1" x14ac:dyDescent="0.2">
      <c r="A1322" s="1135" t="str">
        <f>CONCATENATE(Programme!C1323,Programme!D1323,Programme!E1323,Programme!F1323,Programme!G1323,Programme!H1323,Programme!I1323)</f>
        <v>&lt;codeEdi&gt;13420&lt;/codeEdi&gt;</v>
      </c>
    </row>
    <row r="1323" spans="1:1" x14ac:dyDescent="0.2">
      <c r="A1323" s="1135" t="str">
        <f>CONCATENATE(Programme!C1324,Programme!D1324,Programme!E1324,Programme!F1324,Programme!G1324,Programme!H1324,Programme!I1324)</f>
        <v>&lt;/cellule&gt;</v>
      </c>
    </row>
    <row r="1324" spans="1:1" x14ac:dyDescent="0.2">
      <c r="A1324" s="1135" t="str">
        <f>CONCATENATE(Programme!C1325,Programme!D1325,Programme!E1325,Programme!F1325,Programme!G1325,Programme!H1325,Programme!I1325)</f>
        <v>&lt;valeur&gt;-18918,67&lt;/valeur&gt;</v>
      </c>
    </row>
    <row r="1325" spans="1:1" x14ac:dyDescent="0.2">
      <c r="A1325" s="1135" t="str">
        <f>CONCATENATE(Programme!C1326,Programme!D1326,Programme!E1326,Programme!F1326,Programme!G1326,Programme!H1326,Programme!I1326)</f>
        <v>&lt;/ValeurCellule&gt;</v>
      </c>
    </row>
    <row r="1326" spans="1:1" x14ac:dyDescent="0.2">
      <c r="A1326" s="1135" t="str">
        <f>CONCATENATE(Programme!C1327,Programme!D1327,Programme!E1327,Programme!F1327,Programme!G1327,Programme!H1327,Programme!I1327)</f>
        <v>&lt;ValeurCellule&gt;</v>
      </c>
    </row>
    <row r="1327" spans="1:1" x14ac:dyDescent="0.2">
      <c r="A1327" s="1135" t="str">
        <f>CONCATENATE(Programme!C1328,Programme!D1328,Programme!E1328,Programme!F1328,Programme!G1328,Programme!H1328,Programme!I1328)</f>
        <v>&lt;cellule&gt;</v>
      </c>
    </row>
    <row r="1328" spans="1:1" x14ac:dyDescent="0.2">
      <c r="A1328" s="1135" t="str">
        <f>CONCATENATE(Programme!C1329,Programme!D1329,Programme!E1329,Programme!F1329,Programme!G1329,Programme!H1329,Programme!I1329)</f>
        <v>&lt;codeEdi&gt;13421&lt;/codeEdi&gt;</v>
      </c>
    </row>
    <row r="1329" spans="1:1" x14ac:dyDescent="0.2">
      <c r="A1329" s="1135" t="str">
        <f>CONCATENATE(Programme!C1330,Programme!D1330,Programme!E1330,Programme!F1330,Programme!G1330,Programme!H1330,Programme!I1330)</f>
        <v>&lt;/cellule&gt;</v>
      </c>
    </row>
    <row r="1330" spans="1:1" x14ac:dyDescent="0.2">
      <c r="A1330" s="1135" t="str">
        <f>CONCATENATE(Programme!C1331,Programme!D1331,Programme!E1331,Programme!F1331,Programme!G1331,Programme!H1331,Programme!I1331)</f>
        <v>&lt;valeur&gt;81081,33&lt;/valeur&gt;</v>
      </c>
    </row>
    <row r="1331" spans="1:1" x14ac:dyDescent="0.2">
      <c r="A1331" s="1135" t="str">
        <f>CONCATENATE(Programme!C1332,Programme!D1332,Programme!E1332,Programme!F1332,Programme!G1332,Programme!H1332,Programme!I1332)</f>
        <v>&lt;/ValeurCellule&gt;</v>
      </c>
    </row>
    <row r="1332" spans="1:1" x14ac:dyDescent="0.2">
      <c r="A1332" s="1135" t="str">
        <f>CONCATENATE(Programme!C1333,Programme!D1333,Programme!E1333,Programme!F1333,Programme!G1333,Programme!H1333,Programme!I1333)</f>
        <v>&lt;ValeurCellule&gt;</v>
      </c>
    </row>
    <row r="1333" spans="1:1" x14ac:dyDescent="0.2">
      <c r="A1333" s="1135" t="str">
        <f>CONCATENATE(Programme!C1334,Programme!D1334,Programme!E1334,Programme!F1334,Programme!G1334,Programme!H1334,Programme!I1334)</f>
        <v>&lt;cellule&gt;</v>
      </c>
    </row>
    <row r="1334" spans="1:1" x14ac:dyDescent="0.2">
      <c r="A1334" s="1135" t="str">
        <f>CONCATENATE(Programme!C1335,Programme!D1335,Programme!E1335,Programme!F1335,Programme!G1335,Programme!H1335,Programme!I1335)</f>
        <v>&lt;codeEdi&gt;13397&lt;/codeEdi&gt;</v>
      </c>
    </row>
    <row r="1335" spans="1:1" x14ac:dyDescent="0.2">
      <c r="A1335" s="1135" t="str">
        <f>CONCATENATE(Programme!C1336,Programme!D1336,Programme!E1336,Programme!F1336,Programme!G1336,Programme!H1336,Programme!I1336)</f>
        <v>&lt;/cellule&gt;</v>
      </c>
    </row>
    <row r="1336" spans="1:1" x14ac:dyDescent="0.2">
      <c r="A1336" s="1135" t="str">
        <f>CONCATENATE(Programme!C1337,Programme!D1337,Programme!E1337,Programme!F1337,Programme!G1337,Programme!H1337,Programme!I1337)</f>
        <v>&lt;valeur&gt;0&lt;/valeur&gt;</v>
      </c>
    </row>
    <row r="1337" spans="1:1" x14ac:dyDescent="0.2">
      <c r="A1337" s="1135" t="str">
        <f>CONCATENATE(Programme!C1338,Programme!D1338,Programme!E1338,Programme!F1338,Programme!G1338,Programme!H1338,Programme!I1338)</f>
        <v>&lt;/ValeurCellule&gt;</v>
      </c>
    </row>
    <row r="1338" spans="1:1" x14ac:dyDescent="0.2">
      <c r="A1338" s="1135" t="str">
        <f>CONCATENATE(Programme!C1339,Programme!D1339,Programme!E1339,Programme!F1339,Programme!G1339,Programme!H1339,Programme!I1339)</f>
        <v>&lt;ValeurCellule&gt;</v>
      </c>
    </row>
    <row r="1339" spans="1:1" x14ac:dyDescent="0.2">
      <c r="A1339" s="1135" t="str">
        <f>CONCATENATE(Programme!C1340,Programme!D1340,Programme!E1340,Programme!F1340,Programme!G1340,Programme!H1340,Programme!I1340)</f>
        <v>&lt;cellule&gt;</v>
      </c>
    </row>
    <row r="1340" spans="1:1" x14ac:dyDescent="0.2">
      <c r="A1340" s="1135" t="str">
        <f>CONCATENATE(Programme!C1341,Programme!D1341,Programme!E1341,Programme!F1341,Programme!G1341,Programme!H1341,Programme!I1341)</f>
        <v>&lt;codeEdi&gt;13398&lt;/codeEdi&gt;</v>
      </c>
    </row>
    <row r="1341" spans="1:1" x14ac:dyDescent="0.2">
      <c r="A1341" s="1135" t="str">
        <f>CONCATENATE(Programme!C1342,Programme!D1342,Programme!E1342,Programme!F1342,Programme!G1342,Programme!H1342,Programme!I1342)</f>
        <v>&lt;/cellule&gt;</v>
      </c>
    </row>
    <row r="1342" spans="1:1" x14ac:dyDescent="0.2">
      <c r="A1342" s="1135" t="str">
        <f>CONCATENATE(Programme!C1343,Programme!D1343,Programme!E1343,Programme!F1343,Programme!G1343,Programme!H1343,Programme!I1343)</f>
        <v>&lt;valeur&gt;0&lt;/valeur&gt;</v>
      </c>
    </row>
    <row r="1343" spans="1:1" x14ac:dyDescent="0.2">
      <c r="A1343" s="1135" t="str">
        <f>CONCATENATE(Programme!C1344,Programme!D1344,Programme!E1344,Programme!F1344,Programme!G1344,Programme!H1344,Programme!I1344)</f>
        <v>&lt;/ValeurCellule&gt;</v>
      </c>
    </row>
    <row r="1344" spans="1:1" x14ac:dyDescent="0.2">
      <c r="A1344" s="1135" t="str">
        <f>CONCATENATE(Programme!C1345,Programme!D1345,Programme!E1345,Programme!F1345,Programme!G1345,Programme!H1345,Programme!I1345)</f>
        <v>&lt;ValeurCellule&gt;</v>
      </c>
    </row>
    <row r="1345" spans="1:1" x14ac:dyDescent="0.2">
      <c r="A1345" s="1135" t="str">
        <f>CONCATENATE(Programme!C1346,Programme!D1346,Programme!E1346,Programme!F1346,Programme!G1346,Programme!H1346,Programme!I1346)</f>
        <v>&lt;cellule&gt;</v>
      </c>
    </row>
    <row r="1346" spans="1:1" x14ac:dyDescent="0.2">
      <c r="A1346" s="1135" t="str">
        <f>CONCATENATE(Programme!C1347,Programme!D1347,Programme!E1347,Programme!F1347,Programme!G1347,Programme!H1347,Programme!I1347)</f>
        <v>&lt;codeEdi&gt;13399&lt;/codeEdi&gt;</v>
      </c>
    </row>
    <row r="1347" spans="1:1" x14ac:dyDescent="0.2">
      <c r="A1347" s="1135" t="str">
        <f>CONCATENATE(Programme!C1348,Programme!D1348,Programme!E1348,Programme!F1348,Programme!G1348,Programme!H1348,Programme!I1348)</f>
        <v>&lt;/cellule&gt;</v>
      </c>
    </row>
    <row r="1348" spans="1:1" x14ac:dyDescent="0.2">
      <c r="A1348" s="1135" t="str">
        <f>CONCATENATE(Programme!C1349,Programme!D1349,Programme!E1349,Programme!F1349,Programme!G1349,Programme!H1349,Programme!I1349)</f>
        <v>&lt;valeur&gt;0&lt;/valeur&gt;</v>
      </c>
    </row>
    <row r="1349" spans="1:1" x14ac:dyDescent="0.2">
      <c r="A1349" s="1135" t="str">
        <f>CONCATENATE(Programme!C1350,Programme!D1350,Programme!E1350,Programme!F1350,Programme!G1350,Programme!H1350,Programme!I1350)</f>
        <v>&lt;/ValeurCellule&gt;</v>
      </c>
    </row>
    <row r="1350" spans="1:1" x14ac:dyDescent="0.2">
      <c r="A1350" s="1135" t="str">
        <f>CONCATENATE(Programme!C1351,Programme!D1351,Programme!E1351,Programme!F1351,Programme!G1351,Programme!H1351,Programme!I1351)</f>
        <v>&lt;ValeurCellule&gt;</v>
      </c>
    </row>
    <row r="1351" spans="1:1" x14ac:dyDescent="0.2">
      <c r="A1351" s="1135" t="str">
        <f>CONCATENATE(Programme!C1352,Programme!D1352,Programme!E1352,Programme!F1352,Programme!G1352,Programme!H1352,Programme!I1352)</f>
        <v>&lt;cellule&gt;</v>
      </c>
    </row>
    <row r="1352" spans="1:1" x14ac:dyDescent="0.2">
      <c r="A1352" s="1135" t="str">
        <f>CONCATENATE(Programme!C1353,Programme!D1353,Programme!E1353,Programme!F1353,Programme!G1353,Programme!H1353,Programme!I1353)</f>
        <v>&lt;codeEdi&gt;13422&lt;/codeEdi&gt;</v>
      </c>
    </row>
    <row r="1353" spans="1:1" x14ac:dyDescent="0.2">
      <c r="A1353" s="1135" t="str">
        <f>CONCATENATE(Programme!C1354,Programme!D1354,Programme!E1354,Programme!F1354,Programme!G1354,Programme!H1354,Programme!I1354)</f>
        <v>&lt;/cellule&gt;</v>
      </c>
    </row>
    <row r="1354" spans="1:1" x14ac:dyDescent="0.2">
      <c r="A1354" s="1135" t="str">
        <f>CONCATENATE(Programme!C1355,Programme!D1355,Programme!E1355,Programme!F1355,Programme!G1355,Programme!H1355,Programme!I1355)</f>
        <v>&lt;valeur&gt;0&lt;/valeur&gt;</v>
      </c>
    </row>
    <row r="1355" spans="1:1" x14ac:dyDescent="0.2">
      <c r="A1355" s="1135" t="str">
        <f>CONCATENATE(Programme!C1356,Programme!D1356,Programme!E1356,Programme!F1356,Programme!G1356,Programme!H1356,Programme!I1356)</f>
        <v>&lt;/ValeurCellule&gt;</v>
      </c>
    </row>
    <row r="1356" spans="1:1" x14ac:dyDescent="0.2">
      <c r="A1356" s="1135" t="str">
        <f>CONCATENATE(Programme!C1357,Programme!D1357,Programme!E1357,Programme!F1357,Programme!G1357,Programme!H1357,Programme!I1357)</f>
        <v>&lt;ValeurCellule&gt;</v>
      </c>
    </row>
    <row r="1357" spans="1:1" x14ac:dyDescent="0.2">
      <c r="A1357" s="1135" t="str">
        <f>CONCATENATE(Programme!C1358,Programme!D1358,Programme!E1358,Programme!F1358,Programme!G1358,Programme!H1358,Programme!I1358)</f>
        <v>&lt;cellule&gt;</v>
      </c>
    </row>
    <row r="1358" spans="1:1" x14ac:dyDescent="0.2">
      <c r="A1358" s="1135" t="str">
        <f>CONCATENATE(Programme!C1359,Programme!D1359,Programme!E1359,Programme!F1359,Programme!G1359,Programme!H1359,Programme!I1359)</f>
        <v>&lt;codeEdi&gt;13423&lt;/codeEdi&gt;</v>
      </c>
    </row>
    <row r="1359" spans="1:1" x14ac:dyDescent="0.2">
      <c r="A1359" s="1135" t="str">
        <f>CONCATENATE(Programme!C1360,Programme!D1360,Programme!E1360,Programme!F1360,Programme!G1360,Programme!H1360,Programme!I1360)</f>
        <v>&lt;/cellule&gt;</v>
      </c>
    </row>
    <row r="1360" spans="1:1" x14ac:dyDescent="0.2">
      <c r="A1360" s="1135" t="str">
        <f>CONCATENATE(Programme!C1361,Programme!D1361,Programme!E1361,Programme!F1361,Programme!G1361,Programme!H1361,Programme!I1361)</f>
        <v>&lt;valeur&gt;0&lt;/valeur&gt;</v>
      </c>
    </row>
    <row r="1361" spans="1:1" x14ac:dyDescent="0.2">
      <c r="A1361" s="1135" t="str">
        <f>CONCATENATE(Programme!C1362,Programme!D1362,Programme!E1362,Programme!F1362,Programme!G1362,Programme!H1362,Programme!I1362)</f>
        <v>&lt;/ValeurCellule&gt;</v>
      </c>
    </row>
    <row r="1362" spans="1:1" x14ac:dyDescent="0.2">
      <c r="A1362" s="1135" t="str">
        <f>CONCATENATE(Programme!C1363,Programme!D1363,Programme!E1363,Programme!F1363,Programme!G1363,Programme!H1363,Programme!I1363)</f>
        <v>&lt;ValeurCellule&gt;</v>
      </c>
    </row>
    <row r="1363" spans="1:1" x14ac:dyDescent="0.2">
      <c r="A1363" s="1135" t="str">
        <f>CONCATENATE(Programme!C1364,Programme!D1364,Programme!E1364,Programme!F1364,Programme!G1364,Programme!H1364,Programme!I1364)</f>
        <v>&lt;cellule&gt;</v>
      </c>
    </row>
    <row r="1364" spans="1:1" x14ac:dyDescent="0.2">
      <c r="A1364" s="1135" t="str">
        <f>CONCATENATE(Programme!C1365,Programme!D1365,Programme!E1365,Programme!F1365,Programme!G1365,Programme!H1365,Programme!I1365)</f>
        <v>&lt;codeEdi&gt;13424&lt;/codeEdi&gt;</v>
      </c>
    </row>
    <row r="1365" spans="1:1" x14ac:dyDescent="0.2">
      <c r="A1365" s="1135" t="str">
        <f>CONCATENATE(Programme!C1366,Programme!D1366,Programme!E1366,Programme!F1366,Programme!G1366,Programme!H1366,Programme!I1366)</f>
        <v>&lt;/cellule&gt;</v>
      </c>
    </row>
    <row r="1366" spans="1:1" x14ac:dyDescent="0.2">
      <c r="A1366" s="1135" t="str">
        <f>CONCATENATE(Programme!C1367,Programme!D1367,Programme!E1367,Programme!F1367,Programme!G1367,Programme!H1367,Programme!I1367)</f>
        <v>&lt;valeur&gt;0&lt;/valeur&gt;</v>
      </c>
    </row>
    <row r="1367" spans="1:1" x14ac:dyDescent="0.2">
      <c r="A1367" s="1135" t="str">
        <f>CONCATENATE(Programme!C1368,Programme!D1368,Programme!E1368,Programme!F1368,Programme!G1368,Programme!H1368,Programme!I1368)</f>
        <v>&lt;/ValeurCellule&gt;</v>
      </c>
    </row>
    <row r="1368" spans="1:1" x14ac:dyDescent="0.2">
      <c r="A1368" s="1135" t="str">
        <f>CONCATENATE(Programme!C1369,Programme!D1369,Programme!E1369,Programme!F1369,Programme!G1369,Programme!H1369,Programme!I1369)</f>
        <v>&lt;ValeurCellule&gt;</v>
      </c>
    </row>
    <row r="1369" spans="1:1" x14ac:dyDescent="0.2">
      <c r="A1369" s="1135" t="str">
        <f>CONCATENATE(Programme!C1370,Programme!D1370,Programme!E1370,Programme!F1370,Programme!G1370,Programme!H1370,Programme!I1370)</f>
        <v>&lt;cellule&gt;&lt;codeEdi&gt;13339&lt;/codeEdi&gt;&lt;/cellule&gt;</v>
      </c>
    </row>
    <row r="1370" spans="1:1" x14ac:dyDescent="0.2">
      <c r="A1370" s="1135" t="str">
        <f>CONCATENATE(Programme!C1371,Programme!D1371,Programme!E1371,Programme!F1371,Programme!G1371,Programme!H1371,Programme!I1371)</f>
        <v>&lt;valeur&gt;&lt;/valeur&gt;</v>
      </c>
    </row>
    <row r="1371" spans="1:1" x14ac:dyDescent="0.2">
      <c r="A1371" s="1135" t="str">
        <f>CONCATENATE(Programme!C1372,Programme!D1372,Programme!E1372,Programme!F1372,Programme!G1372,Programme!H1372,Programme!I1372)</f>
        <v>&lt;numeroLigne&gt;1&lt;/numeroLigne&gt;</v>
      </c>
    </row>
    <row r="1372" spans="1:1" x14ac:dyDescent="0.2">
      <c r="A1372" s="1135" t="str">
        <f>CONCATENATE(Programme!C1373,Programme!D1373,Programme!E1373,Programme!F1373,Programme!G1373,Programme!H1373,Programme!I1373)</f>
        <v>&lt;/ValeurCellule&gt;</v>
      </c>
    </row>
    <row r="1373" spans="1:1" x14ac:dyDescent="0.2">
      <c r="A1373" s="1135" t="str">
        <f>CONCATENATE(Programme!C1374,Programme!D1374,Programme!E1374,Programme!F1374,Programme!G1374,Programme!H1374,Programme!I1374)</f>
        <v>&lt;ValeurCellule&gt;</v>
      </c>
    </row>
    <row r="1374" spans="1:1" x14ac:dyDescent="0.2">
      <c r="A1374" s="1135" t="str">
        <f>CONCATENATE(Programme!C1375,Programme!D1375,Programme!E1375,Programme!F1375,Programme!G1375,Programme!H1375,Programme!I1375)</f>
        <v>&lt;cellule&gt;&lt;codeEdi&gt;13396&lt;/codeEdi&gt;&lt;/cellule&gt;</v>
      </c>
    </row>
    <row r="1375" spans="1:1" x14ac:dyDescent="0.2">
      <c r="A1375" s="1135" t="str">
        <f>CONCATENATE(Programme!C1376,Programme!D1376,Programme!E1376,Programme!F1376,Programme!G1376,Programme!H1376,Programme!I1376)</f>
        <v>&lt;valeur&gt;&lt;/valeur&gt;</v>
      </c>
    </row>
    <row r="1376" spans="1:1" x14ac:dyDescent="0.2">
      <c r="A1376" s="1135" t="str">
        <f>CONCATENATE(Programme!C1377,Programme!D1377,Programme!E1377,Programme!F1377,Programme!G1377,Programme!H1377,Programme!I1377)</f>
        <v>&lt;numeroLigne&gt;1&lt;/numeroLigne&gt;</v>
      </c>
    </row>
    <row r="1377" spans="1:1" x14ac:dyDescent="0.2">
      <c r="A1377" s="1135" t="str">
        <f>CONCATENATE(Programme!C1378,Programme!D1378,Programme!E1378,Programme!F1378,Programme!G1378,Programme!H1378,Programme!I1378)</f>
        <v>&lt;/ValeurCellule&gt;</v>
      </c>
    </row>
    <row r="1378" spans="1:1" x14ac:dyDescent="0.2">
      <c r="A1378" s="1135" t="str">
        <f>CONCATENATE(Programme!C1379,Programme!D1379,Programme!E1379,Programme!F1379,Programme!G1379,Programme!H1379,Programme!I1379)</f>
        <v>&lt;ValeurCellule&gt;</v>
      </c>
    </row>
    <row r="1379" spans="1:1" x14ac:dyDescent="0.2">
      <c r="A1379" s="1135" t="str">
        <f>CONCATENATE(Programme!C1380,Programme!D1380,Programme!E1380,Programme!F1380,Programme!G1380,Programme!H1380,Programme!I1380)</f>
        <v>&lt;cellule&gt;&lt;codeEdi&gt;13425&lt;/codeEdi&gt;&lt;/cellule&gt;</v>
      </c>
    </row>
    <row r="1380" spans="1:1" x14ac:dyDescent="0.2">
      <c r="A1380" s="1135" t="str">
        <f>CONCATENATE(Programme!C1381,Programme!D1381,Programme!E1381,Programme!F1381,Programme!G1381,Programme!H1381,Programme!I1381)</f>
        <v>&lt;valeur&gt;&lt;/valeur&gt;</v>
      </c>
    </row>
    <row r="1381" spans="1:1" x14ac:dyDescent="0.2">
      <c r="A1381" s="1135" t="str">
        <f>CONCATENATE(Programme!C1382,Programme!D1382,Programme!E1382,Programme!F1382,Programme!G1382,Programme!H1382,Programme!I1382)</f>
        <v>&lt;numeroLigne&gt;1&lt;/numeroLigne&gt;</v>
      </c>
    </row>
    <row r="1382" spans="1:1" x14ac:dyDescent="0.2">
      <c r="A1382" s="1135" t="str">
        <f>CONCATENATE(Programme!C1383,Programme!D1383,Programme!E1383,Programme!F1383,Programme!G1383,Programme!H1383,Programme!I1383)</f>
        <v>&lt;/ValeurCellule&gt;</v>
      </c>
    </row>
    <row r="1383" spans="1:1" x14ac:dyDescent="0.2">
      <c r="A1383" s="1135" t="str">
        <f>CONCATENATE(Programme!C1384,Programme!D1384,Programme!E1384,Programme!F1384,Programme!G1384,Programme!H1384,Programme!I1384)</f>
        <v>&lt;ValeurCellule&gt;</v>
      </c>
    </row>
    <row r="1384" spans="1:1" x14ac:dyDescent="0.2">
      <c r="A1384" s="1135" t="str">
        <f>CONCATENATE(Programme!C1385,Programme!D1385,Programme!E1385,Programme!F1385,Programme!G1385,Programme!H1385,Programme!I1385)</f>
        <v>&lt;cellule&gt;</v>
      </c>
    </row>
    <row r="1385" spans="1:1" x14ac:dyDescent="0.2">
      <c r="A1385" s="1135" t="str">
        <f>CONCATENATE(Programme!C1386,Programme!D1386,Programme!E1386,Programme!F1386,Programme!G1386,Programme!H1386,Programme!I1386)</f>
        <v>&lt;codeEdi&gt;13393&lt;/codeEdi&gt;</v>
      </c>
    </row>
    <row r="1386" spans="1:1" x14ac:dyDescent="0.2">
      <c r="A1386" s="1135" t="str">
        <f>CONCATENATE(Programme!C1387,Programme!D1387,Programme!E1387,Programme!F1387,Programme!G1387,Programme!H1387,Programme!I1387)</f>
        <v>&lt;/cellule&gt;</v>
      </c>
    </row>
    <row r="1387" spans="1:1" x14ac:dyDescent="0.2">
      <c r="A1387" s="1135" t="str">
        <f>CONCATENATE(Programme!C1388,Programme!D1388,Programme!E1388,Programme!F1388,Programme!G1388,Programme!H1388,Programme!I1388)</f>
        <v>&lt;valeur&gt;1005415,61&lt;/valeur&gt;</v>
      </c>
    </row>
    <row r="1388" spans="1:1" x14ac:dyDescent="0.2">
      <c r="A1388" s="1135" t="str">
        <f>CONCATENATE(Programme!C1389,Programme!D1389,Programme!E1389,Programme!F1389,Programme!G1389,Programme!H1389,Programme!I1389)</f>
        <v>&lt;/ValeurCellule&gt;</v>
      </c>
    </row>
    <row r="1389" spans="1:1" x14ac:dyDescent="0.2">
      <c r="A1389" s="1135" t="str">
        <f>CONCATENATE(Programme!C1390,Programme!D1390,Programme!E1390,Programme!F1390,Programme!G1390,Programme!H1390,Programme!I1390)</f>
        <v>&lt;ValeurCellule&gt;</v>
      </c>
    </row>
    <row r="1390" spans="1:1" x14ac:dyDescent="0.2">
      <c r="A1390" s="1135" t="str">
        <f>CONCATENATE(Programme!C1391,Programme!D1391,Programme!E1391,Programme!F1391,Programme!G1391,Programme!H1391,Programme!I1391)</f>
        <v>&lt;cellule&gt;</v>
      </c>
    </row>
    <row r="1391" spans="1:1" x14ac:dyDescent="0.2">
      <c r="A1391" s="1135" t="str">
        <f>CONCATENATE(Programme!C1392,Programme!D1392,Programme!E1392,Programme!F1392,Programme!G1392,Programme!H1392,Programme!I1392)</f>
        <v>&lt;codeEdi&gt;13394&lt;/codeEdi&gt;</v>
      </c>
    </row>
    <row r="1392" spans="1:1" x14ac:dyDescent="0.2">
      <c r="A1392" s="1135" t="str">
        <f>CONCATENATE(Programme!C1393,Programme!D1393,Programme!E1393,Programme!F1393,Programme!G1393,Programme!H1393,Programme!I1393)</f>
        <v>&lt;/cellule&gt;</v>
      </c>
    </row>
    <row r="1393" spans="1:1" x14ac:dyDescent="0.2">
      <c r="A1393" s="1135" t="str">
        <f>CONCATENATE(Programme!C1394,Programme!D1394,Programme!E1394,Programme!F1394,Programme!G1394,Programme!H1394,Programme!I1394)</f>
        <v>&lt;valeur&gt;0&lt;/valeur&gt;</v>
      </c>
    </row>
    <row r="1394" spans="1:1" x14ac:dyDescent="0.2">
      <c r="A1394" s="1135" t="str">
        <f>CONCATENATE(Programme!C1395,Programme!D1395,Programme!E1395,Programme!F1395,Programme!G1395,Programme!H1395,Programme!I1395)</f>
        <v>&lt;/ValeurCellule&gt;</v>
      </c>
    </row>
    <row r="1395" spans="1:1" x14ac:dyDescent="0.2">
      <c r="A1395" s="1135" t="str">
        <f>CONCATENATE(Programme!C1396,Programme!D1396,Programme!E1396,Programme!F1396,Programme!G1396,Programme!H1396,Programme!I1396)</f>
        <v>&lt;ValeurCellule&gt;</v>
      </c>
    </row>
    <row r="1396" spans="1:1" x14ac:dyDescent="0.2">
      <c r="A1396" s="1135" t="str">
        <f>CONCATENATE(Programme!C1397,Programme!D1397,Programme!E1397,Programme!F1397,Programme!G1397,Programme!H1397,Programme!I1397)</f>
        <v>&lt;cellule&gt;</v>
      </c>
    </row>
    <row r="1397" spans="1:1" x14ac:dyDescent="0.2">
      <c r="A1397" s="1135" t="str">
        <f>CONCATENATE(Programme!C1398,Programme!D1398,Programme!E1398,Programme!F1398,Programme!G1398,Programme!H1398,Programme!I1398)</f>
        <v>&lt;codeEdi&gt;13395&lt;/codeEdi&gt;</v>
      </c>
    </row>
    <row r="1398" spans="1:1" x14ac:dyDescent="0.2">
      <c r="A1398" s="1135" t="str">
        <f>CONCATENATE(Programme!C1399,Programme!D1399,Programme!E1399,Programme!F1399,Programme!G1399,Programme!H1399,Programme!I1399)</f>
        <v>&lt;/cellule&gt;</v>
      </c>
    </row>
    <row r="1399" spans="1:1" x14ac:dyDescent="0.2">
      <c r="A1399" s="1135" t="str">
        <f>CONCATENATE(Programme!C1400,Programme!D1400,Programme!E1400,Programme!F1400,Programme!G1400,Programme!H1400,Programme!I1400)</f>
        <v>&lt;valeur&gt;1005415,61&lt;/valeur&gt;</v>
      </c>
    </row>
    <row r="1400" spans="1:1" x14ac:dyDescent="0.2">
      <c r="A1400" s="1135" t="str">
        <f>CONCATENATE(Programme!C1401,Programme!D1401,Programme!E1401,Programme!F1401,Programme!G1401,Programme!H1401,Programme!I1401)</f>
        <v>&lt;/ValeurCellule&gt;</v>
      </c>
    </row>
    <row r="1401" spans="1:1" x14ac:dyDescent="0.2">
      <c r="A1401" s="1135" t="str">
        <f>CONCATENATE(Programme!C1402,Programme!D1402,Programme!E1402,Programme!F1402,Programme!G1402,Programme!H1402,Programme!I1402)</f>
        <v>&lt;ValeurCellule&gt;</v>
      </c>
    </row>
    <row r="1402" spans="1:1" x14ac:dyDescent="0.2">
      <c r="A1402" s="1135" t="str">
        <f>CONCATENATE(Programme!C1403,Programme!D1403,Programme!E1403,Programme!F1403,Programme!G1403,Programme!H1403,Programme!I1403)</f>
        <v>&lt;cellule&gt;</v>
      </c>
    </row>
    <row r="1403" spans="1:1" x14ac:dyDescent="0.2">
      <c r="A1403" s="1135" t="str">
        <f>CONCATENATE(Programme!C1404,Programme!D1404,Programme!E1404,Programme!F1404,Programme!G1404,Programme!H1404,Programme!I1404)</f>
        <v>&lt;codeEdi&gt;13426&lt;/codeEdi&gt;</v>
      </c>
    </row>
    <row r="1404" spans="1:1" x14ac:dyDescent="0.2">
      <c r="A1404" s="1135" t="str">
        <f>CONCATENATE(Programme!C1405,Programme!D1405,Programme!E1405,Programme!F1405,Programme!G1405,Programme!H1405,Programme!I1405)</f>
        <v>&lt;/cellule&gt;</v>
      </c>
    </row>
    <row r="1405" spans="1:1" x14ac:dyDescent="0.2">
      <c r="A1405" s="1135" t="str">
        <f>CONCATENATE(Programme!C1406,Programme!D1406,Programme!E1406,Programme!F1406,Programme!G1406,Programme!H1406,Programme!I1406)</f>
        <v>&lt;valeur&gt;0&lt;/valeur&gt;</v>
      </c>
    </row>
    <row r="1406" spans="1:1" x14ac:dyDescent="0.2">
      <c r="A1406" s="1135" t="str">
        <f>CONCATENATE(Programme!C1407,Programme!D1407,Programme!E1407,Programme!F1407,Programme!G1407,Programme!H1407,Programme!I1407)</f>
        <v>&lt;/ValeurCellule&gt;</v>
      </c>
    </row>
    <row r="1407" spans="1:1" x14ac:dyDescent="0.2">
      <c r="A1407" s="1135" t="str">
        <f>CONCATENATE(Programme!C1408,Programme!D1408,Programme!E1408,Programme!F1408,Programme!G1408,Programme!H1408,Programme!I1408)</f>
        <v>&lt;ValeurCellule&gt;</v>
      </c>
    </row>
    <row r="1408" spans="1:1" x14ac:dyDescent="0.2">
      <c r="A1408" s="1135" t="str">
        <f>CONCATENATE(Programme!C1409,Programme!D1409,Programme!E1409,Programme!F1409,Programme!G1409,Programme!H1409,Programme!I1409)</f>
        <v>&lt;cellule&gt;</v>
      </c>
    </row>
    <row r="1409" spans="1:1" x14ac:dyDescent="0.2">
      <c r="A1409" s="1135" t="str">
        <f>CONCATENATE(Programme!C1410,Programme!D1410,Programme!E1410,Programme!F1410,Programme!G1410,Programme!H1410,Programme!I1410)</f>
        <v>&lt;codeEdi&gt;13427&lt;/codeEdi&gt;</v>
      </c>
    </row>
    <row r="1410" spans="1:1" x14ac:dyDescent="0.2">
      <c r="A1410" s="1135" t="str">
        <f>CONCATENATE(Programme!C1411,Programme!D1411,Programme!E1411,Programme!F1411,Programme!G1411,Programme!H1411,Programme!I1411)</f>
        <v>&lt;/cellule&gt;</v>
      </c>
    </row>
    <row r="1411" spans="1:1" x14ac:dyDescent="0.2">
      <c r="A1411" s="1135" t="str">
        <f>CONCATENATE(Programme!C1412,Programme!D1412,Programme!E1412,Programme!F1412,Programme!G1412,Programme!H1412,Programme!I1412)</f>
        <v>&lt;valeur&gt;0&lt;/valeur&gt;</v>
      </c>
    </row>
    <row r="1412" spans="1:1" x14ac:dyDescent="0.2">
      <c r="A1412" s="1135" t="str">
        <f>CONCATENATE(Programme!C1413,Programme!D1413,Programme!E1413,Programme!F1413,Programme!G1413,Programme!H1413,Programme!I1413)</f>
        <v>&lt;/ValeurCellule&gt;</v>
      </c>
    </row>
    <row r="1413" spans="1:1" x14ac:dyDescent="0.2">
      <c r="A1413" s="1135" t="str">
        <f>CONCATENATE(Programme!C1414,Programme!D1414,Programme!E1414,Programme!F1414,Programme!G1414,Programme!H1414,Programme!I1414)</f>
        <v>&lt;ValeurCellule&gt;</v>
      </c>
    </row>
    <row r="1414" spans="1:1" x14ac:dyDescent="0.2">
      <c r="A1414" s="1135" t="str">
        <f>CONCATENATE(Programme!C1415,Programme!D1415,Programme!E1415,Programme!F1415,Programme!G1415,Programme!H1415,Programme!I1415)</f>
        <v>&lt;cellule&gt;</v>
      </c>
    </row>
    <row r="1415" spans="1:1" x14ac:dyDescent="0.2">
      <c r="A1415" s="1135" t="str">
        <f>CONCATENATE(Programme!C1416,Programme!D1416,Programme!E1416,Programme!F1416,Programme!G1416,Programme!H1416,Programme!I1416)</f>
        <v>&lt;codeEdi&gt;13428&lt;/codeEdi&gt;</v>
      </c>
    </row>
    <row r="1416" spans="1:1" x14ac:dyDescent="0.2">
      <c r="A1416" s="1135" t="str">
        <f>CONCATENATE(Programme!C1417,Programme!D1417,Programme!E1417,Programme!F1417,Programme!G1417,Programme!H1417,Programme!I1417)</f>
        <v>&lt;/cellule&gt;</v>
      </c>
    </row>
    <row r="1417" spans="1:1" x14ac:dyDescent="0.2">
      <c r="A1417" s="1135" t="str">
        <f>CONCATENATE(Programme!C1418,Programme!D1418,Programme!E1418,Programme!F1418,Programme!G1418,Programme!H1418,Programme!I1418)</f>
        <v>&lt;valeur&gt;0&lt;/valeur&gt;</v>
      </c>
    </row>
    <row r="1418" spans="1:1" x14ac:dyDescent="0.2">
      <c r="A1418" s="1135" t="str">
        <f>CONCATENATE(Programme!C1419,Programme!D1419,Programme!E1419,Programme!F1419,Programme!G1419,Programme!H1419,Programme!I1419)</f>
        <v>&lt;/ValeurCellule&gt;</v>
      </c>
    </row>
    <row r="1419" spans="1:1" x14ac:dyDescent="0.2">
      <c r="A1419" s="1135" t="str">
        <f>CONCATENATE(Programme!C1420,Programme!D1420,Programme!E1420,Programme!F1420,Programme!G1420,Programme!H1420,Programme!I1420)</f>
        <v>&lt;ValeurCellule&gt;</v>
      </c>
    </row>
    <row r="1420" spans="1:1" x14ac:dyDescent="0.2">
      <c r="A1420" s="1135" t="str">
        <f>CONCATENATE(Programme!C1421,Programme!D1421,Programme!E1421,Programme!F1421,Programme!G1421,Programme!H1421,Programme!I1421)</f>
        <v>&lt;cellule&gt;&lt;codeEdi&gt;13343&lt;/codeEdi&gt;&lt;/cellule&gt;</v>
      </c>
    </row>
    <row r="1421" spans="1:1" x14ac:dyDescent="0.2">
      <c r="A1421" s="1135" t="str">
        <f>CONCATENATE(Programme!C1422,Programme!D1422,Programme!E1422,Programme!F1422,Programme!G1422,Programme!H1422,Programme!I1422)</f>
        <v>&lt;valeur&gt;&lt;/valeur&gt;</v>
      </c>
    </row>
    <row r="1422" spans="1:1" x14ac:dyDescent="0.2">
      <c r="A1422" s="1135" t="str">
        <f>CONCATENATE(Programme!C1423,Programme!D1423,Programme!E1423,Programme!F1423,Programme!G1423,Programme!H1423,Programme!I1423)</f>
        <v>&lt;numeroLigne&gt;1&lt;/numeroLigne&gt;</v>
      </c>
    </row>
    <row r="1423" spans="1:1" x14ac:dyDescent="0.2">
      <c r="A1423" s="1135" t="str">
        <f>CONCATENATE(Programme!C1424,Programme!D1424,Programme!E1424,Programme!F1424,Programme!G1424,Programme!H1424,Programme!I1424)</f>
        <v>&lt;/ValeurCellule&gt;</v>
      </c>
    </row>
    <row r="1424" spans="1:1" x14ac:dyDescent="0.2">
      <c r="A1424" s="1135" t="str">
        <f>CONCATENATE(Programme!C1425,Programme!D1425,Programme!E1425,Programme!F1425,Programme!G1425,Programme!H1425,Programme!I1425)</f>
        <v>&lt;ValeurCellule&gt;</v>
      </c>
    </row>
    <row r="1425" spans="1:1" x14ac:dyDescent="0.2">
      <c r="A1425" s="1135" t="str">
        <f>CONCATENATE(Programme!C1426,Programme!D1426,Programme!E1426,Programme!F1426,Programme!G1426,Programme!H1426,Programme!I1426)</f>
        <v>&lt;cellule&gt;&lt;codeEdi&gt;13392&lt;/codeEdi&gt;&lt;/cellule&gt;</v>
      </c>
    </row>
    <row r="1426" spans="1:1" x14ac:dyDescent="0.2">
      <c r="A1426" s="1135" t="str">
        <f>CONCATENATE(Programme!C1427,Programme!D1427,Programme!E1427,Programme!F1427,Programme!G1427,Programme!H1427,Programme!I1427)</f>
        <v>&lt;valeur&gt;&lt;/valeur&gt;</v>
      </c>
    </row>
    <row r="1427" spans="1:1" x14ac:dyDescent="0.2">
      <c r="A1427" s="1135" t="str">
        <f>CONCATENATE(Programme!C1428,Programme!D1428,Programme!E1428,Programme!F1428,Programme!G1428,Programme!H1428,Programme!I1428)</f>
        <v>&lt;numeroLigne&gt;1&lt;/numeroLigne&gt;</v>
      </c>
    </row>
    <row r="1428" spans="1:1" x14ac:dyDescent="0.2">
      <c r="A1428" s="1135" t="str">
        <f>CONCATENATE(Programme!C1429,Programme!D1429,Programme!E1429,Programme!F1429,Programme!G1429,Programme!H1429,Programme!I1429)</f>
        <v>&lt;/ValeurCellule&gt;</v>
      </c>
    </row>
    <row r="1429" spans="1:1" x14ac:dyDescent="0.2">
      <c r="A1429" s="1135" t="str">
        <f>CONCATENATE(Programme!C1430,Programme!D1430,Programme!E1430,Programme!F1430,Programme!G1430,Programme!H1430,Programme!I1430)</f>
        <v>&lt;ValeurCellule&gt;</v>
      </c>
    </row>
    <row r="1430" spans="1:1" x14ac:dyDescent="0.2">
      <c r="A1430" s="1135" t="str">
        <f>CONCATENATE(Programme!C1431,Programme!D1431,Programme!E1431,Programme!F1431,Programme!G1431,Programme!H1431,Programme!I1431)</f>
        <v>&lt;cellule&gt;&lt;codeEdi&gt;13429&lt;/codeEdi&gt;&lt;/cellule&gt;</v>
      </c>
    </row>
    <row r="1431" spans="1:1" x14ac:dyDescent="0.2">
      <c r="A1431" s="1135" t="str">
        <f>CONCATENATE(Programme!C1432,Programme!D1432,Programme!E1432,Programme!F1432,Programme!G1432,Programme!H1432,Programme!I1432)</f>
        <v>&lt;valeur&gt;&lt;/valeur&gt;</v>
      </c>
    </row>
    <row r="1432" spans="1:1" x14ac:dyDescent="0.2">
      <c r="A1432" s="1135" t="str">
        <f>CONCATENATE(Programme!C1433,Programme!D1433,Programme!E1433,Programme!F1433,Programme!G1433,Programme!H1433,Programme!I1433)</f>
        <v>&lt;numeroLigne&gt;1&lt;/numeroLigne&gt;</v>
      </c>
    </row>
    <row r="1433" spans="1:1" x14ac:dyDescent="0.2">
      <c r="A1433" s="1135" t="str">
        <f>CONCATENATE(Programme!C1434,Programme!D1434,Programme!E1434,Programme!F1434,Programme!G1434,Programme!H1434,Programme!I1434)</f>
        <v>&lt;/ValeurCellule&gt;</v>
      </c>
    </row>
    <row r="1434" spans="1:1" x14ac:dyDescent="0.2">
      <c r="A1434" s="1135" t="str">
        <f>CONCATENATE(Programme!C1435,Programme!D1435,Programme!E1435,Programme!F1435,Programme!G1435,Programme!H1435,Programme!I1435)</f>
        <v>&lt;ValeurCellule&gt;</v>
      </c>
    </row>
    <row r="1435" spans="1:1" x14ac:dyDescent="0.2">
      <c r="A1435" s="1135" t="str">
        <f>CONCATENATE(Programme!C1436,Programme!D1436,Programme!E1436,Programme!F1436,Programme!G1436,Programme!H1436,Programme!I1436)</f>
        <v>&lt;cellule&gt;</v>
      </c>
    </row>
    <row r="1436" spans="1:1" x14ac:dyDescent="0.2">
      <c r="A1436" s="1135" t="str">
        <f>CONCATENATE(Programme!C1437,Programme!D1437,Programme!E1437,Programme!F1437,Programme!G1437,Programme!H1437,Programme!I1437)</f>
        <v>&lt;codeEdi&gt;13389&lt;/codeEdi&gt;</v>
      </c>
    </row>
    <row r="1437" spans="1:1" x14ac:dyDescent="0.2">
      <c r="A1437" s="1135" t="str">
        <f>CONCATENATE(Programme!C1438,Programme!D1438,Programme!E1438,Programme!F1438,Programme!G1438,Programme!H1438,Programme!I1438)</f>
        <v>&lt;/cellule&gt;</v>
      </c>
    </row>
    <row r="1438" spans="1:1" x14ac:dyDescent="0.2">
      <c r="A1438" s="1135" t="str">
        <f>CONCATENATE(Programme!C1439,Programme!D1439,Programme!E1439,Programme!F1439,Programme!G1439,Programme!H1439,Programme!I1439)</f>
        <v>&lt;valeur&gt;0&lt;/valeur&gt;</v>
      </c>
    </row>
    <row r="1439" spans="1:1" x14ac:dyDescent="0.2">
      <c r="A1439" s="1135" t="str">
        <f>CONCATENATE(Programme!C1440,Programme!D1440,Programme!E1440,Programme!F1440,Programme!G1440,Programme!H1440,Programme!I1440)</f>
        <v>&lt;/ValeurCellule&gt;</v>
      </c>
    </row>
    <row r="1440" spans="1:1" x14ac:dyDescent="0.2">
      <c r="A1440" s="1135" t="str">
        <f>CONCATENATE(Programme!C1441,Programme!D1441,Programme!E1441,Programme!F1441,Programme!G1441,Programme!H1441,Programme!I1441)</f>
        <v>&lt;ValeurCellule&gt;</v>
      </c>
    </row>
    <row r="1441" spans="1:1" x14ac:dyDescent="0.2">
      <c r="A1441" s="1135" t="str">
        <f>CONCATENATE(Programme!C1442,Programme!D1442,Programme!E1442,Programme!F1442,Programme!G1442,Programme!H1442,Programme!I1442)</f>
        <v>&lt;cellule&gt;</v>
      </c>
    </row>
    <row r="1442" spans="1:1" x14ac:dyDescent="0.2">
      <c r="A1442" s="1135" t="str">
        <f>CONCATENATE(Programme!C1443,Programme!D1443,Programme!E1443,Programme!F1443,Programme!G1443,Programme!H1443,Programme!I1443)</f>
        <v>&lt;codeEdi&gt;13390&lt;/codeEdi&gt;</v>
      </c>
    </row>
    <row r="1443" spans="1:1" x14ac:dyDescent="0.2">
      <c r="A1443" s="1135" t="str">
        <f>CONCATENATE(Programme!C1444,Programme!D1444,Programme!E1444,Programme!F1444,Programme!G1444,Programme!H1444,Programme!I1444)</f>
        <v>&lt;/cellule&gt;</v>
      </c>
    </row>
    <row r="1444" spans="1:1" x14ac:dyDescent="0.2">
      <c r="A1444" s="1135" t="str">
        <f>CONCATENATE(Programme!C1445,Programme!D1445,Programme!E1445,Programme!F1445,Programme!G1445,Programme!H1445,Programme!I1445)</f>
        <v>&lt;valeur&gt;0&lt;/valeur&gt;</v>
      </c>
    </row>
    <row r="1445" spans="1:1" x14ac:dyDescent="0.2">
      <c r="A1445" s="1135" t="str">
        <f>CONCATENATE(Programme!C1446,Programme!D1446,Programme!E1446,Programme!F1446,Programme!G1446,Programme!H1446,Programme!I1446)</f>
        <v>&lt;/ValeurCellule&gt;</v>
      </c>
    </row>
    <row r="1446" spans="1:1" x14ac:dyDescent="0.2">
      <c r="A1446" s="1135" t="str">
        <f>CONCATENATE(Programme!C1447,Programme!D1447,Programme!E1447,Programme!F1447,Programme!G1447,Programme!H1447,Programme!I1447)</f>
        <v>&lt;ValeurCellule&gt;</v>
      </c>
    </row>
    <row r="1447" spans="1:1" x14ac:dyDescent="0.2">
      <c r="A1447" s="1135" t="str">
        <f>CONCATENATE(Programme!C1448,Programme!D1448,Programme!E1448,Programme!F1448,Programme!G1448,Programme!H1448,Programme!I1448)</f>
        <v>&lt;cellule&gt;</v>
      </c>
    </row>
    <row r="1448" spans="1:1" x14ac:dyDescent="0.2">
      <c r="A1448" s="1135" t="str">
        <f>CONCATENATE(Programme!C1449,Programme!D1449,Programme!E1449,Programme!F1449,Programme!G1449,Programme!H1449,Programme!I1449)</f>
        <v>&lt;codeEdi&gt;13391&lt;/codeEdi&gt;</v>
      </c>
    </row>
    <row r="1449" spans="1:1" x14ac:dyDescent="0.2">
      <c r="A1449" s="1135" t="str">
        <f>CONCATENATE(Programme!C1450,Programme!D1450,Programme!E1450,Programme!F1450,Programme!G1450,Programme!H1450,Programme!I1450)</f>
        <v>&lt;/cellule&gt;</v>
      </c>
    </row>
    <row r="1450" spans="1:1" x14ac:dyDescent="0.2">
      <c r="A1450" s="1135" t="str">
        <f>CONCATENATE(Programme!C1451,Programme!D1451,Programme!E1451,Programme!F1451,Programme!G1451,Programme!H1451,Programme!I1451)</f>
        <v>&lt;valeur&gt;0&lt;/valeur&gt;</v>
      </c>
    </row>
    <row r="1451" spans="1:1" x14ac:dyDescent="0.2">
      <c r="A1451" s="1135" t="str">
        <f>CONCATENATE(Programme!C1452,Programme!D1452,Programme!E1452,Programme!F1452,Programme!G1452,Programme!H1452,Programme!I1452)</f>
        <v>&lt;/ValeurCellule&gt;</v>
      </c>
    </row>
    <row r="1452" spans="1:1" x14ac:dyDescent="0.2">
      <c r="A1452" s="1135" t="str">
        <f>CONCATENATE(Programme!C1453,Programme!D1453,Programme!E1453,Programme!F1453,Programme!G1453,Programme!H1453,Programme!I1453)</f>
        <v>&lt;ValeurCellule&gt;</v>
      </c>
    </row>
    <row r="1453" spans="1:1" x14ac:dyDescent="0.2">
      <c r="A1453" s="1135" t="str">
        <f>CONCATENATE(Programme!C1454,Programme!D1454,Programme!E1454,Programme!F1454,Programme!G1454,Programme!H1454,Programme!I1454)</f>
        <v>&lt;cellule&gt;</v>
      </c>
    </row>
    <row r="1454" spans="1:1" x14ac:dyDescent="0.2">
      <c r="A1454" s="1135" t="str">
        <f>CONCATENATE(Programme!C1455,Programme!D1455,Programme!E1455,Programme!F1455,Programme!G1455,Programme!H1455,Programme!I1455)</f>
        <v>&lt;codeEdi&gt;13430&lt;/codeEdi&gt;</v>
      </c>
    </row>
    <row r="1455" spans="1:1" x14ac:dyDescent="0.2">
      <c r="A1455" s="1135" t="str">
        <f>CONCATENATE(Programme!C1456,Programme!D1456,Programme!E1456,Programme!F1456,Programme!G1456,Programme!H1456,Programme!I1456)</f>
        <v>&lt;/cellule&gt;</v>
      </c>
    </row>
    <row r="1456" spans="1:1" x14ac:dyDescent="0.2">
      <c r="A1456" s="1135" t="str">
        <f>CONCATENATE(Programme!C1457,Programme!D1457,Programme!E1457,Programme!F1457,Programme!G1457,Programme!H1457,Programme!I1457)</f>
        <v>&lt;valeur&gt;0&lt;/valeur&gt;</v>
      </c>
    </row>
    <row r="1457" spans="1:1" x14ac:dyDescent="0.2">
      <c r="A1457" s="1135" t="str">
        <f>CONCATENATE(Programme!C1458,Programme!D1458,Programme!E1458,Programme!F1458,Programme!G1458,Programme!H1458,Programme!I1458)</f>
        <v>&lt;/ValeurCellule&gt;</v>
      </c>
    </row>
    <row r="1458" spans="1:1" x14ac:dyDescent="0.2">
      <c r="A1458" s="1135" t="str">
        <f>CONCATENATE(Programme!C1459,Programme!D1459,Programme!E1459,Programme!F1459,Programme!G1459,Programme!H1459,Programme!I1459)</f>
        <v>&lt;ValeurCellule&gt;</v>
      </c>
    </row>
    <row r="1459" spans="1:1" x14ac:dyDescent="0.2">
      <c r="A1459" s="1135" t="str">
        <f>CONCATENATE(Programme!C1460,Programme!D1460,Programme!E1460,Programme!F1460,Programme!G1460,Programme!H1460,Programme!I1460)</f>
        <v>&lt;cellule&gt;</v>
      </c>
    </row>
    <row r="1460" spans="1:1" x14ac:dyDescent="0.2">
      <c r="A1460" s="1135" t="str">
        <f>CONCATENATE(Programme!C1461,Programme!D1461,Programme!E1461,Programme!F1461,Programme!G1461,Programme!H1461,Programme!I1461)</f>
        <v>&lt;codeEdi&gt;13431&lt;/codeEdi&gt;</v>
      </c>
    </row>
    <row r="1461" spans="1:1" x14ac:dyDescent="0.2">
      <c r="A1461" s="1135" t="str">
        <f>CONCATENATE(Programme!C1462,Programme!D1462,Programme!E1462,Programme!F1462,Programme!G1462,Programme!H1462,Programme!I1462)</f>
        <v>&lt;/cellule&gt;</v>
      </c>
    </row>
    <row r="1462" spans="1:1" x14ac:dyDescent="0.2">
      <c r="A1462" s="1135" t="str">
        <f>CONCATENATE(Programme!C1463,Programme!D1463,Programme!E1463,Programme!F1463,Programme!G1463,Programme!H1463,Programme!I1463)</f>
        <v>&lt;valeur&gt;0&lt;/valeur&gt;</v>
      </c>
    </row>
    <row r="1463" spans="1:1" x14ac:dyDescent="0.2">
      <c r="A1463" s="1135" t="str">
        <f>CONCATENATE(Programme!C1464,Programme!D1464,Programme!E1464,Programme!F1464,Programme!G1464,Programme!H1464,Programme!I1464)</f>
        <v>&lt;/ValeurCellule&gt;</v>
      </c>
    </row>
    <row r="1464" spans="1:1" x14ac:dyDescent="0.2">
      <c r="A1464" s="1135" t="str">
        <f>CONCATENATE(Programme!C1465,Programme!D1465,Programme!E1465,Programme!F1465,Programme!G1465,Programme!H1465,Programme!I1465)</f>
        <v>&lt;ValeurCellule&gt;</v>
      </c>
    </row>
    <row r="1465" spans="1:1" x14ac:dyDescent="0.2">
      <c r="A1465" s="1135" t="str">
        <f>CONCATENATE(Programme!C1466,Programme!D1466,Programme!E1466,Programme!F1466,Programme!G1466,Programme!H1466,Programme!I1466)</f>
        <v>&lt;cellule&gt;</v>
      </c>
    </row>
    <row r="1466" spans="1:1" x14ac:dyDescent="0.2">
      <c r="A1466" s="1135" t="str">
        <f>CONCATENATE(Programme!C1467,Programme!D1467,Programme!E1467,Programme!F1467,Programme!G1467,Programme!H1467,Programme!I1467)</f>
        <v>&lt;codeEdi&gt;13432&lt;/codeEdi&gt;</v>
      </c>
    </row>
    <row r="1467" spans="1:1" x14ac:dyDescent="0.2">
      <c r="A1467" s="1135" t="str">
        <f>CONCATENATE(Programme!C1468,Programme!D1468,Programme!E1468,Programme!F1468,Programme!G1468,Programme!H1468,Programme!I1468)</f>
        <v>&lt;/cellule&gt;</v>
      </c>
    </row>
    <row r="1468" spans="1:1" x14ac:dyDescent="0.2">
      <c r="A1468" s="1135" t="str">
        <f>CONCATENATE(Programme!C1469,Programme!D1469,Programme!E1469,Programme!F1469,Programme!G1469,Programme!H1469,Programme!I1469)</f>
        <v>&lt;valeur&gt;0&lt;/valeur&gt;</v>
      </c>
    </row>
    <row r="1469" spans="1:1" x14ac:dyDescent="0.2">
      <c r="A1469" s="1135" t="str">
        <f>CONCATENATE(Programme!C1470,Programme!D1470,Programme!E1470,Programme!F1470,Programme!G1470,Programme!H1470,Programme!I1470)</f>
        <v>&lt;/ValeurCellule&gt;</v>
      </c>
    </row>
    <row r="1470" spans="1:1" x14ac:dyDescent="0.2">
      <c r="A1470" s="1135" t="str">
        <f>CONCATENATE(Programme!C1471,Programme!D1471,Programme!E1471,Programme!F1471,Programme!G1471,Programme!H1471,Programme!I1471)</f>
        <v>&lt;ValeurCellule&gt;</v>
      </c>
    </row>
    <row r="1471" spans="1:1" x14ac:dyDescent="0.2">
      <c r="A1471" s="1135" t="str">
        <f>CONCATENATE(Programme!C1472,Programme!D1472,Programme!E1472,Programme!F1472,Programme!G1472,Programme!H1472,Programme!I1472)</f>
        <v>&lt;cellule&gt;</v>
      </c>
    </row>
    <row r="1472" spans="1:1" x14ac:dyDescent="0.2">
      <c r="A1472" s="1135" t="str">
        <f>CONCATENATE(Programme!C1473,Programme!D1473,Programme!E1473,Programme!F1473,Programme!G1473,Programme!H1473,Programme!I1473)</f>
        <v>&lt;codeEdi&gt;13386&lt;/codeEdi&gt;</v>
      </c>
    </row>
    <row r="1473" spans="1:1" x14ac:dyDescent="0.2">
      <c r="A1473" s="1135" t="str">
        <f>CONCATENATE(Programme!C1474,Programme!D1474,Programme!E1474,Programme!F1474,Programme!G1474,Programme!H1474,Programme!I1474)</f>
        <v>&lt;/cellule&gt;</v>
      </c>
    </row>
    <row r="1474" spans="1:1" x14ac:dyDescent="0.2">
      <c r="A1474" s="1135" t="str">
        <f>CONCATENATE(Programme!C1475,Programme!D1475,Programme!E1475,Programme!F1475,Programme!G1475,Programme!H1475,Programme!I1475)</f>
        <v>&lt;valeur&gt;0&lt;/valeur&gt;</v>
      </c>
    </row>
    <row r="1475" spans="1:1" x14ac:dyDescent="0.2">
      <c r="A1475" s="1135" t="str">
        <f>CONCATENATE(Programme!C1476,Programme!D1476,Programme!E1476,Programme!F1476,Programme!G1476,Programme!H1476,Programme!I1476)</f>
        <v>&lt;/ValeurCellule&gt;</v>
      </c>
    </row>
    <row r="1476" spans="1:1" x14ac:dyDescent="0.2">
      <c r="A1476" s="1135" t="str">
        <f>CONCATENATE(Programme!C1477,Programme!D1477,Programme!E1477,Programme!F1477,Programme!G1477,Programme!H1477,Programme!I1477)</f>
        <v>&lt;ValeurCellule&gt;</v>
      </c>
    </row>
    <row r="1477" spans="1:1" x14ac:dyDescent="0.2">
      <c r="A1477" s="1135" t="str">
        <f>CONCATENATE(Programme!C1478,Programme!D1478,Programme!E1478,Programme!F1478,Programme!G1478,Programme!H1478,Programme!I1478)</f>
        <v>&lt;cellule&gt;</v>
      </c>
    </row>
    <row r="1478" spans="1:1" x14ac:dyDescent="0.2">
      <c r="A1478" s="1135" t="str">
        <f>CONCATENATE(Programme!C1479,Programme!D1479,Programme!E1479,Programme!F1479,Programme!G1479,Programme!H1479,Programme!I1479)</f>
        <v>&lt;codeEdi&gt;13387&lt;/codeEdi&gt;</v>
      </c>
    </row>
    <row r="1479" spans="1:1" x14ac:dyDescent="0.2">
      <c r="A1479" s="1135" t="str">
        <f>CONCATENATE(Programme!C1480,Programme!D1480,Programme!E1480,Programme!F1480,Programme!G1480,Programme!H1480,Programme!I1480)</f>
        <v>&lt;/cellule&gt;</v>
      </c>
    </row>
    <row r="1480" spans="1:1" x14ac:dyDescent="0.2">
      <c r="A1480" s="1135" t="str">
        <f>CONCATENATE(Programme!C1481,Programme!D1481,Programme!E1481,Programme!F1481,Programme!G1481,Programme!H1481,Programme!I1481)</f>
        <v>&lt;valeur&gt;0&lt;/valeur&gt;</v>
      </c>
    </row>
    <row r="1481" spans="1:1" x14ac:dyDescent="0.2">
      <c r="A1481" s="1135" t="str">
        <f>CONCATENATE(Programme!C1482,Programme!D1482,Programme!E1482,Programme!F1482,Programme!G1482,Programme!H1482,Programme!I1482)</f>
        <v>&lt;/ValeurCellule&gt;</v>
      </c>
    </row>
    <row r="1482" spans="1:1" x14ac:dyDescent="0.2">
      <c r="A1482" s="1135" t="str">
        <f>CONCATENATE(Programme!C1483,Programme!D1483,Programme!E1483,Programme!F1483,Programme!G1483,Programme!H1483,Programme!I1483)</f>
        <v>&lt;ValeurCellule&gt;</v>
      </c>
    </row>
    <row r="1483" spans="1:1" x14ac:dyDescent="0.2">
      <c r="A1483" s="1135" t="str">
        <f>CONCATENATE(Programme!C1484,Programme!D1484,Programme!E1484,Programme!F1484,Programme!G1484,Programme!H1484,Programme!I1484)</f>
        <v>&lt;cellule&gt;</v>
      </c>
    </row>
    <row r="1484" spans="1:1" x14ac:dyDescent="0.2">
      <c r="A1484" s="1135" t="str">
        <f>CONCATENATE(Programme!C1485,Programme!D1485,Programme!E1485,Programme!F1485,Programme!G1485,Programme!H1485,Programme!I1485)</f>
        <v>&lt;codeEdi&gt;13388&lt;/codeEdi&gt;</v>
      </c>
    </row>
    <row r="1485" spans="1:1" x14ac:dyDescent="0.2">
      <c r="A1485" s="1135" t="str">
        <f>CONCATENATE(Programme!C1486,Programme!D1486,Programme!E1486,Programme!F1486,Programme!G1486,Programme!H1486,Programme!I1486)</f>
        <v>&lt;/cellule&gt;</v>
      </c>
    </row>
    <row r="1486" spans="1:1" x14ac:dyDescent="0.2">
      <c r="A1486" s="1135" t="str">
        <f>CONCATENATE(Programme!C1487,Programme!D1487,Programme!E1487,Programme!F1487,Programme!G1487,Programme!H1487,Programme!I1487)</f>
        <v>&lt;valeur&gt;0&lt;/valeur&gt;</v>
      </c>
    </row>
    <row r="1487" spans="1:1" x14ac:dyDescent="0.2">
      <c r="A1487" s="1135" t="str">
        <f>CONCATENATE(Programme!C1488,Programme!D1488,Programme!E1488,Programme!F1488,Programme!G1488,Programme!H1488,Programme!I1488)</f>
        <v>&lt;/ValeurCellule&gt;</v>
      </c>
    </row>
    <row r="1488" spans="1:1" x14ac:dyDescent="0.2">
      <c r="A1488" s="1135" t="str">
        <f>CONCATENATE(Programme!C1489,Programme!D1489,Programme!E1489,Programme!F1489,Programme!G1489,Programme!H1489,Programme!I1489)</f>
        <v>&lt;ValeurCellule&gt;</v>
      </c>
    </row>
    <row r="1489" spans="1:1" x14ac:dyDescent="0.2">
      <c r="A1489" s="1135" t="str">
        <f>CONCATENATE(Programme!C1490,Programme!D1490,Programme!E1490,Programme!F1490,Programme!G1490,Programme!H1490,Programme!I1490)</f>
        <v>&lt;cellule&gt;</v>
      </c>
    </row>
    <row r="1490" spans="1:1" x14ac:dyDescent="0.2">
      <c r="A1490" s="1135" t="str">
        <f>CONCATENATE(Programme!C1491,Programme!D1491,Programme!E1491,Programme!F1491,Programme!G1491,Programme!H1491,Programme!I1491)</f>
        <v>&lt;codeEdi&gt;13433&lt;/codeEdi&gt;</v>
      </c>
    </row>
    <row r="1491" spans="1:1" x14ac:dyDescent="0.2">
      <c r="A1491" s="1135" t="str">
        <f>CONCATENATE(Programme!C1492,Programme!D1492,Programme!E1492,Programme!F1492,Programme!G1492,Programme!H1492,Programme!I1492)</f>
        <v>&lt;/cellule&gt;</v>
      </c>
    </row>
    <row r="1492" spans="1:1" x14ac:dyDescent="0.2">
      <c r="A1492" s="1135" t="str">
        <f>CONCATENATE(Programme!C1493,Programme!D1493,Programme!E1493,Programme!F1493,Programme!G1493,Programme!H1493,Programme!I1493)</f>
        <v>&lt;valeur&gt;0&lt;/valeur&gt;</v>
      </c>
    </row>
    <row r="1493" spans="1:1" x14ac:dyDescent="0.2">
      <c r="A1493" s="1135" t="str">
        <f>CONCATENATE(Programme!C1494,Programme!D1494,Programme!E1494,Programme!F1494,Programme!G1494,Programme!H1494,Programme!I1494)</f>
        <v>&lt;/ValeurCellule&gt;</v>
      </c>
    </row>
    <row r="1494" spans="1:1" x14ac:dyDescent="0.2">
      <c r="A1494" s="1135" t="str">
        <f>CONCATENATE(Programme!C1495,Programme!D1495,Programme!E1495,Programme!F1495,Programme!G1495,Programme!H1495,Programme!I1495)</f>
        <v>&lt;ValeurCellule&gt;</v>
      </c>
    </row>
    <row r="1495" spans="1:1" x14ac:dyDescent="0.2">
      <c r="A1495" s="1135" t="str">
        <f>CONCATENATE(Programme!C1496,Programme!D1496,Programme!E1496,Programme!F1496,Programme!G1496,Programme!H1496,Programme!I1496)</f>
        <v>&lt;cellule&gt;</v>
      </c>
    </row>
    <row r="1496" spans="1:1" x14ac:dyDescent="0.2">
      <c r="A1496" s="1135" t="str">
        <f>CONCATENATE(Programme!C1497,Programme!D1497,Programme!E1497,Programme!F1497,Programme!G1497,Programme!H1497,Programme!I1497)</f>
        <v>&lt;codeEdi&gt;13434&lt;/codeEdi&gt;</v>
      </c>
    </row>
    <row r="1497" spans="1:1" x14ac:dyDescent="0.2">
      <c r="A1497" s="1135" t="str">
        <f>CONCATENATE(Programme!C1498,Programme!D1498,Programme!E1498,Programme!F1498,Programme!G1498,Programme!H1498,Programme!I1498)</f>
        <v>&lt;/cellule&gt;</v>
      </c>
    </row>
    <row r="1498" spans="1:1" x14ac:dyDescent="0.2">
      <c r="A1498" s="1135" t="str">
        <f>CONCATENATE(Programme!C1499,Programme!D1499,Programme!E1499,Programme!F1499,Programme!G1499,Programme!H1499,Programme!I1499)</f>
        <v>&lt;valeur&gt;0&lt;/valeur&gt;</v>
      </c>
    </row>
    <row r="1499" spans="1:1" x14ac:dyDescent="0.2">
      <c r="A1499" s="1135" t="str">
        <f>CONCATENATE(Programme!C1500,Programme!D1500,Programme!E1500,Programme!F1500,Programme!G1500,Programme!H1500,Programme!I1500)</f>
        <v>&lt;/ValeurCellule&gt;</v>
      </c>
    </row>
    <row r="1500" spans="1:1" x14ac:dyDescent="0.2">
      <c r="A1500" s="1135" t="str">
        <f>CONCATENATE(Programme!C1501,Programme!D1501,Programme!E1501,Programme!F1501,Programme!G1501,Programme!H1501,Programme!I1501)</f>
        <v>&lt;ValeurCellule&gt;</v>
      </c>
    </row>
    <row r="1501" spans="1:1" x14ac:dyDescent="0.2">
      <c r="A1501" s="1135" t="str">
        <f>CONCATENATE(Programme!C1502,Programme!D1502,Programme!E1502,Programme!F1502,Programme!G1502,Programme!H1502,Programme!I1502)</f>
        <v>&lt;cellule&gt;</v>
      </c>
    </row>
    <row r="1502" spans="1:1" x14ac:dyDescent="0.2">
      <c r="A1502" s="1135" t="str">
        <f>CONCATENATE(Programme!C1503,Programme!D1503,Programme!E1503,Programme!F1503,Programme!G1503,Programme!H1503,Programme!I1503)</f>
        <v>&lt;codeEdi&gt;13435&lt;/codeEdi&gt;</v>
      </c>
    </row>
    <row r="1503" spans="1:1" x14ac:dyDescent="0.2">
      <c r="A1503" s="1135" t="str">
        <f>CONCATENATE(Programme!C1504,Programme!D1504,Programme!E1504,Programme!F1504,Programme!G1504,Programme!H1504,Programme!I1504)</f>
        <v>&lt;/cellule&gt;</v>
      </c>
    </row>
    <row r="1504" spans="1:1" x14ac:dyDescent="0.2">
      <c r="A1504" s="1135" t="str">
        <f>CONCATENATE(Programme!C1505,Programme!D1505,Programme!E1505,Programme!F1505,Programme!G1505,Programme!H1505,Programme!I1505)</f>
        <v>&lt;valeur&gt;0&lt;/valeur&gt;</v>
      </c>
    </row>
    <row r="1505" spans="1:1" x14ac:dyDescent="0.2">
      <c r="A1505" s="1135" t="str">
        <f>CONCATENATE(Programme!C1506,Programme!D1506,Programme!E1506,Programme!F1506,Programme!G1506,Programme!H1506,Programme!I1506)</f>
        <v>&lt;/ValeurCellule&gt;</v>
      </c>
    </row>
    <row r="1506" spans="1:1" x14ac:dyDescent="0.2">
      <c r="A1506" s="1135" t="str">
        <f>CONCATENATE(Programme!C1507,Programme!D1507,Programme!E1507,Programme!F1507,Programme!G1507,Programme!H1507,Programme!I1507)</f>
        <v>&lt;ValeurCellule&gt;</v>
      </c>
    </row>
    <row r="1507" spans="1:1" x14ac:dyDescent="0.2">
      <c r="A1507" s="1135" t="str">
        <f>CONCATENATE(Programme!C1508,Programme!D1508,Programme!E1508,Programme!F1508,Programme!G1508,Programme!H1508,Programme!I1508)</f>
        <v>&lt;cellule&gt;</v>
      </c>
    </row>
    <row r="1508" spans="1:1" x14ac:dyDescent="0.2">
      <c r="A1508" s="1135" t="str">
        <f>CONCATENATE(Programme!C1509,Programme!D1509,Programme!E1509,Programme!F1509,Programme!G1509,Programme!H1509,Programme!I1509)</f>
        <v>&lt;codeEdi&gt;13385&lt;/codeEdi&gt;</v>
      </c>
    </row>
    <row r="1509" spans="1:1" x14ac:dyDescent="0.2">
      <c r="A1509" s="1135" t="str">
        <f>CONCATENATE(Programme!C1510,Programme!D1510,Programme!E1510,Programme!F1510,Programme!G1510,Programme!H1510,Programme!I1510)</f>
        <v>&lt;/cellule&gt;</v>
      </c>
    </row>
    <row r="1510" spans="1:1" x14ac:dyDescent="0.2">
      <c r="A1510" s="1135" t="str">
        <f>CONCATENATE(Programme!C1511,Programme!D1511,Programme!E1511,Programme!F1511,Programme!G1511,Programme!H1511,Programme!I1511)</f>
        <v>&lt;valeur&gt;1107949,38&lt;/valeur&gt;</v>
      </c>
    </row>
    <row r="1511" spans="1:1" x14ac:dyDescent="0.2">
      <c r="A1511" s="1135" t="str">
        <f>CONCATENATE(Programme!C1512,Programme!D1512,Programme!E1512,Programme!F1512,Programme!G1512,Programme!H1512,Programme!I1512)</f>
        <v>&lt;/ValeurCellule&gt;</v>
      </c>
    </row>
    <row r="1512" spans="1:1" x14ac:dyDescent="0.2">
      <c r="A1512" s="1135" t="str">
        <f>CONCATENATE(Programme!C1513,Programme!D1513,Programme!E1513,Programme!F1513,Programme!G1513,Programme!H1513,Programme!I1513)</f>
        <v>&lt;ValeurCellule&gt;</v>
      </c>
    </row>
    <row r="1513" spans="1:1" x14ac:dyDescent="0.2">
      <c r="A1513" s="1135" t="str">
        <f>CONCATENATE(Programme!C1514,Programme!D1514,Programme!E1514,Programme!F1514,Programme!G1514,Programme!H1514,Programme!I1514)</f>
        <v>&lt;cellule&gt;</v>
      </c>
    </row>
    <row r="1514" spans="1:1" x14ac:dyDescent="0.2">
      <c r="A1514" s="1135" t="str">
        <f>CONCATENATE(Programme!C1515,Programme!D1515,Programme!E1515,Programme!F1515,Programme!G1515,Programme!H1515,Programme!I1515)</f>
        <v>&lt;codeEdi&gt;13436&lt;/codeEdi&gt;</v>
      </c>
    </row>
    <row r="1515" spans="1:1" x14ac:dyDescent="0.2">
      <c r="A1515" s="1135" t="str">
        <f>CONCATENATE(Programme!C1516,Programme!D1516,Programme!E1516,Programme!F1516,Programme!G1516,Programme!H1516,Programme!I1516)</f>
        <v>&lt;/cellule&gt;</v>
      </c>
    </row>
    <row r="1516" spans="1:1" x14ac:dyDescent="0.2">
      <c r="A1516" s="1135" t="str">
        <f>CONCATENATE(Programme!C1517,Programme!D1517,Programme!E1517,Programme!F1517,Programme!G1517,Programme!H1517,Programme!I1517)</f>
        <v>&lt;valeur&gt;81081,33&lt;/valeur&gt;</v>
      </c>
    </row>
    <row r="1517" spans="1:1" x14ac:dyDescent="0.2">
      <c r="A1517" s="1135" t="str">
        <f>CONCATENATE(Programme!C1518,Programme!D1518,Programme!E1518,Programme!F1518,Programme!G1518,Programme!H1518,Programme!I1518)</f>
        <v>&lt;/ValeurCellule&gt;</v>
      </c>
    </row>
    <row r="1518" spans="1:1" x14ac:dyDescent="0.2">
      <c r="A1518" s="1135" t="str">
        <f>CONCATENATE(Programme!C1519,Programme!D1519,Programme!E1519,Programme!F1519,Programme!G1519,Programme!H1519,Programme!I1519)</f>
        <v>&lt;ValeurCellule&gt;</v>
      </c>
    </row>
    <row r="1519" spans="1:1" x14ac:dyDescent="0.2">
      <c r="A1519" s="1135" t="str">
        <f>CONCATENATE(Programme!C1520,Programme!D1520,Programme!E1520,Programme!F1520,Programme!G1520,Programme!H1520,Programme!I1520)</f>
        <v>&lt;cellule&gt;</v>
      </c>
    </row>
    <row r="1520" spans="1:1" x14ac:dyDescent="0.2">
      <c r="A1520" s="1135" t="str">
        <f>CONCATENATE(Programme!C1521,Programme!D1521,Programme!E1521,Programme!F1521,Programme!G1521,Programme!H1521,Programme!I1521)</f>
        <v>&lt;codeEdi&gt;13376&lt;/codeEdi&gt;</v>
      </c>
    </row>
    <row r="1521" spans="1:1" x14ac:dyDescent="0.2">
      <c r="A1521" s="1135" t="str">
        <f>CONCATENATE(Programme!C1522,Programme!D1522,Programme!E1522,Programme!F1522,Programme!G1522,Programme!H1522,Programme!I1522)</f>
        <v>&lt;/cellule&gt;</v>
      </c>
    </row>
    <row r="1522" spans="1:1" x14ac:dyDescent="0.2">
      <c r="A1522" s="1135" t="str">
        <f>CONCATENATE(Programme!C1523,Programme!D1523,Programme!E1523,Programme!F1523,Programme!G1523,Programme!H1523,Programme!I1523)</f>
        <v>&lt;valeur&gt;621333,33&lt;/valeur&gt;</v>
      </c>
    </row>
    <row r="1523" spans="1:1" x14ac:dyDescent="0.2">
      <c r="A1523" s="1135" t="str">
        <f>CONCATENATE(Programme!C1524,Programme!D1524,Programme!E1524,Programme!F1524,Programme!G1524,Programme!H1524,Programme!I1524)</f>
        <v>&lt;/ValeurCellule&gt;</v>
      </c>
    </row>
    <row r="1524" spans="1:1" x14ac:dyDescent="0.2">
      <c r="A1524" s="1135" t="str">
        <f>CONCATENATE(Programme!C1525,Programme!D1525,Programme!E1525,Programme!F1525,Programme!G1525,Programme!H1525,Programme!I1525)</f>
        <v>&lt;ValeurCellule&gt;</v>
      </c>
    </row>
    <row r="1525" spans="1:1" x14ac:dyDescent="0.2">
      <c r="A1525" s="1135" t="str">
        <f>CONCATENATE(Programme!C1526,Programme!D1526,Programme!E1526,Programme!F1526,Programme!G1526,Programme!H1526,Programme!I1526)</f>
        <v>&lt;cellule&gt;</v>
      </c>
    </row>
    <row r="1526" spans="1:1" x14ac:dyDescent="0.2">
      <c r="A1526" s="1135" t="str">
        <f>CONCATENATE(Programme!C1527,Programme!D1527,Programme!E1527,Programme!F1527,Programme!G1527,Programme!H1527,Programme!I1527)</f>
        <v>&lt;codeEdi&gt;13377&lt;/codeEdi&gt;</v>
      </c>
    </row>
    <row r="1527" spans="1:1" x14ac:dyDescent="0.2">
      <c r="A1527" s="1135" t="str">
        <f>CONCATENATE(Programme!C1528,Programme!D1528,Programme!E1528,Programme!F1528,Programme!G1528,Programme!H1528,Programme!I1528)</f>
        <v>&lt;/cellule&gt;</v>
      </c>
    </row>
    <row r="1528" spans="1:1" x14ac:dyDescent="0.2">
      <c r="A1528" s="1135" t="str">
        <f>CONCATENATE(Programme!C1529,Programme!D1529,Programme!E1529,Programme!F1529,Programme!G1529,Programme!H1529,Programme!I1529)</f>
        <v>&lt;valeur&gt;7573,2&lt;/valeur&gt;</v>
      </c>
    </row>
    <row r="1529" spans="1:1" x14ac:dyDescent="0.2">
      <c r="A1529" s="1135" t="str">
        <f>CONCATENATE(Programme!C1530,Programme!D1530,Programme!E1530,Programme!F1530,Programme!G1530,Programme!H1530,Programme!I1530)</f>
        <v>&lt;/ValeurCellule&gt;</v>
      </c>
    </row>
    <row r="1530" spans="1:1" x14ac:dyDescent="0.2">
      <c r="A1530" s="1135" t="str">
        <f>CONCATENATE(Programme!C1531,Programme!D1531,Programme!E1531,Programme!F1531,Programme!G1531,Programme!H1531,Programme!I1531)</f>
        <v>&lt;ValeurCellule&gt;</v>
      </c>
    </row>
    <row r="1531" spans="1:1" x14ac:dyDescent="0.2">
      <c r="A1531" s="1135" t="str">
        <f>CONCATENATE(Programme!C1532,Programme!D1532,Programme!E1532,Programme!F1532,Programme!G1532,Programme!H1532,Programme!I1532)</f>
        <v>&lt;cellule&gt;</v>
      </c>
    </row>
    <row r="1532" spans="1:1" x14ac:dyDescent="0.2">
      <c r="A1532" s="1135" t="str">
        <f>CONCATENATE(Programme!C1533,Programme!D1533,Programme!E1533,Programme!F1533,Programme!G1533,Programme!H1533,Programme!I1533)</f>
        <v>&lt;codeEdi&gt;13378&lt;/codeEdi&gt;</v>
      </c>
    </row>
    <row r="1533" spans="1:1" x14ac:dyDescent="0.2">
      <c r="A1533" s="1135" t="str">
        <f>CONCATENATE(Programme!C1534,Programme!D1534,Programme!E1534,Programme!F1534,Programme!G1534,Programme!H1534,Programme!I1534)</f>
        <v>&lt;/cellule&gt;</v>
      </c>
    </row>
    <row r="1534" spans="1:1" x14ac:dyDescent="0.2">
      <c r="A1534" s="1135" t="str">
        <f>CONCATENATE(Programme!C1535,Programme!D1535,Programme!E1535,Programme!F1535,Programme!G1535,Programme!H1535,Programme!I1535)</f>
        <v>&lt;valeur&gt;0&lt;/valeur&gt;</v>
      </c>
    </row>
    <row r="1535" spans="1:1" x14ac:dyDescent="0.2">
      <c r="A1535" s="1135" t="str">
        <f>CONCATENATE(Programme!C1536,Programme!D1536,Programme!E1536,Programme!F1536,Programme!G1536,Programme!H1536,Programme!I1536)</f>
        <v>&lt;/ValeurCellule&gt;</v>
      </c>
    </row>
    <row r="1536" spans="1:1" x14ac:dyDescent="0.2">
      <c r="A1536" s="1135" t="str">
        <f>CONCATENATE(Programme!C1537,Programme!D1537,Programme!E1537,Programme!F1537,Programme!G1537,Programme!H1537,Programme!I1537)</f>
        <v>&lt;ValeurCellule&gt;</v>
      </c>
    </row>
    <row r="1537" spans="1:1" x14ac:dyDescent="0.2">
      <c r="A1537" s="1135" t="str">
        <f>CONCATENATE(Programme!C1538,Programme!D1538,Programme!E1538,Programme!F1538,Programme!G1538,Programme!H1538,Programme!I1538)</f>
        <v>&lt;cellule&gt;</v>
      </c>
    </row>
    <row r="1538" spans="1:1" x14ac:dyDescent="0.2">
      <c r="A1538" s="1135" t="str">
        <f>CONCATENATE(Programme!C1539,Programme!D1539,Programme!E1539,Programme!F1539,Programme!G1539,Programme!H1539,Programme!I1539)</f>
        <v>&lt;codeEdi&gt;13379&lt;/codeEdi&gt;</v>
      </c>
    </row>
    <row r="1539" spans="1:1" x14ac:dyDescent="0.2">
      <c r="A1539" s="1135" t="str">
        <f>CONCATENATE(Programme!C1540,Programme!D1540,Programme!E1540,Programme!F1540,Programme!G1540,Programme!H1540,Programme!I1540)</f>
        <v>&lt;/cellule&gt;</v>
      </c>
    </row>
    <row r="1540" spans="1:1" x14ac:dyDescent="0.2">
      <c r="A1540" s="1135" t="str">
        <f>CONCATENATE(Programme!C1541,Programme!D1541,Programme!E1541,Programme!F1541,Programme!G1541,Programme!H1541,Programme!I1541)</f>
        <v>&lt;valeur&gt;0&lt;/valeur&gt;</v>
      </c>
    </row>
    <row r="1541" spans="1:1" x14ac:dyDescent="0.2">
      <c r="A1541" s="1135" t="str">
        <f>CONCATENATE(Programme!C1542,Programme!D1542,Programme!E1542,Programme!F1542,Programme!G1542,Programme!H1542,Programme!I1542)</f>
        <v>&lt;/ValeurCellule&gt;</v>
      </c>
    </row>
    <row r="1542" spans="1:1" x14ac:dyDescent="0.2">
      <c r="A1542" s="1135" t="str">
        <f>CONCATENATE(Programme!C1543,Programme!D1543,Programme!E1543,Programme!F1543,Programme!G1543,Programme!H1543,Programme!I1543)</f>
        <v>&lt;ValeurCellule&gt;</v>
      </c>
    </row>
    <row r="1543" spans="1:1" x14ac:dyDescent="0.2">
      <c r="A1543" s="1135" t="str">
        <f>CONCATENATE(Programme!C1544,Programme!D1544,Programme!E1544,Programme!F1544,Programme!G1544,Programme!H1544,Programme!I1544)</f>
        <v>&lt;cellule&gt;</v>
      </c>
    </row>
    <row r="1544" spans="1:1" x14ac:dyDescent="0.2">
      <c r="A1544" s="1135" t="str">
        <f>CONCATENATE(Programme!C1545,Programme!D1545,Programme!E1545,Programme!F1545,Programme!G1545,Programme!H1545,Programme!I1545)</f>
        <v>&lt;codeEdi&gt;13380&lt;/codeEdi&gt;</v>
      </c>
    </row>
    <row r="1545" spans="1:1" x14ac:dyDescent="0.2">
      <c r="A1545" s="1135" t="str">
        <f>CONCATENATE(Programme!C1546,Programme!D1546,Programme!E1546,Programme!F1546,Programme!G1546,Programme!H1546,Programme!I1546)</f>
        <v>&lt;/cellule&gt;</v>
      </c>
    </row>
    <row r="1546" spans="1:1" x14ac:dyDescent="0.2">
      <c r="A1546" s="1135" t="str">
        <f>CONCATENATE(Programme!C1547,Programme!D1547,Programme!E1547,Programme!F1547,Programme!G1547,Programme!H1547,Programme!I1547)</f>
        <v>&lt;valeur&gt;796,02&lt;/valeur&gt;</v>
      </c>
    </row>
    <row r="1547" spans="1:1" x14ac:dyDescent="0.2">
      <c r="A1547" s="1135" t="str">
        <f>CONCATENATE(Programme!C1548,Programme!D1548,Programme!E1548,Programme!F1548,Programme!G1548,Programme!H1548,Programme!I1548)</f>
        <v>&lt;/ValeurCellule&gt;</v>
      </c>
    </row>
    <row r="1548" spans="1:1" x14ac:dyDescent="0.2">
      <c r="A1548" s="1135" t="str">
        <f>CONCATENATE(Programme!C1549,Programme!D1549,Programme!E1549,Programme!F1549,Programme!G1549,Programme!H1549,Programme!I1549)</f>
        <v>&lt;ValeurCellule&gt;</v>
      </c>
    </row>
    <row r="1549" spans="1:1" x14ac:dyDescent="0.2">
      <c r="A1549" s="1135" t="str">
        <f>CONCATENATE(Programme!C1550,Programme!D1550,Programme!E1550,Programme!F1550,Programme!G1550,Programme!H1550,Programme!I1550)</f>
        <v>&lt;cellule&gt;</v>
      </c>
    </row>
    <row r="1550" spans="1:1" x14ac:dyDescent="0.2">
      <c r="A1550" s="1135" t="str">
        <f>CONCATENATE(Programme!C1551,Programme!D1551,Programme!E1551,Programme!F1551,Programme!G1551,Programme!H1551,Programme!I1551)</f>
        <v>&lt;codeEdi&gt;13381&lt;/codeEdi&gt;</v>
      </c>
    </row>
    <row r="1551" spans="1:1" x14ac:dyDescent="0.2">
      <c r="A1551" s="1135" t="str">
        <f>CONCATENATE(Programme!C1552,Programme!D1552,Programme!E1552,Programme!F1552,Programme!G1552,Programme!H1552,Programme!I1552)</f>
        <v>&lt;/cellule&gt;</v>
      </c>
    </row>
    <row r="1552" spans="1:1" x14ac:dyDescent="0.2">
      <c r="A1552" s="1135" t="str">
        <f>CONCATENATE(Programme!C1553,Programme!D1553,Programme!E1553,Programme!F1553,Programme!G1553,Programme!H1553,Programme!I1553)</f>
        <v>&lt;valeur&gt;53001,82&lt;/valeur&gt;</v>
      </c>
    </row>
    <row r="1553" spans="1:1" x14ac:dyDescent="0.2">
      <c r="A1553" s="1135" t="str">
        <f>CONCATENATE(Programme!C1554,Programme!D1554,Programme!E1554,Programme!F1554,Programme!G1554,Programme!H1554,Programme!I1554)</f>
        <v>&lt;/ValeurCellule&gt;</v>
      </c>
    </row>
    <row r="1554" spans="1:1" x14ac:dyDescent="0.2">
      <c r="A1554" s="1135" t="str">
        <f>CONCATENATE(Programme!C1555,Programme!D1555,Programme!E1555,Programme!F1555,Programme!G1555,Programme!H1555,Programme!I1555)</f>
        <v>&lt;ValeurCellule&gt;</v>
      </c>
    </row>
    <row r="1555" spans="1:1" x14ac:dyDescent="0.2">
      <c r="A1555" s="1135" t="str">
        <f>CONCATENATE(Programme!C1556,Programme!D1556,Programme!E1556,Programme!F1556,Programme!G1556,Programme!H1556,Programme!I1556)</f>
        <v>&lt;cellule&gt;</v>
      </c>
    </row>
    <row r="1556" spans="1:1" x14ac:dyDescent="0.2">
      <c r="A1556" s="1135" t="str">
        <f>CONCATENATE(Programme!C1557,Programme!D1557,Programme!E1557,Programme!F1557,Programme!G1557,Programme!H1557,Programme!I1557)</f>
        <v>&lt;codeEdi&gt;13382&lt;/codeEdi&gt;</v>
      </c>
    </row>
    <row r="1557" spans="1:1" x14ac:dyDescent="0.2">
      <c r="A1557" s="1135" t="str">
        <f>CONCATENATE(Programme!C1558,Programme!D1558,Programme!E1558,Programme!F1558,Programme!G1558,Programme!H1558,Programme!I1558)</f>
        <v>&lt;/cellule&gt;</v>
      </c>
    </row>
    <row r="1558" spans="1:1" x14ac:dyDescent="0.2">
      <c r="A1558" s="1135" t="str">
        <f>CONCATENATE(Programme!C1559,Programme!D1559,Programme!E1559,Programme!F1559,Programme!G1559,Programme!H1559,Programme!I1559)</f>
        <v>&lt;valeur&gt;559962,29&lt;/valeur&gt;</v>
      </c>
    </row>
    <row r="1559" spans="1:1" x14ac:dyDescent="0.2">
      <c r="A1559" s="1135" t="str">
        <f>CONCATENATE(Programme!C1560,Programme!D1560,Programme!E1560,Programme!F1560,Programme!G1560,Programme!H1560,Programme!I1560)</f>
        <v>&lt;/ValeurCellule&gt;</v>
      </c>
    </row>
    <row r="1560" spans="1:1" x14ac:dyDescent="0.2">
      <c r="A1560" s="1135" t="str">
        <f>CONCATENATE(Programme!C1561,Programme!D1561,Programme!E1561,Programme!F1561,Programme!G1561,Programme!H1561,Programme!I1561)</f>
        <v>&lt;ValeurCellule&gt;</v>
      </c>
    </row>
    <row r="1561" spans="1:1" x14ac:dyDescent="0.2">
      <c r="A1561" s="1135" t="str">
        <f>CONCATENATE(Programme!C1562,Programme!D1562,Programme!E1562,Programme!F1562,Programme!G1562,Programme!H1562,Programme!I1562)</f>
        <v>&lt;cellule&gt;</v>
      </c>
    </row>
    <row r="1562" spans="1:1" x14ac:dyDescent="0.2">
      <c r="A1562" s="1135" t="str">
        <f>CONCATENATE(Programme!C1563,Programme!D1563,Programme!E1563,Programme!F1563,Programme!G1563,Programme!H1563,Programme!I1563)</f>
        <v>&lt;codeEdi&gt;13383&lt;/codeEdi&gt;</v>
      </c>
    </row>
    <row r="1563" spans="1:1" x14ac:dyDescent="0.2">
      <c r="A1563" s="1135" t="str">
        <f>CONCATENATE(Programme!C1564,Programme!D1564,Programme!E1564,Programme!F1564,Programme!G1564,Programme!H1564,Programme!I1564)</f>
        <v>&lt;/cellule&gt;</v>
      </c>
    </row>
    <row r="1564" spans="1:1" x14ac:dyDescent="0.2">
      <c r="A1564" s="1135" t="str">
        <f>CONCATENATE(Programme!C1565,Programme!D1565,Programme!E1565,Programme!F1565,Programme!G1565,Programme!H1565,Programme!I1565)</f>
        <v>&lt;valeur&gt;0&lt;/valeur&gt;</v>
      </c>
    </row>
    <row r="1565" spans="1:1" x14ac:dyDescent="0.2">
      <c r="A1565" s="1135" t="str">
        <f>CONCATENATE(Programme!C1566,Programme!D1566,Programme!E1566,Programme!F1566,Programme!G1566,Programme!H1566,Programme!I1566)</f>
        <v>&lt;/ValeurCellule&gt;</v>
      </c>
    </row>
    <row r="1566" spans="1:1" x14ac:dyDescent="0.2">
      <c r="A1566" s="1135" t="str">
        <f>CONCATENATE(Programme!C1567,Programme!D1567,Programme!E1567,Programme!F1567,Programme!G1567,Programme!H1567,Programme!I1567)</f>
        <v>&lt;ValeurCellule&gt;</v>
      </c>
    </row>
    <row r="1567" spans="1:1" x14ac:dyDescent="0.2">
      <c r="A1567" s="1135" t="str">
        <f>CONCATENATE(Programme!C1568,Programme!D1568,Programme!E1568,Programme!F1568,Programme!G1568,Programme!H1568,Programme!I1568)</f>
        <v>&lt;cellule&gt;</v>
      </c>
    </row>
    <row r="1568" spans="1:1" x14ac:dyDescent="0.2">
      <c r="A1568" s="1135" t="str">
        <f>CONCATENATE(Programme!C1569,Programme!D1569,Programme!E1569,Programme!F1569,Programme!G1569,Programme!H1569,Programme!I1569)</f>
        <v>&lt;codeEdi&gt;13384&lt;/codeEdi&gt;</v>
      </c>
    </row>
    <row r="1569" spans="1:1" x14ac:dyDescent="0.2">
      <c r="A1569" s="1135" t="str">
        <f>CONCATENATE(Programme!C1570,Programme!D1570,Programme!E1570,Programme!F1570,Programme!G1570,Programme!H1570,Programme!I1570)</f>
        <v>&lt;/cellule&gt;</v>
      </c>
    </row>
    <row r="1570" spans="1:1" x14ac:dyDescent="0.2">
      <c r="A1570" s="1135" t="str">
        <f>CONCATENATE(Programme!C1571,Programme!D1571,Programme!E1571,Programme!F1571,Programme!G1571,Programme!H1571,Programme!I1571)</f>
        <v>&lt;valeur&gt;0&lt;/valeur&gt;</v>
      </c>
    </row>
    <row r="1571" spans="1:1" x14ac:dyDescent="0.2">
      <c r="A1571" s="1135" t="str">
        <f>CONCATENATE(Programme!C1572,Programme!D1572,Programme!E1572,Programme!F1572,Programme!G1572,Programme!H1572,Programme!I1572)</f>
        <v>&lt;/ValeurCellule&gt;</v>
      </c>
    </row>
    <row r="1572" spans="1:1" x14ac:dyDescent="0.2">
      <c r="A1572" s="1135" t="str">
        <f>CONCATENATE(Programme!C1573,Programme!D1573,Programme!E1573,Programme!F1573,Programme!G1573,Programme!H1573,Programme!I1573)</f>
        <v>&lt;ValeurCellule&gt;</v>
      </c>
    </row>
    <row r="1573" spans="1:1" x14ac:dyDescent="0.2">
      <c r="A1573" s="1135" t="str">
        <f>CONCATENATE(Programme!C1574,Programme!D1574,Programme!E1574,Programme!F1574,Programme!G1574,Programme!H1574,Programme!I1574)</f>
        <v>&lt;cellule&gt;</v>
      </c>
    </row>
    <row r="1574" spans="1:1" x14ac:dyDescent="0.2">
      <c r="A1574" s="1135" t="str">
        <f>CONCATENATE(Programme!C1575,Programme!D1575,Programme!E1575,Programme!F1575,Programme!G1575,Programme!H1575,Programme!I1575)</f>
        <v>&lt;codeEdi&gt;13437&lt;/codeEdi&gt;</v>
      </c>
    </row>
    <row r="1575" spans="1:1" x14ac:dyDescent="0.2">
      <c r="A1575" s="1135" t="str">
        <f>CONCATENATE(Programme!C1576,Programme!D1576,Programme!E1576,Programme!F1576,Programme!G1576,Programme!H1576,Programme!I1576)</f>
        <v>&lt;/cellule&gt;</v>
      </c>
    </row>
    <row r="1576" spans="1:1" x14ac:dyDescent="0.2">
      <c r="A1576" s="1135" t="str">
        <f>CONCATENATE(Programme!C1577,Programme!D1577,Programme!E1577,Programme!F1577,Programme!G1577,Programme!H1577,Programme!I1577)</f>
        <v>&lt;valeur&gt;235004,5&lt;/valeur&gt;</v>
      </c>
    </row>
    <row r="1577" spans="1:1" x14ac:dyDescent="0.2">
      <c r="A1577" s="1135" t="str">
        <f>CONCATENATE(Programme!C1578,Programme!D1578,Programme!E1578,Programme!F1578,Programme!G1578,Programme!H1578,Programme!I1578)</f>
        <v>&lt;/ValeurCellule&gt;</v>
      </c>
    </row>
    <row r="1578" spans="1:1" x14ac:dyDescent="0.2">
      <c r="A1578" s="1135" t="str">
        <f>CONCATENATE(Programme!C1579,Programme!D1579,Programme!E1579,Programme!F1579,Programme!G1579,Programme!H1579,Programme!I1579)</f>
        <v>&lt;ValeurCellule&gt;</v>
      </c>
    </row>
    <row r="1579" spans="1:1" x14ac:dyDescent="0.2">
      <c r="A1579" s="1135" t="str">
        <f>CONCATENATE(Programme!C1580,Programme!D1580,Programme!E1580,Programme!F1580,Programme!G1580,Programme!H1580,Programme!I1580)</f>
        <v>&lt;cellule&gt;</v>
      </c>
    </row>
    <row r="1580" spans="1:1" x14ac:dyDescent="0.2">
      <c r="A1580" s="1135" t="str">
        <f>CONCATENATE(Programme!C1581,Programme!D1581,Programme!E1581,Programme!F1581,Programme!G1581,Programme!H1581,Programme!I1581)</f>
        <v>&lt;codeEdi&gt;13438&lt;/codeEdi&gt;</v>
      </c>
    </row>
    <row r="1581" spans="1:1" x14ac:dyDescent="0.2">
      <c r="A1581" s="1135" t="str">
        <f>CONCATENATE(Programme!C1582,Programme!D1582,Programme!E1582,Programme!F1582,Programme!G1582,Programme!H1582,Programme!I1582)</f>
        <v>&lt;/cellule&gt;</v>
      </c>
    </row>
    <row r="1582" spans="1:1" x14ac:dyDescent="0.2">
      <c r="A1582" s="1135" t="str">
        <f>CONCATENATE(Programme!C1583,Programme!D1583,Programme!E1583,Programme!F1583,Programme!G1583,Programme!H1583,Programme!I1583)</f>
        <v>&lt;valeur&gt;0&lt;/valeur&gt;</v>
      </c>
    </row>
    <row r="1583" spans="1:1" x14ac:dyDescent="0.2">
      <c r="A1583" s="1135" t="str">
        <f>CONCATENATE(Programme!C1584,Programme!D1584,Programme!E1584,Programme!F1584,Programme!G1584,Programme!H1584,Programme!I1584)</f>
        <v>&lt;/ValeurCellule&gt;</v>
      </c>
    </row>
    <row r="1584" spans="1:1" x14ac:dyDescent="0.2">
      <c r="A1584" s="1135" t="str">
        <f>CONCATENATE(Programme!C1585,Programme!D1585,Programme!E1585,Programme!F1585,Programme!G1585,Programme!H1585,Programme!I1585)</f>
        <v>&lt;ValeurCellule&gt;</v>
      </c>
    </row>
    <row r="1585" spans="1:1" x14ac:dyDescent="0.2">
      <c r="A1585" s="1135" t="str">
        <f>CONCATENATE(Programme!C1586,Programme!D1586,Programme!E1586,Programme!F1586,Programme!G1586,Programme!H1586,Programme!I1586)</f>
        <v>&lt;cellule&gt;</v>
      </c>
    </row>
    <row r="1586" spans="1:1" x14ac:dyDescent="0.2">
      <c r="A1586" s="1135" t="str">
        <f>CONCATENATE(Programme!C1587,Programme!D1587,Programme!E1587,Programme!F1587,Programme!G1587,Programme!H1587,Programme!I1587)</f>
        <v>&lt;codeEdi&gt;13439&lt;/codeEdi&gt;</v>
      </c>
    </row>
    <row r="1587" spans="1:1" x14ac:dyDescent="0.2">
      <c r="A1587" s="1135" t="str">
        <f>CONCATENATE(Programme!C1588,Programme!D1588,Programme!E1588,Programme!F1588,Programme!G1588,Programme!H1588,Programme!I1588)</f>
        <v>&lt;/cellule&gt;</v>
      </c>
    </row>
    <row r="1588" spans="1:1" x14ac:dyDescent="0.2">
      <c r="A1588" s="1135" t="str">
        <f>CONCATENATE(Programme!C1589,Programme!D1589,Programme!E1589,Programme!F1589,Programme!G1589,Programme!H1589,Programme!I1589)</f>
        <v>&lt;valeur&gt;0&lt;/valeur&gt;</v>
      </c>
    </row>
    <row r="1589" spans="1:1" x14ac:dyDescent="0.2">
      <c r="A1589" s="1135" t="str">
        <f>CONCATENATE(Programme!C1590,Programme!D1590,Programme!E1590,Programme!F1590,Programme!G1590,Programme!H1590,Programme!I1590)</f>
        <v>&lt;/ValeurCellule&gt;</v>
      </c>
    </row>
    <row r="1590" spans="1:1" x14ac:dyDescent="0.2">
      <c r="A1590" s="1135" t="str">
        <f>CONCATENATE(Programme!C1591,Programme!D1591,Programme!E1591,Programme!F1591,Programme!G1591,Programme!H1591,Programme!I1591)</f>
        <v>&lt;ValeurCellule&gt;</v>
      </c>
    </row>
    <row r="1591" spans="1:1" x14ac:dyDescent="0.2">
      <c r="A1591" s="1135" t="str">
        <f>CONCATENATE(Programme!C1592,Programme!D1592,Programme!E1592,Programme!F1592,Programme!G1592,Programme!H1592,Programme!I1592)</f>
        <v>&lt;cellule&gt;</v>
      </c>
    </row>
    <row r="1592" spans="1:1" x14ac:dyDescent="0.2">
      <c r="A1592" s="1135" t="str">
        <f>CONCATENATE(Programme!C1593,Programme!D1593,Programme!E1593,Programme!F1593,Programme!G1593,Programme!H1593,Programme!I1593)</f>
        <v>&lt;codeEdi&gt;13440&lt;/codeEdi&gt;</v>
      </c>
    </row>
    <row r="1593" spans="1:1" x14ac:dyDescent="0.2">
      <c r="A1593" s="1135" t="str">
        <f>CONCATENATE(Programme!C1594,Programme!D1594,Programme!E1594,Programme!F1594,Programme!G1594,Programme!H1594,Programme!I1594)</f>
        <v>&lt;/cellule&gt;</v>
      </c>
    </row>
    <row r="1594" spans="1:1" x14ac:dyDescent="0.2">
      <c r="A1594" s="1135" t="str">
        <f>CONCATENATE(Programme!C1595,Programme!D1595,Programme!E1595,Programme!F1595,Programme!G1595,Programme!H1595,Programme!I1595)</f>
        <v>&lt;valeur&gt;0&lt;/valeur&gt;</v>
      </c>
    </row>
    <row r="1595" spans="1:1" x14ac:dyDescent="0.2">
      <c r="A1595" s="1135" t="str">
        <f>CONCATENATE(Programme!C1596,Programme!D1596,Programme!E1596,Programme!F1596,Programme!G1596,Programme!H1596,Programme!I1596)</f>
        <v>&lt;/ValeurCellule&gt;</v>
      </c>
    </row>
    <row r="1596" spans="1:1" x14ac:dyDescent="0.2">
      <c r="A1596" s="1135" t="str">
        <f>CONCATENATE(Programme!C1597,Programme!D1597,Programme!E1597,Programme!F1597,Programme!G1597,Programme!H1597,Programme!I1597)</f>
        <v>&lt;ValeurCellule&gt;</v>
      </c>
    </row>
    <row r="1597" spans="1:1" x14ac:dyDescent="0.2">
      <c r="A1597" s="1135" t="str">
        <f>CONCATENATE(Programme!C1598,Programme!D1598,Programme!E1598,Programme!F1598,Programme!G1598,Programme!H1598,Programme!I1598)</f>
        <v>&lt;cellule&gt;</v>
      </c>
    </row>
    <row r="1598" spans="1:1" x14ac:dyDescent="0.2">
      <c r="A1598" s="1135" t="str">
        <f>CONCATENATE(Programme!C1599,Programme!D1599,Programme!E1599,Programme!F1599,Programme!G1599,Programme!H1599,Programme!I1599)</f>
        <v>&lt;codeEdi&gt;13441&lt;/codeEdi&gt;</v>
      </c>
    </row>
    <row r="1599" spans="1:1" x14ac:dyDescent="0.2">
      <c r="A1599" s="1135" t="str">
        <f>CONCATENATE(Programme!C1600,Programme!D1600,Programme!E1600,Programme!F1600,Programme!G1600,Programme!H1600,Programme!I1600)</f>
        <v>&lt;/cellule&gt;</v>
      </c>
    </row>
    <row r="1600" spans="1:1" x14ac:dyDescent="0.2">
      <c r="A1600" s="1135" t="str">
        <f>CONCATENATE(Programme!C1601,Programme!D1601,Programme!E1601,Programme!F1601,Programme!G1601,Programme!H1601,Programme!I1601)</f>
        <v>&lt;valeur&gt;1391,5&lt;/valeur&gt;</v>
      </c>
    </row>
    <row r="1601" spans="1:1" x14ac:dyDescent="0.2">
      <c r="A1601" s="1135" t="str">
        <f>CONCATENATE(Programme!C1602,Programme!D1602,Programme!E1602,Programme!F1602,Programme!G1602,Programme!H1602,Programme!I1602)</f>
        <v>&lt;/ValeurCellule&gt;</v>
      </c>
    </row>
    <row r="1602" spans="1:1" x14ac:dyDescent="0.2">
      <c r="A1602" s="1135" t="str">
        <f>CONCATENATE(Programme!C1603,Programme!D1603,Programme!E1603,Programme!F1603,Programme!G1603,Programme!H1603,Programme!I1603)</f>
        <v>&lt;ValeurCellule&gt;</v>
      </c>
    </row>
    <row r="1603" spans="1:1" x14ac:dyDescent="0.2">
      <c r="A1603" s="1135" t="str">
        <f>CONCATENATE(Programme!C1604,Programme!D1604,Programme!E1604,Programme!F1604,Programme!G1604,Programme!H1604,Programme!I1604)</f>
        <v>&lt;cellule&gt;</v>
      </c>
    </row>
    <row r="1604" spans="1:1" x14ac:dyDescent="0.2">
      <c r="A1604" s="1135" t="str">
        <f>CONCATENATE(Programme!C1605,Programme!D1605,Programme!E1605,Programme!F1605,Programme!G1605,Programme!H1605,Programme!I1605)</f>
        <v>&lt;codeEdi&gt;13442&lt;/codeEdi&gt;</v>
      </c>
    </row>
    <row r="1605" spans="1:1" x14ac:dyDescent="0.2">
      <c r="A1605" s="1135" t="str">
        <f>CONCATENATE(Programme!C1606,Programme!D1606,Programme!E1606,Programme!F1606,Programme!G1606,Programme!H1606,Programme!I1606)</f>
        <v>&lt;/cellule&gt;</v>
      </c>
    </row>
    <row r="1606" spans="1:1" x14ac:dyDescent="0.2">
      <c r="A1606" s="1135" t="str">
        <f>CONCATENATE(Programme!C1607,Programme!D1607,Programme!E1607,Programme!F1607,Programme!G1607,Programme!H1607,Programme!I1607)</f>
        <v>&lt;valeur&gt;88&lt;/valeur&gt;</v>
      </c>
    </row>
    <row r="1607" spans="1:1" x14ac:dyDescent="0.2">
      <c r="A1607" s="1135" t="str">
        <f>CONCATENATE(Programme!C1608,Programme!D1608,Programme!E1608,Programme!F1608,Programme!G1608,Programme!H1608,Programme!I1608)</f>
        <v>&lt;/ValeurCellule&gt;</v>
      </c>
    </row>
    <row r="1608" spans="1:1" x14ac:dyDescent="0.2">
      <c r="A1608" s="1135" t="str">
        <f>CONCATENATE(Programme!C1609,Programme!D1609,Programme!E1609,Programme!F1609,Programme!G1609,Programme!H1609,Programme!I1609)</f>
        <v>&lt;ValeurCellule&gt;</v>
      </c>
    </row>
    <row r="1609" spans="1:1" x14ac:dyDescent="0.2">
      <c r="A1609" s="1135" t="str">
        <f>CONCATENATE(Programme!C1610,Programme!D1610,Programme!E1610,Programme!F1610,Programme!G1610,Programme!H1610,Programme!I1610)</f>
        <v>&lt;cellule&gt;</v>
      </c>
    </row>
    <row r="1610" spans="1:1" x14ac:dyDescent="0.2">
      <c r="A1610" s="1135" t="str">
        <f>CONCATENATE(Programme!C1611,Programme!D1611,Programme!E1611,Programme!F1611,Programme!G1611,Programme!H1611,Programme!I1611)</f>
        <v>&lt;codeEdi&gt;13443&lt;/codeEdi&gt;</v>
      </c>
    </row>
    <row r="1611" spans="1:1" x14ac:dyDescent="0.2">
      <c r="A1611" s="1135" t="str">
        <f>CONCATENATE(Programme!C1612,Programme!D1612,Programme!E1612,Programme!F1612,Programme!G1612,Programme!H1612,Programme!I1612)</f>
        <v>&lt;/cellule&gt;</v>
      </c>
    </row>
    <row r="1612" spans="1:1" x14ac:dyDescent="0.2">
      <c r="A1612" s="1135" t="str">
        <f>CONCATENATE(Programme!C1613,Programme!D1613,Programme!E1613,Programme!F1613,Programme!G1613,Programme!H1613,Programme!I1613)</f>
        <v>&lt;valeur&gt;233525&lt;/valeur&gt;</v>
      </c>
    </row>
    <row r="1613" spans="1:1" x14ac:dyDescent="0.2">
      <c r="A1613" s="1135" t="str">
        <f>CONCATENATE(Programme!C1614,Programme!D1614,Programme!E1614,Programme!F1614,Programme!G1614,Programme!H1614,Programme!I1614)</f>
        <v>&lt;/ValeurCellule&gt;</v>
      </c>
    </row>
    <row r="1614" spans="1:1" x14ac:dyDescent="0.2">
      <c r="A1614" s="1135" t="str">
        <f>CONCATENATE(Programme!C1615,Programme!D1615,Programme!E1615,Programme!F1615,Programme!G1615,Programme!H1615,Programme!I1615)</f>
        <v>&lt;ValeurCellule&gt;</v>
      </c>
    </row>
    <row r="1615" spans="1:1" x14ac:dyDescent="0.2">
      <c r="A1615" s="1135" t="str">
        <f>CONCATENATE(Programme!C1616,Programme!D1616,Programme!E1616,Programme!F1616,Programme!G1616,Programme!H1616,Programme!I1616)</f>
        <v>&lt;cellule&gt;</v>
      </c>
    </row>
    <row r="1616" spans="1:1" x14ac:dyDescent="0.2">
      <c r="A1616" s="1135" t="str">
        <f>CONCATENATE(Programme!C1617,Programme!D1617,Programme!E1617,Programme!F1617,Programme!G1617,Programme!H1617,Programme!I1617)</f>
        <v>&lt;codeEdi&gt;13444&lt;/codeEdi&gt;</v>
      </c>
    </row>
    <row r="1617" spans="1:1" x14ac:dyDescent="0.2">
      <c r="A1617" s="1135" t="str">
        <f>CONCATENATE(Programme!C1618,Programme!D1618,Programme!E1618,Programme!F1618,Programme!G1618,Programme!H1618,Programme!I1618)</f>
        <v>&lt;/cellule&gt;</v>
      </c>
    </row>
    <row r="1618" spans="1:1" x14ac:dyDescent="0.2">
      <c r="A1618" s="1135" t="str">
        <f>CONCATENATE(Programme!C1619,Programme!D1619,Programme!E1619,Programme!F1619,Programme!G1619,Programme!H1619,Programme!I1619)</f>
        <v>&lt;valeur&gt;0&lt;/valeur&gt;</v>
      </c>
    </row>
    <row r="1619" spans="1:1" x14ac:dyDescent="0.2">
      <c r="A1619" s="1135" t="str">
        <f>CONCATENATE(Programme!C1620,Programme!D1620,Programme!E1620,Programme!F1620,Programme!G1620,Programme!H1620,Programme!I1620)</f>
        <v>&lt;/ValeurCellule&gt;</v>
      </c>
    </row>
    <row r="1620" spans="1:1" x14ac:dyDescent="0.2">
      <c r="A1620" s="1135" t="str">
        <f>CONCATENATE(Programme!C1621,Programme!D1621,Programme!E1621,Programme!F1621,Programme!G1621,Programme!H1621,Programme!I1621)</f>
        <v>&lt;ValeurCellule&gt;</v>
      </c>
    </row>
    <row r="1621" spans="1:1" x14ac:dyDescent="0.2">
      <c r="A1621" s="1135" t="str">
        <f>CONCATENATE(Programme!C1622,Programme!D1622,Programme!E1622,Programme!F1622,Programme!G1622,Programme!H1622,Programme!I1622)</f>
        <v>&lt;cellule&gt;</v>
      </c>
    </row>
    <row r="1622" spans="1:1" x14ac:dyDescent="0.2">
      <c r="A1622" s="1135" t="str">
        <f>CONCATENATE(Programme!C1623,Programme!D1623,Programme!E1623,Programme!F1623,Programme!G1623,Programme!H1623,Programme!I1623)</f>
        <v>&lt;codeEdi&gt;13445&lt;/codeEdi&gt;</v>
      </c>
    </row>
    <row r="1623" spans="1:1" x14ac:dyDescent="0.2">
      <c r="A1623" s="1135" t="str">
        <f>CONCATENATE(Programme!C1624,Programme!D1624,Programme!E1624,Programme!F1624,Programme!G1624,Programme!H1624,Programme!I1624)</f>
        <v>&lt;/cellule&gt;</v>
      </c>
    </row>
    <row r="1624" spans="1:1" x14ac:dyDescent="0.2">
      <c r="A1624" s="1135" t="str">
        <f>CONCATENATE(Programme!C1625,Programme!D1625,Programme!E1625,Programme!F1625,Programme!G1625,Programme!H1625,Programme!I1625)</f>
        <v>&lt;valeur&gt;0&lt;/valeur&gt;</v>
      </c>
    </row>
    <row r="1625" spans="1:1" x14ac:dyDescent="0.2">
      <c r="A1625" s="1135" t="str">
        <f>CONCATENATE(Programme!C1626,Programme!D1626,Programme!E1626,Programme!F1626,Programme!G1626,Programme!H1626,Programme!I1626)</f>
        <v>&lt;/ValeurCellule&gt;</v>
      </c>
    </row>
    <row r="1626" spans="1:1" x14ac:dyDescent="0.2">
      <c r="A1626" s="1135" t="str">
        <f>CONCATENATE(Programme!C1627,Programme!D1627,Programme!E1627,Programme!F1627,Programme!G1627,Programme!H1627,Programme!I1627)</f>
        <v>&lt;ValeurCellule&gt;</v>
      </c>
    </row>
    <row r="1627" spans="1:1" x14ac:dyDescent="0.2">
      <c r="A1627" s="1135" t="str">
        <f>CONCATENATE(Programme!C1628,Programme!D1628,Programme!E1628,Programme!F1628,Programme!G1628,Programme!H1628,Programme!I1628)</f>
        <v>&lt;cellule&gt;</v>
      </c>
    </row>
    <row r="1628" spans="1:1" x14ac:dyDescent="0.2">
      <c r="A1628" s="1135" t="str">
        <f>CONCATENATE(Programme!C1629,Programme!D1629,Programme!E1629,Programme!F1629,Programme!G1629,Programme!H1629,Programme!I1629)</f>
        <v>&lt;codeEdi&gt;13375&lt;/codeEdi&gt;</v>
      </c>
    </row>
    <row r="1629" spans="1:1" x14ac:dyDescent="0.2">
      <c r="A1629" s="1135" t="str">
        <f>CONCATENATE(Programme!C1630,Programme!D1630,Programme!E1630,Programme!F1630,Programme!G1630,Programme!H1630,Programme!I1630)</f>
        <v>&lt;/cellule&gt;</v>
      </c>
    </row>
    <row r="1630" spans="1:1" x14ac:dyDescent="0.2">
      <c r="A1630" s="1135" t="str">
        <f>CONCATENATE(Programme!C1631,Programme!D1631,Programme!E1631,Programme!F1631,Programme!G1631,Programme!H1631,Programme!I1631)</f>
        <v>&lt;valeur&gt;0&lt;/valeur&gt;</v>
      </c>
    </row>
    <row r="1631" spans="1:1" x14ac:dyDescent="0.2">
      <c r="A1631" s="1135" t="str">
        <f>CONCATENATE(Programme!C1632,Programme!D1632,Programme!E1632,Programme!F1632,Programme!G1632,Programme!H1632,Programme!I1632)</f>
        <v>&lt;/ValeurCellule&gt;</v>
      </c>
    </row>
    <row r="1632" spans="1:1" x14ac:dyDescent="0.2">
      <c r="A1632" s="1135" t="str">
        <f>CONCATENATE(Programme!C1633,Programme!D1633,Programme!E1633,Programme!F1633,Programme!G1633,Programme!H1633,Programme!I1633)</f>
        <v>&lt;ValeurCellule&gt;</v>
      </c>
    </row>
    <row r="1633" spans="1:1" x14ac:dyDescent="0.2">
      <c r="A1633" s="1135" t="str">
        <f>CONCATENATE(Programme!C1634,Programme!D1634,Programme!E1634,Programme!F1634,Programme!G1634,Programme!H1634,Programme!I1634)</f>
        <v>&lt;cellule&gt;</v>
      </c>
    </row>
    <row r="1634" spans="1:1" x14ac:dyDescent="0.2">
      <c r="A1634" s="1135" t="str">
        <f>CONCATENATE(Programme!C1635,Programme!D1635,Programme!E1635,Programme!F1635,Programme!G1635,Programme!H1635,Programme!I1635)</f>
        <v>&lt;codeEdi&gt;13446&lt;/codeEdi&gt;</v>
      </c>
    </row>
    <row r="1635" spans="1:1" x14ac:dyDescent="0.2">
      <c r="A1635" s="1135" t="str">
        <f>CONCATENATE(Programme!C1636,Programme!D1636,Programme!E1636,Programme!F1636,Programme!G1636,Programme!H1636,Programme!I1636)</f>
        <v>&lt;/cellule&gt;</v>
      </c>
    </row>
    <row r="1636" spans="1:1" x14ac:dyDescent="0.2">
      <c r="A1636" s="1135" t="str">
        <f>CONCATENATE(Programme!C1637,Programme!D1637,Programme!E1637,Programme!F1637,Programme!G1637,Programme!H1637,Programme!I1637)</f>
        <v>&lt;valeur&gt;0&lt;/valeur&gt;</v>
      </c>
    </row>
    <row r="1637" spans="1:1" x14ac:dyDescent="0.2">
      <c r="A1637" s="1135" t="str">
        <f>CONCATENATE(Programme!C1638,Programme!D1638,Programme!E1638,Programme!F1638,Programme!G1638,Programme!H1638,Programme!I1638)</f>
        <v>&lt;/ValeurCellule&gt;</v>
      </c>
    </row>
    <row r="1638" spans="1:1" x14ac:dyDescent="0.2">
      <c r="A1638" s="1135" t="str">
        <f>CONCATENATE(Programme!C1639,Programme!D1639,Programme!E1639,Programme!F1639,Programme!G1639,Programme!H1639,Programme!I1639)</f>
        <v>&lt;ValeurCellule&gt;</v>
      </c>
    </row>
    <row r="1639" spans="1:1" x14ac:dyDescent="0.2">
      <c r="A1639" s="1135" t="str">
        <f>CONCATENATE(Programme!C1640,Programme!D1640,Programme!E1640,Programme!F1640,Programme!G1640,Programme!H1640,Programme!I1640)</f>
        <v>&lt;cellule&gt;</v>
      </c>
    </row>
    <row r="1640" spans="1:1" x14ac:dyDescent="0.2">
      <c r="A1640" s="1135" t="str">
        <f>CONCATENATE(Programme!C1641,Programme!D1641,Programme!E1641,Programme!F1641,Programme!G1641,Programme!H1641,Programme!I1641)</f>
        <v>&lt;codeEdi&gt;13374&lt;/codeEdi&gt;</v>
      </c>
    </row>
    <row r="1641" spans="1:1" x14ac:dyDescent="0.2">
      <c r="A1641" s="1135" t="str">
        <f>CONCATENATE(Programme!C1642,Programme!D1642,Programme!E1642,Programme!F1642,Programme!G1642,Programme!H1642,Programme!I1642)</f>
        <v>&lt;/cellule&gt;</v>
      </c>
    </row>
    <row r="1642" spans="1:1" x14ac:dyDescent="0.2">
      <c r="A1642" s="1135" t="str">
        <f>CONCATENATE(Programme!C1643,Programme!D1643,Programme!E1643,Programme!F1643,Programme!G1643,Programme!H1643,Programme!I1643)</f>
        <v>&lt;valeur&gt;0&lt;/valeur&gt;</v>
      </c>
    </row>
    <row r="1643" spans="1:1" x14ac:dyDescent="0.2">
      <c r="A1643" s="1135" t="str">
        <f>CONCATENATE(Programme!C1644,Programme!D1644,Programme!E1644,Programme!F1644,Programme!G1644,Programme!H1644,Programme!I1644)</f>
        <v>&lt;/ValeurCellule&gt;</v>
      </c>
    </row>
    <row r="1644" spans="1:1" x14ac:dyDescent="0.2">
      <c r="A1644" s="1135" t="str">
        <f>CONCATENATE(Programme!C1645,Programme!D1645,Programme!E1645,Programme!F1645,Programme!G1645,Programme!H1645,Programme!I1645)</f>
        <v>&lt;ValeurCellule&gt;</v>
      </c>
    </row>
    <row r="1645" spans="1:1" x14ac:dyDescent="0.2">
      <c r="A1645" s="1135" t="str">
        <f>CONCATENATE(Programme!C1646,Programme!D1646,Programme!E1646,Programme!F1646,Programme!G1646,Programme!H1646,Programme!I1646)</f>
        <v>&lt;cellule&gt;</v>
      </c>
    </row>
    <row r="1646" spans="1:1" x14ac:dyDescent="0.2">
      <c r="A1646" s="1135" t="str">
        <f>CONCATENATE(Programme!C1647,Programme!D1647,Programme!E1647,Programme!F1647,Programme!G1647,Programme!H1647,Programme!I1647)</f>
        <v>&lt;codeEdi&gt;13447&lt;/codeEdi&gt;</v>
      </c>
    </row>
    <row r="1647" spans="1:1" x14ac:dyDescent="0.2">
      <c r="A1647" s="1135" t="str">
        <f>CONCATENATE(Programme!C1648,Programme!D1648,Programme!E1648,Programme!F1648,Programme!G1648,Programme!H1648,Programme!I1648)</f>
        <v>&lt;/cellule&gt;</v>
      </c>
    </row>
    <row r="1648" spans="1:1" x14ac:dyDescent="0.2">
      <c r="A1648" s="1135" t="str">
        <f>CONCATENATE(Programme!C1649,Programme!D1649,Programme!E1649,Programme!F1649,Programme!G1649,Programme!H1649,Programme!I1649)</f>
        <v>&lt;valeur&gt;0&lt;/valeur&gt;</v>
      </c>
    </row>
    <row r="1649" spans="1:1" x14ac:dyDescent="0.2">
      <c r="A1649" s="1135" t="str">
        <f>CONCATENATE(Programme!C1650,Programme!D1650,Programme!E1650,Programme!F1650,Programme!G1650,Programme!H1650,Programme!I1650)</f>
        <v>&lt;/ValeurCellule&gt;</v>
      </c>
    </row>
    <row r="1650" spans="1:1" x14ac:dyDescent="0.2">
      <c r="A1650" s="1135" t="str">
        <f>CONCATENATE(Programme!C1651,Programme!D1651,Programme!E1651,Programme!F1651,Programme!G1651,Programme!H1651,Programme!I1651)</f>
        <v>&lt;ValeurCellule&gt;</v>
      </c>
    </row>
    <row r="1651" spans="1:1" x14ac:dyDescent="0.2">
      <c r="A1651" s="1135" t="str">
        <f>CONCATENATE(Programme!C1652,Programme!D1652,Programme!E1652,Programme!F1652,Programme!G1652,Programme!H1652,Programme!I1652)</f>
        <v>&lt;cellule&gt;</v>
      </c>
    </row>
    <row r="1652" spans="1:1" x14ac:dyDescent="0.2">
      <c r="A1652" s="1135" t="str">
        <f>CONCATENATE(Programme!C1653,Programme!D1653,Programme!E1653,Programme!F1653,Programme!G1653,Programme!H1653,Programme!I1653)</f>
        <v>&lt;codeEdi&gt;13373&lt;/codeEdi&gt;</v>
      </c>
    </row>
    <row r="1653" spans="1:1" x14ac:dyDescent="0.2">
      <c r="A1653" s="1135" t="str">
        <f>CONCATENATE(Programme!C1654,Programme!D1654,Programme!E1654,Programme!F1654,Programme!G1654,Programme!H1654,Programme!I1654)</f>
        <v>&lt;/cellule&gt;</v>
      </c>
    </row>
    <row r="1654" spans="1:1" x14ac:dyDescent="0.2">
      <c r="A1654" s="1135" t="str">
        <f>CONCATENATE(Programme!C1655,Programme!D1655,Programme!E1655,Programme!F1655,Programme!G1655,Programme!H1655,Programme!I1655)</f>
        <v>&lt;valeur&gt;621333,33&lt;/valeur&gt;</v>
      </c>
    </row>
    <row r="1655" spans="1:1" x14ac:dyDescent="0.2">
      <c r="A1655" s="1135" t="str">
        <f>CONCATENATE(Programme!C1656,Programme!D1656,Programme!E1656,Programme!F1656,Programme!G1656,Programme!H1656,Programme!I1656)</f>
        <v>&lt;/ValeurCellule&gt;</v>
      </c>
    </row>
    <row r="1656" spans="1:1" x14ac:dyDescent="0.2">
      <c r="A1656" s="1135" t="str">
        <f>CONCATENATE(Programme!C1657,Programme!D1657,Programme!E1657,Programme!F1657,Programme!G1657,Programme!H1657,Programme!I1657)</f>
        <v>&lt;ValeurCellule&gt;</v>
      </c>
    </row>
    <row r="1657" spans="1:1" x14ac:dyDescent="0.2">
      <c r="A1657" s="1135" t="str">
        <f>CONCATENATE(Programme!C1658,Programme!D1658,Programme!E1658,Programme!F1658,Programme!G1658,Programme!H1658,Programme!I1658)</f>
        <v>&lt;cellule&gt;</v>
      </c>
    </row>
    <row r="1658" spans="1:1" x14ac:dyDescent="0.2">
      <c r="A1658" s="1135" t="str">
        <f>CONCATENATE(Programme!C1659,Programme!D1659,Programme!E1659,Programme!F1659,Programme!G1659,Programme!H1659,Programme!I1659)</f>
        <v>&lt;codeEdi&gt;13448&lt;/codeEdi&gt;</v>
      </c>
    </row>
    <row r="1659" spans="1:1" x14ac:dyDescent="0.2">
      <c r="A1659" s="1135" t="str">
        <f>CONCATENATE(Programme!C1660,Programme!D1660,Programme!E1660,Programme!F1660,Programme!G1660,Programme!H1660,Programme!I1660)</f>
        <v>&lt;/cellule&gt;</v>
      </c>
    </row>
    <row r="1660" spans="1:1" x14ac:dyDescent="0.2">
      <c r="A1660" s="1135" t="str">
        <f>CONCATENATE(Programme!C1661,Programme!D1661,Programme!E1661,Programme!F1661,Programme!G1661,Programme!H1661,Programme!I1661)</f>
        <v>&lt;valeur&gt;235004,5&lt;/valeur&gt;</v>
      </c>
    </row>
    <row r="1661" spans="1:1" x14ac:dyDescent="0.2">
      <c r="A1661" s="1135" t="str">
        <f>CONCATENATE(Programme!C1662,Programme!D1662,Programme!E1662,Programme!F1662,Programme!G1662,Programme!H1662,Programme!I1662)</f>
        <v>&lt;/ValeurCellule&gt;</v>
      </c>
    </row>
    <row r="1662" spans="1:1" x14ac:dyDescent="0.2">
      <c r="A1662" s="1135" t="str">
        <f>CONCATENATE(Programme!C1663,Programme!D1663,Programme!E1663,Programme!F1663,Programme!G1663,Programme!H1663,Programme!I1663)</f>
        <v>&lt;ValeurCellule&gt;</v>
      </c>
    </row>
    <row r="1663" spans="1:1" x14ac:dyDescent="0.2">
      <c r="A1663" s="1135" t="str">
        <f>CONCATENATE(Programme!C1664,Programme!D1664,Programme!E1664,Programme!F1664,Programme!G1664,Programme!H1664,Programme!I1664)</f>
        <v>&lt;cellule&gt;</v>
      </c>
    </row>
    <row r="1664" spans="1:1" x14ac:dyDescent="0.2">
      <c r="A1664" s="1135" t="str">
        <f>CONCATENATE(Programme!C1665,Programme!D1665,Programme!E1665,Programme!F1665,Programme!G1665,Programme!H1665,Programme!I1665)</f>
        <v>&lt;codeEdi&gt;13370&lt;/codeEdi&gt;</v>
      </c>
    </row>
    <row r="1665" spans="1:1" x14ac:dyDescent="0.2">
      <c r="A1665" s="1135" t="str">
        <f>CONCATENATE(Programme!C1666,Programme!D1666,Programme!E1666,Programme!F1666,Programme!G1666,Programme!H1666,Programme!I1666)</f>
        <v>&lt;/cellule&gt;</v>
      </c>
    </row>
    <row r="1666" spans="1:1" x14ac:dyDescent="0.2">
      <c r="A1666" s="1135" t="str">
        <f>CONCATENATE(Programme!C1667,Programme!D1667,Programme!E1667,Programme!F1667,Programme!G1667,Programme!H1667,Programme!I1667)</f>
        <v>&lt;valeur&gt;0&lt;/valeur&gt;</v>
      </c>
    </row>
    <row r="1667" spans="1:1" x14ac:dyDescent="0.2">
      <c r="A1667" s="1135" t="str">
        <f>CONCATENATE(Programme!C1668,Programme!D1668,Programme!E1668,Programme!F1668,Programme!G1668,Programme!H1668,Programme!I1668)</f>
        <v>&lt;/ValeurCellule&gt;</v>
      </c>
    </row>
    <row r="1668" spans="1:1" x14ac:dyDescent="0.2">
      <c r="A1668" s="1135" t="str">
        <f>CONCATENATE(Programme!C1669,Programme!D1669,Programme!E1669,Programme!F1669,Programme!G1669,Programme!H1669,Programme!I1669)</f>
        <v>&lt;ValeurCellule&gt;</v>
      </c>
    </row>
    <row r="1669" spans="1:1" x14ac:dyDescent="0.2">
      <c r="A1669" s="1135" t="str">
        <f>CONCATENATE(Programme!C1670,Programme!D1670,Programme!E1670,Programme!F1670,Programme!G1670,Programme!H1670,Programme!I1670)</f>
        <v>&lt;cellule&gt;</v>
      </c>
    </row>
    <row r="1670" spans="1:1" x14ac:dyDescent="0.2">
      <c r="A1670" s="1135" t="str">
        <f>CONCATENATE(Programme!C1671,Programme!D1671,Programme!E1671,Programme!F1671,Programme!G1671,Programme!H1671,Programme!I1671)</f>
        <v>&lt;codeEdi&gt;13371&lt;/codeEdi&gt;</v>
      </c>
    </row>
    <row r="1671" spans="1:1" x14ac:dyDescent="0.2">
      <c r="A1671" s="1135" t="str">
        <f>CONCATENATE(Programme!C1672,Programme!D1672,Programme!E1672,Programme!F1672,Programme!G1672,Programme!H1672,Programme!I1672)</f>
        <v>&lt;/cellule&gt;</v>
      </c>
    </row>
    <row r="1672" spans="1:1" x14ac:dyDescent="0.2">
      <c r="A1672" s="1135" t="str">
        <f>CONCATENATE(Programme!C1673,Programme!D1673,Programme!E1673,Programme!F1673,Programme!G1673,Programme!H1673,Programme!I1673)</f>
        <v>&lt;valeur&gt;0&lt;/valeur&gt;</v>
      </c>
    </row>
    <row r="1673" spans="1:1" x14ac:dyDescent="0.2">
      <c r="A1673" s="1135" t="str">
        <f>CONCATENATE(Programme!C1674,Programme!D1674,Programme!E1674,Programme!F1674,Programme!G1674,Programme!H1674,Programme!I1674)</f>
        <v>&lt;/ValeurCellule&gt;</v>
      </c>
    </row>
    <row r="1674" spans="1:1" x14ac:dyDescent="0.2">
      <c r="A1674" s="1135" t="str">
        <f>CONCATENATE(Programme!C1675,Programme!D1675,Programme!E1675,Programme!F1675,Programme!G1675,Programme!H1675,Programme!I1675)</f>
        <v>&lt;ValeurCellule&gt;</v>
      </c>
    </row>
    <row r="1675" spans="1:1" x14ac:dyDescent="0.2">
      <c r="A1675" s="1135" t="str">
        <f>CONCATENATE(Programme!C1676,Programme!D1676,Programme!E1676,Programme!F1676,Programme!G1676,Programme!H1676,Programme!I1676)</f>
        <v>&lt;cellule&gt;</v>
      </c>
    </row>
    <row r="1676" spans="1:1" x14ac:dyDescent="0.2">
      <c r="A1676" s="1135" t="str">
        <f>CONCATENATE(Programme!C1677,Programme!D1677,Programme!E1677,Programme!F1677,Programme!G1677,Programme!H1677,Programme!I1677)</f>
        <v>&lt;codeEdi&gt;13372&lt;/codeEdi&gt;</v>
      </c>
    </row>
    <row r="1677" spans="1:1" x14ac:dyDescent="0.2">
      <c r="A1677" s="1135" t="str">
        <f>CONCATENATE(Programme!C1678,Programme!D1678,Programme!E1678,Programme!F1678,Programme!G1678,Programme!H1678,Programme!I1678)</f>
        <v>&lt;/cellule&gt;</v>
      </c>
    </row>
    <row r="1678" spans="1:1" x14ac:dyDescent="0.2">
      <c r="A1678" s="1135" t="str">
        <f>CONCATENATE(Programme!C1679,Programme!D1679,Programme!E1679,Programme!F1679,Programme!G1679,Programme!H1679,Programme!I1679)</f>
        <v>&lt;valeur&gt;0&lt;/valeur&gt;</v>
      </c>
    </row>
    <row r="1679" spans="1:1" x14ac:dyDescent="0.2">
      <c r="A1679" s="1135" t="str">
        <f>CONCATENATE(Programme!C1680,Programme!D1680,Programme!E1680,Programme!F1680,Programme!G1680,Programme!H1680,Programme!I1680)</f>
        <v>&lt;/ValeurCellule&gt;</v>
      </c>
    </row>
    <row r="1680" spans="1:1" x14ac:dyDescent="0.2">
      <c r="A1680" s="1135" t="str">
        <f>CONCATENATE(Programme!C1681,Programme!D1681,Programme!E1681,Programme!F1681,Programme!G1681,Programme!H1681,Programme!I1681)</f>
        <v>&lt;ValeurCellule&gt;</v>
      </c>
    </row>
    <row r="1681" spans="1:1" x14ac:dyDescent="0.2">
      <c r="A1681" s="1135" t="str">
        <f>CONCATENATE(Programme!C1682,Programme!D1682,Programme!E1682,Programme!F1682,Programme!G1682,Programme!H1682,Programme!I1682)</f>
        <v>&lt;cellule&gt;</v>
      </c>
    </row>
    <row r="1682" spans="1:1" x14ac:dyDescent="0.2">
      <c r="A1682" s="1135" t="str">
        <f>CONCATENATE(Programme!C1683,Programme!D1683,Programme!E1683,Programme!F1683,Programme!G1683,Programme!H1683,Programme!I1683)</f>
        <v>&lt;codeEdi&gt;13449&lt;/codeEdi&gt;</v>
      </c>
    </row>
    <row r="1683" spans="1:1" x14ac:dyDescent="0.2">
      <c r="A1683" s="1135" t="str">
        <f>CONCATENATE(Programme!C1684,Programme!D1684,Programme!E1684,Programme!F1684,Programme!G1684,Programme!H1684,Programme!I1684)</f>
        <v>&lt;/cellule&gt;</v>
      </c>
    </row>
    <row r="1684" spans="1:1" x14ac:dyDescent="0.2">
      <c r="A1684" s="1135" t="str">
        <f>CONCATENATE(Programme!C1685,Programme!D1685,Programme!E1685,Programme!F1685,Programme!G1685,Programme!H1685,Programme!I1685)</f>
        <v>&lt;valeur&gt;0&lt;/valeur&gt;</v>
      </c>
    </row>
    <row r="1685" spans="1:1" x14ac:dyDescent="0.2">
      <c r="A1685" s="1135" t="str">
        <f>CONCATENATE(Programme!C1686,Programme!D1686,Programme!E1686,Programme!F1686,Programme!G1686,Programme!H1686,Programme!I1686)</f>
        <v>&lt;/ValeurCellule&gt;</v>
      </c>
    </row>
    <row r="1686" spans="1:1" x14ac:dyDescent="0.2">
      <c r="A1686" s="1135" t="str">
        <f>CONCATENATE(Programme!C1687,Programme!D1687,Programme!E1687,Programme!F1687,Programme!G1687,Programme!H1687,Programme!I1687)</f>
        <v>&lt;ValeurCellule&gt;</v>
      </c>
    </row>
    <row r="1687" spans="1:1" x14ac:dyDescent="0.2">
      <c r="A1687" s="1135" t="str">
        <f>CONCATENATE(Programme!C1688,Programme!D1688,Programme!E1688,Programme!F1688,Programme!G1688,Programme!H1688,Programme!I1688)</f>
        <v>&lt;cellule&gt;</v>
      </c>
    </row>
    <row r="1688" spans="1:1" x14ac:dyDescent="0.2">
      <c r="A1688" s="1135" t="str">
        <f>CONCATENATE(Programme!C1689,Programme!D1689,Programme!E1689,Programme!F1689,Programme!G1689,Programme!H1689,Programme!I1689)</f>
        <v>&lt;codeEdi&gt;13450&lt;/codeEdi&gt;</v>
      </c>
    </row>
    <row r="1689" spans="1:1" x14ac:dyDescent="0.2">
      <c r="A1689" s="1135" t="str">
        <f>CONCATENATE(Programme!C1690,Programme!D1690,Programme!E1690,Programme!F1690,Programme!G1690,Programme!H1690,Programme!I1690)</f>
        <v>&lt;/cellule&gt;</v>
      </c>
    </row>
    <row r="1690" spans="1:1" x14ac:dyDescent="0.2">
      <c r="A1690" s="1135" t="str">
        <f>CONCATENATE(Programme!C1691,Programme!D1691,Programme!E1691,Programme!F1691,Programme!G1691,Programme!H1691,Programme!I1691)</f>
        <v>&lt;valeur&gt;0&lt;/valeur&gt;</v>
      </c>
    </row>
    <row r="1691" spans="1:1" x14ac:dyDescent="0.2">
      <c r="A1691" s="1135" t="str">
        <f>CONCATENATE(Programme!C1692,Programme!D1692,Programme!E1692,Programme!F1692,Programme!G1692,Programme!H1692,Programme!I1692)</f>
        <v>&lt;/ValeurCellule&gt;</v>
      </c>
    </row>
    <row r="1692" spans="1:1" x14ac:dyDescent="0.2">
      <c r="A1692" s="1135" t="str">
        <f>CONCATENATE(Programme!C1693,Programme!D1693,Programme!E1693,Programme!F1693,Programme!G1693,Programme!H1693,Programme!I1693)</f>
        <v>&lt;ValeurCellule&gt;</v>
      </c>
    </row>
    <row r="1693" spans="1:1" x14ac:dyDescent="0.2">
      <c r="A1693" s="1135" t="str">
        <f>CONCATENATE(Programme!C1694,Programme!D1694,Programme!E1694,Programme!F1694,Programme!G1694,Programme!H1694,Programme!I1694)</f>
        <v>&lt;cellule&gt;</v>
      </c>
    </row>
    <row r="1694" spans="1:1" x14ac:dyDescent="0.2">
      <c r="A1694" s="1135" t="str">
        <f>CONCATENATE(Programme!C1695,Programme!D1695,Programme!E1695,Programme!F1695,Programme!G1695,Programme!H1695,Programme!I1695)</f>
        <v>&lt;codeEdi&gt;13451&lt;/codeEdi&gt;</v>
      </c>
    </row>
    <row r="1695" spans="1:1" x14ac:dyDescent="0.2">
      <c r="A1695" s="1135" t="str">
        <f>CONCATENATE(Programme!C1696,Programme!D1696,Programme!E1696,Programme!F1696,Programme!G1696,Programme!H1696,Programme!I1696)</f>
        <v>&lt;/cellule&gt;</v>
      </c>
    </row>
    <row r="1696" spans="1:1" x14ac:dyDescent="0.2">
      <c r="A1696" s="1135" t="str">
        <f>CONCATENATE(Programme!C1697,Programme!D1697,Programme!E1697,Programme!F1697,Programme!G1697,Programme!H1697,Programme!I1697)</f>
        <v>&lt;valeur&gt;0&lt;/valeur&gt;</v>
      </c>
    </row>
    <row r="1697" spans="1:1" x14ac:dyDescent="0.2">
      <c r="A1697" s="1135" t="str">
        <f>CONCATENATE(Programme!C1698,Programme!D1698,Programme!E1698,Programme!F1698,Programme!G1698,Programme!H1698,Programme!I1698)</f>
        <v>&lt;/ValeurCellule&gt;</v>
      </c>
    </row>
    <row r="1698" spans="1:1" x14ac:dyDescent="0.2">
      <c r="A1698" s="1135" t="str">
        <f>CONCATENATE(Programme!C1699,Programme!D1699,Programme!E1699,Programme!F1699,Programme!G1699,Programme!H1699,Programme!I1699)</f>
        <v>&lt;ValeurCellule&gt;</v>
      </c>
    </row>
    <row r="1699" spans="1:1" x14ac:dyDescent="0.2">
      <c r="A1699" s="1135" t="str">
        <f>CONCATENATE(Programme!C1700,Programme!D1700,Programme!E1700,Programme!F1700,Programme!G1700,Programme!H1700,Programme!I1700)</f>
        <v>&lt;cellule&gt;</v>
      </c>
    </row>
    <row r="1700" spans="1:1" x14ac:dyDescent="0.2">
      <c r="A1700" s="1135" t="str">
        <f>CONCATENATE(Programme!C1701,Programme!D1701,Programme!E1701,Programme!F1701,Programme!G1701,Programme!H1701,Programme!I1701)</f>
        <v>&lt;codeEdi&gt;13369&lt;/codeEdi&gt;</v>
      </c>
    </row>
    <row r="1701" spans="1:1" x14ac:dyDescent="0.2">
      <c r="A1701" s="1135" t="str">
        <f>CONCATENATE(Programme!C1702,Programme!D1702,Programme!E1702,Programme!F1702,Programme!G1702,Programme!H1702,Programme!I1702)</f>
        <v>&lt;/cellule&gt;</v>
      </c>
    </row>
    <row r="1702" spans="1:1" x14ac:dyDescent="0.2">
      <c r="A1702" s="1135" t="str">
        <f>CONCATENATE(Programme!C1703,Programme!D1703,Programme!E1703,Programme!F1703,Programme!G1703,Programme!H1703,Programme!I1703)</f>
        <v>&lt;valeur&gt;0&lt;/valeur&gt;</v>
      </c>
    </row>
    <row r="1703" spans="1:1" x14ac:dyDescent="0.2">
      <c r="A1703" s="1135" t="str">
        <f>CONCATENATE(Programme!C1704,Programme!D1704,Programme!E1704,Programme!F1704,Programme!G1704,Programme!H1704,Programme!I1704)</f>
        <v>&lt;/ValeurCellule&gt;</v>
      </c>
    </row>
    <row r="1704" spans="1:1" x14ac:dyDescent="0.2">
      <c r="A1704" s="1135" t="str">
        <f>CONCATENATE(Programme!C1705,Programme!D1705,Programme!E1705,Programme!F1705,Programme!G1705,Programme!H1705,Programme!I1705)</f>
        <v>&lt;ValeurCellule&gt;</v>
      </c>
    </row>
    <row r="1705" spans="1:1" x14ac:dyDescent="0.2">
      <c r="A1705" s="1135" t="str">
        <f>CONCATENATE(Programme!C1706,Programme!D1706,Programme!E1706,Programme!F1706,Programme!G1706,Programme!H1706,Programme!I1706)</f>
        <v>&lt;cellule&gt;</v>
      </c>
    </row>
    <row r="1706" spans="1:1" x14ac:dyDescent="0.2">
      <c r="A1706" s="1135" t="str">
        <f>CONCATENATE(Programme!C1707,Programme!D1707,Programme!E1707,Programme!F1707,Programme!G1707,Programme!H1707,Programme!I1707)</f>
        <v>&lt;codeEdi&gt;13452&lt;/codeEdi&gt;</v>
      </c>
    </row>
    <row r="1707" spans="1:1" x14ac:dyDescent="0.2">
      <c r="A1707" s="1135" t="str">
        <f>CONCATENATE(Programme!C1708,Programme!D1708,Programme!E1708,Programme!F1708,Programme!G1708,Programme!H1708,Programme!I1708)</f>
        <v>&lt;/cellule&gt;</v>
      </c>
    </row>
    <row r="1708" spans="1:1" x14ac:dyDescent="0.2">
      <c r="A1708" s="1135" t="str">
        <f>CONCATENATE(Programme!C1709,Programme!D1709,Programme!E1709,Programme!F1709,Programme!G1709,Programme!H1709,Programme!I1709)</f>
        <v>&lt;valeur&gt;0&lt;/valeur&gt;</v>
      </c>
    </row>
    <row r="1709" spans="1:1" x14ac:dyDescent="0.2">
      <c r="A1709" s="1135" t="str">
        <f>CONCATENATE(Programme!C1710,Programme!D1710,Programme!E1710,Programme!F1710,Programme!G1710,Programme!H1710,Programme!I1710)</f>
        <v>&lt;/ValeurCellule&gt;</v>
      </c>
    </row>
    <row r="1710" spans="1:1" x14ac:dyDescent="0.2">
      <c r="A1710" s="1135" t="str">
        <f>CONCATENATE(Programme!C1711,Programme!D1711,Programme!E1711,Programme!F1711,Programme!G1711,Programme!H1711,Programme!I1711)</f>
        <v>&lt;ValeurCellule&gt;</v>
      </c>
    </row>
    <row r="1711" spans="1:1" x14ac:dyDescent="0.2">
      <c r="A1711" s="1135" t="str">
        <f>CONCATENATE(Programme!C1712,Programme!D1712,Programme!E1712,Programme!F1712,Programme!G1712,Programme!H1712,Programme!I1712)</f>
        <v>&lt;cellule&gt;</v>
      </c>
    </row>
    <row r="1712" spans="1:1" x14ac:dyDescent="0.2">
      <c r="A1712" s="1135" t="str">
        <f>CONCATENATE(Programme!C1713,Programme!D1713,Programme!E1713,Programme!F1713,Programme!G1713,Programme!H1713,Programme!I1713)</f>
        <v>&lt;codeEdi&gt;13368&lt;/codeEdi&gt;</v>
      </c>
    </row>
    <row r="1713" spans="1:1" x14ac:dyDescent="0.2">
      <c r="A1713" s="1135" t="str">
        <f>CONCATENATE(Programme!C1714,Programme!D1714,Programme!E1714,Programme!F1714,Programme!G1714,Programme!H1714,Programme!I1714)</f>
        <v>&lt;/cellule&gt;</v>
      </c>
    </row>
    <row r="1714" spans="1:1" x14ac:dyDescent="0.2">
      <c r="A1714" s="1135" t="str">
        <f>CONCATENATE(Programme!C1715,Programme!D1715,Programme!E1715,Programme!F1715,Programme!G1715,Programme!H1715,Programme!I1715)</f>
        <v>&lt;valeur&gt;1729282,71&lt;/valeur&gt;</v>
      </c>
    </row>
    <row r="1715" spans="1:1" x14ac:dyDescent="0.2">
      <c r="A1715" s="1135" t="str">
        <f>CONCATENATE(Programme!C1716,Programme!D1716,Programme!E1716,Programme!F1716,Programme!G1716,Programme!H1716,Programme!I1716)</f>
        <v>&lt;/ValeurCellule&gt;</v>
      </c>
    </row>
    <row r="1716" spans="1:1" x14ac:dyDescent="0.2">
      <c r="A1716" s="1135" t="str">
        <f>CONCATENATE(Programme!C1717,Programme!D1717,Programme!E1717,Programme!F1717,Programme!G1717,Programme!H1717,Programme!I1717)</f>
        <v>&lt;ValeurCellule&gt;</v>
      </c>
    </row>
    <row r="1717" spans="1:1" x14ac:dyDescent="0.2">
      <c r="A1717" s="1135" t="str">
        <f>CONCATENATE(Programme!C1718,Programme!D1718,Programme!E1718,Programme!F1718,Programme!G1718,Programme!H1718,Programme!I1718)</f>
        <v>&lt;cellule&gt;</v>
      </c>
    </row>
    <row r="1718" spans="1:1" x14ac:dyDescent="0.2">
      <c r="A1718" s="1135" t="str">
        <f>CONCATENATE(Programme!C1719,Programme!D1719,Programme!E1719,Programme!F1719,Programme!G1719,Programme!H1719,Programme!I1719)</f>
        <v>&lt;codeEdi&gt;13453&lt;/codeEdi&gt;</v>
      </c>
    </row>
    <row r="1719" spans="1:1" x14ac:dyDescent="0.2">
      <c r="A1719" s="1135" t="str">
        <f>CONCATENATE(Programme!C1720,Programme!D1720,Programme!E1720,Programme!F1720,Programme!G1720,Programme!H1720,Programme!I1720)</f>
        <v>&lt;/cellule&gt;</v>
      </c>
    </row>
    <row r="1720" spans="1:1" x14ac:dyDescent="0.2">
      <c r="A1720" s="1135" t="str">
        <f>CONCATENATE(Programme!C1721,Programme!D1721,Programme!E1721,Programme!F1721,Programme!G1721,Programme!H1721,Programme!I1721)</f>
        <v>&lt;valeur&gt;316085,83&lt;/valeur&gt;</v>
      </c>
    </row>
    <row r="1721" spans="1:1" x14ac:dyDescent="0.2">
      <c r="A1721" s="1135" t="str">
        <f>CONCATENATE(Programme!C1722,Programme!D1722,Programme!E1722,Programme!F1722,Programme!G1722,Programme!H1722,Programme!I1722)</f>
        <v>&lt;/ValeurCellule&gt;</v>
      </c>
    </row>
    <row r="1722" spans="1:1" x14ac:dyDescent="0.2">
      <c r="A1722" s="1135" t="str">
        <f>CONCATENATE(Programme!C1723,Programme!D1723,Programme!E1723,Programme!F1723,Programme!G1723,Programme!H1723,Programme!I1723)</f>
        <v>&lt;/groupeValeurs&gt;</v>
      </c>
    </row>
    <row r="1723" spans="1:1" x14ac:dyDescent="0.2">
      <c r="A1723" s="1135" t="str">
        <f>CONCATENATE(Programme!C1724,Programme!D1724,Programme!E1724,Programme!F1724,Programme!G1724,Programme!H1724,Programme!I1724)</f>
        <v>&lt;extraFieldvaleurs&gt;</v>
      </c>
    </row>
    <row r="1724" spans="1:1" x14ac:dyDescent="0.2">
      <c r="A1724" s="1135" t="str">
        <f>CONCATENATE(Programme!C1725,Programme!D1725,Programme!E1725,Programme!F1725,Programme!G1725,Programme!H1725,Programme!I1725)</f>
        <v>&lt;/extraFieldvaleurs&gt;</v>
      </c>
    </row>
    <row r="1725" spans="1:1" x14ac:dyDescent="0.2">
      <c r="A1725" s="1135" t="str">
        <f>CONCATENATE(Programme!C1726,Programme!D1726,Programme!E1726,Programme!F1726,Programme!G1726,Programme!H1726,Programme!I1726)</f>
        <v>&lt;/ValeursTableau&gt;</v>
      </c>
    </row>
    <row r="1726" spans="1:1" x14ac:dyDescent="0.2">
      <c r="A1726" s="1135" t="str">
        <f>CONCATENATE(Programme!C1727,Programme!D1727,Programme!E1727,Programme!F1727,Programme!G1727,Programme!H1727,Programme!I1727)</f>
        <v>&lt;ValeursTableau&gt;</v>
      </c>
    </row>
    <row r="1727" spans="1:1" x14ac:dyDescent="0.2">
      <c r="A1727" s="1135" t="str">
        <f>CONCATENATE(Programme!C1728,Programme!D1728,Programme!E1728,Programme!F1728,Programme!G1728,Programme!H1728,Programme!I1728)</f>
        <v>&lt;tableau&gt;&lt;id&gt;6&lt;/id&gt;&lt;/tableau&gt;</v>
      </c>
    </row>
    <row r="1728" spans="1:1" x14ac:dyDescent="0.2">
      <c r="A1728" s="1135" t="str">
        <f>CONCATENATE(Programme!C1729,Programme!D1729,Programme!E1729,Programme!F1729,Programme!G1729,Programme!H1729,Programme!I1729)</f>
        <v>&lt;groupeValeurs&gt;</v>
      </c>
    </row>
    <row r="1729" spans="1:1" x14ac:dyDescent="0.2">
      <c r="A1729" s="1135" t="str">
        <f>CONCATENATE(Programme!C1730,Programme!D1730,Programme!E1730,Programme!F1730,Programme!G1730,Programme!H1730,Programme!I1730)</f>
        <v>&lt;ValeurCellule&gt;</v>
      </c>
    </row>
    <row r="1730" spans="1:1" x14ac:dyDescent="0.2">
      <c r="A1730" s="1135" t="str">
        <f>CONCATENATE(Programme!C1731,Programme!D1731,Programme!E1731,Programme!F1731,Programme!G1731,Programme!H1731,Programme!I1731)</f>
        <v>&lt;cellule&gt;</v>
      </c>
    </row>
    <row r="1731" spans="1:1" x14ac:dyDescent="0.2">
      <c r="A1731" s="1135" t="str">
        <f>CONCATENATE(Programme!C1732,Programme!D1732,Programme!E1732,Programme!F1732,Programme!G1732,Programme!H1732,Programme!I1732)</f>
        <v>&lt;codeEdi&gt;11206&lt;/codeEdi&gt;</v>
      </c>
    </row>
    <row r="1732" spans="1:1" x14ac:dyDescent="0.2">
      <c r="A1732" s="1135" t="str">
        <f>CONCATENATE(Programme!C1733,Programme!D1733,Programme!E1733,Programme!F1733,Programme!G1733,Programme!H1733,Programme!I1733)</f>
        <v>&lt;/cellule&gt;</v>
      </c>
    </row>
    <row r="1733" spans="1:1" x14ac:dyDescent="0.2">
      <c r="A1733" s="1135" t="str">
        <f>CONCATENATE(Programme!C1734,Programme!D1734,Programme!E1734,Programme!F1734,Programme!G1734,Programme!H1734,Programme!I1734)</f>
        <v>&lt;valeur&gt;0&lt;/valeur&gt;</v>
      </c>
    </row>
    <row r="1734" spans="1:1" x14ac:dyDescent="0.2">
      <c r="A1734" s="1135" t="str">
        <f>CONCATENATE(Programme!C1735,Programme!D1735,Programme!E1735,Programme!F1735,Programme!G1735,Programme!H1735,Programme!I1735)</f>
        <v>&lt;/ValeurCellule&gt;</v>
      </c>
    </row>
    <row r="1735" spans="1:1" x14ac:dyDescent="0.2">
      <c r="A1735" s="1135" t="str">
        <f>CONCATENATE(Programme!C1736,Programme!D1736,Programme!E1736,Programme!F1736,Programme!G1736,Programme!H1736,Programme!I1736)</f>
        <v>&lt;ValeurCellule&gt;</v>
      </c>
    </row>
    <row r="1736" spans="1:1" x14ac:dyDescent="0.2">
      <c r="A1736" s="1135" t="str">
        <f>CONCATENATE(Programme!C1737,Programme!D1737,Programme!E1737,Programme!F1737,Programme!G1737,Programme!H1737,Programme!I1737)</f>
        <v>&lt;cellule&gt;</v>
      </c>
    </row>
    <row r="1737" spans="1:1" x14ac:dyDescent="0.2">
      <c r="A1737" s="1135" t="str">
        <f>CONCATENATE(Programme!C1738,Programme!D1738,Programme!E1738,Programme!F1738,Programme!G1738,Programme!H1738,Programme!I1738)</f>
        <v>&lt;codeEdi&gt;11211&lt;/codeEdi&gt;</v>
      </c>
    </row>
    <row r="1738" spans="1:1" x14ac:dyDescent="0.2">
      <c r="A1738" s="1135" t="str">
        <f>CONCATENATE(Programme!C1739,Programme!D1739,Programme!E1739,Programme!F1739,Programme!G1739,Programme!H1739,Programme!I1739)</f>
        <v>&lt;/cellule&gt;</v>
      </c>
    </row>
    <row r="1739" spans="1:1" x14ac:dyDescent="0.2">
      <c r="A1739" s="1135" t="str">
        <f>CONCATENATE(Programme!C1740,Programme!D1740,Programme!E1740,Programme!F1740,Programme!G1740,Programme!H1740,Programme!I1740)</f>
        <v>&lt;valeur&gt;0&lt;/valeur&gt;</v>
      </c>
    </row>
    <row r="1740" spans="1:1" x14ac:dyDescent="0.2">
      <c r="A1740" s="1135" t="str">
        <f>CONCATENATE(Programme!C1741,Programme!D1741,Programme!E1741,Programme!F1741,Programme!G1741,Programme!H1741,Programme!I1741)</f>
        <v>&lt;/ValeurCellule&gt;</v>
      </c>
    </row>
    <row r="1741" spans="1:1" x14ac:dyDescent="0.2">
      <c r="A1741" s="1135" t="str">
        <f>CONCATENATE(Programme!C1742,Programme!D1742,Programme!E1742,Programme!F1742,Programme!G1742,Programme!H1742,Programme!I1742)</f>
        <v>&lt;ValeurCellule&gt;</v>
      </c>
    </row>
    <row r="1742" spans="1:1" x14ac:dyDescent="0.2">
      <c r="A1742" s="1135" t="str">
        <f>CONCATENATE(Programme!C1743,Programme!D1743,Programme!E1743,Programme!F1743,Programme!G1743,Programme!H1743,Programme!I1743)</f>
        <v>&lt;cellule&gt;</v>
      </c>
    </row>
    <row r="1743" spans="1:1" x14ac:dyDescent="0.2">
      <c r="A1743" s="1135" t="str">
        <f>CONCATENATE(Programme!C1744,Programme!D1744,Programme!E1744,Programme!F1744,Programme!G1744,Programme!H1744,Programme!I1744)</f>
        <v>&lt;codeEdi&gt;11216&lt;/codeEdi&gt;</v>
      </c>
    </row>
    <row r="1744" spans="1:1" x14ac:dyDescent="0.2">
      <c r="A1744" s="1135" t="str">
        <f>CONCATENATE(Programme!C1745,Programme!D1745,Programme!E1745,Programme!F1745,Programme!G1745,Programme!H1745,Programme!I1745)</f>
        <v>&lt;/cellule&gt;</v>
      </c>
    </row>
    <row r="1745" spans="1:1" x14ac:dyDescent="0.2">
      <c r="A1745" s="1135" t="str">
        <f>CONCATENATE(Programme!C1746,Programme!D1746,Programme!E1746,Programme!F1746,Programme!G1746,Programme!H1746,Programme!I1746)</f>
        <v>&lt;valeur&gt;381666,67&lt;/valeur&gt;</v>
      </c>
    </row>
    <row r="1746" spans="1:1" x14ac:dyDescent="0.2">
      <c r="A1746" s="1135" t="str">
        <f>CONCATENATE(Programme!C1747,Programme!D1747,Programme!E1747,Programme!F1747,Programme!G1747,Programme!H1747,Programme!I1747)</f>
        <v>&lt;/ValeurCellule&gt;</v>
      </c>
    </row>
    <row r="1747" spans="1:1" x14ac:dyDescent="0.2">
      <c r="A1747" s="1135" t="str">
        <f>CONCATENATE(Programme!C1748,Programme!D1748,Programme!E1748,Programme!F1748,Programme!G1748,Programme!H1748,Programme!I1748)</f>
        <v>&lt;ValeurCellule&gt;</v>
      </c>
    </row>
    <row r="1748" spans="1:1" x14ac:dyDescent="0.2">
      <c r="A1748" s="1135" t="str">
        <f>CONCATENATE(Programme!C1749,Programme!D1749,Programme!E1749,Programme!F1749,Programme!G1749,Programme!H1749,Programme!I1749)</f>
        <v>&lt;cellule&gt;</v>
      </c>
    </row>
    <row r="1749" spans="1:1" x14ac:dyDescent="0.2">
      <c r="A1749" s="1135" t="str">
        <f>CONCATENATE(Programme!C1750,Programme!D1750,Programme!E1750,Programme!F1750,Programme!G1750,Programme!H1750,Programme!I1750)</f>
        <v>&lt;codeEdi&gt;11221&lt;/codeEdi&gt;</v>
      </c>
    </row>
    <row r="1750" spans="1:1" x14ac:dyDescent="0.2">
      <c r="A1750" s="1135" t="str">
        <f>CONCATENATE(Programme!C1751,Programme!D1751,Programme!E1751,Programme!F1751,Programme!G1751,Programme!H1751,Programme!I1751)</f>
        <v>&lt;/cellule&gt;</v>
      </c>
    </row>
    <row r="1751" spans="1:1" x14ac:dyDescent="0.2">
      <c r="A1751" s="1135" t="str">
        <f>CONCATENATE(Programme!C1752,Programme!D1752,Programme!E1752,Programme!F1752,Programme!G1752,Programme!H1752,Programme!I1752)</f>
        <v>&lt;valeur&gt;0&lt;/valeur&gt;</v>
      </c>
    </row>
    <row r="1752" spans="1:1" x14ac:dyDescent="0.2">
      <c r="A1752" s="1135" t="str">
        <f>CONCATENATE(Programme!C1753,Programme!D1753,Programme!E1753,Programme!F1753,Programme!G1753,Programme!H1753,Programme!I1753)</f>
        <v>&lt;/ValeurCellule&gt;</v>
      </c>
    </row>
    <row r="1753" spans="1:1" x14ac:dyDescent="0.2">
      <c r="A1753" s="1135" t="str">
        <f>CONCATENATE(Programme!C1754,Programme!D1754,Programme!E1754,Programme!F1754,Programme!G1754,Programme!H1754,Programme!I1754)</f>
        <v>&lt;ValeurCellule&gt;</v>
      </c>
    </row>
    <row r="1754" spans="1:1" x14ac:dyDescent="0.2">
      <c r="A1754" s="1135" t="str">
        <f>CONCATENATE(Programme!C1755,Programme!D1755,Programme!E1755,Programme!F1755,Programme!G1755,Programme!H1755,Programme!I1755)</f>
        <v>&lt;cellule&gt;</v>
      </c>
    </row>
    <row r="1755" spans="1:1" x14ac:dyDescent="0.2">
      <c r="A1755" s="1135" t="str">
        <f>CONCATENATE(Programme!C1756,Programme!D1756,Programme!E1756,Programme!F1756,Programme!G1756,Programme!H1756,Programme!I1756)</f>
        <v>&lt;codeEdi&gt;11226&lt;/codeEdi&gt;</v>
      </c>
    </row>
    <row r="1756" spans="1:1" x14ac:dyDescent="0.2">
      <c r="A1756" s="1135" t="str">
        <f>CONCATENATE(Programme!C1757,Programme!D1757,Programme!E1757,Programme!F1757,Programme!G1757,Programme!H1757,Programme!I1757)</f>
        <v>&lt;/cellule&gt;</v>
      </c>
    </row>
    <row r="1757" spans="1:1" x14ac:dyDescent="0.2">
      <c r="A1757" s="1135" t="str">
        <f>CONCATENATE(Programme!C1758,Programme!D1758,Programme!E1758,Programme!F1758,Programme!G1758,Programme!H1758,Programme!I1758)</f>
        <v>&lt;valeur&gt;313873,12&lt;/valeur&gt;</v>
      </c>
    </row>
    <row r="1758" spans="1:1" x14ac:dyDescent="0.2">
      <c r="A1758" s="1135" t="str">
        <f>CONCATENATE(Programme!C1759,Programme!D1759,Programme!E1759,Programme!F1759,Programme!G1759,Programme!H1759,Programme!I1759)</f>
        <v>&lt;/ValeurCellule&gt;</v>
      </c>
    </row>
    <row r="1759" spans="1:1" x14ac:dyDescent="0.2">
      <c r="A1759" s="1135" t="str">
        <f>CONCATENATE(Programme!C1760,Programme!D1760,Programme!E1760,Programme!F1760,Programme!G1760,Programme!H1760,Programme!I1760)</f>
        <v>&lt;ValeurCellule&gt;</v>
      </c>
    </row>
    <row r="1760" spans="1:1" x14ac:dyDescent="0.2">
      <c r="A1760" s="1135" t="str">
        <f>CONCATENATE(Programme!C1761,Programme!D1761,Programme!E1761,Programme!F1761,Programme!G1761,Programme!H1761,Programme!I1761)</f>
        <v>&lt;cellule&gt;</v>
      </c>
    </row>
    <row r="1761" spans="1:1" x14ac:dyDescent="0.2">
      <c r="A1761" s="1135" t="str">
        <f>CONCATENATE(Programme!C1762,Programme!D1762,Programme!E1762,Programme!F1762,Programme!G1762,Programme!H1762,Programme!I1762)</f>
        <v>&lt;codeEdi&gt;11231&lt;/codeEdi&gt;</v>
      </c>
    </row>
    <row r="1762" spans="1:1" x14ac:dyDescent="0.2">
      <c r="A1762" s="1135" t="str">
        <f>CONCATENATE(Programme!C1763,Programme!D1763,Programme!E1763,Programme!F1763,Programme!G1763,Programme!H1763,Programme!I1763)</f>
        <v>&lt;/cellule&gt;</v>
      </c>
    </row>
    <row r="1763" spans="1:1" x14ac:dyDescent="0.2">
      <c r="A1763" s="1135" t="str">
        <f>CONCATENATE(Programme!C1764,Programme!D1764,Programme!E1764,Programme!F1764,Programme!G1764,Programme!H1764,Programme!I1764)</f>
        <v>&lt;valeur&gt;67793,55&lt;/valeur&gt;</v>
      </c>
    </row>
    <row r="1764" spans="1:1" x14ac:dyDescent="0.2">
      <c r="A1764" s="1135" t="str">
        <f>CONCATENATE(Programme!C1765,Programme!D1765,Programme!E1765,Programme!F1765,Programme!G1765,Programme!H1765,Programme!I1765)</f>
        <v>&lt;/ValeurCellule&gt;</v>
      </c>
    </row>
    <row r="1765" spans="1:1" x14ac:dyDescent="0.2">
      <c r="A1765" s="1135" t="str">
        <f>CONCATENATE(Programme!C1766,Programme!D1766,Programme!E1766,Programme!F1766,Programme!G1766,Programme!H1766,Programme!I1766)</f>
        <v>&lt;ValeurCellule&gt;</v>
      </c>
    </row>
    <row r="1766" spans="1:1" x14ac:dyDescent="0.2">
      <c r="A1766" s="1135" t="str">
        <f>CONCATENATE(Programme!C1767,Programme!D1767,Programme!E1767,Programme!F1767,Programme!G1767,Programme!H1767,Programme!I1767)</f>
        <v>&lt;cellule&gt;</v>
      </c>
    </row>
    <row r="1767" spans="1:1" x14ac:dyDescent="0.2">
      <c r="A1767" s="1135" t="str">
        <f>CONCATENATE(Programme!C1768,Programme!D1768,Programme!E1768,Programme!F1768,Programme!G1768,Programme!H1768,Programme!I1768)</f>
        <v>&lt;codeEdi&gt;11176&lt;/codeEdi&gt;</v>
      </c>
    </row>
    <row r="1768" spans="1:1" x14ac:dyDescent="0.2">
      <c r="A1768" s="1135" t="str">
        <f>CONCATENATE(Programme!C1769,Programme!D1769,Programme!E1769,Programme!F1769,Programme!G1769,Programme!H1769,Programme!I1769)</f>
        <v>&lt;/cellule&gt;</v>
      </c>
    </row>
    <row r="1769" spans="1:1" x14ac:dyDescent="0.2">
      <c r="A1769" s="1135" t="str">
        <f>CONCATENATE(Programme!C1770,Programme!D1770,Programme!E1770,Programme!F1770,Programme!G1770,Programme!H1770,Programme!I1770)</f>
        <v>&lt;valeur&gt;381666,67&lt;/valeur&gt;</v>
      </c>
    </row>
    <row r="1770" spans="1:1" x14ac:dyDescent="0.2">
      <c r="A1770" s="1135" t="str">
        <f>CONCATENATE(Programme!C1771,Programme!D1771,Programme!E1771,Programme!F1771,Programme!G1771,Programme!H1771,Programme!I1771)</f>
        <v>&lt;/ValeurCellule&gt;</v>
      </c>
    </row>
    <row r="1771" spans="1:1" x14ac:dyDescent="0.2">
      <c r="A1771" s="1135" t="str">
        <f>CONCATENATE(Programme!C1772,Programme!D1772,Programme!E1772,Programme!F1772,Programme!G1772,Programme!H1772,Programme!I1772)</f>
        <v>&lt;ValeurCellule&gt;</v>
      </c>
    </row>
    <row r="1772" spans="1:1" x14ac:dyDescent="0.2">
      <c r="A1772" s="1135" t="str">
        <f>CONCATENATE(Programme!C1773,Programme!D1773,Programme!E1773,Programme!F1773,Programme!G1773,Programme!H1773,Programme!I1773)</f>
        <v>&lt;cellule&gt;</v>
      </c>
    </row>
    <row r="1773" spans="1:1" x14ac:dyDescent="0.2">
      <c r="A1773" s="1135" t="str">
        <f>CONCATENATE(Programme!C1774,Programme!D1774,Programme!E1774,Programme!F1774,Programme!G1774,Programme!H1774,Programme!I1774)</f>
        <v>&lt;codeEdi&gt;11181&lt;/codeEdi&gt;</v>
      </c>
    </row>
    <row r="1774" spans="1:1" x14ac:dyDescent="0.2">
      <c r="A1774" s="1135" t="str">
        <f>CONCATENATE(Programme!C1775,Programme!D1775,Programme!E1775,Programme!F1775,Programme!G1775,Programme!H1775,Programme!I1775)</f>
        <v>&lt;/cellule&gt;</v>
      </c>
    </row>
    <row r="1775" spans="1:1" x14ac:dyDescent="0.2">
      <c r="A1775" s="1135" t="str">
        <f>CONCATENATE(Programme!C1776,Programme!D1776,Programme!E1776,Programme!F1776,Programme!G1776,Programme!H1776,Programme!I1776)</f>
        <v>&lt;valeur&gt;0&lt;/valeur&gt;</v>
      </c>
    </row>
    <row r="1776" spans="1:1" x14ac:dyDescent="0.2">
      <c r="A1776" s="1135" t="str">
        <f>CONCATENATE(Programme!C1777,Programme!D1777,Programme!E1777,Programme!F1777,Programme!G1777,Programme!H1777,Programme!I1777)</f>
        <v>&lt;/ValeurCellule&gt;</v>
      </c>
    </row>
    <row r="1777" spans="1:1" x14ac:dyDescent="0.2">
      <c r="A1777" s="1135" t="str">
        <f>CONCATENATE(Programme!C1778,Programme!D1778,Programme!E1778,Programme!F1778,Programme!G1778,Programme!H1778,Programme!I1778)</f>
        <v>&lt;ValeurCellule&gt;</v>
      </c>
    </row>
    <row r="1778" spans="1:1" x14ac:dyDescent="0.2">
      <c r="A1778" s="1135" t="str">
        <f>CONCATENATE(Programme!C1779,Programme!D1779,Programme!E1779,Programme!F1779,Programme!G1779,Programme!H1779,Programme!I1779)</f>
        <v>&lt;cellule&gt;</v>
      </c>
    </row>
    <row r="1779" spans="1:1" x14ac:dyDescent="0.2">
      <c r="A1779" s="1135" t="str">
        <f>CONCATENATE(Programme!C1780,Programme!D1780,Programme!E1780,Programme!F1780,Programme!G1780,Programme!H1780,Programme!I1780)</f>
        <v>&lt;codeEdi&gt;11186&lt;/codeEdi&gt;</v>
      </c>
    </row>
    <row r="1780" spans="1:1" x14ac:dyDescent="0.2">
      <c r="A1780" s="1135" t="str">
        <f>CONCATENATE(Programme!C1781,Programme!D1781,Programme!E1781,Programme!F1781,Programme!G1781,Programme!H1781,Programme!I1781)</f>
        <v>&lt;/cellule&gt;</v>
      </c>
    </row>
    <row r="1781" spans="1:1" x14ac:dyDescent="0.2">
      <c r="A1781" s="1135" t="str">
        <f>CONCATENATE(Programme!C1782,Programme!D1782,Programme!E1782,Programme!F1782,Programme!G1782,Programme!H1782,Programme!I1782)</f>
        <v>&lt;valeur&gt;381666,67&lt;/valeur&gt;</v>
      </c>
    </row>
    <row r="1782" spans="1:1" x14ac:dyDescent="0.2">
      <c r="A1782" s="1135" t="str">
        <f>CONCATENATE(Programme!C1783,Programme!D1783,Programme!E1783,Programme!F1783,Programme!G1783,Programme!H1783,Programme!I1783)</f>
        <v>&lt;/ValeurCellule&gt;</v>
      </c>
    </row>
    <row r="1783" spans="1:1" x14ac:dyDescent="0.2">
      <c r="A1783" s="1135" t="str">
        <f>CONCATENATE(Programme!C1784,Programme!D1784,Programme!E1784,Programme!F1784,Programme!G1784,Programme!H1784,Programme!I1784)</f>
        <v>&lt;ValeurCellule&gt;</v>
      </c>
    </row>
    <row r="1784" spans="1:1" x14ac:dyDescent="0.2">
      <c r="A1784" s="1135" t="str">
        <f>CONCATENATE(Programme!C1785,Programme!D1785,Programme!E1785,Programme!F1785,Programme!G1785,Programme!H1785,Programme!I1785)</f>
        <v>&lt;cellule&gt;</v>
      </c>
    </row>
    <row r="1785" spans="1:1" x14ac:dyDescent="0.2">
      <c r="A1785" s="1135" t="str">
        <f>CONCATENATE(Programme!C1786,Programme!D1786,Programme!E1786,Programme!F1786,Programme!G1786,Programme!H1786,Programme!I1786)</f>
        <v>&lt;codeEdi&gt;11191&lt;/codeEdi&gt;</v>
      </c>
    </row>
    <row r="1786" spans="1:1" x14ac:dyDescent="0.2">
      <c r="A1786" s="1135" t="str">
        <f>CONCATENATE(Programme!C1787,Programme!D1787,Programme!E1787,Programme!F1787,Programme!G1787,Programme!H1787,Programme!I1787)</f>
        <v>&lt;/cellule&gt;</v>
      </c>
    </row>
    <row r="1787" spans="1:1" x14ac:dyDescent="0.2">
      <c r="A1787" s="1135" t="str">
        <f>CONCATENATE(Programme!C1788,Programme!D1788,Programme!E1788,Programme!F1788,Programme!G1788,Programme!H1788,Programme!I1788)</f>
        <v>&lt;valeur&gt;0&lt;/valeur&gt;</v>
      </c>
    </row>
    <row r="1788" spans="1:1" x14ac:dyDescent="0.2">
      <c r="A1788" s="1135" t="str">
        <f>CONCATENATE(Programme!C1789,Programme!D1789,Programme!E1789,Programme!F1789,Programme!G1789,Programme!H1789,Programme!I1789)</f>
        <v>&lt;/ValeurCellule&gt;</v>
      </c>
    </row>
    <row r="1789" spans="1:1" x14ac:dyDescent="0.2">
      <c r="A1789" s="1135" t="str">
        <f>CONCATENATE(Programme!C1790,Programme!D1790,Programme!E1790,Programme!F1790,Programme!G1790,Programme!H1790,Programme!I1790)</f>
        <v>&lt;ValeurCellule&gt;</v>
      </c>
    </row>
    <row r="1790" spans="1:1" x14ac:dyDescent="0.2">
      <c r="A1790" s="1135" t="str">
        <f>CONCATENATE(Programme!C1791,Programme!D1791,Programme!E1791,Programme!F1791,Programme!G1791,Programme!H1791,Programme!I1791)</f>
        <v>&lt;cellule&gt;</v>
      </c>
    </row>
    <row r="1791" spans="1:1" x14ac:dyDescent="0.2">
      <c r="A1791" s="1135" t="str">
        <f>CONCATENATE(Programme!C1792,Programme!D1792,Programme!E1792,Programme!F1792,Programme!G1792,Programme!H1792,Programme!I1792)</f>
        <v>&lt;codeEdi&gt;11196&lt;/codeEdi&gt;</v>
      </c>
    </row>
    <row r="1792" spans="1:1" x14ac:dyDescent="0.2">
      <c r="A1792" s="1135" t="str">
        <f>CONCATENATE(Programme!C1793,Programme!D1793,Programme!E1793,Programme!F1793,Programme!G1793,Programme!H1793,Programme!I1793)</f>
        <v>&lt;/cellule&gt;</v>
      </c>
    </row>
    <row r="1793" spans="1:1" x14ac:dyDescent="0.2">
      <c r="A1793" s="1135" t="str">
        <f>CONCATENATE(Programme!C1794,Programme!D1794,Programme!E1794,Programme!F1794,Programme!G1794,Programme!H1794,Programme!I1794)</f>
        <v>&lt;valeur&gt;0&lt;/valeur&gt;</v>
      </c>
    </row>
    <row r="1794" spans="1:1" x14ac:dyDescent="0.2">
      <c r="A1794" s="1135" t="str">
        <f>CONCATENATE(Programme!C1795,Programme!D1795,Programme!E1795,Programme!F1795,Programme!G1795,Programme!H1795,Programme!I1795)</f>
        <v>&lt;/ValeurCellule&gt;</v>
      </c>
    </row>
    <row r="1795" spans="1:1" x14ac:dyDescent="0.2">
      <c r="A1795" s="1135" t="str">
        <f>CONCATENATE(Programme!C1796,Programme!D1796,Programme!E1796,Programme!F1796,Programme!G1796,Programme!H1796,Programme!I1796)</f>
        <v>&lt;ValeurCellule&gt;</v>
      </c>
    </row>
    <row r="1796" spans="1:1" x14ac:dyDescent="0.2">
      <c r="A1796" s="1135" t="str">
        <f>CONCATENATE(Programme!C1797,Programme!D1797,Programme!E1797,Programme!F1797,Programme!G1797,Programme!H1797,Programme!I1797)</f>
        <v>&lt;cellule&gt;</v>
      </c>
    </row>
    <row r="1797" spans="1:1" x14ac:dyDescent="0.2">
      <c r="A1797" s="1135" t="str">
        <f>CONCATENATE(Programme!C1798,Programme!D1798,Programme!E1798,Programme!F1798,Programme!G1798,Programme!H1798,Programme!I1798)</f>
        <v>&lt;codeEdi&gt;11201&lt;/codeEdi&gt;</v>
      </c>
    </row>
    <row r="1798" spans="1:1" x14ac:dyDescent="0.2">
      <c r="A1798" s="1135" t="str">
        <f>CONCATENATE(Programme!C1799,Programme!D1799,Programme!E1799,Programme!F1799,Programme!G1799,Programme!H1799,Programme!I1799)</f>
        <v>&lt;/cellule&gt;</v>
      </c>
    </row>
    <row r="1799" spans="1:1" x14ac:dyDescent="0.2">
      <c r="A1799" s="1135" t="str">
        <f>CONCATENATE(Programme!C1800,Programme!D1800,Programme!E1800,Programme!F1800,Programme!G1800,Programme!H1800,Programme!I1800)</f>
        <v>&lt;valeur&gt;0&lt;/valeur&gt;</v>
      </c>
    </row>
    <row r="1800" spans="1:1" x14ac:dyDescent="0.2">
      <c r="A1800" s="1135" t="str">
        <f>CONCATENATE(Programme!C1801,Programme!D1801,Programme!E1801,Programme!F1801,Programme!G1801,Programme!H1801,Programme!I1801)</f>
        <v>&lt;/ValeurCellule&gt;</v>
      </c>
    </row>
    <row r="1801" spans="1:1" x14ac:dyDescent="0.2">
      <c r="A1801" s="1135" t="str">
        <f>CONCATENATE(Programme!C1802,Programme!D1802,Programme!E1802,Programme!F1802,Programme!G1802,Programme!H1802,Programme!I1802)</f>
        <v>&lt;ValeurCellule&gt;</v>
      </c>
    </row>
    <row r="1802" spans="1:1" x14ac:dyDescent="0.2">
      <c r="A1802" s="1135" t="str">
        <f>CONCATENATE(Programme!C1803,Programme!D1803,Programme!E1803,Programme!F1803,Programme!G1803,Programme!H1803,Programme!I1803)</f>
        <v>&lt;cellule&gt;</v>
      </c>
    </row>
    <row r="1803" spans="1:1" x14ac:dyDescent="0.2">
      <c r="A1803" s="1135" t="str">
        <f>CONCATENATE(Programme!C1804,Programme!D1804,Programme!E1804,Programme!F1804,Programme!G1804,Programme!H1804,Programme!I1804)</f>
        <v>&lt;codeEdi&gt;11266&lt;/codeEdi&gt;</v>
      </c>
    </row>
    <row r="1804" spans="1:1" x14ac:dyDescent="0.2">
      <c r="A1804" s="1135" t="str">
        <f>CONCATENATE(Programme!C1805,Programme!D1805,Programme!E1805,Programme!F1805,Programme!G1805,Programme!H1805,Programme!I1805)</f>
        <v>&lt;/cellule&gt;</v>
      </c>
    </row>
    <row r="1805" spans="1:1" x14ac:dyDescent="0.2">
      <c r="A1805" s="1135" t="str">
        <f>CONCATENATE(Programme!C1806,Programme!D1806,Programme!E1806,Programme!F1806,Programme!G1806,Programme!H1806,Programme!I1806)</f>
        <v>&lt;valeur&gt;34176,55&lt;/valeur&gt;</v>
      </c>
    </row>
    <row r="1806" spans="1:1" x14ac:dyDescent="0.2">
      <c r="A1806" s="1135" t="str">
        <f>CONCATENATE(Programme!C1807,Programme!D1807,Programme!E1807,Programme!F1807,Programme!G1807,Programme!H1807,Programme!I1807)</f>
        <v>&lt;/ValeurCellule&gt;</v>
      </c>
    </row>
    <row r="1807" spans="1:1" x14ac:dyDescent="0.2">
      <c r="A1807" s="1135" t="str">
        <f>CONCATENATE(Programme!C1808,Programme!D1808,Programme!E1808,Programme!F1808,Programme!G1808,Programme!H1808,Programme!I1808)</f>
        <v>&lt;ValeurCellule&gt;</v>
      </c>
    </row>
    <row r="1808" spans="1:1" x14ac:dyDescent="0.2">
      <c r="A1808" s="1135" t="str">
        <f>CONCATENATE(Programme!C1809,Programme!D1809,Programme!E1809,Programme!F1809,Programme!G1809,Programme!H1809,Programme!I1809)</f>
        <v>&lt;cellule&gt;</v>
      </c>
    </row>
    <row r="1809" spans="1:1" x14ac:dyDescent="0.2">
      <c r="A1809" s="1135" t="str">
        <f>CONCATENATE(Programme!C1810,Programme!D1810,Programme!E1810,Programme!F1810,Programme!G1810,Programme!H1810,Programme!I1810)</f>
        <v>&lt;codeEdi&gt;11236&lt;/codeEdi&gt;</v>
      </c>
    </row>
    <row r="1810" spans="1:1" x14ac:dyDescent="0.2">
      <c r="A1810" s="1135" t="str">
        <f>CONCATENATE(Programme!C1811,Programme!D1811,Programme!E1811,Programme!F1811,Programme!G1811,Programme!H1811,Programme!I1811)</f>
        <v>&lt;/cellule&gt;</v>
      </c>
    </row>
    <row r="1811" spans="1:1" x14ac:dyDescent="0.2">
      <c r="A1811" s="1135" t="str">
        <f>CONCATENATE(Programme!C1812,Programme!D1812,Programme!E1812,Programme!F1812,Programme!G1812,Programme!H1812,Programme!I1812)</f>
        <v>&lt;valeur&gt;313873,12&lt;/valeur&gt;</v>
      </c>
    </row>
    <row r="1812" spans="1:1" x14ac:dyDescent="0.2">
      <c r="A1812" s="1135" t="str">
        <f>CONCATENATE(Programme!C1813,Programme!D1813,Programme!E1813,Programme!F1813,Programme!G1813,Programme!H1813,Programme!I1813)</f>
        <v>&lt;/ValeurCellule&gt;</v>
      </c>
    </row>
    <row r="1813" spans="1:1" x14ac:dyDescent="0.2">
      <c r="A1813" s="1135" t="str">
        <f>CONCATENATE(Programme!C1814,Programme!D1814,Programme!E1814,Programme!F1814,Programme!G1814,Programme!H1814,Programme!I1814)</f>
        <v>&lt;ValeurCellule&gt;</v>
      </c>
    </row>
    <row r="1814" spans="1:1" x14ac:dyDescent="0.2">
      <c r="A1814" s="1135" t="str">
        <f>CONCATENATE(Programme!C1815,Programme!D1815,Programme!E1815,Programme!F1815,Programme!G1815,Programme!H1815,Programme!I1815)</f>
        <v>&lt;cellule&gt;</v>
      </c>
    </row>
    <row r="1815" spans="1:1" x14ac:dyDescent="0.2">
      <c r="A1815" s="1135" t="str">
        <f>CONCATENATE(Programme!C1816,Programme!D1816,Programme!E1816,Programme!F1816,Programme!G1816,Programme!H1816,Programme!I1816)</f>
        <v>&lt;codeEdi&gt;11241&lt;/codeEdi&gt;</v>
      </c>
    </row>
    <row r="1816" spans="1:1" x14ac:dyDescent="0.2">
      <c r="A1816" s="1135" t="str">
        <f>CONCATENATE(Programme!C1817,Programme!D1817,Programme!E1817,Programme!F1817,Programme!G1817,Programme!H1817,Programme!I1817)</f>
        <v>&lt;/cellule&gt;</v>
      </c>
    </row>
    <row r="1817" spans="1:1" x14ac:dyDescent="0.2">
      <c r="A1817" s="1135" t="str">
        <f>CONCATENATE(Programme!C1818,Programme!D1818,Programme!E1818,Programme!F1818,Programme!G1818,Programme!H1818,Programme!I1818)</f>
        <v>&lt;valeur&gt;172843,76&lt;/valeur&gt;</v>
      </c>
    </row>
    <row r="1818" spans="1:1" x14ac:dyDescent="0.2">
      <c r="A1818" s="1135" t="str">
        <f>CONCATENATE(Programme!C1819,Programme!D1819,Programme!E1819,Programme!F1819,Programme!G1819,Programme!H1819,Programme!I1819)</f>
        <v>&lt;/ValeurCellule&gt;</v>
      </c>
    </row>
    <row r="1819" spans="1:1" x14ac:dyDescent="0.2">
      <c r="A1819" s="1135" t="str">
        <f>CONCATENATE(Programme!C1820,Programme!D1820,Programme!E1820,Programme!F1820,Programme!G1820,Programme!H1820,Programme!I1820)</f>
        <v>&lt;ValeurCellule&gt;</v>
      </c>
    </row>
    <row r="1820" spans="1:1" x14ac:dyDescent="0.2">
      <c r="A1820" s="1135" t="str">
        <f>CONCATENATE(Programme!C1821,Programme!D1821,Programme!E1821,Programme!F1821,Programme!G1821,Programme!H1821,Programme!I1821)</f>
        <v>&lt;cellule&gt;</v>
      </c>
    </row>
    <row r="1821" spans="1:1" x14ac:dyDescent="0.2">
      <c r="A1821" s="1135" t="str">
        <f>CONCATENATE(Programme!C1822,Programme!D1822,Programme!E1822,Programme!F1822,Programme!G1822,Programme!H1822,Programme!I1822)</f>
        <v>&lt;codeEdi&gt;11246&lt;/codeEdi&gt;</v>
      </c>
    </row>
    <row r="1822" spans="1:1" x14ac:dyDescent="0.2">
      <c r="A1822" s="1135" t="str">
        <f>CONCATENATE(Programme!C1823,Programme!D1823,Programme!E1823,Programme!F1823,Programme!G1823,Programme!H1823,Programme!I1823)</f>
        <v>&lt;/cellule&gt;</v>
      </c>
    </row>
    <row r="1823" spans="1:1" x14ac:dyDescent="0.2">
      <c r="A1823" s="1135" t="str">
        <f>CONCATENATE(Programme!C1824,Programme!D1824,Programme!E1824,Programme!F1824,Programme!G1824,Programme!H1824,Programme!I1824)</f>
        <v>&lt;valeur&gt;0&lt;/valeur&gt;</v>
      </c>
    </row>
    <row r="1824" spans="1:1" x14ac:dyDescent="0.2">
      <c r="A1824" s="1135" t="str">
        <f>CONCATENATE(Programme!C1825,Programme!D1825,Programme!E1825,Programme!F1825,Programme!G1825,Programme!H1825,Programme!I1825)</f>
        <v>&lt;/ValeurCellule&gt;</v>
      </c>
    </row>
    <row r="1825" spans="1:1" x14ac:dyDescent="0.2">
      <c r="A1825" s="1135" t="str">
        <f>CONCATENATE(Programme!C1826,Programme!D1826,Programme!E1826,Programme!F1826,Programme!G1826,Programme!H1826,Programme!I1826)</f>
        <v>&lt;ValeurCellule&gt;</v>
      </c>
    </row>
    <row r="1826" spans="1:1" x14ac:dyDescent="0.2">
      <c r="A1826" s="1135" t="str">
        <f>CONCATENATE(Programme!C1827,Programme!D1827,Programme!E1827,Programme!F1827,Programme!G1827,Programme!H1827,Programme!I1827)</f>
        <v>&lt;cellule&gt;</v>
      </c>
    </row>
    <row r="1827" spans="1:1" x14ac:dyDescent="0.2">
      <c r="A1827" s="1135" t="str">
        <f>CONCATENATE(Programme!C1828,Programme!D1828,Programme!E1828,Programme!F1828,Programme!G1828,Programme!H1828,Programme!I1828)</f>
        <v>&lt;codeEdi&gt;11251&lt;/codeEdi&gt;</v>
      </c>
    </row>
    <row r="1828" spans="1:1" x14ac:dyDescent="0.2">
      <c r="A1828" s="1135" t="str">
        <f>CONCATENATE(Programme!C1829,Programme!D1829,Programme!E1829,Programme!F1829,Programme!G1829,Programme!H1829,Programme!I1829)</f>
        <v>&lt;/cellule&gt;</v>
      </c>
    </row>
    <row r="1829" spans="1:1" x14ac:dyDescent="0.2">
      <c r="A1829" s="1135" t="str">
        <f>CONCATENATE(Programme!C1830,Programme!D1830,Programme!E1830,Programme!F1830,Programme!G1830,Programme!H1830,Programme!I1830)</f>
        <v>&lt;valeur&gt;28187&lt;/valeur&gt;</v>
      </c>
    </row>
    <row r="1830" spans="1:1" x14ac:dyDescent="0.2">
      <c r="A1830" s="1135" t="str">
        <f>CONCATENATE(Programme!C1831,Programme!D1831,Programme!E1831,Programme!F1831,Programme!G1831,Programme!H1831,Programme!I1831)</f>
        <v>&lt;/ValeurCellule&gt;</v>
      </c>
    </row>
    <row r="1831" spans="1:1" x14ac:dyDescent="0.2">
      <c r="A1831" s="1135" t="str">
        <f>CONCATENATE(Programme!C1832,Programme!D1832,Programme!E1832,Programme!F1832,Programme!G1832,Programme!H1832,Programme!I1832)</f>
        <v>&lt;ValeurCellule&gt;</v>
      </c>
    </row>
    <row r="1832" spans="1:1" x14ac:dyDescent="0.2">
      <c r="A1832" s="1135" t="str">
        <f>CONCATENATE(Programme!C1833,Programme!D1833,Programme!E1833,Programme!F1833,Programme!G1833,Programme!H1833,Programme!I1833)</f>
        <v>&lt;cellule&gt;</v>
      </c>
    </row>
    <row r="1833" spans="1:1" x14ac:dyDescent="0.2">
      <c r="A1833" s="1135" t="str">
        <f>CONCATENATE(Programme!C1834,Programme!D1834,Programme!E1834,Programme!F1834,Programme!G1834,Programme!H1834,Programme!I1834)</f>
        <v>&lt;codeEdi&gt;11256&lt;/codeEdi&gt;</v>
      </c>
    </row>
    <row r="1834" spans="1:1" x14ac:dyDescent="0.2">
      <c r="A1834" s="1135" t="str">
        <f>CONCATENATE(Programme!C1835,Programme!D1835,Programme!E1835,Programme!F1835,Programme!G1835,Programme!H1835,Programme!I1835)</f>
        <v>&lt;/cellule&gt;</v>
      </c>
    </row>
    <row r="1835" spans="1:1" x14ac:dyDescent="0.2">
      <c r="A1835" s="1135" t="str">
        <f>CONCATENATE(Programme!C1836,Programme!D1836,Programme!E1836,Programme!F1836,Programme!G1836,Programme!H1836,Programme!I1836)</f>
        <v>&lt;valeur&gt;0&lt;/valeur&gt;</v>
      </c>
    </row>
    <row r="1836" spans="1:1" x14ac:dyDescent="0.2">
      <c r="A1836" s="1135" t="str">
        <f>CONCATENATE(Programme!C1837,Programme!D1837,Programme!E1837,Programme!F1837,Programme!G1837,Programme!H1837,Programme!I1837)</f>
        <v>&lt;/ValeurCellule&gt;</v>
      </c>
    </row>
    <row r="1837" spans="1:1" x14ac:dyDescent="0.2">
      <c r="A1837" s="1135" t="str">
        <f>CONCATENATE(Programme!C1838,Programme!D1838,Programme!E1838,Programme!F1838,Programme!G1838,Programme!H1838,Programme!I1838)</f>
        <v>&lt;ValeurCellule&gt;</v>
      </c>
    </row>
    <row r="1838" spans="1:1" x14ac:dyDescent="0.2">
      <c r="A1838" s="1135" t="str">
        <f>CONCATENATE(Programme!C1839,Programme!D1839,Programme!E1839,Programme!F1839,Programme!G1839,Programme!H1839,Programme!I1839)</f>
        <v>&lt;cellule&gt;</v>
      </c>
    </row>
    <row r="1839" spans="1:1" x14ac:dyDescent="0.2">
      <c r="A1839" s="1135" t="str">
        <f>CONCATENATE(Programme!C1840,Programme!D1840,Programme!E1840,Programme!F1840,Programme!G1840,Programme!H1840,Programme!I1840)</f>
        <v>&lt;codeEdi&gt;11261&lt;/codeEdi&gt;</v>
      </c>
    </row>
    <row r="1840" spans="1:1" x14ac:dyDescent="0.2">
      <c r="A1840" s="1135" t="str">
        <f>CONCATENATE(Programme!C1841,Programme!D1841,Programme!E1841,Programme!F1841,Programme!G1841,Programme!H1841,Programme!I1841)</f>
        <v>&lt;/cellule&gt;</v>
      </c>
    </row>
    <row r="1841" spans="1:1" x14ac:dyDescent="0.2">
      <c r="A1841" s="1135" t="str">
        <f>CONCATENATE(Programme!C1842,Programme!D1842,Programme!E1842,Programme!F1842,Programme!G1842,Programme!H1842,Programme!I1842)</f>
        <v>&lt;valeur&gt;78665,81&lt;/valeur&gt;</v>
      </c>
    </row>
    <row r="1842" spans="1:1" x14ac:dyDescent="0.2">
      <c r="A1842" s="1135" t="str">
        <f>CONCATENATE(Programme!C1843,Programme!D1843,Programme!E1843,Programme!F1843,Programme!G1843,Programme!H1843,Programme!I1843)</f>
        <v>&lt;/ValeurCellule&gt;</v>
      </c>
    </row>
    <row r="1843" spans="1:1" x14ac:dyDescent="0.2">
      <c r="A1843" s="1135" t="str">
        <f>CONCATENATE(Programme!C1844,Programme!D1844,Programme!E1844,Programme!F1844,Programme!G1844,Programme!H1844,Programme!I1844)</f>
        <v>&lt;ValeurCellule&gt;</v>
      </c>
    </row>
    <row r="1844" spans="1:1" x14ac:dyDescent="0.2">
      <c r="A1844" s="1135" t="str">
        <f>CONCATENATE(Programme!C1845,Programme!D1845,Programme!E1845,Programme!F1845,Programme!G1845,Programme!H1845,Programme!I1845)</f>
        <v>&lt;cellule&gt;</v>
      </c>
    </row>
    <row r="1845" spans="1:1" x14ac:dyDescent="0.2">
      <c r="A1845" s="1135" t="str">
        <f>CONCATENATE(Programme!C1846,Programme!D1846,Programme!E1846,Programme!F1846,Programme!G1846,Programme!H1846,Programme!I1846)</f>
        <v>&lt;codeEdi&gt;11202&lt;/codeEdi&gt;</v>
      </c>
    </row>
    <row r="1846" spans="1:1" x14ac:dyDescent="0.2">
      <c r="A1846" s="1135" t="str">
        <f>CONCATENATE(Programme!C1847,Programme!D1847,Programme!E1847,Programme!F1847,Programme!G1847,Programme!H1847,Programme!I1847)</f>
        <v>&lt;/cellule&gt;</v>
      </c>
    </row>
    <row r="1847" spans="1:1" x14ac:dyDescent="0.2">
      <c r="A1847" s="1135" t="str">
        <f>CONCATENATE(Programme!C1848,Programme!D1848,Programme!E1848,Programme!F1848,Programme!G1848,Programme!H1848,Programme!I1848)</f>
        <v>&lt;valeur&gt;0&lt;/valeur&gt;</v>
      </c>
    </row>
    <row r="1848" spans="1:1" x14ac:dyDescent="0.2">
      <c r="A1848" s="1135" t="str">
        <f>CONCATENATE(Programme!C1849,Programme!D1849,Programme!E1849,Programme!F1849,Programme!G1849,Programme!H1849,Programme!I1849)</f>
        <v>&lt;/ValeurCellule&gt;</v>
      </c>
    </row>
    <row r="1849" spans="1:1" x14ac:dyDescent="0.2">
      <c r="A1849" s="1135" t="str">
        <f>CONCATENATE(Programme!C1850,Programme!D1850,Programme!E1850,Programme!F1850,Programme!G1850,Programme!H1850,Programme!I1850)</f>
        <v>&lt;ValeurCellule&gt;</v>
      </c>
    </row>
    <row r="1850" spans="1:1" x14ac:dyDescent="0.2">
      <c r="A1850" s="1135" t="str">
        <f>CONCATENATE(Programme!C1851,Programme!D1851,Programme!E1851,Programme!F1851,Programme!G1851,Programme!H1851,Programme!I1851)</f>
        <v>&lt;cellule&gt;</v>
      </c>
    </row>
    <row r="1851" spans="1:1" x14ac:dyDescent="0.2">
      <c r="A1851" s="1135" t="str">
        <f>CONCATENATE(Programme!C1852,Programme!D1852,Programme!E1852,Programme!F1852,Programme!G1852,Programme!H1852,Programme!I1852)</f>
        <v>&lt;codeEdi&gt;11207&lt;/codeEdi&gt;</v>
      </c>
    </row>
    <row r="1852" spans="1:1" x14ac:dyDescent="0.2">
      <c r="A1852" s="1135" t="str">
        <f>CONCATENATE(Programme!C1853,Programme!D1853,Programme!E1853,Programme!F1853,Programme!G1853,Programme!H1853,Programme!I1853)</f>
        <v>&lt;/cellule&gt;</v>
      </c>
    </row>
    <row r="1853" spans="1:1" x14ac:dyDescent="0.2">
      <c r="A1853" s="1135" t="str">
        <f>CONCATENATE(Programme!C1854,Programme!D1854,Programme!E1854,Programme!F1854,Programme!G1854,Programme!H1854,Programme!I1854)</f>
        <v>&lt;valeur&gt;0&lt;/valeur&gt;</v>
      </c>
    </row>
    <row r="1854" spans="1:1" x14ac:dyDescent="0.2">
      <c r="A1854" s="1135" t="str">
        <f>CONCATENATE(Programme!C1855,Programme!D1855,Programme!E1855,Programme!F1855,Programme!G1855,Programme!H1855,Programme!I1855)</f>
        <v>&lt;/ValeurCellule&gt;</v>
      </c>
    </row>
    <row r="1855" spans="1:1" x14ac:dyDescent="0.2">
      <c r="A1855" s="1135" t="str">
        <f>CONCATENATE(Programme!C1856,Programme!D1856,Programme!E1856,Programme!F1856,Programme!G1856,Programme!H1856,Programme!I1856)</f>
        <v>&lt;ValeurCellule&gt;</v>
      </c>
    </row>
    <row r="1856" spans="1:1" x14ac:dyDescent="0.2">
      <c r="A1856" s="1135" t="str">
        <f>CONCATENATE(Programme!C1857,Programme!D1857,Programme!E1857,Programme!F1857,Programme!G1857,Programme!H1857,Programme!I1857)</f>
        <v>&lt;cellule&gt;</v>
      </c>
    </row>
    <row r="1857" spans="1:1" x14ac:dyDescent="0.2">
      <c r="A1857" s="1135" t="str">
        <f>CONCATENATE(Programme!C1858,Programme!D1858,Programme!E1858,Programme!F1858,Programme!G1858,Programme!H1858,Programme!I1858)</f>
        <v>&lt;codeEdi&gt;11212&lt;/codeEdi&gt;</v>
      </c>
    </row>
    <row r="1858" spans="1:1" x14ac:dyDescent="0.2">
      <c r="A1858" s="1135" t="str">
        <f>CONCATENATE(Programme!C1859,Programme!D1859,Programme!E1859,Programme!F1859,Programme!G1859,Programme!H1859,Programme!I1859)</f>
        <v>&lt;/cellule&gt;</v>
      </c>
    </row>
    <row r="1859" spans="1:1" x14ac:dyDescent="0.2">
      <c r="A1859" s="1135" t="str">
        <f>CONCATENATE(Programme!C1860,Programme!D1860,Programme!E1860,Programme!F1860,Programme!G1860,Programme!H1860,Programme!I1860)</f>
        <v>&lt;valeur&gt;0&lt;/valeur&gt;</v>
      </c>
    </row>
    <row r="1860" spans="1:1" x14ac:dyDescent="0.2">
      <c r="A1860" s="1135" t="str">
        <f>CONCATENATE(Programme!C1861,Programme!D1861,Programme!E1861,Programme!F1861,Programme!G1861,Programme!H1861,Programme!I1861)</f>
        <v>&lt;/ValeurCellule&gt;</v>
      </c>
    </row>
    <row r="1861" spans="1:1" x14ac:dyDescent="0.2">
      <c r="A1861" s="1135" t="str">
        <f>CONCATENATE(Programme!C1862,Programme!D1862,Programme!E1862,Programme!F1862,Programme!G1862,Programme!H1862,Programme!I1862)</f>
        <v>&lt;ValeurCellule&gt;</v>
      </c>
    </row>
    <row r="1862" spans="1:1" x14ac:dyDescent="0.2">
      <c r="A1862" s="1135" t="str">
        <f>CONCATENATE(Programme!C1863,Programme!D1863,Programme!E1863,Programme!F1863,Programme!G1863,Programme!H1863,Programme!I1863)</f>
        <v>&lt;cellule&gt;</v>
      </c>
    </row>
    <row r="1863" spans="1:1" x14ac:dyDescent="0.2">
      <c r="A1863" s="1135" t="str">
        <f>CONCATENATE(Programme!C1864,Programme!D1864,Programme!E1864,Programme!F1864,Programme!G1864,Programme!H1864,Programme!I1864)</f>
        <v>&lt;codeEdi&gt;11217&lt;/codeEdi&gt;</v>
      </c>
    </row>
    <row r="1864" spans="1:1" x14ac:dyDescent="0.2">
      <c r="A1864" s="1135" t="str">
        <f>CONCATENATE(Programme!C1865,Programme!D1865,Programme!E1865,Programme!F1865,Programme!G1865,Programme!H1865,Programme!I1865)</f>
        <v>&lt;/cellule&gt;</v>
      </c>
    </row>
    <row r="1865" spans="1:1" x14ac:dyDescent="0.2">
      <c r="A1865" s="1135" t="str">
        <f>CONCATENATE(Programme!C1866,Programme!D1866,Programme!E1866,Programme!F1866,Programme!G1866,Programme!H1866,Programme!I1866)</f>
        <v>&lt;valeur&gt;0&lt;/valeur&gt;</v>
      </c>
    </row>
    <row r="1866" spans="1:1" x14ac:dyDescent="0.2">
      <c r="A1866" s="1135" t="str">
        <f>CONCATENATE(Programme!C1867,Programme!D1867,Programme!E1867,Programme!F1867,Programme!G1867,Programme!H1867,Programme!I1867)</f>
        <v>&lt;/ValeurCellule&gt;</v>
      </c>
    </row>
    <row r="1867" spans="1:1" x14ac:dyDescent="0.2">
      <c r="A1867" s="1135" t="str">
        <f>CONCATENATE(Programme!C1868,Programme!D1868,Programme!E1868,Programme!F1868,Programme!G1868,Programme!H1868,Programme!I1868)</f>
        <v>&lt;ValeurCellule&gt;</v>
      </c>
    </row>
    <row r="1868" spans="1:1" x14ac:dyDescent="0.2">
      <c r="A1868" s="1135" t="str">
        <f>CONCATENATE(Programme!C1869,Programme!D1869,Programme!E1869,Programme!F1869,Programme!G1869,Programme!H1869,Programme!I1869)</f>
        <v>&lt;cellule&gt;</v>
      </c>
    </row>
    <row r="1869" spans="1:1" x14ac:dyDescent="0.2">
      <c r="A1869" s="1135" t="str">
        <f>CONCATENATE(Programme!C1870,Programme!D1870,Programme!E1870,Programme!F1870,Programme!G1870,Programme!H1870,Programme!I1870)</f>
        <v>&lt;codeEdi&gt;11222&lt;/codeEdi&gt;</v>
      </c>
    </row>
    <row r="1870" spans="1:1" x14ac:dyDescent="0.2">
      <c r="A1870" s="1135" t="str">
        <f>CONCATENATE(Programme!C1871,Programme!D1871,Programme!E1871,Programme!F1871,Programme!G1871,Programme!H1871,Programme!I1871)</f>
        <v>&lt;/cellule&gt;</v>
      </c>
    </row>
    <row r="1871" spans="1:1" x14ac:dyDescent="0.2">
      <c r="A1871" s="1135" t="str">
        <f>CONCATENATE(Programme!C1872,Programme!D1872,Programme!E1872,Programme!F1872,Programme!G1872,Programme!H1872,Programme!I1872)</f>
        <v>&lt;valeur&gt;0&lt;/valeur&gt;</v>
      </c>
    </row>
    <row r="1872" spans="1:1" x14ac:dyDescent="0.2">
      <c r="A1872" s="1135" t="str">
        <f>CONCATENATE(Programme!C1873,Programme!D1873,Programme!E1873,Programme!F1873,Programme!G1873,Programme!H1873,Programme!I1873)</f>
        <v>&lt;/ValeurCellule&gt;</v>
      </c>
    </row>
    <row r="1873" spans="1:1" x14ac:dyDescent="0.2">
      <c r="A1873" s="1135" t="str">
        <f>CONCATENATE(Programme!C1874,Programme!D1874,Programme!E1874,Programme!F1874,Programme!G1874,Programme!H1874,Programme!I1874)</f>
        <v>&lt;ValeurCellule&gt;</v>
      </c>
    </row>
    <row r="1874" spans="1:1" x14ac:dyDescent="0.2">
      <c r="A1874" s="1135" t="str">
        <f>CONCATENATE(Programme!C1875,Programme!D1875,Programme!E1875,Programme!F1875,Programme!G1875,Programme!H1875,Programme!I1875)</f>
        <v>&lt;cellule&gt;</v>
      </c>
    </row>
    <row r="1875" spans="1:1" x14ac:dyDescent="0.2">
      <c r="A1875" s="1135" t="str">
        <f>CONCATENATE(Programme!C1876,Programme!D1876,Programme!E1876,Programme!F1876,Programme!G1876,Programme!H1876,Programme!I1876)</f>
        <v>&lt;codeEdi&gt;11227&lt;/codeEdi&gt;</v>
      </c>
    </row>
    <row r="1876" spans="1:1" x14ac:dyDescent="0.2">
      <c r="A1876" s="1135" t="str">
        <f>CONCATENATE(Programme!C1877,Programme!D1877,Programme!E1877,Programme!F1877,Programme!G1877,Programme!H1877,Programme!I1877)</f>
        <v>&lt;/cellule&gt;</v>
      </c>
    </row>
    <row r="1877" spans="1:1" x14ac:dyDescent="0.2">
      <c r="A1877" s="1135" t="str">
        <f>CONCATENATE(Programme!C1878,Programme!D1878,Programme!E1878,Programme!F1878,Programme!G1878,Programme!H1878,Programme!I1878)</f>
        <v>&lt;valeur&gt;0&lt;/valeur&gt;</v>
      </c>
    </row>
    <row r="1878" spans="1:1" x14ac:dyDescent="0.2">
      <c r="A1878" s="1135" t="str">
        <f>CONCATENATE(Programme!C1879,Programme!D1879,Programme!E1879,Programme!F1879,Programme!G1879,Programme!H1879,Programme!I1879)</f>
        <v>&lt;/ValeurCellule&gt;</v>
      </c>
    </row>
    <row r="1879" spans="1:1" x14ac:dyDescent="0.2">
      <c r="A1879" s="1135" t="str">
        <f>CONCATENATE(Programme!C1880,Programme!D1880,Programme!E1880,Programme!F1880,Programme!G1880,Programme!H1880,Programme!I1880)</f>
        <v>&lt;ValeurCellule&gt;</v>
      </c>
    </row>
    <row r="1880" spans="1:1" x14ac:dyDescent="0.2">
      <c r="A1880" s="1135" t="str">
        <f>CONCATENATE(Programme!C1881,Programme!D1881,Programme!E1881,Programme!F1881,Programme!G1881,Programme!H1881,Programme!I1881)</f>
        <v>&lt;cellule&gt;</v>
      </c>
    </row>
    <row r="1881" spans="1:1" x14ac:dyDescent="0.2">
      <c r="A1881" s="1135" t="str">
        <f>CONCATENATE(Programme!C1882,Programme!D1882,Programme!E1882,Programme!F1882,Programme!G1882,Programme!H1882,Programme!I1882)</f>
        <v>&lt;codeEdi&gt;11232&lt;/codeEdi&gt;</v>
      </c>
    </row>
    <row r="1882" spans="1:1" x14ac:dyDescent="0.2">
      <c r="A1882" s="1135" t="str">
        <f>CONCATENATE(Programme!C1883,Programme!D1883,Programme!E1883,Programme!F1883,Programme!G1883,Programme!H1883,Programme!I1883)</f>
        <v>&lt;/cellule&gt;</v>
      </c>
    </row>
    <row r="1883" spans="1:1" x14ac:dyDescent="0.2">
      <c r="A1883" s="1135" t="str">
        <f>CONCATENATE(Programme!C1884,Programme!D1884,Programme!E1884,Programme!F1884,Programme!G1884,Programme!H1884,Programme!I1884)</f>
        <v>&lt;valeur&gt;0&lt;/valeur&gt;</v>
      </c>
    </row>
    <row r="1884" spans="1:1" x14ac:dyDescent="0.2">
      <c r="A1884" s="1135" t="str">
        <f>CONCATENATE(Programme!C1885,Programme!D1885,Programme!E1885,Programme!F1885,Programme!G1885,Programme!H1885,Programme!I1885)</f>
        <v>&lt;/ValeurCellule&gt;</v>
      </c>
    </row>
    <row r="1885" spans="1:1" x14ac:dyDescent="0.2">
      <c r="A1885" s="1135" t="str">
        <f>CONCATENATE(Programme!C1886,Programme!D1886,Programme!E1886,Programme!F1886,Programme!G1886,Programme!H1886,Programme!I1886)</f>
        <v>&lt;ValeurCellule&gt;</v>
      </c>
    </row>
    <row r="1886" spans="1:1" x14ac:dyDescent="0.2">
      <c r="A1886" s="1135" t="str">
        <f>CONCATENATE(Programme!C1887,Programme!D1887,Programme!E1887,Programme!F1887,Programme!G1887,Programme!H1887,Programme!I1887)</f>
        <v>&lt;cellule&gt;</v>
      </c>
    </row>
    <row r="1887" spans="1:1" x14ac:dyDescent="0.2">
      <c r="A1887" s="1135" t="str">
        <f>CONCATENATE(Programme!C1888,Programme!D1888,Programme!E1888,Programme!F1888,Programme!G1888,Programme!H1888,Programme!I1888)</f>
        <v>&lt;codeEdi&gt;11177&lt;/codeEdi&gt;</v>
      </c>
    </row>
    <row r="1888" spans="1:1" x14ac:dyDescent="0.2">
      <c r="A1888" s="1135" t="str">
        <f>CONCATENATE(Programme!C1889,Programme!D1889,Programme!E1889,Programme!F1889,Programme!G1889,Programme!H1889,Programme!I1889)</f>
        <v>&lt;/cellule&gt;</v>
      </c>
    </row>
    <row r="1889" spans="1:1" x14ac:dyDescent="0.2">
      <c r="A1889" s="1135" t="str">
        <f>CONCATENATE(Programme!C1890,Programme!D1890,Programme!E1890,Programme!F1890,Programme!G1890,Programme!H1890,Programme!I1890)</f>
        <v>&lt;valeur&gt;0&lt;/valeur&gt;</v>
      </c>
    </row>
    <row r="1890" spans="1:1" x14ac:dyDescent="0.2">
      <c r="A1890" s="1135" t="str">
        <f>CONCATENATE(Programme!C1891,Programme!D1891,Programme!E1891,Programme!F1891,Programme!G1891,Programme!H1891,Programme!I1891)</f>
        <v>&lt;/ValeurCellule&gt;</v>
      </c>
    </row>
    <row r="1891" spans="1:1" x14ac:dyDescent="0.2">
      <c r="A1891" s="1135" t="str">
        <f>CONCATENATE(Programme!C1892,Programme!D1892,Programme!E1892,Programme!F1892,Programme!G1892,Programme!H1892,Programme!I1892)</f>
        <v>&lt;ValeurCellule&gt;</v>
      </c>
    </row>
    <row r="1892" spans="1:1" x14ac:dyDescent="0.2">
      <c r="A1892" s="1135" t="str">
        <f>CONCATENATE(Programme!C1893,Programme!D1893,Programme!E1893,Programme!F1893,Programme!G1893,Programme!H1893,Programme!I1893)</f>
        <v>&lt;cellule&gt;</v>
      </c>
    </row>
    <row r="1893" spans="1:1" x14ac:dyDescent="0.2">
      <c r="A1893" s="1135" t="str">
        <f>CONCATENATE(Programme!C1894,Programme!D1894,Programme!E1894,Programme!F1894,Programme!G1894,Programme!H1894,Programme!I1894)</f>
        <v>&lt;codeEdi&gt;11182&lt;/codeEdi&gt;</v>
      </c>
    </row>
    <row r="1894" spans="1:1" x14ac:dyDescent="0.2">
      <c r="A1894" s="1135" t="str">
        <f>CONCATENATE(Programme!C1895,Programme!D1895,Programme!E1895,Programme!F1895,Programme!G1895,Programme!H1895,Programme!I1895)</f>
        <v>&lt;/cellule&gt;</v>
      </c>
    </row>
    <row r="1895" spans="1:1" x14ac:dyDescent="0.2">
      <c r="A1895" s="1135" t="str">
        <f>CONCATENATE(Programme!C1896,Programme!D1896,Programme!E1896,Programme!F1896,Programme!G1896,Programme!H1896,Programme!I1896)</f>
        <v>&lt;valeur&gt;0&lt;/valeur&gt;</v>
      </c>
    </row>
    <row r="1896" spans="1:1" x14ac:dyDescent="0.2">
      <c r="A1896" s="1135" t="str">
        <f>CONCATENATE(Programme!C1897,Programme!D1897,Programme!E1897,Programme!F1897,Programme!G1897,Programme!H1897,Programme!I1897)</f>
        <v>&lt;/ValeurCellule&gt;</v>
      </c>
    </row>
    <row r="1897" spans="1:1" x14ac:dyDescent="0.2">
      <c r="A1897" s="1135" t="str">
        <f>CONCATENATE(Programme!C1898,Programme!D1898,Programme!E1898,Programme!F1898,Programme!G1898,Programme!H1898,Programme!I1898)</f>
        <v>&lt;ValeurCellule&gt;</v>
      </c>
    </row>
    <row r="1898" spans="1:1" x14ac:dyDescent="0.2">
      <c r="A1898" s="1135" t="str">
        <f>CONCATENATE(Programme!C1899,Programme!D1899,Programme!E1899,Programme!F1899,Programme!G1899,Programme!H1899,Programme!I1899)</f>
        <v>&lt;cellule&gt;</v>
      </c>
    </row>
    <row r="1899" spans="1:1" x14ac:dyDescent="0.2">
      <c r="A1899" s="1135" t="str">
        <f>CONCATENATE(Programme!C1900,Programme!D1900,Programme!E1900,Programme!F1900,Programme!G1900,Programme!H1900,Programme!I1900)</f>
        <v>&lt;codeEdi&gt;11187&lt;/codeEdi&gt;</v>
      </c>
    </row>
    <row r="1900" spans="1:1" x14ac:dyDescent="0.2">
      <c r="A1900" s="1135" t="str">
        <f>CONCATENATE(Programme!C1901,Programme!D1901,Programme!E1901,Programme!F1901,Programme!G1901,Programme!H1901,Programme!I1901)</f>
        <v>&lt;/cellule&gt;</v>
      </c>
    </row>
    <row r="1901" spans="1:1" x14ac:dyDescent="0.2">
      <c r="A1901" s="1135" t="str">
        <f>CONCATENATE(Programme!C1902,Programme!D1902,Programme!E1902,Programme!F1902,Programme!G1902,Programme!H1902,Programme!I1902)</f>
        <v>&lt;valeur&gt;0&lt;/valeur&gt;</v>
      </c>
    </row>
    <row r="1902" spans="1:1" x14ac:dyDescent="0.2">
      <c r="A1902" s="1135" t="str">
        <f>CONCATENATE(Programme!C1903,Programme!D1903,Programme!E1903,Programme!F1903,Programme!G1903,Programme!H1903,Programme!I1903)</f>
        <v>&lt;/ValeurCellule&gt;</v>
      </c>
    </row>
    <row r="1903" spans="1:1" x14ac:dyDescent="0.2">
      <c r="A1903" s="1135" t="str">
        <f>CONCATENATE(Programme!C1904,Programme!D1904,Programme!E1904,Programme!F1904,Programme!G1904,Programme!H1904,Programme!I1904)</f>
        <v>&lt;ValeurCellule&gt;</v>
      </c>
    </row>
    <row r="1904" spans="1:1" x14ac:dyDescent="0.2">
      <c r="A1904" s="1135" t="str">
        <f>CONCATENATE(Programme!C1905,Programme!D1905,Programme!E1905,Programme!F1905,Programme!G1905,Programme!H1905,Programme!I1905)</f>
        <v>&lt;cellule&gt;</v>
      </c>
    </row>
    <row r="1905" spans="1:1" x14ac:dyDescent="0.2">
      <c r="A1905" s="1135" t="str">
        <f>CONCATENATE(Programme!C1906,Programme!D1906,Programme!E1906,Programme!F1906,Programme!G1906,Programme!H1906,Programme!I1906)</f>
        <v>&lt;codeEdi&gt;11192&lt;/codeEdi&gt;</v>
      </c>
    </row>
    <row r="1906" spans="1:1" x14ac:dyDescent="0.2">
      <c r="A1906" s="1135" t="str">
        <f>CONCATENATE(Programme!C1907,Programme!D1907,Programme!E1907,Programme!F1907,Programme!G1907,Programme!H1907,Programme!I1907)</f>
        <v>&lt;/cellule&gt;</v>
      </c>
    </row>
    <row r="1907" spans="1:1" x14ac:dyDescent="0.2">
      <c r="A1907" s="1135" t="str">
        <f>CONCATENATE(Programme!C1908,Programme!D1908,Programme!E1908,Programme!F1908,Programme!G1908,Programme!H1908,Programme!I1908)</f>
        <v>&lt;valeur&gt;&lt;/valeur&gt;</v>
      </c>
    </row>
    <row r="1908" spans="1:1" x14ac:dyDescent="0.2">
      <c r="A1908" s="1135" t="str">
        <f>CONCATENATE(Programme!C1909,Programme!D1909,Programme!E1909,Programme!F1909,Programme!G1909,Programme!H1909,Programme!I1909)</f>
        <v>&lt;/ValeurCellule&gt;</v>
      </c>
    </row>
    <row r="1909" spans="1:1" x14ac:dyDescent="0.2">
      <c r="A1909" s="1135" t="str">
        <f>CONCATENATE(Programme!C1910,Programme!D1910,Programme!E1910,Programme!F1910,Programme!G1910,Programme!H1910,Programme!I1910)</f>
        <v>&lt;ValeurCellule&gt;</v>
      </c>
    </row>
    <row r="1910" spans="1:1" x14ac:dyDescent="0.2">
      <c r="A1910" s="1135" t="str">
        <f>CONCATENATE(Programme!C1911,Programme!D1911,Programme!E1911,Programme!F1911,Programme!G1911,Programme!H1911,Programme!I1911)</f>
        <v>&lt;cellule&gt;</v>
      </c>
    </row>
    <row r="1911" spans="1:1" x14ac:dyDescent="0.2">
      <c r="A1911" s="1135" t="str">
        <f>CONCATENATE(Programme!C1912,Programme!D1912,Programme!E1912,Programme!F1912,Programme!G1912,Programme!H1912,Programme!I1912)</f>
        <v>&lt;codeEdi&gt;11197&lt;/codeEdi&gt;</v>
      </c>
    </row>
    <row r="1912" spans="1:1" x14ac:dyDescent="0.2">
      <c r="A1912" s="1135" t="str">
        <f>CONCATENATE(Programme!C1913,Programme!D1913,Programme!E1913,Programme!F1913,Programme!G1913,Programme!H1913,Programme!I1913)</f>
        <v>&lt;/cellule&gt;</v>
      </c>
    </row>
    <row r="1913" spans="1:1" x14ac:dyDescent="0.2">
      <c r="A1913" s="1135" t="str">
        <f>CONCATENATE(Programme!C1914,Programme!D1914,Programme!E1914,Programme!F1914,Programme!G1914,Programme!H1914,Programme!I1914)</f>
        <v>&lt;valeur&gt;0&lt;/valeur&gt;</v>
      </c>
    </row>
    <row r="1914" spans="1:1" x14ac:dyDescent="0.2">
      <c r="A1914" s="1135" t="str">
        <f>CONCATENATE(Programme!C1915,Programme!D1915,Programme!E1915,Programme!F1915,Programme!G1915,Programme!H1915,Programme!I1915)</f>
        <v>&lt;/ValeurCellule&gt;</v>
      </c>
    </row>
    <row r="1915" spans="1:1" x14ac:dyDescent="0.2">
      <c r="A1915" s="1135" t="str">
        <f>CONCATENATE(Programme!C1916,Programme!D1916,Programme!E1916,Programme!F1916,Programme!G1916,Programme!H1916,Programme!I1916)</f>
        <v>&lt;ValeurCellule&gt;</v>
      </c>
    </row>
    <row r="1916" spans="1:1" x14ac:dyDescent="0.2">
      <c r="A1916" s="1135" t="str">
        <f>CONCATENATE(Programme!C1917,Programme!D1917,Programme!E1917,Programme!F1917,Programme!G1917,Programme!H1917,Programme!I1917)</f>
        <v>&lt;cellule&gt;</v>
      </c>
    </row>
    <row r="1917" spans="1:1" x14ac:dyDescent="0.2">
      <c r="A1917" s="1135" t="str">
        <f>CONCATENATE(Programme!C1918,Programme!D1918,Programme!E1918,Programme!F1918,Programme!G1918,Programme!H1918,Programme!I1918)</f>
        <v>&lt;codeEdi&gt;11267&lt;/codeEdi&gt;</v>
      </c>
    </row>
    <row r="1918" spans="1:1" x14ac:dyDescent="0.2">
      <c r="A1918" s="1135" t="str">
        <f>CONCATENATE(Programme!C1919,Programme!D1919,Programme!E1919,Programme!F1919,Programme!G1919,Programme!H1919,Programme!I1919)</f>
        <v>&lt;/cellule&gt;</v>
      </c>
    </row>
    <row r="1919" spans="1:1" x14ac:dyDescent="0.2">
      <c r="A1919" s="1135" t="str">
        <f>CONCATENATE(Programme!C1920,Programme!D1920,Programme!E1920,Programme!F1920,Programme!G1920,Programme!H1920,Programme!I1920)</f>
        <v>&lt;valeur&gt;0&lt;/valeur&gt;</v>
      </c>
    </row>
    <row r="1920" spans="1:1" x14ac:dyDescent="0.2">
      <c r="A1920" s="1135" t="str">
        <f>CONCATENATE(Programme!C1921,Programme!D1921,Programme!E1921,Programme!F1921,Programme!G1921,Programme!H1921,Programme!I1921)</f>
        <v>&lt;/ValeurCellule&gt;</v>
      </c>
    </row>
    <row r="1921" spans="1:1" x14ac:dyDescent="0.2">
      <c r="A1921" s="1135" t="str">
        <f>CONCATENATE(Programme!C1922,Programme!D1922,Programme!E1922,Programme!F1922,Programme!G1922,Programme!H1922,Programme!I1922)</f>
        <v>&lt;ValeurCellule&gt;</v>
      </c>
    </row>
    <row r="1922" spans="1:1" x14ac:dyDescent="0.2">
      <c r="A1922" s="1135" t="str">
        <f>CONCATENATE(Programme!C1923,Programme!D1923,Programme!E1923,Programme!F1923,Programme!G1923,Programme!H1923,Programme!I1923)</f>
        <v>&lt;cellule&gt;</v>
      </c>
    </row>
    <row r="1923" spans="1:1" x14ac:dyDescent="0.2">
      <c r="A1923" s="1135" t="str">
        <f>CONCATENATE(Programme!C1924,Programme!D1924,Programme!E1924,Programme!F1924,Programme!G1924,Programme!H1924,Programme!I1924)</f>
        <v>&lt;codeEdi&gt;11237&lt;/codeEdi&gt;</v>
      </c>
    </row>
    <row r="1924" spans="1:1" x14ac:dyDescent="0.2">
      <c r="A1924" s="1135" t="str">
        <f>CONCATENATE(Programme!C1925,Programme!D1925,Programme!E1925,Programme!F1925,Programme!G1925,Programme!H1925,Programme!I1925)</f>
        <v>&lt;/cellule&gt;</v>
      </c>
    </row>
    <row r="1925" spans="1:1" x14ac:dyDescent="0.2">
      <c r="A1925" s="1135" t="str">
        <f>CONCATENATE(Programme!C1926,Programme!D1926,Programme!E1926,Programme!F1926,Programme!G1926,Programme!H1926,Programme!I1926)</f>
        <v>&lt;valeur&gt;0&lt;/valeur&gt;</v>
      </c>
    </row>
    <row r="1926" spans="1:1" x14ac:dyDescent="0.2">
      <c r="A1926" s="1135" t="str">
        <f>CONCATENATE(Programme!C1927,Programme!D1927,Programme!E1927,Programme!F1927,Programme!G1927,Programme!H1927,Programme!I1927)</f>
        <v>&lt;/ValeurCellule&gt;</v>
      </c>
    </row>
    <row r="1927" spans="1:1" x14ac:dyDescent="0.2">
      <c r="A1927" s="1135" t="str">
        <f>CONCATENATE(Programme!C1928,Programme!D1928,Programme!E1928,Programme!F1928,Programme!G1928,Programme!H1928,Programme!I1928)</f>
        <v>&lt;ValeurCellule&gt;</v>
      </c>
    </row>
    <row r="1928" spans="1:1" x14ac:dyDescent="0.2">
      <c r="A1928" s="1135" t="str">
        <f>CONCATENATE(Programme!C1929,Programme!D1929,Programme!E1929,Programme!F1929,Programme!G1929,Programme!H1929,Programme!I1929)</f>
        <v>&lt;cellule&gt;</v>
      </c>
    </row>
    <row r="1929" spans="1:1" x14ac:dyDescent="0.2">
      <c r="A1929" s="1135" t="str">
        <f>CONCATENATE(Programme!C1930,Programme!D1930,Programme!E1930,Programme!F1930,Programme!G1930,Programme!H1930,Programme!I1930)</f>
        <v>&lt;codeEdi&gt;11242&lt;/codeEdi&gt;</v>
      </c>
    </row>
    <row r="1930" spans="1:1" x14ac:dyDescent="0.2">
      <c r="A1930" s="1135" t="str">
        <f>CONCATENATE(Programme!C1931,Programme!D1931,Programme!E1931,Programme!F1931,Programme!G1931,Programme!H1931,Programme!I1931)</f>
        <v>&lt;/cellule&gt;</v>
      </c>
    </row>
    <row r="1931" spans="1:1" x14ac:dyDescent="0.2">
      <c r="A1931" s="1135" t="str">
        <f>CONCATENATE(Programme!C1932,Programme!D1932,Programme!E1932,Programme!F1932,Programme!G1932,Programme!H1932,Programme!I1932)</f>
        <v>&lt;valeur&gt;0&lt;/valeur&gt;</v>
      </c>
    </row>
    <row r="1932" spans="1:1" x14ac:dyDescent="0.2">
      <c r="A1932" s="1135" t="str">
        <f>CONCATENATE(Programme!C1933,Programme!D1933,Programme!E1933,Programme!F1933,Programme!G1933,Programme!H1933,Programme!I1933)</f>
        <v>&lt;/ValeurCellule&gt;</v>
      </c>
    </row>
    <row r="1933" spans="1:1" x14ac:dyDescent="0.2">
      <c r="A1933" s="1135" t="str">
        <f>CONCATENATE(Programme!C1934,Programme!D1934,Programme!E1934,Programme!F1934,Programme!G1934,Programme!H1934,Programme!I1934)</f>
        <v>&lt;ValeurCellule&gt;</v>
      </c>
    </row>
    <row r="1934" spans="1:1" x14ac:dyDescent="0.2">
      <c r="A1934" s="1135" t="str">
        <f>CONCATENATE(Programme!C1935,Programme!D1935,Programme!E1935,Programme!F1935,Programme!G1935,Programme!H1935,Programme!I1935)</f>
        <v>&lt;cellule&gt;</v>
      </c>
    </row>
    <row r="1935" spans="1:1" x14ac:dyDescent="0.2">
      <c r="A1935" s="1135" t="str">
        <f>CONCATENATE(Programme!C1936,Programme!D1936,Programme!E1936,Programme!F1936,Programme!G1936,Programme!H1936,Programme!I1936)</f>
        <v>&lt;codeEdi&gt;11247&lt;/codeEdi&gt;</v>
      </c>
    </row>
    <row r="1936" spans="1:1" x14ac:dyDescent="0.2">
      <c r="A1936" s="1135" t="str">
        <f>CONCATENATE(Programme!C1937,Programme!D1937,Programme!E1937,Programme!F1937,Programme!G1937,Programme!H1937,Programme!I1937)</f>
        <v>&lt;/cellule&gt;</v>
      </c>
    </row>
    <row r="1937" spans="1:1" x14ac:dyDescent="0.2">
      <c r="A1937" s="1135" t="str">
        <f>CONCATENATE(Programme!C1938,Programme!D1938,Programme!E1938,Programme!F1938,Programme!G1938,Programme!H1938,Programme!I1938)</f>
        <v>&lt;valeur&gt;0&lt;/valeur&gt;</v>
      </c>
    </row>
    <row r="1938" spans="1:1" x14ac:dyDescent="0.2">
      <c r="A1938" s="1135" t="str">
        <f>CONCATENATE(Programme!C1939,Programme!D1939,Programme!E1939,Programme!F1939,Programme!G1939,Programme!H1939,Programme!I1939)</f>
        <v>&lt;/ValeurCellule&gt;</v>
      </c>
    </row>
    <row r="1939" spans="1:1" x14ac:dyDescent="0.2">
      <c r="A1939" s="1135" t="str">
        <f>CONCATENATE(Programme!C1940,Programme!D1940,Programme!E1940,Programme!F1940,Programme!G1940,Programme!H1940,Programme!I1940)</f>
        <v>&lt;ValeurCellule&gt;</v>
      </c>
    </row>
    <row r="1940" spans="1:1" x14ac:dyDescent="0.2">
      <c r="A1940" s="1135" t="str">
        <f>CONCATENATE(Programme!C1941,Programme!D1941,Programme!E1941,Programme!F1941,Programme!G1941,Programme!H1941,Programme!I1941)</f>
        <v>&lt;cellule&gt;</v>
      </c>
    </row>
    <row r="1941" spans="1:1" x14ac:dyDescent="0.2">
      <c r="A1941" s="1135" t="str">
        <f>CONCATENATE(Programme!C1942,Programme!D1942,Programme!E1942,Programme!F1942,Programme!G1942,Programme!H1942,Programme!I1942)</f>
        <v>&lt;codeEdi&gt;11252&lt;/codeEdi&gt;</v>
      </c>
    </row>
    <row r="1942" spans="1:1" x14ac:dyDescent="0.2">
      <c r="A1942" s="1135" t="str">
        <f>CONCATENATE(Programme!C1943,Programme!D1943,Programme!E1943,Programme!F1943,Programme!G1943,Programme!H1943,Programme!I1943)</f>
        <v>&lt;/cellule&gt;</v>
      </c>
    </row>
    <row r="1943" spans="1:1" x14ac:dyDescent="0.2">
      <c r="A1943" s="1135" t="str">
        <f>CONCATENATE(Programme!C1944,Programme!D1944,Programme!E1944,Programme!F1944,Programme!G1944,Programme!H1944,Programme!I1944)</f>
        <v>&lt;valeur&gt;0&lt;/valeur&gt;</v>
      </c>
    </row>
    <row r="1944" spans="1:1" x14ac:dyDescent="0.2">
      <c r="A1944" s="1135" t="str">
        <f>CONCATENATE(Programme!C1945,Programme!D1945,Programme!E1945,Programme!F1945,Programme!G1945,Programme!H1945,Programme!I1945)</f>
        <v>&lt;/ValeurCellule&gt;</v>
      </c>
    </row>
    <row r="1945" spans="1:1" x14ac:dyDescent="0.2">
      <c r="A1945" s="1135" t="str">
        <f>CONCATENATE(Programme!C1946,Programme!D1946,Programme!E1946,Programme!F1946,Programme!G1946,Programme!H1946,Programme!I1946)</f>
        <v>&lt;ValeurCellule&gt;</v>
      </c>
    </row>
    <row r="1946" spans="1:1" x14ac:dyDescent="0.2">
      <c r="A1946" s="1135" t="str">
        <f>CONCATENATE(Programme!C1947,Programme!D1947,Programme!E1947,Programme!F1947,Programme!G1947,Programme!H1947,Programme!I1947)</f>
        <v>&lt;cellule&gt;</v>
      </c>
    </row>
    <row r="1947" spans="1:1" x14ac:dyDescent="0.2">
      <c r="A1947" s="1135" t="str">
        <f>CONCATENATE(Programme!C1948,Programme!D1948,Programme!E1948,Programme!F1948,Programme!G1948,Programme!H1948,Programme!I1948)</f>
        <v>&lt;codeEdi&gt;11257&lt;/codeEdi&gt;</v>
      </c>
    </row>
    <row r="1948" spans="1:1" x14ac:dyDescent="0.2">
      <c r="A1948" s="1135" t="str">
        <f>CONCATENATE(Programme!C1949,Programme!D1949,Programme!E1949,Programme!F1949,Programme!G1949,Programme!H1949,Programme!I1949)</f>
        <v>&lt;/cellule&gt;</v>
      </c>
    </row>
    <row r="1949" spans="1:1" x14ac:dyDescent="0.2">
      <c r="A1949" s="1135" t="str">
        <f>CONCATENATE(Programme!C1950,Programme!D1950,Programme!E1950,Programme!F1950,Programme!G1950,Programme!H1950,Programme!I1950)</f>
        <v>&lt;valeur&gt;0&lt;/valeur&gt;</v>
      </c>
    </row>
    <row r="1950" spans="1:1" x14ac:dyDescent="0.2">
      <c r="A1950" s="1135" t="str">
        <f>CONCATENATE(Programme!C1951,Programme!D1951,Programme!E1951,Programme!F1951,Programme!G1951,Programme!H1951,Programme!I1951)</f>
        <v>&lt;/ValeurCellule&gt;</v>
      </c>
    </row>
    <row r="1951" spans="1:1" x14ac:dyDescent="0.2">
      <c r="A1951" s="1135" t="str">
        <f>CONCATENATE(Programme!C1952,Programme!D1952,Programme!E1952,Programme!F1952,Programme!G1952,Programme!H1952,Programme!I1952)</f>
        <v>&lt;ValeurCellule&gt;</v>
      </c>
    </row>
    <row r="1952" spans="1:1" x14ac:dyDescent="0.2">
      <c r="A1952" s="1135" t="str">
        <f>CONCATENATE(Programme!C1953,Programme!D1953,Programme!E1953,Programme!F1953,Programme!G1953,Programme!H1953,Programme!I1953)</f>
        <v>&lt;cellule&gt;</v>
      </c>
    </row>
    <row r="1953" spans="1:1" x14ac:dyDescent="0.2">
      <c r="A1953" s="1135" t="str">
        <f>CONCATENATE(Programme!C1954,Programme!D1954,Programme!E1954,Programme!F1954,Programme!G1954,Programme!H1954,Programme!I1954)</f>
        <v>&lt;codeEdi&gt;11262&lt;/codeEdi&gt;</v>
      </c>
    </row>
    <row r="1954" spans="1:1" x14ac:dyDescent="0.2">
      <c r="A1954" s="1135" t="str">
        <f>CONCATENATE(Programme!C1955,Programme!D1955,Programme!E1955,Programme!F1955,Programme!G1955,Programme!H1955,Programme!I1955)</f>
        <v>&lt;/cellule&gt;</v>
      </c>
    </row>
    <row r="1955" spans="1:1" x14ac:dyDescent="0.2">
      <c r="A1955" s="1135" t="str">
        <f>CONCATENATE(Programme!C1956,Programme!D1956,Programme!E1956,Programme!F1956,Programme!G1956,Programme!H1956,Programme!I1956)</f>
        <v>&lt;valeur&gt;0&lt;/valeur&gt;</v>
      </c>
    </row>
    <row r="1956" spans="1:1" x14ac:dyDescent="0.2">
      <c r="A1956" s="1135" t="str">
        <f>CONCATENATE(Programme!C1957,Programme!D1957,Programme!E1957,Programme!F1957,Programme!G1957,Programme!H1957,Programme!I1957)</f>
        <v>&lt;/ValeurCellule&gt;</v>
      </c>
    </row>
    <row r="1957" spans="1:1" x14ac:dyDescent="0.2">
      <c r="A1957" s="1135" t="str">
        <f>CONCATENATE(Programme!C1958,Programme!D1958,Programme!E1958,Programme!F1958,Programme!G1958,Programme!H1958,Programme!I1958)</f>
        <v>&lt;ValeurCellule&gt;</v>
      </c>
    </row>
    <row r="1958" spans="1:1" x14ac:dyDescent="0.2">
      <c r="A1958" s="1135" t="str">
        <f>CONCATENATE(Programme!C1959,Programme!D1959,Programme!E1959,Programme!F1959,Programme!G1959,Programme!H1959,Programme!I1959)</f>
        <v>&lt;cellule&gt;</v>
      </c>
    </row>
    <row r="1959" spans="1:1" x14ac:dyDescent="0.2">
      <c r="A1959" s="1135" t="str">
        <f>CONCATENATE(Programme!C1960,Programme!D1960,Programme!E1960,Programme!F1960,Programme!G1960,Programme!H1960,Programme!I1960)</f>
        <v>&lt;codeEdi&gt;11203&lt;/codeEdi&gt;</v>
      </c>
    </row>
    <row r="1960" spans="1:1" x14ac:dyDescent="0.2">
      <c r="A1960" s="1135" t="str">
        <f>CONCATENATE(Programme!C1961,Programme!D1961,Programme!E1961,Programme!F1961,Programme!G1961,Programme!H1961,Programme!I1961)</f>
        <v>&lt;/cellule&gt;</v>
      </c>
    </row>
    <row r="1961" spans="1:1" x14ac:dyDescent="0.2">
      <c r="A1961" s="1135" t="str">
        <f>CONCATENATE(Programme!C1962,Programme!D1962,Programme!E1962,Programme!F1962,Programme!G1962,Programme!H1962,Programme!I1962)</f>
        <v>&lt;valeur&gt;0&lt;/valeur&gt;</v>
      </c>
    </row>
    <row r="1962" spans="1:1" x14ac:dyDescent="0.2">
      <c r="A1962" s="1135" t="str">
        <f>CONCATENATE(Programme!C1963,Programme!D1963,Programme!E1963,Programme!F1963,Programme!G1963,Programme!H1963,Programme!I1963)</f>
        <v>&lt;/ValeurCellule&gt;</v>
      </c>
    </row>
    <row r="1963" spans="1:1" x14ac:dyDescent="0.2">
      <c r="A1963" s="1135" t="str">
        <f>CONCATENATE(Programme!C1964,Programme!D1964,Programme!E1964,Programme!F1964,Programme!G1964,Programme!H1964,Programme!I1964)</f>
        <v>&lt;ValeurCellule&gt;</v>
      </c>
    </row>
    <row r="1964" spans="1:1" x14ac:dyDescent="0.2">
      <c r="A1964" s="1135" t="str">
        <f>CONCATENATE(Programme!C1965,Programme!D1965,Programme!E1965,Programme!F1965,Programme!G1965,Programme!H1965,Programme!I1965)</f>
        <v>&lt;cellule&gt;</v>
      </c>
    </row>
    <row r="1965" spans="1:1" x14ac:dyDescent="0.2">
      <c r="A1965" s="1135" t="str">
        <f>CONCATENATE(Programme!C1966,Programme!D1966,Programme!E1966,Programme!F1966,Programme!G1966,Programme!H1966,Programme!I1966)</f>
        <v>&lt;codeEdi&gt;11208&lt;/codeEdi&gt;</v>
      </c>
    </row>
    <row r="1966" spans="1:1" x14ac:dyDescent="0.2">
      <c r="A1966" s="1135" t="str">
        <f>CONCATENATE(Programme!C1967,Programme!D1967,Programme!E1967,Programme!F1967,Programme!G1967,Programme!H1967,Programme!I1967)</f>
        <v>&lt;/cellule&gt;</v>
      </c>
    </row>
    <row r="1967" spans="1:1" x14ac:dyDescent="0.2">
      <c r="A1967" s="1135" t="str">
        <f>CONCATENATE(Programme!C1968,Programme!D1968,Programme!E1968,Programme!F1968,Programme!G1968,Programme!H1968,Programme!I1968)</f>
        <v>&lt;valeur&gt;0&lt;/valeur&gt;</v>
      </c>
    </row>
    <row r="1968" spans="1:1" x14ac:dyDescent="0.2">
      <c r="A1968" s="1135" t="str">
        <f>CONCATENATE(Programme!C1969,Programme!D1969,Programme!E1969,Programme!F1969,Programme!G1969,Programme!H1969,Programme!I1969)</f>
        <v>&lt;/ValeurCellule&gt;</v>
      </c>
    </row>
    <row r="1969" spans="1:1" x14ac:dyDescent="0.2">
      <c r="A1969" s="1135" t="str">
        <f>CONCATENATE(Programme!C1970,Programme!D1970,Programme!E1970,Programme!F1970,Programme!G1970,Programme!H1970,Programme!I1970)</f>
        <v>&lt;ValeurCellule&gt;</v>
      </c>
    </row>
    <row r="1970" spans="1:1" x14ac:dyDescent="0.2">
      <c r="A1970" s="1135" t="str">
        <f>CONCATENATE(Programme!C1971,Programme!D1971,Programme!E1971,Programme!F1971,Programme!G1971,Programme!H1971,Programme!I1971)</f>
        <v>&lt;cellule&gt;</v>
      </c>
    </row>
    <row r="1971" spans="1:1" x14ac:dyDescent="0.2">
      <c r="A1971" s="1135" t="str">
        <f>CONCATENATE(Programme!C1972,Programme!D1972,Programme!E1972,Programme!F1972,Programme!G1972,Programme!H1972,Programme!I1972)</f>
        <v>&lt;codeEdi&gt;11213&lt;/codeEdi&gt;</v>
      </c>
    </row>
    <row r="1972" spans="1:1" x14ac:dyDescent="0.2">
      <c r="A1972" s="1135" t="str">
        <f>CONCATENATE(Programme!C1973,Programme!D1973,Programme!E1973,Programme!F1973,Programme!G1973,Programme!H1973,Programme!I1973)</f>
        <v>&lt;/cellule&gt;</v>
      </c>
    </row>
    <row r="1973" spans="1:1" x14ac:dyDescent="0.2">
      <c r="A1973" s="1135" t="str">
        <f>CONCATENATE(Programme!C1974,Programme!D1974,Programme!E1974,Programme!F1974,Programme!G1974,Programme!H1974,Programme!I1974)</f>
        <v>&lt;valeur&gt;0&lt;/valeur&gt;</v>
      </c>
    </row>
    <row r="1974" spans="1:1" x14ac:dyDescent="0.2">
      <c r="A1974" s="1135" t="str">
        <f>CONCATENATE(Programme!C1975,Programme!D1975,Programme!E1975,Programme!F1975,Programme!G1975,Programme!H1975,Programme!I1975)</f>
        <v>&lt;/ValeurCellule&gt;</v>
      </c>
    </row>
    <row r="1975" spans="1:1" x14ac:dyDescent="0.2">
      <c r="A1975" s="1135" t="str">
        <f>CONCATENATE(Programme!C1976,Programme!D1976,Programme!E1976,Programme!F1976,Programme!G1976,Programme!H1976,Programme!I1976)</f>
        <v>&lt;ValeurCellule&gt;</v>
      </c>
    </row>
    <row r="1976" spans="1:1" x14ac:dyDescent="0.2">
      <c r="A1976" s="1135" t="str">
        <f>CONCATENATE(Programme!C1977,Programme!D1977,Programme!E1977,Programme!F1977,Programme!G1977,Programme!H1977,Programme!I1977)</f>
        <v>&lt;cellule&gt;</v>
      </c>
    </row>
    <row r="1977" spans="1:1" x14ac:dyDescent="0.2">
      <c r="A1977" s="1135" t="str">
        <f>CONCATENATE(Programme!C1978,Programme!D1978,Programme!E1978,Programme!F1978,Programme!G1978,Programme!H1978,Programme!I1978)</f>
        <v>&lt;codeEdi&gt;11218&lt;/codeEdi&gt;</v>
      </c>
    </row>
    <row r="1978" spans="1:1" x14ac:dyDescent="0.2">
      <c r="A1978" s="1135" t="str">
        <f>CONCATENATE(Programme!C1979,Programme!D1979,Programme!E1979,Programme!F1979,Programme!G1979,Programme!H1979,Programme!I1979)</f>
        <v>&lt;/cellule&gt;</v>
      </c>
    </row>
    <row r="1979" spans="1:1" x14ac:dyDescent="0.2">
      <c r="A1979" s="1135" t="str">
        <f>CONCATENATE(Programme!C1980,Programme!D1980,Programme!E1980,Programme!F1980,Programme!G1980,Programme!H1980,Programme!I1980)</f>
        <v>&lt;valeur&gt;381666,67&lt;/valeur&gt;</v>
      </c>
    </row>
    <row r="1980" spans="1:1" x14ac:dyDescent="0.2">
      <c r="A1980" s="1135" t="str">
        <f>CONCATENATE(Programme!C1981,Programme!D1981,Programme!E1981,Programme!F1981,Programme!G1981,Programme!H1981,Programme!I1981)</f>
        <v>&lt;/ValeurCellule&gt;</v>
      </c>
    </row>
    <row r="1981" spans="1:1" x14ac:dyDescent="0.2">
      <c r="A1981" s="1135" t="str">
        <f>CONCATENATE(Programme!C1982,Programme!D1982,Programme!E1982,Programme!F1982,Programme!G1982,Programme!H1982,Programme!I1982)</f>
        <v>&lt;ValeurCellule&gt;</v>
      </c>
    </row>
    <row r="1982" spans="1:1" x14ac:dyDescent="0.2">
      <c r="A1982" s="1135" t="str">
        <f>CONCATENATE(Programme!C1983,Programme!D1983,Programme!E1983,Programme!F1983,Programme!G1983,Programme!H1983,Programme!I1983)</f>
        <v>&lt;cellule&gt;</v>
      </c>
    </row>
    <row r="1983" spans="1:1" x14ac:dyDescent="0.2">
      <c r="A1983" s="1135" t="str">
        <f>CONCATENATE(Programme!C1984,Programme!D1984,Programme!E1984,Programme!F1984,Programme!G1984,Programme!H1984,Programme!I1984)</f>
        <v>&lt;codeEdi&gt;11223&lt;/codeEdi&gt;</v>
      </c>
    </row>
    <row r="1984" spans="1:1" x14ac:dyDescent="0.2">
      <c r="A1984" s="1135" t="str">
        <f>CONCATENATE(Programme!C1985,Programme!D1985,Programme!E1985,Programme!F1985,Programme!G1985,Programme!H1985,Programme!I1985)</f>
        <v>&lt;/cellule&gt;</v>
      </c>
    </row>
    <row r="1985" spans="1:1" x14ac:dyDescent="0.2">
      <c r="A1985" s="1135" t="str">
        <f>CONCATENATE(Programme!C1986,Programme!D1986,Programme!E1986,Programme!F1986,Programme!G1986,Programme!H1986,Programme!I1986)</f>
        <v>&lt;valeur&gt;0&lt;/valeur&gt;</v>
      </c>
    </row>
    <row r="1986" spans="1:1" x14ac:dyDescent="0.2">
      <c r="A1986" s="1135" t="str">
        <f>CONCATENATE(Programme!C1987,Programme!D1987,Programme!E1987,Programme!F1987,Programme!G1987,Programme!H1987,Programme!I1987)</f>
        <v>&lt;/ValeurCellule&gt;</v>
      </c>
    </row>
    <row r="1987" spans="1:1" x14ac:dyDescent="0.2">
      <c r="A1987" s="1135" t="str">
        <f>CONCATENATE(Programme!C1988,Programme!D1988,Programme!E1988,Programme!F1988,Programme!G1988,Programme!H1988,Programme!I1988)</f>
        <v>&lt;ValeurCellule&gt;</v>
      </c>
    </row>
    <row r="1988" spans="1:1" x14ac:dyDescent="0.2">
      <c r="A1988" s="1135" t="str">
        <f>CONCATENATE(Programme!C1989,Programme!D1989,Programme!E1989,Programme!F1989,Programme!G1989,Programme!H1989,Programme!I1989)</f>
        <v>&lt;cellule&gt;</v>
      </c>
    </row>
    <row r="1989" spans="1:1" x14ac:dyDescent="0.2">
      <c r="A1989" s="1135" t="str">
        <f>CONCATENATE(Programme!C1990,Programme!D1990,Programme!E1990,Programme!F1990,Programme!G1990,Programme!H1990,Programme!I1990)</f>
        <v>&lt;codeEdi&gt;11228&lt;/codeEdi&gt;</v>
      </c>
    </row>
    <row r="1990" spans="1:1" x14ac:dyDescent="0.2">
      <c r="A1990" s="1135" t="str">
        <f>CONCATENATE(Programme!C1991,Programme!D1991,Programme!E1991,Programme!F1991,Programme!G1991,Programme!H1991,Programme!I1991)</f>
        <v>&lt;/cellule&gt;</v>
      </c>
    </row>
    <row r="1991" spans="1:1" x14ac:dyDescent="0.2">
      <c r="A1991" s="1135" t="str">
        <f>CONCATENATE(Programme!C1992,Programme!D1992,Programme!E1992,Programme!F1992,Programme!G1992,Programme!H1992,Programme!I1992)</f>
        <v>&lt;valeur&gt;313873,12&lt;/valeur&gt;</v>
      </c>
    </row>
    <row r="1992" spans="1:1" x14ac:dyDescent="0.2">
      <c r="A1992" s="1135" t="str">
        <f>CONCATENATE(Programme!C1993,Programme!D1993,Programme!E1993,Programme!F1993,Programme!G1993,Programme!H1993,Programme!I1993)</f>
        <v>&lt;/ValeurCellule&gt;</v>
      </c>
    </row>
    <row r="1993" spans="1:1" x14ac:dyDescent="0.2">
      <c r="A1993" s="1135" t="str">
        <f>CONCATENATE(Programme!C1994,Programme!D1994,Programme!E1994,Programme!F1994,Programme!G1994,Programme!H1994,Programme!I1994)</f>
        <v>&lt;ValeurCellule&gt;</v>
      </c>
    </row>
    <row r="1994" spans="1:1" x14ac:dyDescent="0.2">
      <c r="A1994" s="1135" t="str">
        <f>CONCATENATE(Programme!C1995,Programme!D1995,Programme!E1995,Programme!F1995,Programme!G1995,Programme!H1995,Programme!I1995)</f>
        <v>&lt;cellule&gt;</v>
      </c>
    </row>
    <row r="1995" spans="1:1" x14ac:dyDescent="0.2">
      <c r="A1995" s="1135" t="str">
        <f>CONCATENATE(Programme!C1996,Programme!D1996,Programme!E1996,Programme!F1996,Programme!G1996,Programme!H1996,Programme!I1996)</f>
        <v>&lt;codeEdi&gt;11233&lt;/codeEdi&gt;</v>
      </c>
    </row>
    <row r="1996" spans="1:1" x14ac:dyDescent="0.2">
      <c r="A1996" s="1135" t="str">
        <f>CONCATENATE(Programme!C1997,Programme!D1997,Programme!E1997,Programme!F1997,Programme!G1997,Programme!H1997,Programme!I1997)</f>
        <v>&lt;/cellule&gt;</v>
      </c>
    </row>
    <row r="1997" spans="1:1" x14ac:dyDescent="0.2">
      <c r="A1997" s="1135" t="str">
        <f>CONCATENATE(Programme!C1998,Programme!D1998,Programme!E1998,Programme!F1998,Programme!G1998,Programme!H1998,Programme!I1998)</f>
        <v>&lt;valeur&gt;67793,55&lt;/valeur&gt;</v>
      </c>
    </row>
    <row r="1998" spans="1:1" x14ac:dyDescent="0.2">
      <c r="A1998" s="1135" t="str">
        <f>CONCATENATE(Programme!C1999,Programme!D1999,Programme!E1999,Programme!F1999,Programme!G1999,Programme!H1999,Programme!I1999)</f>
        <v>&lt;/ValeurCellule&gt;</v>
      </c>
    </row>
    <row r="1999" spans="1:1" x14ac:dyDescent="0.2">
      <c r="A1999" s="1135" t="str">
        <f>CONCATENATE(Programme!C2000,Programme!D2000,Programme!E2000,Programme!F2000,Programme!G2000,Programme!H2000,Programme!I2000)</f>
        <v>&lt;ValeurCellule&gt;</v>
      </c>
    </row>
    <row r="2000" spans="1:1" x14ac:dyDescent="0.2">
      <c r="A2000" s="1135" t="str">
        <f>CONCATENATE(Programme!C2001,Programme!D2001,Programme!E2001,Programme!F2001,Programme!G2001,Programme!H2001,Programme!I2001)</f>
        <v>&lt;cellule&gt;</v>
      </c>
    </row>
    <row r="2001" spans="1:1" x14ac:dyDescent="0.2">
      <c r="A2001" s="1135" t="str">
        <f>CONCATENATE(Programme!C2002,Programme!D2002,Programme!E2002,Programme!F2002,Programme!G2002,Programme!H2002,Programme!I2002)</f>
        <v>&lt;codeEdi&gt;11178&lt;/codeEdi&gt;</v>
      </c>
    </row>
    <row r="2002" spans="1:1" x14ac:dyDescent="0.2">
      <c r="A2002" s="1135" t="str">
        <f>CONCATENATE(Programme!C2003,Programme!D2003,Programme!E2003,Programme!F2003,Programme!G2003,Programme!H2003,Programme!I2003)</f>
        <v>&lt;/cellule&gt;</v>
      </c>
    </row>
    <row r="2003" spans="1:1" x14ac:dyDescent="0.2">
      <c r="A2003" s="1135" t="str">
        <f>CONCATENATE(Programme!C2004,Programme!D2004,Programme!E2004,Programme!F2004,Programme!G2004,Programme!H2004,Programme!I2004)</f>
        <v>&lt;valeur&gt;381666,67&lt;/valeur&gt;</v>
      </c>
    </row>
    <row r="2004" spans="1:1" x14ac:dyDescent="0.2">
      <c r="A2004" s="1135" t="str">
        <f>CONCATENATE(Programme!C2005,Programme!D2005,Programme!E2005,Programme!F2005,Programme!G2005,Programme!H2005,Programme!I2005)</f>
        <v>&lt;/ValeurCellule&gt;</v>
      </c>
    </row>
    <row r="2005" spans="1:1" x14ac:dyDescent="0.2">
      <c r="A2005" s="1135" t="str">
        <f>CONCATENATE(Programme!C2006,Programme!D2006,Programme!E2006,Programme!F2006,Programme!G2006,Programme!H2006,Programme!I2006)</f>
        <v>&lt;ValeurCellule&gt;</v>
      </c>
    </row>
    <row r="2006" spans="1:1" x14ac:dyDescent="0.2">
      <c r="A2006" s="1135" t="str">
        <f>CONCATENATE(Programme!C2007,Programme!D2007,Programme!E2007,Programme!F2007,Programme!G2007,Programme!H2007,Programme!I2007)</f>
        <v>&lt;cellule&gt;</v>
      </c>
    </row>
    <row r="2007" spans="1:1" x14ac:dyDescent="0.2">
      <c r="A2007" s="1135" t="str">
        <f>CONCATENATE(Programme!C2008,Programme!D2008,Programme!E2008,Programme!F2008,Programme!G2008,Programme!H2008,Programme!I2008)</f>
        <v>&lt;codeEdi&gt;11183&lt;/codeEdi&gt;</v>
      </c>
    </row>
    <row r="2008" spans="1:1" x14ac:dyDescent="0.2">
      <c r="A2008" s="1135" t="str">
        <f>CONCATENATE(Programme!C2009,Programme!D2009,Programme!E2009,Programme!F2009,Programme!G2009,Programme!H2009,Programme!I2009)</f>
        <v>&lt;/cellule&gt;</v>
      </c>
    </row>
    <row r="2009" spans="1:1" x14ac:dyDescent="0.2">
      <c r="A2009" s="1135" t="str">
        <f>CONCATENATE(Programme!C2010,Programme!D2010,Programme!E2010,Programme!F2010,Programme!G2010,Programme!H2010,Programme!I2010)</f>
        <v>&lt;valeur&gt;0&lt;/valeur&gt;</v>
      </c>
    </row>
    <row r="2010" spans="1:1" x14ac:dyDescent="0.2">
      <c r="A2010" s="1135" t="str">
        <f>CONCATENATE(Programme!C2011,Programme!D2011,Programme!E2011,Programme!F2011,Programme!G2011,Programme!H2011,Programme!I2011)</f>
        <v>&lt;/ValeurCellule&gt;</v>
      </c>
    </row>
    <row r="2011" spans="1:1" x14ac:dyDescent="0.2">
      <c r="A2011" s="1135" t="str">
        <f>CONCATENATE(Programme!C2012,Programme!D2012,Programme!E2012,Programme!F2012,Programme!G2012,Programme!H2012,Programme!I2012)</f>
        <v>&lt;ValeurCellule&gt;</v>
      </c>
    </row>
    <row r="2012" spans="1:1" x14ac:dyDescent="0.2">
      <c r="A2012" s="1135" t="str">
        <f>CONCATENATE(Programme!C2013,Programme!D2013,Programme!E2013,Programme!F2013,Programme!G2013,Programme!H2013,Programme!I2013)</f>
        <v>&lt;cellule&gt;</v>
      </c>
    </row>
    <row r="2013" spans="1:1" x14ac:dyDescent="0.2">
      <c r="A2013" s="1135" t="str">
        <f>CONCATENATE(Programme!C2014,Programme!D2014,Programme!E2014,Programme!F2014,Programme!G2014,Programme!H2014,Programme!I2014)</f>
        <v>&lt;codeEdi&gt;11188&lt;/codeEdi&gt;</v>
      </c>
    </row>
    <row r="2014" spans="1:1" x14ac:dyDescent="0.2">
      <c r="A2014" s="1135" t="str">
        <f>CONCATENATE(Programme!C2015,Programme!D2015,Programme!E2015,Programme!F2015,Programme!G2015,Programme!H2015,Programme!I2015)</f>
        <v>&lt;/cellule&gt;</v>
      </c>
    </row>
    <row r="2015" spans="1:1" x14ac:dyDescent="0.2">
      <c r="A2015" s="1135" t="str">
        <f>CONCATENATE(Programme!C2016,Programme!D2016,Programme!E2016,Programme!F2016,Programme!G2016,Programme!H2016,Programme!I2016)</f>
        <v>&lt;valeur&gt;381666,67&lt;/valeur&gt;</v>
      </c>
    </row>
    <row r="2016" spans="1:1" x14ac:dyDescent="0.2">
      <c r="A2016" s="1135" t="str">
        <f>CONCATENATE(Programme!C2017,Programme!D2017,Programme!E2017,Programme!F2017,Programme!G2017,Programme!H2017,Programme!I2017)</f>
        <v>&lt;/ValeurCellule&gt;</v>
      </c>
    </row>
    <row r="2017" spans="1:1" x14ac:dyDescent="0.2">
      <c r="A2017" s="1135" t="str">
        <f>CONCATENATE(Programme!C2018,Programme!D2018,Programme!E2018,Programme!F2018,Programme!G2018,Programme!H2018,Programme!I2018)</f>
        <v>&lt;ValeurCellule&gt;</v>
      </c>
    </row>
    <row r="2018" spans="1:1" x14ac:dyDescent="0.2">
      <c r="A2018" s="1135" t="str">
        <f>CONCATENATE(Programme!C2019,Programme!D2019,Programme!E2019,Programme!F2019,Programme!G2019,Programme!H2019,Programme!I2019)</f>
        <v>&lt;cellule&gt;</v>
      </c>
    </row>
    <row r="2019" spans="1:1" x14ac:dyDescent="0.2">
      <c r="A2019" s="1135" t="str">
        <f>CONCATENATE(Programme!C2020,Programme!D2020,Programme!E2020,Programme!F2020,Programme!G2020,Programme!H2020,Programme!I2020)</f>
        <v>&lt;codeEdi&gt;11193&lt;/codeEdi&gt;</v>
      </c>
    </row>
    <row r="2020" spans="1:1" x14ac:dyDescent="0.2">
      <c r="A2020" s="1135" t="str">
        <f>CONCATENATE(Programme!C2021,Programme!D2021,Programme!E2021,Programme!F2021,Programme!G2021,Programme!H2021,Programme!I2021)</f>
        <v>&lt;/cellule&gt;</v>
      </c>
    </row>
    <row r="2021" spans="1:1" x14ac:dyDescent="0.2">
      <c r="A2021" s="1135" t="str">
        <f>CONCATENATE(Programme!C2022,Programme!D2022,Programme!E2022,Programme!F2022,Programme!G2022,Programme!H2022,Programme!I2022)</f>
        <v>&lt;valeur&gt;0&lt;/valeur&gt;</v>
      </c>
    </row>
    <row r="2022" spans="1:1" x14ac:dyDescent="0.2">
      <c r="A2022" s="1135" t="str">
        <f>CONCATENATE(Programme!C2023,Programme!D2023,Programme!E2023,Programme!F2023,Programme!G2023,Programme!H2023,Programme!I2023)</f>
        <v>&lt;/ValeurCellule&gt;</v>
      </c>
    </row>
    <row r="2023" spans="1:1" x14ac:dyDescent="0.2">
      <c r="A2023" s="1135" t="str">
        <f>CONCATENATE(Programme!C2024,Programme!D2024,Programme!E2024,Programme!F2024,Programme!G2024,Programme!H2024,Programme!I2024)</f>
        <v>&lt;ValeurCellule&gt;</v>
      </c>
    </row>
    <row r="2024" spans="1:1" x14ac:dyDescent="0.2">
      <c r="A2024" s="1135" t="str">
        <f>CONCATENATE(Programme!C2025,Programme!D2025,Programme!E2025,Programme!F2025,Programme!G2025,Programme!H2025,Programme!I2025)</f>
        <v>&lt;cellule&gt;</v>
      </c>
    </row>
    <row r="2025" spans="1:1" x14ac:dyDescent="0.2">
      <c r="A2025" s="1135" t="str">
        <f>CONCATENATE(Programme!C2026,Programme!D2026,Programme!E2026,Programme!F2026,Programme!G2026,Programme!H2026,Programme!I2026)</f>
        <v>&lt;codeEdi&gt;11198&lt;/codeEdi&gt;</v>
      </c>
    </row>
    <row r="2026" spans="1:1" x14ac:dyDescent="0.2">
      <c r="A2026" s="1135" t="str">
        <f>CONCATENATE(Programme!C2027,Programme!D2027,Programme!E2027,Programme!F2027,Programme!G2027,Programme!H2027,Programme!I2027)</f>
        <v>&lt;/cellule&gt;</v>
      </c>
    </row>
    <row r="2027" spans="1:1" x14ac:dyDescent="0.2">
      <c r="A2027" s="1135" t="str">
        <f>CONCATENATE(Programme!C2028,Programme!D2028,Programme!E2028,Programme!F2028,Programme!G2028,Programme!H2028,Programme!I2028)</f>
        <v>&lt;valeur&gt;0&lt;/valeur&gt;</v>
      </c>
    </row>
    <row r="2028" spans="1:1" x14ac:dyDescent="0.2">
      <c r="A2028" s="1135" t="str">
        <f>CONCATENATE(Programme!C2029,Programme!D2029,Programme!E2029,Programme!F2029,Programme!G2029,Programme!H2029,Programme!I2029)</f>
        <v>&lt;/ValeurCellule&gt;</v>
      </c>
    </row>
    <row r="2029" spans="1:1" x14ac:dyDescent="0.2">
      <c r="A2029" s="1135" t="str">
        <f>CONCATENATE(Programme!C2030,Programme!D2030,Programme!E2030,Programme!F2030,Programme!G2030,Programme!H2030,Programme!I2030)</f>
        <v>&lt;ValeurCellule&gt;</v>
      </c>
    </row>
    <row r="2030" spans="1:1" x14ac:dyDescent="0.2">
      <c r="A2030" s="1135" t="str">
        <f>CONCATENATE(Programme!C2031,Programme!D2031,Programme!E2031,Programme!F2031,Programme!G2031,Programme!H2031,Programme!I2031)</f>
        <v>&lt;cellule&gt;</v>
      </c>
    </row>
    <row r="2031" spans="1:1" x14ac:dyDescent="0.2">
      <c r="A2031" s="1135" t="str">
        <f>CONCATENATE(Programme!C2032,Programme!D2032,Programme!E2032,Programme!F2032,Programme!G2032,Programme!H2032,Programme!I2032)</f>
        <v>&lt;codeEdi&gt;11268&lt;/codeEdi&gt;</v>
      </c>
    </row>
    <row r="2032" spans="1:1" x14ac:dyDescent="0.2">
      <c r="A2032" s="1135" t="str">
        <f>CONCATENATE(Programme!C2033,Programme!D2033,Programme!E2033,Programme!F2033,Programme!G2033,Programme!H2033,Programme!I2033)</f>
        <v>&lt;/cellule&gt;</v>
      </c>
    </row>
    <row r="2033" spans="1:1" x14ac:dyDescent="0.2">
      <c r="A2033" s="1135" t="str">
        <f>CONCATENATE(Programme!C2034,Programme!D2034,Programme!E2034,Programme!F2034,Programme!G2034,Programme!H2034,Programme!I2034)</f>
        <v>&lt;valeur&gt;34176,55&lt;/valeur&gt;</v>
      </c>
    </row>
    <row r="2034" spans="1:1" x14ac:dyDescent="0.2">
      <c r="A2034" s="1135" t="str">
        <f>CONCATENATE(Programme!C2035,Programme!D2035,Programme!E2035,Programme!F2035,Programme!G2035,Programme!H2035,Programme!I2035)</f>
        <v>&lt;/ValeurCellule&gt;</v>
      </c>
    </row>
    <row r="2035" spans="1:1" x14ac:dyDescent="0.2">
      <c r="A2035" s="1135" t="str">
        <f>CONCATENATE(Programme!C2036,Programme!D2036,Programme!E2036,Programme!F2036,Programme!G2036,Programme!H2036,Programme!I2036)</f>
        <v>&lt;ValeurCellule&gt;</v>
      </c>
    </row>
    <row r="2036" spans="1:1" x14ac:dyDescent="0.2">
      <c r="A2036" s="1135" t="str">
        <f>CONCATENATE(Programme!C2037,Programme!D2037,Programme!E2037,Programme!F2037,Programme!G2037,Programme!H2037,Programme!I2037)</f>
        <v>&lt;cellule&gt;</v>
      </c>
    </row>
    <row r="2037" spans="1:1" x14ac:dyDescent="0.2">
      <c r="A2037" s="1135" t="str">
        <f>CONCATENATE(Programme!C2038,Programme!D2038,Programme!E2038,Programme!F2038,Programme!G2038,Programme!H2038,Programme!I2038)</f>
        <v>&lt;codeEdi&gt;11238&lt;/codeEdi&gt;</v>
      </c>
    </row>
    <row r="2038" spans="1:1" x14ac:dyDescent="0.2">
      <c r="A2038" s="1135" t="str">
        <f>CONCATENATE(Programme!C2039,Programme!D2039,Programme!E2039,Programme!F2039,Programme!G2039,Programme!H2039,Programme!I2039)</f>
        <v>&lt;/cellule&gt;</v>
      </c>
    </row>
    <row r="2039" spans="1:1" x14ac:dyDescent="0.2">
      <c r="A2039" s="1135" t="str">
        <f>CONCATENATE(Programme!C2040,Programme!D2040,Programme!E2040,Programme!F2040,Programme!G2040,Programme!H2040,Programme!I2040)</f>
        <v>&lt;valeur&gt;313873,12&lt;/valeur&gt;</v>
      </c>
    </row>
    <row r="2040" spans="1:1" x14ac:dyDescent="0.2">
      <c r="A2040" s="1135" t="str">
        <f>CONCATENATE(Programme!C2041,Programme!D2041,Programme!E2041,Programme!F2041,Programme!G2041,Programme!H2041,Programme!I2041)</f>
        <v>&lt;/ValeurCellule&gt;</v>
      </c>
    </row>
    <row r="2041" spans="1:1" x14ac:dyDescent="0.2">
      <c r="A2041" s="1135" t="str">
        <f>CONCATENATE(Programme!C2042,Programme!D2042,Programme!E2042,Programme!F2042,Programme!G2042,Programme!H2042,Programme!I2042)</f>
        <v>&lt;ValeurCellule&gt;</v>
      </c>
    </row>
    <row r="2042" spans="1:1" x14ac:dyDescent="0.2">
      <c r="A2042" s="1135" t="str">
        <f>CONCATENATE(Programme!C2043,Programme!D2043,Programme!E2043,Programme!F2043,Programme!G2043,Programme!H2043,Programme!I2043)</f>
        <v>&lt;cellule&gt;</v>
      </c>
    </row>
    <row r="2043" spans="1:1" x14ac:dyDescent="0.2">
      <c r="A2043" s="1135" t="str">
        <f>CONCATENATE(Programme!C2044,Programme!D2044,Programme!E2044,Programme!F2044,Programme!G2044,Programme!H2044,Programme!I2044)</f>
        <v>&lt;codeEdi&gt;11243&lt;/codeEdi&gt;</v>
      </c>
    </row>
    <row r="2044" spans="1:1" x14ac:dyDescent="0.2">
      <c r="A2044" s="1135" t="str">
        <f>CONCATENATE(Programme!C2045,Programme!D2045,Programme!E2045,Programme!F2045,Programme!G2045,Programme!H2045,Programme!I2045)</f>
        <v>&lt;/cellule&gt;</v>
      </c>
    </row>
    <row r="2045" spans="1:1" x14ac:dyDescent="0.2">
      <c r="A2045" s="1135" t="str">
        <f>CONCATENATE(Programme!C2046,Programme!D2046,Programme!E2046,Programme!F2046,Programme!G2046,Programme!H2046,Programme!I2046)</f>
        <v>&lt;valeur&gt;172843,76&lt;/valeur&gt;</v>
      </c>
    </row>
    <row r="2046" spans="1:1" x14ac:dyDescent="0.2">
      <c r="A2046" s="1135" t="str">
        <f>CONCATENATE(Programme!C2047,Programme!D2047,Programme!E2047,Programme!F2047,Programme!G2047,Programme!H2047,Programme!I2047)</f>
        <v>&lt;/ValeurCellule&gt;</v>
      </c>
    </row>
    <row r="2047" spans="1:1" x14ac:dyDescent="0.2">
      <c r="A2047" s="1135" t="str">
        <f>CONCATENATE(Programme!C2048,Programme!D2048,Programme!E2048,Programme!F2048,Programme!G2048,Programme!H2048,Programme!I2048)</f>
        <v>&lt;ValeurCellule&gt;</v>
      </c>
    </row>
    <row r="2048" spans="1:1" x14ac:dyDescent="0.2">
      <c r="A2048" s="1135" t="str">
        <f>CONCATENATE(Programme!C2049,Programme!D2049,Programme!E2049,Programme!F2049,Programme!G2049,Programme!H2049,Programme!I2049)</f>
        <v>&lt;cellule&gt;</v>
      </c>
    </row>
    <row r="2049" spans="1:1" x14ac:dyDescent="0.2">
      <c r="A2049" s="1135" t="str">
        <f>CONCATENATE(Programme!C2050,Programme!D2050,Programme!E2050,Programme!F2050,Programme!G2050,Programme!H2050,Programme!I2050)</f>
        <v>&lt;codeEdi&gt;11248&lt;/codeEdi&gt;</v>
      </c>
    </row>
    <row r="2050" spans="1:1" x14ac:dyDescent="0.2">
      <c r="A2050" s="1135" t="str">
        <f>CONCATENATE(Programme!C2051,Programme!D2051,Programme!E2051,Programme!F2051,Programme!G2051,Programme!H2051,Programme!I2051)</f>
        <v>&lt;/cellule&gt;</v>
      </c>
    </row>
    <row r="2051" spans="1:1" x14ac:dyDescent="0.2">
      <c r="A2051" s="1135" t="str">
        <f>CONCATENATE(Programme!C2052,Programme!D2052,Programme!E2052,Programme!F2052,Programme!G2052,Programme!H2052,Programme!I2052)</f>
        <v>&lt;valeur&gt;0&lt;/valeur&gt;</v>
      </c>
    </row>
    <row r="2052" spans="1:1" x14ac:dyDescent="0.2">
      <c r="A2052" s="1135" t="str">
        <f>CONCATENATE(Programme!C2053,Programme!D2053,Programme!E2053,Programme!F2053,Programme!G2053,Programme!H2053,Programme!I2053)</f>
        <v>&lt;/ValeurCellule&gt;</v>
      </c>
    </row>
    <row r="2053" spans="1:1" x14ac:dyDescent="0.2">
      <c r="A2053" s="1135" t="str">
        <f>CONCATENATE(Programme!C2054,Programme!D2054,Programme!E2054,Programme!F2054,Programme!G2054,Programme!H2054,Programme!I2054)</f>
        <v>&lt;ValeurCellule&gt;</v>
      </c>
    </row>
    <row r="2054" spans="1:1" x14ac:dyDescent="0.2">
      <c r="A2054" s="1135" t="str">
        <f>CONCATENATE(Programme!C2055,Programme!D2055,Programme!E2055,Programme!F2055,Programme!G2055,Programme!H2055,Programme!I2055)</f>
        <v>&lt;cellule&gt;</v>
      </c>
    </row>
    <row r="2055" spans="1:1" x14ac:dyDescent="0.2">
      <c r="A2055" s="1135" t="str">
        <f>CONCATENATE(Programme!C2056,Programme!D2056,Programme!E2056,Programme!F2056,Programme!G2056,Programme!H2056,Programme!I2056)</f>
        <v>&lt;codeEdi&gt;11253&lt;/codeEdi&gt;</v>
      </c>
    </row>
    <row r="2056" spans="1:1" x14ac:dyDescent="0.2">
      <c r="A2056" s="1135" t="str">
        <f>CONCATENATE(Programme!C2057,Programme!D2057,Programme!E2057,Programme!F2057,Programme!G2057,Programme!H2057,Programme!I2057)</f>
        <v>&lt;/cellule&gt;</v>
      </c>
    </row>
    <row r="2057" spans="1:1" x14ac:dyDescent="0.2">
      <c r="A2057" s="1135" t="str">
        <f>CONCATENATE(Programme!C2058,Programme!D2058,Programme!E2058,Programme!F2058,Programme!G2058,Programme!H2058,Programme!I2058)</f>
        <v>&lt;valeur&gt;28187&lt;/valeur&gt;</v>
      </c>
    </row>
    <row r="2058" spans="1:1" x14ac:dyDescent="0.2">
      <c r="A2058" s="1135" t="str">
        <f>CONCATENATE(Programme!C2059,Programme!D2059,Programme!E2059,Programme!F2059,Programme!G2059,Programme!H2059,Programme!I2059)</f>
        <v>&lt;/ValeurCellule&gt;</v>
      </c>
    </row>
    <row r="2059" spans="1:1" x14ac:dyDescent="0.2">
      <c r="A2059" s="1135" t="str">
        <f>CONCATENATE(Programme!C2060,Programme!D2060,Programme!E2060,Programme!F2060,Programme!G2060,Programme!H2060,Programme!I2060)</f>
        <v>&lt;ValeurCellule&gt;</v>
      </c>
    </row>
    <row r="2060" spans="1:1" x14ac:dyDescent="0.2">
      <c r="A2060" s="1135" t="str">
        <f>CONCATENATE(Programme!C2061,Programme!D2061,Programme!E2061,Programme!F2061,Programme!G2061,Programme!H2061,Programme!I2061)</f>
        <v>&lt;cellule&gt;</v>
      </c>
    </row>
    <row r="2061" spans="1:1" x14ac:dyDescent="0.2">
      <c r="A2061" s="1135" t="str">
        <f>CONCATENATE(Programme!C2062,Programme!D2062,Programme!E2062,Programme!F2062,Programme!G2062,Programme!H2062,Programme!I2062)</f>
        <v>&lt;codeEdi&gt;11258&lt;/codeEdi&gt;</v>
      </c>
    </row>
    <row r="2062" spans="1:1" x14ac:dyDescent="0.2">
      <c r="A2062" s="1135" t="str">
        <f>CONCATENATE(Programme!C2063,Programme!D2063,Programme!E2063,Programme!F2063,Programme!G2063,Programme!H2063,Programme!I2063)</f>
        <v>&lt;/cellule&gt;</v>
      </c>
    </row>
    <row r="2063" spans="1:1" x14ac:dyDescent="0.2">
      <c r="A2063" s="1135" t="str">
        <f>CONCATENATE(Programme!C2064,Programme!D2064,Programme!E2064,Programme!F2064,Programme!G2064,Programme!H2064,Programme!I2064)</f>
        <v>&lt;valeur&gt;0&lt;/valeur&gt;</v>
      </c>
    </row>
    <row r="2064" spans="1:1" x14ac:dyDescent="0.2">
      <c r="A2064" s="1135" t="str">
        <f>CONCATENATE(Programme!C2065,Programme!D2065,Programme!E2065,Programme!F2065,Programme!G2065,Programme!H2065,Programme!I2065)</f>
        <v>&lt;/ValeurCellule&gt;</v>
      </c>
    </row>
    <row r="2065" spans="1:1" x14ac:dyDescent="0.2">
      <c r="A2065" s="1135" t="str">
        <f>CONCATENATE(Programme!C2066,Programme!D2066,Programme!E2066,Programme!F2066,Programme!G2066,Programme!H2066,Programme!I2066)</f>
        <v>&lt;ValeurCellule&gt;</v>
      </c>
    </row>
    <row r="2066" spans="1:1" x14ac:dyDescent="0.2">
      <c r="A2066" s="1135" t="str">
        <f>CONCATENATE(Programme!C2067,Programme!D2067,Programme!E2067,Programme!F2067,Programme!G2067,Programme!H2067,Programme!I2067)</f>
        <v>&lt;cellule&gt;</v>
      </c>
    </row>
    <row r="2067" spans="1:1" x14ac:dyDescent="0.2">
      <c r="A2067" s="1135" t="str">
        <f>CONCATENATE(Programme!C2068,Programme!D2068,Programme!E2068,Programme!F2068,Programme!G2068,Programme!H2068,Programme!I2068)</f>
        <v>&lt;codeEdi&gt;11263&lt;/codeEdi&gt;</v>
      </c>
    </row>
    <row r="2068" spans="1:1" x14ac:dyDescent="0.2">
      <c r="A2068" s="1135" t="str">
        <f>CONCATENATE(Programme!C2069,Programme!D2069,Programme!E2069,Programme!F2069,Programme!G2069,Programme!H2069,Programme!I2069)</f>
        <v>&lt;/cellule&gt;</v>
      </c>
    </row>
    <row r="2069" spans="1:1" x14ac:dyDescent="0.2">
      <c r="A2069" s="1135" t="str">
        <f>CONCATENATE(Programme!C2070,Programme!D2070,Programme!E2070,Programme!F2070,Programme!G2070,Programme!H2070,Programme!I2070)</f>
        <v>&lt;valeur&gt;78665,81&lt;/valeur&gt;</v>
      </c>
    </row>
    <row r="2070" spans="1:1" x14ac:dyDescent="0.2">
      <c r="A2070" s="1135" t="str">
        <f>CONCATENATE(Programme!C2071,Programme!D2071,Programme!E2071,Programme!F2071,Programme!G2071,Programme!H2071,Programme!I2071)</f>
        <v>&lt;/ValeurCellule&gt;</v>
      </c>
    </row>
    <row r="2071" spans="1:1" x14ac:dyDescent="0.2">
      <c r="A2071" s="1135" t="str">
        <f>CONCATENATE(Programme!C2072,Programme!D2072,Programme!E2072,Programme!F2072,Programme!G2072,Programme!H2072,Programme!I2072)</f>
        <v>&lt;ValeurCellule&gt;</v>
      </c>
    </row>
    <row r="2072" spans="1:1" x14ac:dyDescent="0.2">
      <c r="A2072" s="1135" t="str">
        <f>CONCATENATE(Programme!C2073,Programme!D2073,Programme!E2073,Programme!F2073,Programme!G2073,Programme!H2073,Programme!I2073)</f>
        <v>&lt;cellule&gt;</v>
      </c>
    </row>
    <row r="2073" spans="1:1" x14ac:dyDescent="0.2">
      <c r="A2073" s="1135" t="str">
        <f>CONCATENATE(Programme!C2074,Programme!D2074,Programme!E2074,Programme!F2074,Programme!G2074,Programme!H2074,Programme!I2074)</f>
        <v>&lt;codeEdi&gt;11204&lt;/codeEdi&gt;</v>
      </c>
    </row>
    <row r="2074" spans="1:1" x14ac:dyDescent="0.2">
      <c r="A2074" s="1135" t="str">
        <f>CONCATENATE(Programme!C2075,Programme!D2075,Programme!E2075,Programme!F2075,Programme!G2075,Programme!H2075,Programme!I2075)</f>
        <v>&lt;/cellule&gt;</v>
      </c>
    </row>
    <row r="2075" spans="1:1" x14ac:dyDescent="0.2">
      <c r="A2075" s="1135" t="str">
        <f>CONCATENATE(Programme!C2076,Programme!D2076,Programme!E2076,Programme!F2076,Programme!G2076,Programme!H2076,Programme!I2076)</f>
        <v>&lt;valeur&gt;0&lt;/valeur&gt;</v>
      </c>
    </row>
    <row r="2076" spans="1:1" x14ac:dyDescent="0.2">
      <c r="A2076" s="1135" t="str">
        <f>CONCATENATE(Programme!C2077,Programme!D2077,Programme!E2077,Programme!F2077,Programme!G2077,Programme!H2077,Programme!I2077)</f>
        <v>&lt;/ValeurCellule&gt;</v>
      </c>
    </row>
    <row r="2077" spans="1:1" x14ac:dyDescent="0.2">
      <c r="A2077" s="1135" t="str">
        <f>CONCATENATE(Programme!C2078,Programme!D2078,Programme!E2078,Programme!F2078,Programme!G2078,Programme!H2078,Programme!I2078)</f>
        <v>&lt;ValeurCellule&gt;</v>
      </c>
    </row>
    <row r="2078" spans="1:1" x14ac:dyDescent="0.2">
      <c r="A2078" s="1135" t="str">
        <f>CONCATENATE(Programme!C2079,Programme!D2079,Programme!E2079,Programme!F2079,Programme!G2079,Programme!H2079,Programme!I2079)</f>
        <v>&lt;cellule&gt;</v>
      </c>
    </row>
    <row r="2079" spans="1:1" x14ac:dyDescent="0.2">
      <c r="A2079" s="1135" t="str">
        <f>CONCATENATE(Programme!C2080,Programme!D2080,Programme!E2080,Programme!F2080,Programme!G2080,Programme!H2080,Programme!I2080)</f>
        <v>&lt;codeEdi&gt;11209&lt;/codeEdi&gt;</v>
      </c>
    </row>
    <row r="2080" spans="1:1" x14ac:dyDescent="0.2">
      <c r="A2080" s="1135" t="str">
        <f>CONCATENATE(Programme!C2081,Programme!D2081,Programme!E2081,Programme!F2081,Programme!G2081,Programme!H2081,Programme!I2081)</f>
        <v>&lt;/cellule&gt;</v>
      </c>
    </row>
    <row r="2081" spans="1:1" x14ac:dyDescent="0.2">
      <c r="A2081" s="1135" t="str">
        <f>CONCATENATE(Programme!C2082,Programme!D2082,Programme!E2082,Programme!F2082,Programme!G2082,Programme!H2082,Programme!I2082)</f>
        <v>&lt;valeur&gt;0&lt;/valeur&gt;</v>
      </c>
    </row>
    <row r="2082" spans="1:1" x14ac:dyDescent="0.2">
      <c r="A2082" s="1135" t="str">
        <f>CONCATENATE(Programme!C2083,Programme!D2083,Programme!E2083,Programme!F2083,Programme!G2083,Programme!H2083,Programme!I2083)</f>
        <v>&lt;/ValeurCellule&gt;</v>
      </c>
    </row>
    <row r="2083" spans="1:1" x14ac:dyDescent="0.2">
      <c r="A2083" s="1135" t="str">
        <f>CONCATENATE(Programme!C2084,Programme!D2084,Programme!E2084,Programme!F2084,Programme!G2084,Programme!H2084,Programme!I2084)</f>
        <v>&lt;ValeurCellule&gt;</v>
      </c>
    </row>
    <row r="2084" spans="1:1" x14ac:dyDescent="0.2">
      <c r="A2084" s="1135" t="str">
        <f>CONCATENATE(Programme!C2085,Programme!D2085,Programme!E2085,Programme!F2085,Programme!G2085,Programme!H2085,Programme!I2085)</f>
        <v>&lt;cellule&gt;</v>
      </c>
    </row>
    <row r="2085" spans="1:1" x14ac:dyDescent="0.2">
      <c r="A2085" s="1135" t="str">
        <f>CONCATENATE(Programme!C2086,Programme!D2086,Programme!E2086,Programme!F2086,Programme!G2086,Programme!H2086,Programme!I2086)</f>
        <v>&lt;codeEdi&gt;11214&lt;/codeEdi&gt;</v>
      </c>
    </row>
    <row r="2086" spans="1:1" x14ac:dyDescent="0.2">
      <c r="A2086" s="1135" t="str">
        <f>CONCATENATE(Programme!C2087,Programme!D2087,Programme!E2087,Programme!F2087,Programme!G2087,Programme!H2087,Programme!I2087)</f>
        <v>&lt;/cellule&gt;</v>
      </c>
    </row>
    <row r="2087" spans="1:1" x14ac:dyDescent="0.2">
      <c r="A2087" s="1135" t="str">
        <f>CONCATENATE(Programme!C2088,Programme!D2088,Programme!E2088,Programme!F2088,Programme!G2088,Programme!H2088,Programme!I2088)</f>
        <v>&lt;valeur&gt;0&lt;/valeur&gt;</v>
      </c>
    </row>
    <row r="2088" spans="1:1" x14ac:dyDescent="0.2">
      <c r="A2088" s="1135" t="str">
        <f>CONCATENATE(Programme!C2089,Programme!D2089,Programme!E2089,Programme!F2089,Programme!G2089,Programme!H2089,Programme!I2089)</f>
        <v>&lt;/ValeurCellule&gt;</v>
      </c>
    </row>
    <row r="2089" spans="1:1" x14ac:dyDescent="0.2">
      <c r="A2089" s="1135" t="str">
        <f>CONCATENATE(Programme!C2090,Programme!D2090,Programme!E2090,Programme!F2090,Programme!G2090,Programme!H2090,Programme!I2090)</f>
        <v>&lt;ValeurCellule&gt;</v>
      </c>
    </row>
    <row r="2090" spans="1:1" x14ac:dyDescent="0.2">
      <c r="A2090" s="1135" t="str">
        <f>CONCATENATE(Programme!C2091,Programme!D2091,Programme!E2091,Programme!F2091,Programme!G2091,Programme!H2091,Programme!I2091)</f>
        <v>&lt;cellule&gt;</v>
      </c>
    </row>
    <row r="2091" spans="1:1" x14ac:dyDescent="0.2">
      <c r="A2091" s="1135" t="str">
        <f>CONCATENATE(Programme!C2092,Programme!D2092,Programme!E2092,Programme!F2092,Programme!G2092,Programme!H2092,Programme!I2092)</f>
        <v>&lt;codeEdi&gt;11219&lt;/codeEdi&gt;</v>
      </c>
    </row>
    <row r="2092" spans="1:1" x14ac:dyDescent="0.2">
      <c r="A2092" s="1135" t="str">
        <f>CONCATENATE(Programme!C2093,Programme!D2093,Programme!E2093,Programme!F2093,Programme!G2093,Programme!H2093,Programme!I2093)</f>
        <v>&lt;/cellule&gt;</v>
      </c>
    </row>
    <row r="2093" spans="1:1" x14ac:dyDescent="0.2">
      <c r="A2093" s="1135" t="str">
        <f>CONCATENATE(Programme!C2094,Programme!D2094,Programme!E2094,Programme!F2094,Programme!G2094,Programme!H2094,Programme!I2094)</f>
        <v>&lt;valeur&gt;0&lt;/valeur&gt;</v>
      </c>
    </row>
    <row r="2094" spans="1:1" x14ac:dyDescent="0.2">
      <c r="A2094" s="1135" t="str">
        <f>CONCATENATE(Programme!C2095,Programme!D2095,Programme!E2095,Programme!F2095,Programme!G2095,Programme!H2095,Programme!I2095)</f>
        <v>&lt;/ValeurCellule&gt;</v>
      </c>
    </row>
    <row r="2095" spans="1:1" x14ac:dyDescent="0.2">
      <c r="A2095" s="1135" t="str">
        <f>CONCATENATE(Programme!C2096,Programme!D2096,Programme!E2096,Programme!F2096,Programme!G2096,Programme!H2096,Programme!I2096)</f>
        <v>&lt;ValeurCellule&gt;</v>
      </c>
    </row>
    <row r="2096" spans="1:1" x14ac:dyDescent="0.2">
      <c r="A2096" s="1135" t="str">
        <f>CONCATENATE(Programme!C2097,Programme!D2097,Programme!E2097,Programme!F2097,Programme!G2097,Programme!H2097,Programme!I2097)</f>
        <v>&lt;cellule&gt;</v>
      </c>
    </row>
    <row r="2097" spans="1:1" x14ac:dyDescent="0.2">
      <c r="A2097" s="1135" t="str">
        <f>CONCATENATE(Programme!C2098,Programme!D2098,Programme!E2098,Programme!F2098,Programme!G2098,Programme!H2098,Programme!I2098)</f>
        <v>&lt;codeEdi&gt;11224&lt;/codeEdi&gt;</v>
      </c>
    </row>
    <row r="2098" spans="1:1" x14ac:dyDescent="0.2">
      <c r="A2098" s="1135" t="str">
        <f>CONCATENATE(Programme!C2099,Programme!D2099,Programme!E2099,Programme!F2099,Programme!G2099,Programme!H2099,Programme!I2099)</f>
        <v>&lt;/cellule&gt;</v>
      </c>
    </row>
    <row r="2099" spans="1:1" x14ac:dyDescent="0.2">
      <c r="A2099" s="1135" t="str">
        <f>CONCATENATE(Programme!C2100,Programme!D2100,Programme!E2100,Programme!F2100,Programme!G2100,Programme!H2100,Programme!I2100)</f>
        <v>&lt;valeur&gt;0&lt;/valeur&gt;</v>
      </c>
    </row>
    <row r="2100" spans="1:1" x14ac:dyDescent="0.2">
      <c r="A2100" s="1135" t="str">
        <f>CONCATENATE(Programme!C2101,Programme!D2101,Programme!E2101,Programme!F2101,Programme!G2101,Programme!H2101,Programme!I2101)</f>
        <v>&lt;/ValeurCellule&gt;</v>
      </c>
    </row>
    <row r="2101" spans="1:1" x14ac:dyDescent="0.2">
      <c r="A2101" s="1135" t="str">
        <f>CONCATENATE(Programme!C2102,Programme!D2102,Programme!E2102,Programme!F2102,Programme!G2102,Programme!H2102,Programme!I2102)</f>
        <v>&lt;ValeurCellule&gt;</v>
      </c>
    </row>
    <row r="2102" spans="1:1" x14ac:dyDescent="0.2">
      <c r="A2102" s="1135" t="str">
        <f>CONCATENATE(Programme!C2103,Programme!D2103,Programme!E2103,Programme!F2103,Programme!G2103,Programme!H2103,Programme!I2103)</f>
        <v>&lt;cellule&gt;</v>
      </c>
    </row>
    <row r="2103" spans="1:1" x14ac:dyDescent="0.2">
      <c r="A2103" s="1135" t="str">
        <f>CONCATENATE(Programme!C2104,Programme!D2104,Programme!E2104,Programme!F2104,Programme!G2104,Programme!H2104,Programme!I2104)</f>
        <v>&lt;codeEdi&gt;11229&lt;/codeEdi&gt;</v>
      </c>
    </row>
    <row r="2104" spans="1:1" x14ac:dyDescent="0.2">
      <c r="A2104" s="1135" t="str">
        <f>CONCATENATE(Programme!C2105,Programme!D2105,Programme!E2105,Programme!F2105,Programme!G2105,Programme!H2105,Programme!I2105)</f>
        <v>&lt;/cellule&gt;</v>
      </c>
    </row>
    <row r="2105" spans="1:1" x14ac:dyDescent="0.2">
      <c r="A2105" s="1135" t="str">
        <f>CONCATENATE(Programme!C2106,Programme!D2106,Programme!E2106,Programme!F2106,Programme!G2106,Programme!H2106,Programme!I2106)</f>
        <v>&lt;valeur&gt;18918,67&lt;/valeur&gt;</v>
      </c>
    </row>
    <row r="2106" spans="1:1" x14ac:dyDescent="0.2">
      <c r="A2106" s="1135" t="str">
        <f>CONCATENATE(Programme!C2107,Programme!D2107,Programme!E2107,Programme!F2107,Programme!G2107,Programme!H2107,Programme!I2107)</f>
        <v>&lt;/ValeurCellule&gt;</v>
      </c>
    </row>
    <row r="2107" spans="1:1" x14ac:dyDescent="0.2">
      <c r="A2107" s="1135" t="str">
        <f>CONCATENATE(Programme!C2108,Programme!D2108,Programme!E2108,Programme!F2108,Programme!G2108,Programme!H2108,Programme!I2108)</f>
        <v>&lt;ValeurCellule&gt;</v>
      </c>
    </row>
    <row r="2108" spans="1:1" x14ac:dyDescent="0.2">
      <c r="A2108" s="1135" t="str">
        <f>CONCATENATE(Programme!C2109,Programme!D2109,Programme!E2109,Programme!F2109,Programme!G2109,Programme!H2109,Programme!I2109)</f>
        <v>&lt;cellule&gt;</v>
      </c>
    </row>
    <row r="2109" spans="1:1" x14ac:dyDescent="0.2">
      <c r="A2109" s="1135" t="str">
        <f>CONCATENATE(Programme!C2110,Programme!D2110,Programme!E2110,Programme!F2110,Programme!G2110,Programme!H2110,Programme!I2110)</f>
        <v>&lt;codeEdi&gt;11234&lt;/codeEdi&gt;</v>
      </c>
    </row>
    <row r="2110" spans="1:1" x14ac:dyDescent="0.2">
      <c r="A2110" s="1135" t="str">
        <f>CONCATENATE(Programme!C2111,Programme!D2111,Programme!E2111,Programme!F2111,Programme!G2111,Programme!H2111,Programme!I2111)</f>
        <v>&lt;/cellule&gt;</v>
      </c>
    </row>
    <row r="2111" spans="1:1" x14ac:dyDescent="0.2">
      <c r="A2111" s="1135" t="str">
        <f>CONCATENATE(Programme!C2112,Programme!D2112,Programme!E2112,Programme!F2112,Programme!G2112,Programme!H2112,Programme!I2112)</f>
        <v>&lt;valeur&gt;-18918,67&lt;/valeur&gt;</v>
      </c>
    </row>
    <row r="2112" spans="1:1" x14ac:dyDescent="0.2">
      <c r="A2112" s="1135" t="str">
        <f>CONCATENATE(Programme!C2113,Programme!D2113,Programme!E2113,Programme!F2113,Programme!G2113,Programme!H2113,Programme!I2113)</f>
        <v>&lt;/ValeurCellule&gt;</v>
      </c>
    </row>
    <row r="2113" spans="1:1" x14ac:dyDescent="0.2">
      <c r="A2113" s="1135" t="str">
        <f>CONCATENATE(Programme!C2114,Programme!D2114,Programme!E2114,Programme!F2114,Programme!G2114,Programme!H2114,Programme!I2114)</f>
        <v>&lt;ValeurCellule&gt;</v>
      </c>
    </row>
    <row r="2114" spans="1:1" x14ac:dyDescent="0.2">
      <c r="A2114" s="1135" t="str">
        <f>CONCATENATE(Programme!C2115,Programme!D2115,Programme!E2115,Programme!F2115,Programme!G2115,Programme!H2115,Programme!I2115)</f>
        <v>&lt;cellule&gt;</v>
      </c>
    </row>
    <row r="2115" spans="1:1" x14ac:dyDescent="0.2">
      <c r="A2115" s="1135" t="str">
        <f>CONCATENATE(Programme!C2116,Programme!D2116,Programme!E2116,Programme!F2116,Programme!G2116,Programme!H2116,Programme!I2116)</f>
        <v>&lt;codeEdi&gt;11179&lt;/codeEdi&gt;</v>
      </c>
    </row>
    <row r="2116" spans="1:1" x14ac:dyDescent="0.2">
      <c r="A2116" s="1135" t="str">
        <f>CONCATENATE(Programme!C2117,Programme!D2117,Programme!E2117,Programme!F2117,Programme!G2117,Programme!H2117,Programme!I2117)</f>
        <v>&lt;/cellule&gt;</v>
      </c>
    </row>
    <row r="2117" spans="1:1" x14ac:dyDescent="0.2">
      <c r="A2117" s="1135" t="str">
        <f>CONCATENATE(Programme!C2118,Programme!D2118,Programme!E2118,Programme!F2118,Programme!G2118,Programme!H2118,Programme!I2118)</f>
        <v>&lt;valeur&gt;0&lt;/valeur&gt;</v>
      </c>
    </row>
    <row r="2118" spans="1:1" x14ac:dyDescent="0.2">
      <c r="A2118" s="1135" t="str">
        <f>CONCATENATE(Programme!C2119,Programme!D2119,Programme!E2119,Programme!F2119,Programme!G2119,Programme!H2119,Programme!I2119)</f>
        <v>&lt;/ValeurCellule&gt;</v>
      </c>
    </row>
    <row r="2119" spans="1:1" x14ac:dyDescent="0.2">
      <c r="A2119" s="1135" t="str">
        <f>CONCATENATE(Programme!C2120,Programme!D2120,Programme!E2120,Programme!F2120,Programme!G2120,Programme!H2120,Programme!I2120)</f>
        <v>&lt;ValeurCellule&gt;</v>
      </c>
    </row>
    <row r="2120" spans="1:1" x14ac:dyDescent="0.2">
      <c r="A2120" s="1135" t="str">
        <f>CONCATENATE(Programme!C2121,Programme!D2121,Programme!E2121,Programme!F2121,Programme!G2121,Programme!H2121,Programme!I2121)</f>
        <v>&lt;cellule&gt;</v>
      </c>
    </row>
    <row r="2121" spans="1:1" x14ac:dyDescent="0.2">
      <c r="A2121" s="1135" t="str">
        <f>CONCATENATE(Programme!C2122,Programme!D2122,Programme!E2122,Programme!F2122,Programme!G2122,Programme!H2122,Programme!I2122)</f>
        <v>&lt;codeEdi&gt;11184&lt;/codeEdi&gt;</v>
      </c>
    </row>
    <row r="2122" spans="1:1" x14ac:dyDescent="0.2">
      <c r="A2122" s="1135" t="str">
        <f>CONCATENATE(Programme!C2123,Programme!D2123,Programme!E2123,Programme!F2123,Programme!G2123,Programme!H2123,Programme!I2123)</f>
        <v>&lt;/cellule&gt;</v>
      </c>
    </row>
    <row r="2123" spans="1:1" x14ac:dyDescent="0.2">
      <c r="A2123" s="1135" t="str">
        <f>CONCATENATE(Programme!C2124,Programme!D2124,Programme!E2124,Programme!F2124,Programme!G2124,Programme!H2124,Programme!I2124)</f>
        <v>&lt;valeur&gt;0&lt;/valeur&gt;</v>
      </c>
    </row>
    <row r="2124" spans="1:1" x14ac:dyDescent="0.2">
      <c r="A2124" s="1135" t="str">
        <f>CONCATENATE(Programme!C2125,Programme!D2125,Programme!E2125,Programme!F2125,Programme!G2125,Programme!H2125,Programme!I2125)</f>
        <v>&lt;/ValeurCellule&gt;</v>
      </c>
    </row>
    <row r="2125" spans="1:1" x14ac:dyDescent="0.2">
      <c r="A2125" s="1135" t="str">
        <f>CONCATENATE(Programme!C2126,Programme!D2126,Programme!E2126,Programme!F2126,Programme!G2126,Programme!H2126,Programme!I2126)</f>
        <v>&lt;ValeurCellule&gt;</v>
      </c>
    </row>
    <row r="2126" spans="1:1" x14ac:dyDescent="0.2">
      <c r="A2126" s="1135" t="str">
        <f>CONCATENATE(Programme!C2127,Programme!D2127,Programme!E2127,Programme!F2127,Programme!G2127,Programme!H2127,Programme!I2127)</f>
        <v>&lt;cellule&gt;</v>
      </c>
    </row>
    <row r="2127" spans="1:1" x14ac:dyDescent="0.2">
      <c r="A2127" s="1135" t="str">
        <f>CONCATENATE(Programme!C2128,Programme!D2128,Programme!E2128,Programme!F2128,Programme!G2128,Programme!H2128,Programme!I2128)</f>
        <v>&lt;codeEdi&gt;11189&lt;/codeEdi&gt;</v>
      </c>
    </row>
    <row r="2128" spans="1:1" x14ac:dyDescent="0.2">
      <c r="A2128" s="1135" t="str">
        <f>CONCATENATE(Programme!C2129,Programme!D2129,Programme!E2129,Programme!F2129,Programme!G2129,Programme!H2129,Programme!I2129)</f>
        <v>&lt;/cellule&gt;</v>
      </c>
    </row>
    <row r="2129" spans="1:1" x14ac:dyDescent="0.2">
      <c r="A2129" s="1135" t="str">
        <f>CONCATENATE(Programme!C2130,Programme!D2130,Programme!E2130,Programme!F2130,Programme!G2130,Programme!H2130,Programme!I2130)</f>
        <v>&lt;valeur&gt;0&lt;/valeur&gt;</v>
      </c>
    </row>
    <row r="2130" spans="1:1" x14ac:dyDescent="0.2">
      <c r="A2130" s="1135" t="str">
        <f>CONCATENATE(Programme!C2131,Programme!D2131,Programme!E2131,Programme!F2131,Programme!G2131,Programme!H2131,Programme!I2131)</f>
        <v>&lt;/ValeurCellule&gt;</v>
      </c>
    </row>
    <row r="2131" spans="1:1" x14ac:dyDescent="0.2">
      <c r="A2131" s="1135" t="str">
        <f>CONCATENATE(Programme!C2132,Programme!D2132,Programme!E2132,Programme!F2132,Programme!G2132,Programme!H2132,Programme!I2132)</f>
        <v>&lt;ValeurCellule&gt;</v>
      </c>
    </row>
    <row r="2132" spans="1:1" x14ac:dyDescent="0.2">
      <c r="A2132" s="1135" t="str">
        <f>CONCATENATE(Programme!C2133,Programme!D2133,Programme!E2133,Programme!F2133,Programme!G2133,Programme!H2133,Programme!I2133)</f>
        <v>&lt;cellule&gt;</v>
      </c>
    </row>
    <row r="2133" spans="1:1" x14ac:dyDescent="0.2">
      <c r="A2133" s="1135" t="str">
        <f>CONCATENATE(Programme!C2134,Programme!D2134,Programme!E2134,Programme!F2134,Programme!G2134,Programme!H2134,Programme!I2134)</f>
        <v>&lt;codeEdi&gt;11194&lt;/codeEdi&gt;</v>
      </c>
    </row>
    <row r="2134" spans="1:1" x14ac:dyDescent="0.2">
      <c r="A2134" s="1135" t="str">
        <f>CONCATENATE(Programme!C2135,Programme!D2135,Programme!E2135,Programme!F2135,Programme!G2135,Programme!H2135,Programme!I2135)</f>
        <v>&lt;/cellule&gt;</v>
      </c>
    </row>
    <row r="2135" spans="1:1" x14ac:dyDescent="0.2">
      <c r="A2135" s="1135" t="str">
        <f>CONCATENATE(Programme!C2136,Programme!D2136,Programme!E2136,Programme!F2136,Programme!G2136,Programme!H2136,Programme!I2136)</f>
        <v>&lt;valeur&gt;0&lt;/valeur&gt;</v>
      </c>
    </row>
    <row r="2136" spans="1:1" x14ac:dyDescent="0.2">
      <c r="A2136" s="1135" t="str">
        <f>CONCATENATE(Programme!C2137,Programme!D2137,Programme!E2137,Programme!F2137,Programme!G2137,Programme!H2137,Programme!I2137)</f>
        <v>&lt;/ValeurCellule&gt;</v>
      </c>
    </row>
    <row r="2137" spans="1:1" x14ac:dyDescent="0.2">
      <c r="A2137" s="1135" t="str">
        <f>CONCATENATE(Programme!C2138,Programme!D2138,Programme!E2138,Programme!F2138,Programme!G2138,Programme!H2138,Programme!I2138)</f>
        <v>&lt;ValeurCellule&gt;</v>
      </c>
    </row>
    <row r="2138" spans="1:1" x14ac:dyDescent="0.2">
      <c r="A2138" s="1135" t="str">
        <f>CONCATENATE(Programme!C2139,Programme!D2139,Programme!E2139,Programme!F2139,Programme!G2139,Programme!H2139,Programme!I2139)</f>
        <v>&lt;cellule&gt;</v>
      </c>
    </row>
    <row r="2139" spans="1:1" x14ac:dyDescent="0.2">
      <c r="A2139" s="1135" t="str">
        <f>CONCATENATE(Programme!C2140,Programme!D2140,Programme!E2140,Programme!F2140,Programme!G2140,Programme!H2140,Programme!I2140)</f>
        <v>&lt;codeEdi&gt;11199&lt;/codeEdi&gt;</v>
      </c>
    </row>
    <row r="2140" spans="1:1" x14ac:dyDescent="0.2">
      <c r="A2140" s="1135" t="str">
        <f>CONCATENATE(Programme!C2141,Programme!D2141,Programme!E2141,Programme!F2141,Programme!G2141,Programme!H2141,Programme!I2141)</f>
        <v>&lt;/cellule&gt;</v>
      </c>
    </row>
    <row r="2141" spans="1:1" x14ac:dyDescent="0.2">
      <c r="A2141" s="1135" t="str">
        <f>CONCATENATE(Programme!C2142,Programme!D2142,Programme!E2142,Programme!F2142,Programme!G2142,Programme!H2142,Programme!I2142)</f>
        <v>&lt;valeur&gt;0&lt;/valeur&gt;</v>
      </c>
    </row>
    <row r="2142" spans="1:1" x14ac:dyDescent="0.2">
      <c r="A2142" s="1135" t="str">
        <f>CONCATENATE(Programme!C2143,Programme!D2143,Programme!E2143,Programme!F2143,Programme!G2143,Programme!H2143,Programme!I2143)</f>
        <v>&lt;/ValeurCellule&gt;</v>
      </c>
    </row>
    <row r="2143" spans="1:1" x14ac:dyDescent="0.2">
      <c r="A2143" s="1135" t="str">
        <f>CONCATENATE(Programme!C2144,Programme!D2144,Programme!E2144,Programme!F2144,Programme!G2144,Programme!H2144,Programme!I2144)</f>
        <v>&lt;ValeurCellule&gt;</v>
      </c>
    </row>
    <row r="2144" spans="1:1" x14ac:dyDescent="0.2">
      <c r="A2144" s="1135" t="str">
        <f>CONCATENATE(Programme!C2145,Programme!D2145,Programme!E2145,Programme!F2145,Programme!G2145,Programme!H2145,Programme!I2145)</f>
        <v>&lt;cellule&gt;</v>
      </c>
    </row>
    <row r="2145" spans="1:1" x14ac:dyDescent="0.2">
      <c r="A2145" s="1135" t="str">
        <f>CONCATENATE(Programme!C2146,Programme!D2146,Programme!E2146,Programme!F2146,Programme!G2146,Programme!H2146,Programme!I2146)</f>
        <v>&lt;codeEdi&gt;11269&lt;/codeEdi&gt;</v>
      </c>
    </row>
    <row r="2146" spans="1:1" x14ac:dyDescent="0.2">
      <c r="A2146" s="1135" t="str">
        <f>CONCATENATE(Programme!C2147,Programme!D2147,Programme!E2147,Programme!F2147,Programme!G2147,Programme!H2147,Programme!I2147)</f>
        <v>&lt;/cellule&gt;</v>
      </c>
    </row>
    <row r="2147" spans="1:1" x14ac:dyDescent="0.2">
      <c r="A2147" s="1135" t="str">
        <f>CONCATENATE(Programme!C2148,Programme!D2148,Programme!E2148,Programme!F2148,Programme!G2148,Programme!H2148,Programme!I2148)</f>
        <v>&lt;valeur&gt;12871&lt;/valeur&gt;</v>
      </c>
    </row>
    <row r="2148" spans="1:1" x14ac:dyDescent="0.2">
      <c r="A2148" s="1135" t="str">
        <f>CONCATENATE(Programme!C2149,Programme!D2149,Programme!E2149,Programme!F2149,Programme!G2149,Programme!H2149,Programme!I2149)</f>
        <v>&lt;/ValeurCellule&gt;</v>
      </c>
    </row>
    <row r="2149" spans="1:1" x14ac:dyDescent="0.2">
      <c r="A2149" s="1135" t="str">
        <f>CONCATENATE(Programme!C2150,Programme!D2150,Programme!E2150,Programme!F2150,Programme!G2150,Programme!H2150,Programme!I2150)</f>
        <v>&lt;ValeurCellule&gt;</v>
      </c>
    </row>
    <row r="2150" spans="1:1" x14ac:dyDescent="0.2">
      <c r="A2150" s="1135" t="str">
        <f>CONCATENATE(Programme!C2151,Programme!D2151,Programme!E2151,Programme!F2151,Programme!G2151,Programme!H2151,Programme!I2151)</f>
        <v>&lt;cellule&gt;</v>
      </c>
    </row>
    <row r="2151" spans="1:1" x14ac:dyDescent="0.2">
      <c r="A2151" s="1135" t="str">
        <f>CONCATENATE(Programme!C2152,Programme!D2152,Programme!E2152,Programme!F2152,Programme!G2152,Programme!H2152,Programme!I2152)</f>
        <v>&lt;codeEdi&gt;11239&lt;/codeEdi&gt;</v>
      </c>
    </row>
    <row r="2152" spans="1:1" x14ac:dyDescent="0.2">
      <c r="A2152" s="1135" t="str">
        <f>CONCATENATE(Programme!C2153,Programme!D2153,Programme!E2153,Programme!F2153,Programme!G2153,Programme!H2153,Programme!I2153)</f>
        <v>&lt;/cellule&gt;</v>
      </c>
    </row>
    <row r="2153" spans="1:1" x14ac:dyDescent="0.2">
      <c r="A2153" s="1135" t="str">
        <f>CONCATENATE(Programme!C2154,Programme!D2154,Programme!E2154,Programme!F2154,Programme!G2154,Programme!H2154,Programme!I2154)</f>
        <v>&lt;valeur&gt;18918,67&lt;/valeur&gt;</v>
      </c>
    </row>
    <row r="2154" spans="1:1" x14ac:dyDescent="0.2">
      <c r="A2154" s="1135" t="str">
        <f>CONCATENATE(Programme!C2155,Programme!D2155,Programme!E2155,Programme!F2155,Programme!G2155,Programme!H2155,Programme!I2155)</f>
        <v>&lt;/ValeurCellule&gt;</v>
      </c>
    </row>
    <row r="2155" spans="1:1" x14ac:dyDescent="0.2">
      <c r="A2155" s="1135" t="str">
        <f>CONCATENATE(Programme!C2156,Programme!D2156,Programme!E2156,Programme!F2156,Programme!G2156,Programme!H2156,Programme!I2156)</f>
        <v>&lt;ValeurCellule&gt;</v>
      </c>
    </row>
    <row r="2156" spans="1:1" x14ac:dyDescent="0.2">
      <c r="A2156" s="1135" t="str">
        <f>CONCATENATE(Programme!C2157,Programme!D2157,Programme!E2157,Programme!F2157,Programme!G2157,Programme!H2157,Programme!I2157)</f>
        <v>&lt;cellule&gt;</v>
      </c>
    </row>
    <row r="2157" spans="1:1" x14ac:dyDescent="0.2">
      <c r="A2157" s="1135" t="str">
        <f>CONCATENATE(Programme!C2158,Programme!D2158,Programme!E2158,Programme!F2158,Programme!G2158,Programme!H2158,Programme!I2158)</f>
        <v>&lt;codeEdi&gt;11244&lt;/codeEdi&gt;</v>
      </c>
    </row>
    <row r="2158" spans="1:1" x14ac:dyDescent="0.2">
      <c r="A2158" s="1135" t="str">
        <f>CONCATENATE(Programme!C2159,Programme!D2159,Programme!E2159,Programme!F2159,Programme!G2159,Programme!H2159,Programme!I2159)</f>
        <v>&lt;/cellule&gt;</v>
      </c>
    </row>
    <row r="2159" spans="1:1" x14ac:dyDescent="0.2">
      <c r="A2159" s="1135" t="str">
        <f>CONCATENATE(Programme!C2160,Programme!D2160,Programme!E2160,Programme!F2160,Programme!G2160,Programme!H2160,Programme!I2160)</f>
        <v>&lt;valeur&gt;694,37&lt;/valeur&gt;</v>
      </c>
    </row>
    <row r="2160" spans="1:1" x14ac:dyDescent="0.2">
      <c r="A2160" s="1135" t="str">
        <f>CONCATENATE(Programme!C2161,Programme!D2161,Programme!E2161,Programme!F2161,Programme!G2161,Programme!H2161,Programme!I2161)</f>
        <v>&lt;/ValeurCellule&gt;</v>
      </c>
    </row>
    <row r="2161" spans="1:1" x14ac:dyDescent="0.2">
      <c r="A2161" s="1135" t="str">
        <f>CONCATENATE(Programme!C2162,Programme!D2162,Programme!E2162,Programme!F2162,Programme!G2162,Programme!H2162,Programme!I2162)</f>
        <v>&lt;ValeurCellule&gt;</v>
      </c>
    </row>
    <row r="2162" spans="1:1" x14ac:dyDescent="0.2">
      <c r="A2162" s="1135" t="str">
        <f>CONCATENATE(Programme!C2163,Programme!D2163,Programme!E2163,Programme!F2163,Programme!G2163,Programme!H2163,Programme!I2163)</f>
        <v>&lt;cellule&gt;</v>
      </c>
    </row>
    <row r="2163" spans="1:1" x14ac:dyDescent="0.2">
      <c r="A2163" s="1135" t="str">
        <f>CONCATENATE(Programme!C2164,Programme!D2164,Programme!E2164,Programme!F2164,Programme!G2164,Programme!H2164,Programme!I2164)</f>
        <v>&lt;codeEdi&gt;11249&lt;/codeEdi&gt;</v>
      </c>
    </row>
    <row r="2164" spans="1:1" x14ac:dyDescent="0.2">
      <c r="A2164" s="1135" t="str">
        <f>CONCATENATE(Programme!C2165,Programme!D2165,Programme!E2165,Programme!F2165,Programme!G2165,Programme!H2165,Programme!I2165)</f>
        <v>&lt;/cellule&gt;</v>
      </c>
    </row>
    <row r="2165" spans="1:1" x14ac:dyDescent="0.2">
      <c r="A2165" s="1135" t="str">
        <f>CONCATENATE(Programme!C2166,Programme!D2166,Programme!E2166,Programme!F2166,Programme!G2166,Programme!H2166,Programme!I2166)</f>
        <v>&lt;valeur&gt;0&lt;/valeur&gt;</v>
      </c>
    </row>
    <row r="2166" spans="1:1" x14ac:dyDescent="0.2">
      <c r="A2166" s="1135" t="str">
        <f>CONCATENATE(Programme!C2167,Programme!D2167,Programme!E2167,Programme!F2167,Programme!G2167,Programme!H2167,Programme!I2167)</f>
        <v>&lt;/ValeurCellule&gt;</v>
      </c>
    </row>
    <row r="2167" spans="1:1" x14ac:dyDescent="0.2">
      <c r="A2167" s="1135" t="str">
        <f>CONCATENATE(Programme!C2168,Programme!D2168,Programme!E2168,Programme!F2168,Programme!G2168,Programme!H2168,Programme!I2168)</f>
        <v>&lt;ValeurCellule&gt;</v>
      </c>
    </row>
    <row r="2168" spans="1:1" x14ac:dyDescent="0.2">
      <c r="A2168" s="1135" t="str">
        <f>CONCATENATE(Programme!C2169,Programme!D2169,Programme!E2169,Programme!F2169,Programme!G2169,Programme!H2169,Programme!I2169)</f>
        <v>&lt;cellule&gt;</v>
      </c>
    </row>
    <row r="2169" spans="1:1" x14ac:dyDescent="0.2">
      <c r="A2169" s="1135" t="str">
        <f>CONCATENATE(Programme!C2170,Programme!D2170,Programme!E2170,Programme!F2170,Programme!G2170,Programme!H2170,Programme!I2170)</f>
        <v>&lt;codeEdi&gt;11254&lt;/codeEdi&gt;</v>
      </c>
    </row>
    <row r="2170" spans="1:1" x14ac:dyDescent="0.2">
      <c r="A2170" s="1135" t="str">
        <f>CONCATENATE(Programme!C2171,Programme!D2171,Programme!E2171,Programme!F2171,Programme!G2171,Programme!H2171,Programme!I2171)</f>
        <v>&lt;/cellule&gt;</v>
      </c>
    </row>
    <row r="2171" spans="1:1" x14ac:dyDescent="0.2">
      <c r="A2171" s="1135" t="str">
        <f>CONCATENATE(Programme!C2172,Programme!D2172,Programme!E2172,Programme!F2172,Programme!G2172,Programme!H2172,Programme!I2172)</f>
        <v>&lt;valeur&gt;0&lt;/valeur&gt;</v>
      </c>
    </row>
    <row r="2172" spans="1:1" x14ac:dyDescent="0.2">
      <c r="A2172" s="1135" t="str">
        <f>CONCATENATE(Programme!C2173,Programme!D2173,Programme!E2173,Programme!F2173,Programme!G2173,Programme!H2173,Programme!I2173)</f>
        <v>&lt;/ValeurCellule&gt;</v>
      </c>
    </row>
    <row r="2173" spans="1:1" x14ac:dyDescent="0.2">
      <c r="A2173" s="1135" t="str">
        <f>CONCATENATE(Programme!C2174,Programme!D2174,Programme!E2174,Programme!F2174,Programme!G2174,Programme!H2174,Programme!I2174)</f>
        <v>&lt;ValeurCellule&gt;</v>
      </c>
    </row>
    <row r="2174" spans="1:1" x14ac:dyDescent="0.2">
      <c r="A2174" s="1135" t="str">
        <f>CONCATENATE(Programme!C2175,Programme!D2175,Programme!E2175,Programme!F2175,Programme!G2175,Programme!H2175,Programme!I2175)</f>
        <v>&lt;cellule&gt;</v>
      </c>
    </row>
    <row r="2175" spans="1:1" x14ac:dyDescent="0.2">
      <c r="A2175" s="1135" t="str">
        <f>CONCATENATE(Programme!C2176,Programme!D2176,Programme!E2176,Programme!F2176,Programme!G2176,Programme!H2176,Programme!I2176)</f>
        <v>&lt;codeEdi&gt;11259&lt;/codeEdi&gt;</v>
      </c>
    </row>
    <row r="2176" spans="1:1" x14ac:dyDescent="0.2">
      <c r="A2176" s="1135" t="str">
        <f>CONCATENATE(Programme!C2177,Programme!D2177,Programme!E2177,Programme!F2177,Programme!G2177,Programme!H2177,Programme!I2177)</f>
        <v>&lt;/cellule&gt;</v>
      </c>
    </row>
    <row r="2177" spans="1:1" x14ac:dyDescent="0.2">
      <c r="A2177" s="1135" t="str">
        <f>CONCATENATE(Programme!C2178,Programme!D2178,Programme!E2178,Programme!F2178,Programme!G2178,Programme!H2178,Programme!I2178)</f>
        <v>&lt;valeur&gt;0&lt;/valeur&gt;</v>
      </c>
    </row>
    <row r="2178" spans="1:1" x14ac:dyDescent="0.2">
      <c r="A2178" s="1135" t="str">
        <f>CONCATENATE(Programme!C2179,Programme!D2179,Programme!E2179,Programme!F2179,Programme!G2179,Programme!H2179,Programme!I2179)</f>
        <v>&lt;/ValeurCellule&gt;</v>
      </c>
    </row>
    <row r="2179" spans="1:1" x14ac:dyDescent="0.2">
      <c r="A2179" s="1135" t="str">
        <f>CONCATENATE(Programme!C2180,Programme!D2180,Programme!E2180,Programme!F2180,Programme!G2180,Programme!H2180,Programme!I2180)</f>
        <v>&lt;ValeurCellule&gt;</v>
      </c>
    </row>
    <row r="2180" spans="1:1" x14ac:dyDescent="0.2">
      <c r="A2180" s="1135" t="str">
        <f>CONCATENATE(Programme!C2181,Programme!D2181,Programme!E2181,Programme!F2181,Programme!G2181,Programme!H2181,Programme!I2181)</f>
        <v>&lt;cellule&gt;</v>
      </c>
    </row>
    <row r="2181" spans="1:1" x14ac:dyDescent="0.2">
      <c r="A2181" s="1135" t="str">
        <f>CONCATENATE(Programme!C2182,Programme!D2182,Programme!E2182,Programme!F2182,Programme!G2182,Programme!H2182,Programme!I2182)</f>
        <v>&lt;codeEdi&gt;11264&lt;/codeEdi&gt;</v>
      </c>
    </row>
    <row r="2182" spans="1:1" x14ac:dyDescent="0.2">
      <c r="A2182" s="1135" t="str">
        <f>CONCATENATE(Programme!C2183,Programme!D2183,Programme!E2183,Programme!F2183,Programme!G2183,Programme!H2183,Programme!I2183)</f>
        <v>&lt;/cellule&gt;</v>
      </c>
    </row>
    <row r="2183" spans="1:1" x14ac:dyDescent="0.2">
      <c r="A2183" s="1135" t="str">
        <f>CONCATENATE(Programme!C2184,Programme!D2184,Programme!E2184,Programme!F2184,Programme!G2184,Programme!H2184,Programme!I2184)</f>
        <v>&lt;valeur&gt;5353,3&lt;/valeur&gt;</v>
      </c>
    </row>
    <row r="2184" spans="1:1" x14ac:dyDescent="0.2">
      <c r="A2184" s="1135" t="str">
        <f>CONCATENATE(Programme!C2185,Programme!D2185,Programme!E2185,Programme!F2185,Programme!G2185,Programme!H2185,Programme!I2185)</f>
        <v>&lt;/ValeurCellule&gt;</v>
      </c>
    </row>
    <row r="2185" spans="1:1" x14ac:dyDescent="0.2">
      <c r="A2185" s="1135" t="str">
        <f>CONCATENATE(Programme!C2186,Programme!D2186,Programme!E2186,Programme!F2186,Programme!G2186,Programme!H2186,Programme!I2186)</f>
        <v>&lt;ValeurCellule&gt;</v>
      </c>
    </row>
    <row r="2186" spans="1:1" x14ac:dyDescent="0.2">
      <c r="A2186" s="1135" t="str">
        <f>CONCATENATE(Programme!C2187,Programme!D2187,Programme!E2187,Programme!F2187,Programme!G2187,Programme!H2187,Programme!I2187)</f>
        <v>&lt;cellule&gt;</v>
      </c>
    </row>
    <row r="2187" spans="1:1" x14ac:dyDescent="0.2">
      <c r="A2187" s="1135" t="str">
        <f>CONCATENATE(Programme!C2188,Programme!D2188,Programme!E2188,Programme!F2188,Programme!G2188,Programme!H2188,Programme!I2188)</f>
        <v>&lt;codeEdi&gt;11271&lt;/codeEdi&gt;</v>
      </c>
    </row>
    <row r="2188" spans="1:1" x14ac:dyDescent="0.2">
      <c r="A2188" s="1135" t="str">
        <f>CONCATENATE(Programme!C2189,Programme!D2189,Programme!E2189,Programme!F2189,Programme!G2189,Programme!H2189,Programme!I2189)</f>
        <v>&lt;/cellule&gt;</v>
      </c>
    </row>
    <row r="2189" spans="1:1" x14ac:dyDescent="0.2">
      <c r="A2189" s="1135" t="str">
        <f>CONCATENATE(Programme!C2190,Programme!D2190,Programme!E2190,Programme!F2190,Programme!G2190,Programme!H2190,Programme!I2190)</f>
        <v>&lt;valeur&gt;0&lt;/valeur&gt;</v>
      </c>
    </row>
    <row r="2190" spans="1:1" x14ac:dyDescent="0.2">
      <c r="A2190" s="1135" t="str">
        <f>CONCATENATE(Programme!C2191,Programme!D2191,Programme!E2191,Programme!F2191,Programme!G2191,Programme!H2191,Programme!I2191)</f>
        <v>&lt;/ValeurCellule&gt;</v>
      </c>
    </row>
    <row r="2191" spans="1:1" x14ac:dyDescent="0.2">
      <c r="A2191" s="1135" t="str">
        <f>CONCATENATE(Programme!C2192,Programme!D2192,Programme!E2192,Programme!F2192,Programme!G2192,Programme!H2192,Programme!I2192)</f>
        <v>&lt;ValeurCellule&gt;</v>
      </c>
    </row>
    <row r="2192" spans="1:1" x14ac:dyDescent="0.2">
      <c r="A2192" s="1135" t="str">
        <f>CONCATENATE(Programme!C2193,Programme!D2193,Programme!E2193,Programme!F2193,Programme!G2193,Programme!H2193,Programme!I2193)</f>
        <v>&lt;cellule&gt;</v>
      </c>
    </row>
    <row r="2193" spans="1:1" x14ac:dyDescent="0.2">
      <c r="A2193" s="1135" t="str">
        <f>CONCATENATE(Programme!C2194,Programme!D2194,Programme!E2194,Programme!F2194,Programme!G2194,Programme!H2194,Programme!I2194)</f>
        <v>&lt;codeEdi&gt;11276&lt;/codeEdi&gt;</v>
      </c>
    </row>
    <row r="2194" spans="1:1" x14ac:dyDescent="0.2">
      <c r="A2194" s="1135" t="str">
        <f>CONCATENATE(Programme!C2195,Programme!D2195,Programme!E2195,Programme!F2195,Programme!G2195,Programme!H2195,Programme!I2195)</f>
        <v>&lt;/cellule&gt;</v>
      </c>
    </row>
    <row r="2195" spans="1:1" x14ac:dyDescent="0.2">
      <c r="A2195" s="1135" t="str">
        <f>CONCATENATE(Programme!C2196,Programme!D2196,Programme!E2196,Programme!F2196,Programme!G2196,Programme!H2196,Programme!I2196)</f>
        <v>&lt;valeur&gt;0&lt;/valeur&gt;</v>
      </c>
    </row>
    <row r="2196" spans="1:1" x14ac:dyDescent="0.2">
      <c r="A2196" s="1135" t="str">
        <f>CONCATENATE(Programme!C2197,Programme!D2197,Programme!E2197,Programme!F2197,Programme!G2197,Programme!H2197,Programme!I2197)</f>
        <v>&lt;/ValeurCellule&gt;</v>
      </c>
    </row>
    <row r="2197" spans="1:1" x14ac:dyDescent="0.2">
      <c r="A2197" s="1135" t="str">
        <f>CONCATENATE(Programme!C2198,Programme!D2198,Programme!E2198,Programme!F2198,Programme!G2198,Programme!H2198,Programme!I2198)</f>
        <v>&lt;ValeurCellule&gt;</v>
      </c>
    </row>
    <row r="2198" spans="1:1" x14ac:dyDescent="0.2">
      <c r="A2198" s="1135" t="str">
        <f>CONCATENATE(Programme!C2199,Programme!D2199,Programme!E2199,Programme!F2199,Programme!G2199,Programme!H2199,Programme!I2199)</f>
        <v>&lt;cellule&gt;</v>
      </c>
    </row>
    <row r="2199" spans="1:1" x14ac:dyDescent="0.2">
      <c r="A2199" s="1135" t="str">
        <f>CONCATENATE(Programme!C2200,Programme!D2200,Programme!E2200,Programme!F2200,Programme!G2200,Programme!H2200,Programme!I2200)</f>
        <v>&lt;codeEdi&gt;11281&lt;/codeEdi&gt;</v>
      </c>
    </row>
    <row r="2200" spans="1:1" x14ac:dyDescent="0.2">
      <c r="A2200" s="1135" t="str">
        <f>CONCATENATE(Programme!C2201,Programme!D2201,Programme!E2201,Programme!F2201,Programme!G2201,Programme!H2201,Programme!I2201)</f>
        <v>&lt;/cellule&gt;</v>
      </c>
    </row>
    <row r="2201" spans="1:1" x14ac:dyDescent="0.2">
      <c r="A2201" s="1135" t="str">
        <f>CONCATENATE(Programme!C2202,Programme!D2202,Programme!E2202,Programme!F2202,Programme!G2202,Programme!H2202,Programme!I2202)</f>
        <v>&lt;valeur&gt;0&lt;/valeur&gt;</v>
      </c>
    </row>
    <row r="2202" spans="1:1" x14ac:dyDescent="0.2">
      <c r="A2202" s="1135" t="str">
        <f>CONCATENATE(Programme!C2203,Programme!D2203,Programme!E2203,Programme!F2203,Programme!G2203,Programme!H2203,Programme!I2203)</f>
        <v>&lt;/ValeurCellule&gt;</v>
      </c>
    </row>
    <row r="2203" spans="1:1" x14ac:dyDescent="0.2">
      <c r="A2203" s="1135" t="str">
        <f>CONCATENATE(Programme!C2204,Programme!D2204,Programme!E2204,Programme!F2204,Programme!G2204,Programme!H2204,Programme!I2204)</f>
        <v>&lt;ValeurCellule&gt;</v>
      </c>
    </row>
    <row r="2204" spans="1:1" x14ac:dyDescent="0.2">
      <c r="A2204" s="1135" t="str">
        <f>CONCATENATE(Programme!C2205,Programme!D2205,Programme!E2205,Programme!F2205,Programme!G2205,Programme!H2205,Programme!I2205)</f>
        <v>&lt;cellule&gt;</v>
      </c>
    </row>
    <row r="2205" spans="1:1" x14ac:dyDescent="0.2">
      <c r="A2205" s="1135" t="str">
        <f>CONCATENATE(Programme!C2206,Programme!D2206,Programme!E2206,Programme!F2206,Programme!G2206,Programme!H2206,Programme!I2206)</f>
        <v>&lt;codeEdi&gt;11286&lt;/codeEdi&gt;</v>
      </c>
    </row>
    <row r="2206" spans="1:1" x14ac:dyDescent="0.2">
      <c r="A2206" s="1135" t="str">
        <f>CONCATENATE(Programme!C2207,Programme!D2207,Programme!E2207,Programme!F2207,Programme!G2207,Programme!H2207,Programme!I2207)</f>
        <v>&lt;/cellule&gt;</v>
      </c>
    </row>
    <row r="2207" spans="1:1" x14ac:dyDescent="0.2">
      <c r="A2207" s="1135" t="str">
        <f>CONCATENATE(Programme!C2208,Programme!D2208,Programme!E2208,Programme!F2208,Programme!G2208,Programme!H2208,Programme!I2208)</f>
        <v>&lt;valeur&gt;0&lt;/valeur&gt;</v>
      </c>
    </row>
    <row r="2208" spans="1:1" x14ac:dyDescent="0.2">
      <c r="A2208" s="1135" t="str">
        <f>CONCATENATE(Programme!C2209,Programme!D2209,Programme!E2209,Programme!F2209,Programme!G2209,Programme!H2209,Programme!I2209)</f>
        <v>&lt;/ValeurCellule&gt;</v>
      </c>
    </row>
    <row r="2209" spans="1:1" x14ac:dyDescent="0.2">
      <c r="A2209" s="1135" t="str">
        <f>CONCATENATE(Programme!C2210,Programme!D2210,Programme!E2210,Programme!F2210,Programme!G2210,Programme!H2210,Programme!I2210)</f>
        <v>&lt;ValeurCellule&gt;</v>
      </c>
    </row>
    <row r="2210" spans="1:1" x14ac:dyDescent="0.2">
      <c r="A2210" s="1135" t="str">
        <f>CONCATENATE(Programme!C2211,Programme!D2211,Programme!E2211,Programme!F2211,Programme!G2211,Programme!H2211,Programme!I2211)</f>
        <v>&lt;cellule&gt;</v>
      </c>
    </row>
    <row r="2211" spans="1:1" x14ac:dyDescent="0.2">
      <c r="A2211" s="1135" t="str">
        <f>CONCATENATE(Programme!C2212,Programme!D2212,Programme!E2212,Programme!F2212,Programme!G2212,Programme!H2212,Programme!I2212)</f>
        <v>&lt;codeEdi&gt;11291&lt;/codeEdi&gt;</v>
      </c>
    </row>
    <row r="2212" spans="1:1" x14ac:dyDescent="0.2">
      <c r="A2212" s="1135" t="str">
        <f>CONCATENATE(Programme!C2213,Programme!D2213,Programme!E2213,Programme!F2213,Programme!G2213,Programme!H2213,Programme!I2213)</f>
        <v>&lt;/cellule&gt;</v>
      </c>
    </row>
    <row r="2213" spans="1:1" x14ac:dyDescent="0.2">
      <c r="A2213" s="1135" t="str">
        <f>CONCATENATE(Programme!C2214,Programme!D2214,Programme!E2214,Programme!F2214,Programme!G2214,Programme!H2214,Programme!I2214)</f>
        <v>&lt;valeur&gt;0&lt;/valeur&gt;</v>
      </c>
    </row>
    <row r="2214" spans="1:1" x14ac:dyDescent="0.2">
      <c r="A2214" s="1135" t="str">
        <f>CONCATENATE(Programme!C2215,Programme!D2215,Programme!E2215,Programme!F2215,Programme!G2215,Programme!H2215,Programme!I2215)</f>
        <v>&lt;/ValeurCellule&gt;</v>
      </c>
    </row>
    <row r="2215" spans="1:1" x14ac:dyDescent="0.2">
      <c r="A2215" s="1135" t="str">
        <f>CONCATENATE(Programme!C2216,Programme!D2216,Programme!E2216,Programme!F2216,Programme!G2216,Programme!H2216,Programme!I2216)</f>
        <v>&lt;ValeurCellule&gt;</v>
      </c>
    </row>
    <row r="2216" spans="1:1" x14ac:dyDescent="0.2">
      <c r="A2216" s="1135" t="str">
        <f>CONCATENATE(Programme!C2217,Programme!D2217,Programme!E2217,Programme!F2217,Programme!G2217,Programme!H2217,Programme!I2217)</f>
        <v>&lt;cellule&gt;</v>
      </c>
    </row>
    <row r="2217" spans="1:1" x14ac:dyDescent="0.2">
      <c r="A2217" s="1135" t="str">
        <f>CONCATENATE(Programme!C2218,Programme!D2218,Programme!E2218,Programme!F2218,Programme!G2218,Programme!H2218,Programme!I2218)</f>
        <v>&lt;codeEdi&gt;11331&lt;/codeEdi&gt;</v>
      </c>
    </row>
    <row r="2218" spans="1:1" x14ac:dyDescent="0.2">
      <c r="A2218" s="1135" t="str">
        <f>CONCATENATE(Programme!C2219,Programme!D2219,Programme!E2219,Programme!F2219,Programme!G2219,Programme!H2219,Programme!I2219)</f>
        <v>&lt;/cellule&gt;</v>
      </c>
    </row>
    <row r="2219" spans="1:1" x14ac:dyDescent="0.2">
      <c r="A2219" s="1135" t="str">
        <f>CONCATENATE(Programme!C2220,Programme!D2220,Programme!E2220,Programme!F2220,Programme!G2220,Programme!H2220,Programme!I2220)</f>
        <v>&lt;valeur&gt;-43957,11&lt;/valeur&gt;</v>
      </c>
    </row>
    <row r="2220" spans="1:1" x14ac:dyDescent="0.2">
      <c r="A2220" s="1135" t="str">
        <f>CONCATENATE(Programme!C2221,Programme!D2221,Programme!E2221,Programme!F2221,Programme!G2221,Programme!H2221,Programme!I2221)</f>
        <v>&lt;/ValeurCellule&gt;</v>
      </c>
    </row>
    <row r="2221" spans="1:1" x14ac:dyDescent="0.2">
      <c r="A2221" s="1135" t="str">
        <f>CONCATENATE(Programme!C2222,Programme!D2222,Programme!E2222,Programme!F2222,Programme!G2222,Programme!H2222,Programme!I2222)</f>
        <v>&lt;ValeurCellule&gt;</v>
      </c>
    </row>
    <row r="2222" spans="1:1" x14ac:dyDescent="0.2">
      <c r="A2222" s="1135" t="str">
        <f>CONCATENATE(Programme!C2223,Programme!D2223,Programme!E2223,Programme!F2223,Programme!G2223,Programme!H2223,Programme!I2223)</f>
        <v>&lt;cellule&gt;</v>
      </c>
    </row>
    <row r="2223" spans="1:1" x14ac:dyDescent="0.2">
      <c r="A2223" s="1135" t="str">
        <f>CONCATENATE(Programme!C2224,Programme!D2224,Programme!E2224,Programme!F2224,Programme!G2224,Programme!H2224,Programme!I2224)</f>
        <v>&lt;codeEdi&gt;11296&lt;/codeEdi&gt;</v>
      </c>
    </row>
    <row r="2224" spans="1:1" x14ac:dyDescent="0.2">
      <c r="A2224" s="1135" t="str">
        <f>CONCATENATE(Programme!C2225,Programme!D2225,Programme!E2225,Programme!F2225,Programme!G2225,Programme!H2225,Programme!I2225)</f>
        <v>&lt;/cellule&gt;</v>
      </c>
    </row>
    <row r="2225" spans="1:1" x14ac:dyDescent="0.2">
      <c r="A2225" s="1135" t="str">
        <f>CONCATENATE(Programme!C2226,Programme!D2226,Programme!E2226,Programme!F2226,Programme!G2226,Programme!H2226,Programme!I2226)</f>
        <v>&lt;valeur&gt;43957,11&lt;/valeur&gt;</v>
      </c>
    </row>
    <row r="2226" spans="1:1" x14ac:dyDescent="0.2">
      <c r="A2226" s="1135" t="str">
        <f>CONCATENATE(Programme!C2227,Programme!D2227,Programme!E2227,Programme!F2227,Programme!G2227,Programme!H2227,Programme!I2227)</f>
        <v>&lt;/ValeurCellule&gt;</v>
      </c>
    </row>
    <row r="2227" spans="1:1" x14ac:dyDescent="0.2">
      <c r="A2227" s="1135" t="str">
        <f>CONCATENATE(Programme!C2228,Programme!D2228,Programme!E2228,Programme!F2228,Programme!G2228,Programme!H2228,Programme!I2228)</f>
        <v>&lt;ValeurCellule&gt;</v>
      </c>
    </row>
    <row r="2228" spans="1:1" x14ac:dyDescent="0.2">
      <c r="A2228" s="1135" t="str">
        <f>CONCATENATE(Programme!C2229,Programme!D2229,Programme!E2229,Programme!F2229,Programme!G2229,Programme!H2229,Programme!I2229)</f>
        <v>&lt;cellule&gt;</v>
      </c>
    </row>
    <row r="2229" spans="1:1" x14ac:dyDescent="0.2">
      <c r="A2229" s="1135" t="str">
        <f>CONCATENATE(Programme!C2230,Programme!D2230,Programme!E2230,Programme!F2230,Programme!G2230,Programme!H2230,Programme!I2230)</f>
        <v>&lt;codeEdi&gt;11301&lt;/codeEdi&gt;</v>
      </c>
    </row>
    <row r="2230" spans="1:1" x14ac:dyDescent="0.2">
      <c r="A2230" s="1135" t="str">
        <f>CONCATENATE(Programme!C2231,Programme!D2231,Programme!E2231,Programme!F2231,Programme!G2231,Programme!H2231,Programme!I2231)</f>
        <v>&lt;/cellule&gt;</v>
      </c>
    </row>
    <row r="2231" spans="1:1" x14ac:dyDescent="0.2">
      <c r="A2231" s="1135" t="str">
        <f>CONCATENATE(Programme!C2232,Programme!D2232,Programme!E2232,Programme!F2232,Programme!G2232,Programme!H2232,Programme!I2232)</f>
        <v>&lt;valeur&gt;0&lt;/valeur&gt;</v>
      </c>
    </row>
    <row r="2232" spans="1:1" x14ac:dyDescent="0.2">
      <c r="A2232" s="1135" t="str">
        <f>CONCATENATE(Programme!C2233,Programme!D2233,Programme!E2233,Programme!F2233,Programme!G2233,Programme!H2233,Programme!I2233)</f>
        <v>&lt;/ValeurCellule&gt;</v>
      </c>
    </row>
    <row r="2233" spans="1:1" x14ac:dyDescent="0.2">
      <c r="A2233" s="1135" t="str">
        <f>CONCATENATE(Programme!C2234,Programme!D2234,Programme!E2234,Programme!F2234,Programme!G2234,Programme!H2234,Programme!I2234)</f>
        <v>&lt;ValeurCellule&gt;</v>
      </c>
    </row>
    <row r="2234" spans="1:1" x14ac:dyDescent="0.2">
      <c r="A2234" s="1135" t="str">
        <f>CONCATENATE(Programme!C2235,Programme!D2235,Programme!E2235,Programme!F2235,Programme!G2235,Programme!H2235,Programme!I2235)</f>
        <v>&lt;cellule&gt;</v>
      </c>
    </row>
    <row r="2235" spans="1:1" x14ac:dyDescent="0.2">
      <c r="A2235" s="1135" t="str">
        <f>CONCATENATE(Programme!C2236,Programme!D2236,Programme!E2236,Programme!F2236,Programme!G2236,Programme!H2236,Programme!I2236)</f>
        <v>&lt;codeEdi&gt;11306&lt;/codeEdi&gt;</v>
      </c>
    </row>
    <row r="2236" spans="1:1" x14ac:dyDescent="0.2">
      <c r="A2236" s="1135" t="str">
        <f>CONCATENATE(Programme!C2237,Programme!D2237,Programme!E2237,Programme!F2237,Programme!G2237,Programme!H2237,Programme!I2237)</f>
        <v>&lt;/cellule&gt;</v>
      </c>
    </row>
    <row r="2237" spans="1:1" x14ac:dyDescent="0.2">
      <c r="A2237" s="1135" t="str">
        <f>CONCATENATE(Programme!C2238,Programme!D2238,Programme!E2238,Programme!F2238,Programme!G2238,Programme!H2238,Programme!I2238)</f>
        <v>&lt;valeur&gt;0&lt;/valeur&gt;</v>
      </c>
    </row>
    <row r="2238" spans="1:1" x14ac:dyDescent="0.2">
      <c r="A2238" s="1135" t="str">
        <f>CONCATENATE(Programme!C2239,Programme!D2239,Programme!E2239,Programme!F2239,Programme!G2239,Programme!H2239,Programme!I2239)</f>
        <v>&lt;/ValeurCellule&gt;</v>
      </c>
    </row>
    <row r="2239" spans="1:1" x14ac:dyDescent="0.2">
      <c r="A2239" s="1135" t="str">
        <f>CONCATENATE(Programme!C2240,Programme!D2240,Programme!E2240,Programme!F2240,Programme!G2240,Programme!H2240,Programme!I2240)</f>
        <v>&lt;ValeurCellule&gt;</v>
      </c>
    </row>
    <row r="2240" spans="1:1" x14ac:dyDescent="0.2">
      <c r="A2240" s="1135" t="str">
        <f>CONCATENATE(Programme!C2241,Programme!D2241,Programme!E2241,Programme!F2241,Programme!G2241,Programme!H2241,Programme!I2241)</f>
        <v>&lt;cellule&gt;</v>
      </c>
    </row>
    <row r="2241" spans="1:1" x14ac:dyDescent="0.2">
      <c r="A2241" s="1135" t="str">
        <f>CONCATENATE(Programme!C2242,Programme!D2242,Programme!E2242,Programme!F2242,Programme!G2242,Programme!H2242,Programme!I2242)</f>
        <v>&lt;codeEdi&gt;11311&lt;/codeEdi&gt;</v>
      </c>
    </row>
    <row r="2242" spans="1:1" x14ac:dyDescent="0.2">
      <c r="A2242" s="1135" t="str">
        <f>CONCATENATE(Programme!C2243,Programme!D2243,Programme!E2243,Programme!F2243,Programme!G2243,Programme!H2243,Programme!I2243)</f>
        <v>&lt;/cellule&gt;</v>
      </c>
    </row>
    <row r="2243" spans="1:1" x14ac:dyDescent="0.2">
      <c r="A2243" s="1135" t="str">
        <f>CONCATENATE(Programme!C2244,Programme!D2244,Programme!E2244,Programme!F2244,Programme!G2244,Programme!H2244,Programme!I2244)</f>
        <v>&lt;valeur&gt;0&lt;/valeur&gt;</v>
      </c>
    </row>
    <row r="2244" spans="1:1" x14ac:dyDescent="0.2">
      <c r="A2244" s="1135" t="str">
        <f>CONCATENATE(Programme!C2245,Programme!D2245,Programme!E2245,Programme!F2245,Programme!G2245,Programme!H2245,Programme!I2245)</f>
        <v>&lt;/ValeurCellule&gt;</v>
      </c>
    </row>
    <row r="2245" spans="1:1" x14ac:dyDescent="0.2">
      <c r="A2245" s="1135" t="str">
        <f>CONCATENATE(Programme!C2246,Programme!D2246,Programme!E2246,Programme!F2246,Programme!G2246,Programme!H2246,Programme!I2246)</f>
        <v>&lt;ValeurCellule&gt;</v>
      </c>
    </row>
    <row r="2246" spans="1:1" x14ac:dyDescent="0.2">
      <c r="A2246" s="1135" t="str">
        <f>CONCATENATE(Programme!C2247,Programme!D2247,Programme!E2247,Programme!F2247,Programme!G2247,Programme!H2247,Programme!I2247)</f>
        <v>&lt;cellule&gt;</v>
      </c>
    </row>
    <row r="2247" spans="1:1" x14ac:dyDescent="0.2">
      <c r="A2247" s="1135" t="str">
        <f>CONCATENATE(Programme!C2248,Programme!D2248,Programme!E2248,Programme!F2248,Programme!G2248,Programme!H2248,Programme!I2248)</f>
        <v>&lt;codeEdi&gt;11316&lt;/codeEdi&gt;</v>
      </c>
    </row>
    <row r="2248" spans="1:1" x14ac:dyDescent="0.2">
      <c r="A2248" s="1135" t="str">
        <f>CONCATENATE(Programme!C2249,Programme!D2249,Programme!E2249,Programme!F2249,Programme!G2249,Programme!H2249,Programme!I2249)</f>
        <v>&lt;/cellule&gt;</v>
      </c>
    </row>
    <row r="2249" spans="1:1" x14ac:dyDescent="0.2">
      <c r="A2249" s="1135" t="str">
        <f>CONCATENATE(Programme!C2250,Programme!D2250,Programme!E2250,Programme!F2250,Programme!G2250,Programme!H2250,Programme!I2250)</f>
        <v>&lt;valeur&gt;43957,11&lt;/valeur&gt;</v>
      </c>
    </row>
    <row r="2250" spans="1:1" x14ac:dyDescent="0.2">
      <c r="A2250" s="1135" t="str">
        <f>CONCATENATE(Programme!C2251,Programme!D2251,Programme!E2251,Programme!F2251,Programme!G2251,Programme!H2251,Programme!I2251)</f>
        <v>&lt;/ValeurCellule&gt;</v>
      </c>
    </row>
    <row r="2251" spans="1:1" x14ac:dyDescent="0.2">
      <c r="A2251" s="1135" t="str">
        <f>CONCATENATE(Programme!C2252,Programme!D2252,Programme!E2252,Programme!F2252,Programme!G2252,Programme!H2252,Programme!I2252)</f>
        <v>&lt;ValeurCellule&gt;</v>
      </c>
    </row>
    <row r="2252" spans="1:1" x14ac:dyDescent="0.2">
      <c r="A2252" s="1135" t="str">
        <f>CONCATENATE(Programme!C2253,Programme!D2253,Programme!E2253,Programme!F2253,Programme!G2253,Programme!H2253,Programme!I2253)</f>
        <v>&lt;cellule&gt;</v>
      </c>
    </row>
    <row r="2253" spans="1:1" x14ac:dyDescent="0.2">
      <c r="A2253" s="1135" t="str">
        <f>CONCATENATE(Programme!C2254,Programme!D2254,Programme!E2254,Programme!F2254,Programme!G2254,Programme!H2254,Programme!I2254)</f>
        <v>&lt;codeEdi&gt;11321&lt;/codeEdi&gt;</v>
      </c>
    </row>
    <row r="2254" spans="1:1" x14ac:dyDescent="0.2">
      <c r="A2254" s="1135" t="str">
        <f>CONCATENATE(Programme!C2255,Programme!D2255,Programme!E2255,Programme!F2255,Programme!G2255,Programme!H2255,Programme!I2255)</f>
        <v>&lt;/cellule&gt;</v>
      </c>
    </row>
    <row r="2255" spans="1:1" x14ac:dyDescent="0.2">
      <c r="A2255" s="1135" t="str">
        <f>CONCATENATE(Programme!C2256,Programme!D2256,Programme!E2256,Programme!F2256,Programme!G2256,Programme!H2256,Programme!I2256)</f>
        <v>&lt;valeur&gt;43957,11&lt;/valeur&gt;</v>
      </c>
    </row>
    <row r="2256" spans="1:1" x14ac:dyDescent="0.2">
      <c r="A2256" s="1135" t="str">
        <f>CONCATENATE(Programme!C2257,Programme!D2257,Programme!E2257,Programme!F2257,Programme!G2257,Programme!H2257,Programme!I2257)</f>
        <v>&lt;/ValeurCellule&gt;</v>
      </c>
    </row>
    <row r="2257" spans="1:1" x14ac:dyDescent="0.2">
      <c r="A2257" s="1135" t="str">
        <f>CONCATENATE(Programme!C2258,Programme!D2258,Programme!E2258,Programme!F2258,Programme!G2258,Programme!H2258,Programme!I2258)</f>
        <v>&lt;ValeurCellule&gt;</v>
      </c>
    </row>
    <row r="2258" spans="1:1" x14ac:dyDescent="0.2">
      <c r="A2258" s="1135" t="str">
        <f>CONCATENATE(Programme!C2259,Programme!D2259,Programme!E2259,Programme!F2259,Programme!G2259,Programme!H2259,Programme!I2259)</f>
        <v>&lt;cellule&gt;</v>
      </c>
    </row>
    <row r="2259" spans="1:1" x14ac:dyDescent="0.2">
      <c r="A2259" s="1135" t="str">
        <f>CONCATENATE(Programme!C2260,Programme!D2260,Programme!E2260,Programme!F2260,Programme!G2260,Programme!H2260,Programme!I2260)</f>
        <v>&lt;codeEdi&gt;11326&lt;/codeEdi&gt;</v>
      </c>
    </row>
    <row r="2260" spans="1:1" x14ac:dyDescent="0.2">
      <c r="A2260" s="1135" t="str">
        <f>CONCATENATE(Programme!C2261,Programme!D2261,Programme!E2261,Programme!F2261,Programme!G2261,Programme!H2261,Programme!I2261)</f>
        <v>&lt;/cellule&gt;</v>
      </c>
    </row>
    <row r="2261" spans="1:1" x14ac:dyDescent="0.2">
      <c r="A2261" s="1135" t="str">
        <f>CONCATENATE(Programme!C2262,Programme!D2262,Programme!E2262,Programme!F2262,Programme!G2262,Programme!H2262,Programme!I2262)</f>
        <v>&lt;valeur&gt;0&lt;/valeur&gt;</v>
      </c>
    </row>
    <row r="2262" spans="1:1" x14ac:dyDescent="0.2">
      <c r="A2262" s="1135" t="str">
        <f>CONCATENATE(Programme!C2263,Programme!D2263,Programme!E2263,Programme!F2263,Programme!G2263,Programme!H2263,Programme!I2263)</f>
        <v>&lt;/ValeurCellule&gt;</v>
      </c>
    </row>
    <row r="2263" spans="1:1" x14ac:dyDescent="0.2">
      <c r="A2263" s="1135" t="str">
        <f>CONCATENATE(Programme!C2264,Programme!D2264,Programme!E2264,Programme!F2264,Programme!G2264,Programme!H2264,Programme!I2264)</f>
        <v>&lt;ValeurCellule&gt;</v>
      </c>
    </row>
    <row r="2264" spans="1:1" x14ac:dyDescent="0.2">
      <c r="A2264" s="1135" t="str">
        <f>CONCATENATE(Programme!C2265,Programme!D2265,Programme!E2265,Programme!F2265,Programme!G2265,Programme!H2265,Programme!I2265)</f>
        <v>&lt;cellule&gt;</v>
      </c>
    </row>
    <row r="2265" spans="1:1" x14ac:dyDescent="0.2">
      <c r="A2265" s="1135" t="str">
        <f>CONCATENATE(Programme!C2266,Programme!D2266,Programme!E2266,Programme!F2266,Programme!G2266,Programme!H2266,Programme!I2266)</f>
        <v>&lt;codeEdi&gt;11272&lt;/codeEdi&gt;</v>
      </c>
    </row>
    <row r="2266" spans="1:1" x14ac:dyDescent="0.2">
      <c r="A2266" s="1135" t="str">
        <f>CONCATENATE(Programme!C2267,Programme!D2267,Programme!E2267,Programme!F2267,Programme!G2267,Programme!H2267,Programme!I2267)</f>
        <v>&lt;/cellule&gt;</v>
      </c>
    </row>
    <row r="2267" spans="1:1" x14ac:dyDescent="0.2">
      <c r="A2267" s="1135" t="str">
        <f>CONCATENATE(Programme!C2268,Programme!D2268,Programme!E2268,Programme!F2268,Programme!G2268,Programme!H2268,Programme!I2268)</f>
        <v>&lt;valeur&gt;0&lt;/valeur&gt;</v>
      </c>
    </row>
    <row r="2268" spans="1:1" x14ac:dyDescent="0.2">
      <c r="A2268" s="1135" t="str">
        <f>CONCATENATE(Programme!C2269,Programme!D2269,Programme!E2269,Programme!F2269,Programme!G2269,Programme!H2269,Programme!I2269)</f>
        <v>&lt;/ValeurCellule&gt;</v>
      </c>
    </row>
    <row r="2269" spans="1:1" x14ac:dyDescent="0.2">
      <c r="A2269" s="1135" t="str">
        <f>CONCATENATE(Programme!C2270,Programme!D2270,Programme!E2270,Programme!F2270,Programme!G2270,Programme!H2270,Programme!I2270)</f>
        <v>&lt;ValeurCellule&gt;</v>
      </c>
    </row>
    <row r="2270" spans="1:1" x14ac:dyDescent="0.2">
      <c r="A2270" s="1135" t="str">
        <f>CONCATENATE(Programme!C2271,Programme!D2271,Programme!E2271,Programme!F2271,Programme!G2271,Programme!H2271,Programme!I2271)</f>
        <v>&lt;cellule&gt;</v>
      </c>
    </row>
    <row r="2271" spans="1:1" x14ac:dyDescent="0.2">
      <c r="A2271" s="1135" t="str">
        <f>CONCATENATE(Programme!C2272,Programme!D2272,Programme!E2272,Programme!F2272,Programme!G2272,Programme!H2272,Programme!I2272)</f>
        <v>&lt;codeEdi&gt;11277&lt;/codeEdi&gt;</v>
      </c>
    </row>
    <row r="2272" spans="1:1" x14ac:dyDescent="0.2">
      <c r="A2272" s="1135" t="str">
        <f>CONCATENATE(Programme!C2273,Programme!D2273,Programme!E2273,Programme!F2273,Programme!G2273,Programme!H2273,Programme!I2273)</f>
        <v>&lt;/cellule&gt;</v>
      </c>
    </row>
    <row r="2273" spans="1:1" x14ac:dyDescent="0.2">
      <c r="A2273" s="1135" t="str">
        <f>CONCATENATE(Programme!C2274,Programme!D2274,Programme!E2274,Programme!F2274,Programme!G2274,Programme!H2274,Programme!I2274)</f>
        <v>&lt;valeur&gt;0&lt;/valeur&gt;</v>
      </c>
    </row>
    <row r="2274" spans="1:1" x14ac:dyDescent="0.2">
      <c r="A2274" s="1135" t="str">
        <f>CONCATENATE(Programme!C2275,Programme!D2275,Programme!E2275,Programme!F2275,Programme!G2275,Programme!H2275,Programme!I2275)</f>
        <v>&lt;/ValeurCellule&gt;</v>
      </c>
    </row>
    <row r="2275" spans="1:1" x14ac:dyDescent="0.2">
      <c r="A2275" s="1135" t="str">
        <f>CONCATENATE(Programme!C2276,Programme!D2276,Programme!E2276,Programme!F2276,Programme!G2276,Programme!H2276,Programme!I2276)</f>
        <v>&lt;ValeurCellule&gt;</v>
      </c>
    </row>
    <row r="2276" spans="1:1" x14ac:dyDescent="0.2">
      <c r="A2276" s="1135" t="str">
        <f>CONCATENATE(Programme!C2277,Programme!D2277,Programme!E2277,Programme!F2277,Programme!G2277,Programme!H2277,Programme!I2277)</f>
        <v>&lt;cellule&gt;</v>
      </c>
    </row>
    <row r="2277" spans="1:1" x14ac:dyDescent="0.2">
      <c r="A2277" s="1135" t="str">
        <f>CONCATENATE(Programme!C2278,Programme!D2278,Programme!E2278,Programme!F2278,Programme!G2278,Programme!H2278,Programme!I2278)</f>
        <v>&lt;codeEdi&gt;11282&lt;/codeEdi&gt;</v>
      </c>
    </row>
    <row r="2278" spans="1:1" x14ac:dyDescent="0.2">
      <c r="A2278" s="1135" t="str">
        <f>CONCATENATE(Programme!C2279,Programme!D2279,Programme!E2279,Programme!F2279,Programme!G2279,Programme!H2279,Programme!I2279)</f>
        <v>&lt;/cellule&gt;</v>
      </c>
    </row>
    <row r="2279" spans="1:1" x14ac:dyDescent="0.2">
      <c r="A2279" s="1135" t="str">
        <f>CONCATENATE(Programme!C2280,Programme!D2280,Programme!E2280,Programme!F2280,Programme!G2280,Programme!H2280,Programme!I2280)</f>
        <v>&lt;valeur&gt;0&lt;/valeur&gt;</v>
      </c>
    </row>
    <row r="2280" spans="1:1" x14ac:dyDescent="0.2">
      <c r="A2280" s="1135" t="str">
        <f>CONCATENATE(Programme!C2281,Programme!D2281,Programme!E2281,Programme!F2281,Programme!G2281,Programme!H2281,Programme!I2281)</f>
        <v>&lt;/ValeurCellule&gt;</v>
      </c>
    </row>
    <row r="2281" spans="1:1" x14ac:dyDescent="0.2">
      <c r="A2281" s="1135" t="str">
        <f>CONCATENATE(Programme!C2282,Programme!D2282,Programme!E2282,Programme!F2282,Programme!G2282,Programme!H2282,Programme!I2282)</f>
        <v>&lt;ValeurCellule&gt;</v>
      </c>
    </row>
    <row r="2282" spans="1:1" x14ac:dyDescent="0.2">
      <c r="A2282" s="1135" t="str">
        <f>CONCATENATE(Programme!C2283,Programme!D2283,Programme!E2283,Programme!F2283,Programme!G2283,Programme!H2283,Programme!I2283)</f>
        <v>&lt;cellule&gt;</v>
      </c>
    </row>
    <row r="2283" spans="1:1" x14ac:dyDescent="0.2">
      <c r="A2283" s="1135" t="str">
        <f>CONCATENATE(Programme!C2284,Programme!D2284,Programme!E2284,Programme!F2284,Programme!G2284,Programme!H2284,Programme!I2284)</f>
        <v>&lt;codeEdi&gt;11287&lt;/codeEdi&gt;</v>
      </c>
    </row>
    <row r="2284" spans="1:1" x14ac:dyDescent="0.2">
      <c r="A2284" s="1135" t="str">
        <f>CONCATENATE(Programme!C2285,Programme!D2285,Programme!E2285,Programme!F2285,Programme!G2285,Programme!H2285,Programme!I2285)</f>
        <v>&lt;/cellule&gt;</v>
      </c>
    </row>
    <row r="2285" spans="1:1" x14ac:dyDescent="0.2">
      <c r="A2285" s="1135" t="str">
        <f>CONCATENATE(Programme!C2286,Programme!D2286,Programme!E2286,Programme!F2286,Programme!G2286,Programme!H2286,Programme!I2286)</f>
        <v>&lt;valeur&gt;0&lt;/valeur&gt;</v>
      </c>
    </row>
    <row r="2286" spans="1:1" x14ac:dyDescent="0.2">
      <c r="A2286" s="1135" t="str">
        <f>CONCATENATE(Programme!C2287,Programme!D2287,Programme!E2287,Programme!F2287,Programme!G2287,Programme!H2287,Programme!I2287)</f>
        <v>&lt;/ValeurCellule&gt;</v>
      </c>
    </row>
    <row r="2287" spans="1:1" x14ac:dyDescent="0.2">
      <c r="A2287" s="1135" t="str">
        <f>CONCATENATE(Programme!C2288,Programme!D2288,Programme!E2288,Programme!F2288,Programme!G2288,Programme!H2288,Programme!I2288)</f>
        <v>&lt;ValeurCellule&gt;</v>
      </c>
    </row>
    <row r="2288" spans="1:1" x14ac:dyDescent="0.2">
      <c r="A2288" s="1135" t="str">
        <f>CONCATENATE(Programme!C2289,Programme!D2289,Programme!E2289,Programme!F2289,Programme!G2289,Programme!H2289,Programme!I2289)</f>
        <v>&lt;cellule&gt;</v>
      </c>
    </row>
    <row r="2289" spans="1:1" x14ac:dyDescent="0.2">
      <c r="A2289" s="1135" t="str">
        <f>CONCATENATE(Programme!C2290,Programme!D2290,Programme!E2290,Programme!F2290,Programme!G2290,Programme!H2290,Programme!I2290)</f>
        <v>&lt;codeEdi&gt;11292&lt;/codeEdi&gt;</v>
      </c>
    </row>
    <row r="2290" spans="1:1" x14ac:dyDescent="0.2">
      <c r="A2290" s="1135" t="str">
        <f>CONCATENATE(Programme!C2291,Programme!D2291,Programme!E2291,Programme!F2291,Programme!G2291,Programme!H2291,Programme!I2291)</f>
        <v>&lt;/cellule&gt;</v>
      </c>
    </row>
    <row r="2291" spans="1:1" x14ac:dyDescent="0.2">
      <c r="A2291" s="1135" t="str">
        <f>CONCATENATE(Programme!C2292,Programme!D2292,Programme!E2292,Programme!F2292,Programme!G2292,Programme!H2292,Programme!I2292)</f>
        <v>&lt;valeur&gt;0&lt;/valeur&gt;</v>
      </c>
    </row>
    <row r="2292" spans="1:1" x14ac:dyDescent="0.2">
      <c r="A2292" s="1135" t="str">
        <f>CONCATENATE(Programme!C2293,Programme!D2293,Programme!E2293,Programme!F2293,Programme!G2293,Programme!H2293,Programme!I2293)</f>
        <v>&lt;/ValeurCellule&gt;</v>
      </c>
    </row>
    <row r="2293" spans="1:1" x14ac:dyDescent="0.2">
      <c r="A2293" s="1135" t="str">
        <f>CONCATENATE(Programme!C2294,Programme!D2294,Programme!E2294,Programme!F2294,Programme!G2294,Programme!H2294,Programme!I2294)</f>
        <v>&lt;ValeurCellule&gt;</v>
      </c>
    </row>
    <row r="2294" spans="1:1" x14ac:dyDescent="0.2">
      <c r="A2294" s="1135" t="str">
        <f>CONCATENATE(Programme!C2295,Programme!D2295,Programme!E2295,Programme!F2295,Programme!G2295,Programme!H2295,Programme!I2295)</f>
        <v>&lt;cellule&gt;</v>
      </c>
    </row>
    <row r="2295" spans="1:1" x14ac:dyDescent="0.2">
      <c r="A2295" s="1135" t="str">
        <f>CONCATENATE(Programme!C2296,Programme!D2296,Programme!E2296,Programme!F2296,Programme!G2296,Programme!H2296,Programme!I2296)</f>
        <v>&lt;codeEdi&gt;11332&lt;/codeEdi&gt;</v>
      </c>
    </row>
    <row r="2296" spans="1:1" x14ac:dyDescent="0.2">
      <c r="A2296" s="1135" t="str">
        <f>CONCATENATE(Programme!C2297,Programme!D2297,Programme!E2297,Programme!F2297,Programme!G2297,Programme!H2297,Programme!I2297)</f>
        <v>&lt;/cellule&gt;</v>
      </c>
    </row>
    <row r="2297" spans="1:1" x14ac:dyDescent="0.2">
      <c r="A2297" s="1135" t="str">
        <f>CONCATENATE(Programme!C2298,Programme!D2298,Programme!E2298,Programme!F2298,Programme!G2298,Programme!H2298,Programme!I2298)</f>
        <v>&lt;valeur&gt;0&lt;/valeur&gt;</v>
      </c>
    </row>
    <row r="2298" spans="1:1" x14ac:dyDescent="0.2">
      <c r="A2298" s="1135" t="str">
        <f>CONCATENATE(Programme!C2299,Programme!D2299,Programme!E2299,Programme!F2299,Programme!G2299,Programme!H2299,Programme!I2299)</f>
        <v>&lt;/ValeurCellule&gt;</v>
      </c>
    </row>
    <row r="2299" spans="1:1" x14ac:dyDescent="0.2">
      <c r="A2299" s="1135" t="str">
        <f>CONCATENATE(Programme!C2300,Programme!D2300,Programme!E2300,Programme!F2300,Programme!G2300,Programme!H2300,Programme!I2300)</f>
        <v>&lt;ValeurCellule&gt;</v>
      </c>
    </row>
    <row r="2300" spans="1:1" x14ac:dyDescent="0.2">
      <c r="A2300" s="1135" t="str">
        <f>CONCATENATE(Programme!C2301,Programme!D2301,Programme!E2301,Programme!F2301,Programme!G2301,Programme!H2301,Programme!I2301)</f>
        <v>&lt;cellule&gt;</v>
      </c>
    </row>
    <row r="2301" spans="1:1" x14ac:dyDescent="0.2">
      <c r="A2301" s="1135" t="str">
        <f>CONCATENATE(Programme!C2302,Programme!D2302,Programme!E2302,Programme!F2302,Programme!G2302,Programme!H2302,Programme!I2302)</f>
        <v>&lt;codeEdi&gt;11297&lt;/codeEdi&gt;</v>
      </c>
    </row>
    <row r="2302" spans="1:1" x14ac:dyDescent="0.2">
      <c r="A2302" s="1135" t="str">
        <f>CONCATENATE(Programme!C2303,Programme!D2303,Programme!E2303,Programme!F2303,Programme!G2303,Programme!H2303,Programme!I2303)</f>
        <v>&lt;/cellule&gt;</v>
      </c>
    </row>
    <row r="2303" spans="1:1" x14ac:dyDescent="0.2">
      <c r="A2303" s="1135" t="str">
        <f>CONCATENATE(Programme!C2304,Programme!D2304,Programme!E2304,Programme!F2304,Programme!G2304,Programme!H2304,Programme!I2304)</f>
        <v>&lt;valeur&gt;0&lt;/valeur&gt;</v>
      </c>
    </row>
    <row r="2304" spans="1:1" x14ac:dyDescent="0.2">
      <c r="A2304" s="1135" t="str">
        <f>CONCATENATE(Programme!C2305,Programme!D2305,Programme!E2305,Programme!F2305,Programme!G2305,Programme!H2305,Programme!I2305)</f>
        <v>&lt;/ValeurCellule&gt;</v>
      </c>
    </row>
    <row r="2305" spans="1:1" x14ac:dyDescent="0.2">
      <c r="A2305" s="1135" t="str">
        <f>CONCATENATE(Programme!C2306,Programme!D2306,Programme!E2306,Programme!F2306,Programme!G2306,Programme!H2306,Programme!I2306)</f>
        <v>&lt;ValeurCellule&gt;</v>
      </c>
    </row>
    <row r="2306" spans="1:1" x14ac:dyDescent="0.2">
      <c r="A2306" s="1135" t="str">
        <f>CONCATENATE(Programme!C2307,Programme!D2307,Programme!E2307,Programme!F2307,Programme!G2307,Programme!H2307,Programme!I2307)</f>
        <v>&lt;cellule&gt;</v>
      </c>
    </row>
    <row r="2307" spans="1:1" x14ac:dyDescent="0.2">
      <c r="A2307" s="1135" t="str">
        <f>CONCATENATE(Programme!C2308,Programme!D2308,Programme!E2308,Programme!F2308,Programme!G2308,Programme!H2308,Programme!I2308)</f>
        <v>&lt;codeEdi&gt;11302&lt;/codeEdi&gt;</v>
      </c>
    </row>
    <row r="2308" spans="1:1" x14ac:dyDescent="0.2">
      <c r="A2308" s="1135" t="str">
        <f>CONCATENATE(Programme!C2309,Programme!D2309,Programme!E2309,Programme!F2309,Programme!G2309,Programme!H2309,Programme!I2309)</f>
        <v>&lt;/cellule&gt;</v>
      </c>
    </row>
    <row r="2309" spans="1:1" x14ac:dyDescent="0.2">
      <c r="A2309" s="1135" t="str">
        <f>CONCATENATE(Programme!C2310,Programme!D2310,Programme!E2310,Programme!F2310,Programme!G2310,Programme!H2310,Programme!I2310)</f>
        <v>&lt;valeur&gt;0&lt;/valeur&gt;</v>
      </c>
    </row>
    <row r="2310" spans="1:1" x14ac:dyDescent="0.2">
      <c r="A2310" s="1135" t="str">
        <f>CONCATENATE(Programme!C2311,Programme!D2311,Programme!E2311,Programme!F2311,Programme!G2311,Programme!H2311,Programme!I2311)</f>
        <v>&lt;/ValeurCellule&gt;</v>
      </c>
    </row>
    <row r="2311" spans="1:1" x14ac:dyDescent="0.2">
      <c r="A2311" s="1135" t="str">
        <f>CONCATENATE(Programme!C2312,Programme!D2312,Programme!E2312,Programme!F2312,Programme!G2312,Programme!H2312,Programme!I2312)</f>
        <v>&lt;ValeurCellule&gt;</v>
      </c>
    </row>
    <row r="2312" spans="1:1" x14ac:dyDescent="0.2">
      <c r="A2312" s="1135" t="str">
        <f>CONCATENATE(Programme!C2313,Programme!D2313,Programme!E2313,Programme!F2313,Programme!G2313,Programme!H2313,Programme!I2313)</f>
        <v>&lt;cellule&gt;</v>
      </c>
    </row>
    <row r="2313" spans="1:1" x14ac:dyDescent="0.2">
      <c r="A2313" s="1135" t="str">
        <f>CONCATENATE(Programme!C2314,Programme!D2314,Programme!E2314,Programme!F2314,Programme!G2314,Programme!H2314,Programme!I2314)</f>
        <v>&lt;codeEdi&gt;11307&lt;/codeEdi&gt;</v>
      </c>
    </row>
    <row r="2314" spans="1:1" x14ac:dyDescent="0.2">
      <c r="A2314" s="1135" t="str">
        <f>CONCATENATE(Programme!C2315,Programme!D2315,Programme!E2315,Programme!F2315,Programme!G2315,Programme!H2315,Programme!I2315)</f>
        <v>&lt;/cellule&gt;</v>
      </c>
    </row>
    <row r="2315" spans="1:1" x14ac:dyDescent="0.2">
      <c r="A2315" s="1135" t="str">
        <f>CONCATENATE(Programme!C2316,Programme!D2316,Programme!E2316,Programme!F2316,Programme!G2316,Programme!H2316,Programme!I2316)</f>
        <v>&lt;valeur&gt;0&lt;/valeur&gt;</v>
      </c>
    </row>
    <row r="2316" spans="1:1" x14ac:dyDescent="0.2">
      <c r="A2316" s="1135" t="str">
        <f>CONCATENATE(Programme!C2317,Programme!D2317,Programme!E2317,Programme!F2317,Programme!G2317,Programme!H2317,Programme!I2317)</f>
        <v>&lt;/ValeurCellule&gt;</v>
      </c>
    </row>
    <row r="2317" spans="1:1" x14ac:dyDescent="0.2">
      <c r="A2317" s="1135" t="str">
        <f>CONCATENATE(Programme!C2318,Programme!D2318,Programme!E2318,Programme!F2318,Programme!G2318,Programme!H2318,Programme!I2318)</f>
        <v>&lt;ValeurCellule&gt;</v>
      </c>
    </row>
    <row r="2318" spans="1:1" x14ac:dyDescent="0.2">
      <c r="A2318" s="1135" t="str">
        <f>CONCATENATE(Programme!C2319,Programme!D2319,Programme!E2319,Programme!F2319,Programme!G2319,Programme!H2319,Programme!I2319)</f>
        <v>&lt;cellule&gt;</v>
      </c>
    </row>
    <row r="2319" spans="1:1" x14ac:dyDescent="0.2">
      <c r="A2319" s="1135" t="str">
        <f>CONCATENATE(Programme!C2320,Programme!D2320,Programme!E2320,Programme!F2320,Programme!G2320,Programme!H2320,Programme!I2320)</f>
        <v>&lt;codeEdi&gt;11312&lt;/codeEdi&gt;</v>
      </c>
    </row>
    <row r="2320" spans="1:1" x14ac:dyDescent="0.2">
      <c r="A2320" s="1135" t="str">
        <f>CONCATENATE(Programme!C2321,Programme!D2321,Programme!E2321,Programme!F2321,Programme!G2321,Programme!H2321,Programme!I2321)</f>
        <v>&lt;/cellule&gt;</v>
      </c>
    </row>
    <row r="2321" spans="1:1" x14ac:dyDescent="0.2">
      <c r="A2321" s="1135" t="str">
        <f>CONCATENATE(Programme!C2322,Programme!D2322,Programme!E2322,Programme!F2322,Programme!G2322,Programme!H2322,Programme!I2322)</f>
        <v>&lt;valeur&gt;0&lt;/valeur&gt;</v>
      </c>
    </row>
    <row r="2322" spans="1:1" x14ac:dyDescent="0.2">
      <c r="A2322" s="1135" t="str">
        <f>CONCATENATE(Programme!C2323,Programme!D2323,Programme!E2323,Programme!F2323,Programme!G2323,Programme!H2323,Programme!I2323)</f>
        <v>&lt;/ValeurCellule&gt;</v>
      </c>
    </row>
    <row r="2323" spans="1:1" x14ac:dyDescent="0.2">
      <c r="A2323" s="1135" t="str">
        <f>CONCATENATE(Programme!C2324,Programme!D2324,Programme!E2324,Programme!F2324,Programme!G2324,Programme!H2324,Programme!I2324)</f>
        <v>&lt;ValeurCellule&gt;</v>
      </c>
    </row>
    <row r="2324" spans="1:1" x14ac:dyDescent="0.2">
      <c r="A2324" s="1135" t="str">
        <f>CONCATENATE(Programme!C2325,Programme!D2325,Programme!E2325,Programme!F2325,Programme!G2325,Programme!H2325,Programme!I2325)</f>
        <v>&lt;cellule&gt;</v>
      </c>
    </row>
    <row r="2325" spans="1:1" x14ac:dyDescent="0.2">
      <c r="A2325" s="1135" t="str">
        <f>CONCATENATE(Programme!C2326,Programme!D2326,Programme!E2326,Programme!F2326,Programme!G2326,Programme!H2326,Programme!I2326)</f>
        <v>&lt;codeEdi&gt;11317&lt;/codeEdi&gt;</v>
      </c>
    </row>
    <row r="2326" spans="1:1" x14ac:dyDescent="0.2">
      <c r="A2326" s="1135" t="str">
        <f>CONCATENATE(Programme!C2327,Programme!D2327,Programme!E2327,Programme!F2327,Programme!G2327,Programme!H2327,Programme!I2327)</f>
        <v>&lt;/cellule&gt;</v>
      </c>
    </row>
    <row r="2327" spans="1:1" x14ac:dyDescent="0.2">
      <c r="A2327" s="1135" t="str">
        <f>CONCATENATE(Programme!C2328,Programme!D2328,Programme!E2328,Programme!F2328,Programme!G2328,Programme!H2328,Programme!I2328)</f>
        <v>&lt;valeur&gt;0&lt;/valeur&gt;</v>
      </c>
    </row>
    <row r="2328" spans="1:1" x14ac:dyDescent="0.2">
      <c r="A2328" s="1135" t="str">
        <f>CONCATENATE(Programme!C2329,Programme!D2329,Programme!E2329,Programme!F2329,Programme!G2329,Programme!H2329,Programme!I2329)</f>
        <v>&lt;/ValeurCellule&gt;</v>
      </c>
    </row>
    <row r="2329" spans="1:1" x14ac:dyDescent="0.2">
      <c r="A2329" s="1135" t="str">
        <f>CONCATENATE(Programme!C2330,Programme!D2330,Programme!E2330,Programme!F2330,Programme!G2330,Programme!H2330,Programme!I2330)</f>
        <v>&lt;ValeurCellule&gt;</v>
      </c>
    </row>
    <row r="2330" spans="1:1" x14ac:dyDescent="0.2">
      <c r="A2330" s="1135" t="str">
        <f>CONCATENATE(Programme!C2331,Programme!D2331,Programme!E2331,Programme!F2331,Programme!G2331,Programme!H2331,Programme!I2331)</f>
        <v>&lt;cellule&gt;</v>
      </c>
    </row>
    <row r="2331" spans="1:1" x14ac:dyDescent="0.2">
      <c r="A2331" s="1135" t="str">
        <f>CONCATENATE(Programme!C2332,Programme!D2332,Programme!E2332,Programme!F2332,Programme!G2332,Programme!H2332,Programme!I2332)</f>
        <v>&lt;codeEdi&gt;11322&lt;/codeEdi&gt;</v>
      </c>
    </row>
    <row r="2332" spans="1:1" x14ac:dyDescent="0.2">
      <c r="A2332" s="1135" t="str">
        <f>CONCATENATE(Programme!C2333,Programme!D2333,Programme!E2333,Programme!F2333,Programme!G2333,Programme!H2333,Programme!I2333)</f>
        <v>&lt;/cellule&gt;</v>
      </c>
    </row>
    <row r="2333" spans="1:1" x14ac:dyDescent="0.2">
      <c r="A2333" s="1135" t="str">
        <f>CONCATENATE(Programme!C2334,Programme!D2334,Programme!E2334,Programme!F2334,Programme!G2334,Programme!H2334,Programme!I2334)</f>
        <v>&lt;valeur&gt;0&lt;/valeur&gt;</v>
      </c>
    </row>
    <row r="2334" spans="1:1" x14ac:dyDescent="0.2">
      <c r="A2334" s="1135" t="str">
        <f>CONCATENATE(Programme!C2335,Programme!D2335,Programme!E2335,Programme!F2335,Programme!G2335,Programme!H2335,Programme!I2335)</f>
        <v>&lt;/ValeurCellule&gt;</v>
      </c>
    </row>
    <row r="2335" spans="1:1" x14ac:dyDescent="0.2">
      <c r="A2335" s="1135" t="str">
        <f>CONCATENATE(Programme!C2336,Programme!D2336,Programme!E2336,Programme!F2336,Programme!G2336,Programme!H2336,Programme!I2336)</f>
        <v>&lt;ValeurCellule&gt;</v>
      </c>
    </row>
    <row r="2336" spans="1:1" x14ac:dyDescent="0.2">
      <c r="A2336" s="1135" t="str">
        <f>CONCATENATE(Programme!C2337,Programme!D2337,Programme!E2337,Programme!F2337,Programme!G2337,Programme!H2337,Programme!I2337)</f>
        <v>&lt;cellule&gt;</v>
      </c>
    </row>
    <row r="2337" spans="1:1" x14ac:dyDescent="0.2">
      <c r="A2337" s="1135" t="str">
        <f>CONCATENATE(Programme!C2338,Programme!D2338,Programme!E2338,Programme!F2338,Programme!G2338,Programme!H2338,Programme!I2338)</f>
        <v>&lt;codeEdi&gt;11327&lt;/codeEdi&gt;</v>
      </c>
    </row>
    <row r="2338" spans="1:1" x14ac:dyDescent="0.2">
      <c r="A2338" s="1135" t="str">
        <f>CONCATENATE(Programme!C2339,Programme!D2339,Programme!E2339,Programme!F2339,Programme!G2339,Programme!H2339,Programme!I2339)</f>
        <v>&lt;/cellule&gt;</v>
      </c>
    </row>
    <row r="2339" spans="1:1" x14ac:dyDescent="0.2">
      <c r="A2339" s="1135" t="str">
        <f>CONCATENATE(Programme!C2340,Programme!D2340,Programme!E2340,Programme!F2340,Programme!G2340,Programme!H2340,Programme!I2340)</f>
        <v>&lt;valeur&gt;0&lt;/valeur&gt;</v>
      </c>
    </row>
    <row r="2340" spans="1:1" x14ac:dyDescent="0.2">
      <c r="A2340" s="1135" t="str">
        <f>CONCATENATE(Programme!C2341,Programme!D2341,Programme!E2341,Programme!F2341,Programme!G2341,Programme!H2341,Programme!I2341)</f>
        <v>&lt;/ValeurCellule&gt;</v>
      </c>
    </row>
    <row r="2341" spans="1:1" x14ac:dyDescent="0.2">
      <c r="A2341" s="1135" t="str">
        <f>CONCATENATE(Programme!C2342,Programme!D2342,Programme!E2342,Programme!F2342,Programme!G2342,Programme!H2342,Programme!I2342)</f>
        <v>&lt;ValeurCellule&gt;</v>
      </c>
    </row>
    <row r="2342" spans="1:1" x14ac:dyDescent="0.2">
      <c r="A2342" s="1135" t="str">
        <f>CONCATENATE(Programme!C2343,Programme!D2343,Programme!E2343,Programme!F2343,Programme!G2343,Programme!H2343,Programme!I2343)</f>
        <v>&lt;cellule&gt;</v>
      </c>
    </row>
    <row r="2343" spans="1:1" x14ac:dyDescent="0.2">
      <c r="A2343" s="1135" t="str">
        <f>CONCATENATE(Programme!C2344,Programme!D2344,Programme!E2344,Programme!F2344,Programme!G2344,Programme!H2344,Programme!I2344)</f>
        <v>&lt;codeEdi&gt;11273&lt;/codeEdi&gt;</v>
      </c>
    </row>
    <row r="2344" spans="1:1" x14ac:dyDescent="0.2">
      <c r="A2344" s="1135" t="str">
        <f>CONCATENATE(Programme!C2345,Programme!D2345,Programme!E2345,Programme!F2345,Programme!G2345,Programme!H2345,Programme!I2345)</f>
        <v>&lt;/cellule&gt;</v>
      </c>
    </row>
    <row r="2345" spans="1:1" x14ac:dyDescent="0.2">
      <c r="A2345" s="1135" t="str">
        <f>CONCATENATE(Programme!C2346,Programme!D2346,Programme!E2346,Programme!F2346,Programme!G2346,Programme!H2346,Programme!I2346)</f>
        <v>&lt;valeur&gt;0&lt;/valeur&gt;</v>
      </c>
    </row>
    <row r="2346" spans="1:1" x14ac:dyDescent="0.2">
      <c r="A2346" s="1135" t="str">
        <f>CONCATENATE(Programme!C2347,Programme!D2347,Programme!E2347,Programme!F2347,Programme!G2347,Programme!H2347,Programme!I2347)</f>
        <v>&lt;/ValeurCellule&gt;</v>
      </c>
    </row>
    <row r="2347" spans="1:1" x14ac:dyDescent="0.2">
      <c r="A2347" s="1135" t="str">
        <f>CONCATENATE(Programme!C2348,Programme!D2348,Programme!E2348,Programme!F2348,Programme!G2348,Programme!H2348,Programme!I2348)</f>
        <v>&lt;ValeurCellule&gt;</v>
      </c>
    </row>
    <row r="2348" spans="1:1" x14ac:dyDescent="0.2">
      <c r="A2348" s="1135" t="str">
        <f>CONCATENATE(Programme!C2349,Programme!D2349,Programme!E2349,Programme!F2349,Programme!G2349,Programme!H2349,Programme!I2349)</f>
        <v>&lt;cellule&gt;</v>
      </c>
    </row>
    <row r="2349" spans="1:1" x14ac:dyDescent="0.2">
      <c r="A2349" s="1135" t="str">
        <f>CONCATENATE(Programme!C2350,Programme!D2350,Programme!E2350,Programme!F2350,Programme!G2350,Programme!H2350,Programme!I2350)</f>
        <v>&lt;codeEdi&gt;11278&lt;/codeEdi&gt;</v>
      </c>
    </row>
    <row r="2350" spans="1:1" x14ac:dyDescent="0.2">
      <c r="A2350" s="1135" t="str">
        <f>CONCATENATE(Programme!C2351,Programme!D2351,Programme!E2351,Programme!F2351,Programme!G2351,Programme!H2351,Programme!I2351)</f>
        <v>&lt;/cellule&gt;</v>
      </c>
    </row>
    <row r="2351" spans="1:1" x14ac:dyDescent="0.2">
      <c r="A2351" s="1135" t="str">
        <f>CONCATENATE(Programme!C2352,Programme!D2352,Programme!E2352,Programme!F2352,Programme!G2352,Programme!H2352,Programme!I2352)</f>
        <v>&lt;valeur&gt;0&lt;/valeur&gt;</v>
      </c>
    </row>
    <row r="2352" spans="1:1" x14ac:dyDescent="0.2">
      <c r="A2352" s="1135" t="str">
        <f>CONCATENATE(Programme!C2353,Programme!D2353,Programme!E2353,Programme!F2353,Programme!G2353,Programme!H2353,Programme!I2353)</f>
        <v>&lt;/ValeurCellule&gt;</v>
      </c>
    </row>
    <row r="2353" spans="1:1" x14ac:dyDescent="0.2">
      <c r="A2353" s="1135" t="str">
        <f>CONCATENATE(Programme!C2354,Programme!D2354,Programme!E2354,Programme!F2354,Programme!G2354,Programme!H2354,Programme!I2354)</f>
        <v>&lt;ValeurCellule&gt;</v>
      </c>
    </row>
    <row r="2354" spans="1:1" x14ac:dyDescent="0.2">
      <c r="A2354" s="1135" t="str">
        <f>CONCATENATE(Programme!C2355,Programme!D2355,Programme!E2355,Programme!F2355,Programme!G2355,Programme!H2355,Programme!I2355)</f>
        <v>&lt;cellule&gt;</v>
      </c>
    </row>
    <row r="2355" spans="1:1" x14ac:dyDescent="0.2">
      <c r="A2355" s="1135" t="str">
        <f>CONCATENATE(Programme!C2356,Programme!D2356,Programme!E2356,Programme!F2356,Programme!G2356,Programme!H2356,Programme!I2356)</f>
        <v>&lt;codeEdi&gt;11283&lt;/codeEdi&gt;</v>
      </c>
    </row>
    <row r="2356" spans="1:1" x14ac:dyDescent="0.2">
      <c r="A2356" s="1135" t="str">
        <f>CONCATENATE(Programme!C2357,Programme!D2357,Programme!E2357,Programme!F2357,Programme!G2357,Programme!H2357,Programme!I2357)</f>
        <v>&lt;/cellule&gt;</v>
      </c>
    </row>
    <row r="2357" spans="1:1" x14ac:dyDescent="0.2">
      <c r="A2357" s="1135" t="str">
        <f>CONCATENATE(Programme!C2358,Programme!D2358,Programme!E2358,Programme!F2358,Programme!G2358,Programme!H2358,Programme!I2358)</f>
        <v>&lt;valeur&gt;0&lt;/valeur&gt;</v>
      </c>
    </row>
    <row r="2358" spans="1:1" x14ac:dyDescent="0.2">
      <c r="A2358" s="1135" t="str">
        <f>CONCATENATE(Programme!C2359,Programme!D2359,Programme!E2359,Programme!F2359,Programme!G2359,Programme!H2359,Programme!I2359)</f>
        <v>&lt;/ValeurCellule&gt;</v>
      </c>
    </row>
    <row r="2359" spans="1:1" x14ac:dyDescent="0.2">
      <c r="A2359" s="1135" t="str">
        <f>CONCATENATE(Programme!C2360,Programme!D2360,Programme!E2360,Programme!F2360,Programme!G2360,Programme!H2360,Programme!I2360)</f>
        <v>&lt;ValeurCellule&gt;</v>
      </c>
    </row>
    <row r="2360" spans="1:1" x14ac:dyDescent="0.2">
      <c r="A2360" s="1135" t="str">
        <f>CONCATENATE(Programme!C2361,Programme!D2361,Programme!E2361,Programme!F2361,Programme!G2361,Programme!H2361,Programme!I2361)</f>
        <v>&lt;cellule&gt;</v>
      </c>
    </row>
    <row r="2361" spans="1:1" x14ac:dyDescent="0.2">
      <c r="A2361" s="1135" t="str">
        <f>CONCATENATE(Programme!C2362,Programme!D2362,Programme!E2362,Programme!F2362,Programme!G2362,Programme!H2362,Programme!I2362)</f>
        <v>&lt;codeEdi&gt;11288&lt;/codeEdi&gt;</v>
      </c>
    </row>
    <row r="2362" spans="1:1" x14ac:dyDescent="0.2">
      <c r="A2362" s="1135" t="str">
        <f>CONCATENATE(Programme!C2363,Programme!D2363,Programme!E2363,Programme!F2363,Programme!G2363,Programme!H2363,Programme!I2363)</f>
        <v>&lt;/cellule&gt;</v>
      </c>
    </row>
    <row r="2363" spans="1:1" x14ac:dyDescent="0.2">
      <c r="A2363" s="1135" t="str">
        <f>CONCATENATE(Programme!C2364,Programme!D2364,Programme!E2364,Programme!F2364,Programme!G2364,Programme!H2364,Programme!I2364)</f>
        <v>&lt;valeur&gt;0&lt;/valeur&gt;</v>
      </c>
    </row>
    <row r="2364" spans="1:1" x14ac:dyDescent="0.2">
      <c r="A2364" s="1135" t="str">
        <f>CONCATENATE(Programme!C2365,Programme!D2365,Programme!E2365,Programme!F2365,Programme!G2365,Programme!H2365,Programme!I2365)</f>
        <v>&lt;/ValeurCellule&gt;</v>
      </c>
    </row>
    <row r="2365" spans="1:1" x14ac:dyDescent="0.2">
      <c r="A2365" s="1135" t="str">
        <f>CONCATENATE(Programme!C2366,Programme!D2366,Programme!E2366,Programme!F2366,Programme!G2366,Programme!H2366,Programme!I2366)</f>
        <v>&lt;ValeurCellule&gt;</v>
      </c>
    </row>
    <row r="2366" spans="1:1" x14ac:dyDescent="0.2">
      <c r="A2366" s="1135" t="str">
        <f>CONCATENATE(Programme!C2367,Programme!D2367,Programme!E2367,Programme!F2367,Programme!G2367,Programme!H2367,Programme!I2367)</f>
        <v>&lt;cellule&gt;</v>
      </c>
    </row>
    <row r="2367" spans="1:1" x14ac:dyDescent="0.2">
      <c r="A2367" s="1135" t="str">
        <f>CONCATENATE(Programme!C2368,Programme!D2368,Programme!E2368,Programme!F2368,Programme!G2368,Programme!H2368,Programme!I2368)</f>
        <v>&lt;codeEdi&gt;11293&lt;/codeEdi&gt;</v>
      </c>
    </row>
    <row r="2368" spans="1:1" x14ac:dyDescent="0.2">
      <c r="A2368" s="1135" t="str">
        <f>CONCATENATE(Programme!C2369,Programme!D2369,Programme!E2369,Programme!F2369,Programme!G2369,Programme!H2369,Programme!I2369)</f>
        <v>&lt;/cellule&gt;</v>
      </c>
    </row>
    <row r="2369" spans="1:1" x14ac:dyDescent="0.2">
      <c r="A2369" s="1135" t="str">
        <f>CONCATENATE(Programme!C2370,Programme!D2370,Programme!E2370,Programme!F2370,Programme!G2370,Programme!H2370,Programme!I2370)</f>
        <v>&lt;valeur&gt;0&lt;/valeur&gt;</v>
      </c>
    </row>
    <row r="2370" spans="1:1" x14ac:dyDescent="0.2">
      <c r="A2370" s="1135" t="str">
        <f>CONCATENATE(Programme!C2371,Programme!D2371,Programme!E2371,Programme!F2371,Programme!G2371,Programme!H2371,Programme!I2371)</f>
        <v>&lt;/ValeurCellule&gt;</v>
      </c>
    </row>
    <row r="2371" spans="1:1" x14ac:dyDescent="0.2">
      <c r="A2371" s="1135" t="str">
        <f>CONCATENATE(Programme!C2372,Programme!D2372,Programme!E2372,Programme!F2372,Programme!G2372,Programme!H2372,Programme!I2372)</f>
        <v>&lt;ValeurCellule&gt;</v>
      </c>
    </row>
    <row r="2372" spans="1:1" x14ac:dyDescent="0.2">
      <c r="A2372" s="1135" t="str">
        <f>CONCATENATE(Programme!C2373,Programme!D2373,Programme!E2373,Programme!F2373,Programme!G2373,Programme!H2373,Programme!I2373)</f>
        <v>&lt;cellule&gt;</v>
      </c>
    </row>
    <row r="2373" spans="1:1" x14ac:dyDescent="0.2">
      <c r="A2373" s="1135" t="str">
        <f>CONCATENATE(Programme!C2374,Programme!D2374,Programme!E2374,Programme!F2374,Programme!G2374,Programme!H2374,Programme!I2374)</f>
        <v>&lt;codeEdi&gt;11333&lt;/codeEdi&gt;</v>
      </c>
    </row>
    <row r="2374" spans="1:1" x14ac:dyDescent="0.2">
      <c r="A2374" s="1135" t="str">
        <f>CONCATENATE(Programme!C2375,Programme!D2375,Programme!E2375,Programme!F2375,Programme!G2375,Programme!H2375,Programme!I2375)</f>
        <v>&lt;/cellule&gt;</v>
      </c>
    </row>
    <row r="2375" spans="1:1" x14ac:dyDescent="0.2">
      <c r="A2375" s="1135" t="str">
        <f>CONCATENATE(Programme!C2376,Programme!D2376,Programme!E2376,Programme!F2376,Programme!G2376,Programme!H2376,Programme!I2376)</f>
        <v>&lt;valeur&gt;-43957,11&lt;/valeur&gt;</v>
      </c>
    </row>
    <row r="2376" spans="1:1" x14ac:dyDescent="0.2">
      <c r="A2376" s="1135" t="str">
        <f>CONCATENATE(Programme!C2377,Programme!D2377,Programme!E2377,Programme!F2377,Programme!G2377,Programme!H2377,Programme!I2377)</f>
        <v>&lt;/ValeurCellule&gt;</v>
      </c>
    </row>
    <row r="2377" spans="1:1" x14ac:dyDescent="0.2">
      <c r="A2377" s="1135" t="str">
        <f>CONCATENATE(Programme!C2378,Programme!D2378,Programme!E2378,Programme!F2378,Programme!G2378,Programme!H2378,Programme!I2378)</f>
        <v>&lt;ValeurCellule&gt;</v>
      </c>
    </row>
    <row r="2378" spans="1:1" x14ac:dyDescent="0.2">
      <c r="A2378" s="1135" t="str">
        <f>CONCATENATE(Programme!C2379,Programme!D2379,Programme!E2379,Programme!F2379,Programme!G2379,Programme!H2379,Programme!I2379)</f>
        <v>&lt;cellule&gt;</v>
      </c>
    </row>
    <row r="2379" spans="1:1" x14ac:dyDescent="0.2">
      <c r="A2379" s="1135" t="str">
        <f>CONCATENATE(Programme!C2380,Programme!D2380,Programme!E2380,Programme!F2380,Programme!G2380,Programme!H2380,Programme!I2380)</f>
        <v>&lt;codeEdi&gt;11298&lt;/codeEdi&gt;</v>
      </c>
    </row>
    <row r="2380" spans="1:1" x14ac:dyDescent="0.2">
      <c r="A2380" s="1135" t="str">
        <f>CONCATENATE(Programme!C2381,Programme!D2381,Programme!E2381,Programme!F2381,Programme!G2381,Programme!H2381,Programme!I2381)</f>
        <v>&lt;/cellule&gt;</v>
      </c>
    </row>
    <row r="2381" spans="1:1" x14ac:dyDescent="0.2">
      <c r="A2381" s="1135" t="str">
        <f>CONCATENATE(Programme!C2382,Programme!D2382,Programme!E2382,Programme!F2382,Programme!G2382,Programme!H2382,Programme!I2382)</f>
        <v>&lt;valeur&gt;43957,11&lt;/valeur&gt;</v>
      </c>
    </row>
    <row r="2382" spans="1:1" x14ac:dyDescent="0.2">
      <c r="A2382" s="1135" t="str">
        <f>CONCATENATE(Programme!C2383,Programme!D2383,Programme!E2383,Programme!F2383,Programme!G2383,Programme!H2383,Programme!I2383)</f>
        <v>&lt;/ValeurCellule&gt;</v>
      </c>
    </row>
    <row r="2383" spans="1:1" x14ac:dyDescent="0.2">
      <c r="A2383" s="1135" t="str">
        <f>CONCATENATE(Programme!C2384,Programme!D2384,Programme!E2384,Programme!F2384,Programme!G2384,Programme!H2384,Programme!I2384)</f>
        <v>&lt;ValeurCellule&gt;</v>
      </c>
    </row>
    <row r="2384" spans="1:1" x14ac:dyDescent="0.2">
      <c r="A2384" s="1135" t="str">
        <f>CONCATENATE(Programme!C2385,Programme!D2385,Programme!E2385,Programme!F2385,Programme!G2385,Programme!H2385,Programme!I2385)</f>
        <v>&lt;cellule&gt;</v>
      </c>
    </row>
    <row r="2385" spans="1:1" x14ac:dyDescent="0.2">
      <c r="A2385" s="1135" t="str">
        <f>CONCATENATE(Programme!C2386,Programme!D2386,Programme!E2386,Programme!F2386,Programme!G2386,Programme!H2386,Programme!I2386)</f>
        <v>&lt;codeEdi&gt;11303&lt;/codeEdi&gt;</v>
      </c>
    </row>
    <row r="2386" spans="1:1" x14ac:dyDescent="0.2">
      <c r="A2386" s="1135" t="str">
        <f>CONCATENATE(Programme!C2387,Programme!D2387,Programme!E2387,Programme!F2387,Programme!G2387,Programme!H2387,Programme!I2387)</f>
        <v>&lt;/cellule&gt;</v>
      </c>
    </row>
    <row r="2387" spans="1:1" x14ac:dyDescent="0.2">
      <c r="A2387" s="1135" t="str">
        <f>CONCATENATE(Programme!C2388,Programme!D2388,Programme!E2388,Programme!F2388,Programme!G2388,Programme!H2388,Programme!I2388)</f>
        <v>&lt;valeur&gt;0&lt;/valeur&gt;</v>
      </c>
    </row>
    <row r="2388" spans="1:1" x14ac:dyDescent="0.2">
      <c r="A2388" s="1135" t="str">
        <f>CONCATENATE(Programme!C2389,Programme!D2389,Programme!E2389,Programme!F2389,Programme!G2389,Programme!H2389,Programme!I2389)</f>
        <v>&lt;/ValeurCellule&gt;</v>
      </c>
    </row>
    <row r="2389" spans="1:1" x14ac:dyDescent="0.2">
      <c r="A2389" s="1135" t="str">
        <f>CONCATENATE(Programme!C2390,Programme!D2390,Programme!E2390,Programme!F2390,Programme!G2390,Programme!H2390,Programme!I2390)</f>
        <v>&lt;ValeurCellule&gt;</v>
      </c>
    </row>
    <row r="2390" spans="1:1" x14ac:dyDescent="0.2">
      <c r="A2390" s="1135" t="str">
        <f>CONCATENATE(Programme!C2391,Programme!D2391,Programme!E2391,Programme!F2391,Programme!G2391,Programme!H2391,Programme!I2391)</f>
        <v>&lt;cellule&gt;</v>
      </c>
    </row>
    <row r="2391" spans="1:1" x14ac:dyDescent="0.2">
      <c r="A2391" s="1135" t="str">
        <f>CONCATENATE(Programme!C2392,Programme!D2392,Programme!E2392,Programme!F2392,Programme!G2392,Programme!H2392,Programme!I2392)</f>
        <v>&lt;codeEdi&gt;11308&lt;/codeEdi&gt;</v>
      </c>
    </row>
    <row r="2392" spans="1:1" x14ac:dyDescent="0.2">
      <c r="A2392" s="1135" t="str">
        <f>CONCATENATE(Programme!C2393,Programme!D2393,Programme!E2393,Programme!F2393,Programme!G2393,Programme!H2393,Programme!I2393)</f>
        <v>&lt;/cellule&gt;</v>
      </c>
    </row>
    <row r="2393" spans="1:1" x14ac:dyDescent="0.2">
      <c r="A2393" s="1135" t="str">
        <f>CONCATENATE(Programme!C2394,Programme!D2394,Programme!E2394,Programme!F2394,Programme!G2394,Programme!H2394,Programme!I2394)</f>
        <v>&lt;valeur&gt;0&lt;/valeur&gt;</v>
      </c>
    </row>
    <row r="2394" spans="1:1" x14ac:dyDescent="0.2">
      <c r="A2394" s="1135" t="str">
        <f>CONCATENATE(Programme!C2395,Programme!D2395,Programme!E2395,Programme!F2395,Programme!G2395,Programme!H2395,Programme!I2395)</f>
        <v>&lt;/ValeurCellule&gt;</v>
      </c>
    </row>
    <row r="2395" spans="1:1" x14ac:dyDescent="0.2">
      <c r="A2395" s="1135" t="str">
        <f>CONCATENATE(Programme!C2396,Programme!D2396,Programme!E2396,Programme!F2396,Programme!G2396,Programme!H2396,Programme!I2396)</f>
        <v>&lt;ValeurCellule&gt;</v>
      </c>
    </row>
    <row r="2396" spans="1:1" x14ac:dyDescent="0.2">
      <c r="A2396" s="1135" t="str">
        <f>CONCATENATE(Programme!C2397,Programme!D2397,Programme!E2397,Programme!F2397,Programme!G2397,Programme!H2397,Programme!I2397)</f>
        <v>&lt;cellule&gt;</v>
      </c>
    </row>
    <row r="2397" spans="1:1" x14ac:dyDescent="0.2">
      <c r="A2397" s="1135" t="str">
        <f>CONCATENATE(Programme!C2398,Programme!D2398,Programme!E2398,Programme!F2398,Programme!G2398,Programme!H2398,Programme!I2398)</f>
        <v>&lt;codeEdi&gt;11313&lt;/codeEdi&gt;</v>
      </c>
    </row>
    <row r="2398" spans="1:1" x14ac:dyDescent="0.2">
      <c r="A2398" s="1135" t="str">
        <f>CONCATENATE(Programme!C2399,Programme!D2399,Programme!E2399,Programme!F2399,Programme!G2399,Programme!H2399,Programme!I2399)</f>
        <v>&lt;/cellule&gt;</v>
      </c>
    </row>
    <row r="2399" spans="1:1" x14ac:dyDescent="0.2">
      <c r="A2399" s="1135" t="str">
        <f>CONCATENATE(Programme!C2400,Programme!D2400,Programme!E2400,Programme!F2400,Programme!G2400,Programme!H2400,Programme!I2400)</f>
        <v>&lt;valeur&gt;0&lt;/valeur&gt;</v>
      </c>
    </row>
    <row r="2400" spans="1:1" x14ac:dyDescent="0.2">
      <c r="A2400" s="1135" t="str">
        <f>CONCATENATE(Programme!C2401,Programme!D2401,Programme!E2401,Programme!F2401,Programme!G2401,Programme!H2401,Programme!I2401)</f>
        <v>&lt;/ValeurCellule&gt;</v>
      </c>
    </row>
    <row r="2401" spans="1:1" x14ac:dyDescent="0.2">
      <c r="A2401" s="1135" t="str">
        <f>CONCATENATE(Programme!C2402,Programme!D2402,Programme!E2402,Programme!F2402,Programme!G2402,Programme!H2402,Programme!I2402)</f>
        <v>&lt;ValeurCellule&gt;</v>
      </c>
    </row>
    <row r="2402" spans="1:1" x14ac:dyDescent="0.2">
      <c r="A2402" s="1135" t="str">
        <f>CONCATENATE(Programme!C2403,Programme!D2403,Programme!E2403,Programme!F2403,Programme!G2403,Programme!H2403,Programme!I2403)</f>
        <v>&lt;cellule&gt;</v>
      </c>
    </row>
    <row r="2403" spans="1:1" x14ac:dyDescent="0.2">
      <c r="A2403" s="1135" t="str">
        <f>CONCATENATE(Programme!C2404,Programme!D2404,Programme!E2404,Programme!F2404,Programme!G2404,Programme!H2404,Programme!I2404)</f>
        <v>&lt;codeEdi&gt;11318&lt;/codeEdi&gt;</v>
      </c>
    </row>
    <row r="2404" spans="1:1" x14ac:dyDescent="0.2">
      <c r="A2404" s="1135" t="str">
        <f>CONCATENATE(Programme!C2405,Programme!D2405,Programme!E2405,Programme!F2405,Programme!G2405,Programme!H2405,Programme!I2405)</f>
        <v>&lt;/cellule&gt;</v>
      </c>
    </row>
    <row r="2405" spans="1:1" x14ac:dyDescent="0.2">
      <c r="A2405" s="1135" t="str">
        <f>CONCATENATE(Programme!C2406,Programme!D2406,Programme!E2406,Programme!F2406,Programme!G2406,Programme!H2406,Programme!I2406)</f>
        <v>&lt;valeur&gt;43957,11&lt;/valeur&gt;</v>
      </c>
    </row>
    <row r="2406" spans="1:1" x14ac:dyDescent="0.2">
      <c r="A2406" s="1135" t="str">
        <f>CONCATENATE(Programme!C2407,Programme!D2407,Programme!E2407,Programme!F2407,Programme!G2407,Programme!H2407,Programme!I2407)</f>
        <v>&lt;/ValeurCellule&gt;</v>
      </c>
    </row>
    <row r="2407" spans="1:1" x14ac:dyDescent="0.2">
      <c r="A2407" s="1135" t="str">
        <f>CONCATENATE(Programme!C2408,Programme!D2408,Programme!E2408,Programme!F2408,Programme!G2408,Programme!H2408,Programme!I2408)</f>
        <v>&lt;ValeurCellule&gt;</v>
      </c>
    </row>
    <row r="2408" spans="1:1" x14ac:dyDescent="0.2">
      <c r="A2408" s="1135" t="str">
        <f>CONCATENATE(Programme!C2409,Programme!D2409,Programme!E2409,Programme!F2409,Programme!G2409,Programme!H2409,Programme!I2409)</f>
        <v>&lt;cellule&gt;</v>
      </c>
    </row>
    <row r="2409" spans="1:1" x14ac:dyDescent="0.2">
      <c r="A2409" s="1135" t="str">
        <f>CONCATENATE(Programme!C2410,Programme!D2410,Programme!E2410,Programme!F2410,Programme!G2410,Programme!H2410,Programme!I2410)</f>
        <v>&lt;codeEdi&gt;11323&lt;/codeEdi&gt;</v>
      </c>
    </row>
    <row r="2410" spans="1:1" x14ac:dyDescent="0.2">
      <c r="A2410" s="1135" t="str">
        <f>CONCATENATE(Programme!C2411,Programme!D2411,Programme!E2411,Programme!F2411,Programme!G2411,Programme!H2411,Programme!I2411)</f>
        <v>&lt;/cellule&gt;</v>
      </c>
    </row>
    <row r="2411" spans="1:1" x14ac:dyDescent="0.2">
      <c r="A2411" s="1135" t="str">
        <f>CONCATENATE(Programme!C2412,Programme!D2412,Programme!E2412,Programme!F2412,Programme!G2412,Programme!H2412,Programme!I2412)</f>
        <v>&lt;valeur&gt;43957,11&lt;/valeur&gt;</v>
      </c>
    </row>
    <row r="2412" spans="1:1" x14ac:dyDescent="0.2">
      <c r="A2412" s="1135" t="str">
        <f>CONCATENATE(Programme!C2413,Programme!D2413,Programme!E2413,Programme!F2413,Programme!G2413,Programme!H2413,Programme!I2413)</f>
        <v>&lt;/ValeurCellule&gt;</v>
      </c>
    </row>
    <row r="2413" spans="1:1" x14ac:dyDescent="0.2">
      <c r="A2413" s="1135" t="str">
        <f>CONCATENATE(Programme!C2414,Programme!D2414,Programme!E2414,Programme!F2414,Programme!G2414,Programme!H2414,Programme!I2414)</f>
        <v>&lt;ValeurCellule&gt;</v>
      </c>
    </row>
    <row r="2414" spans="1:1" x14ac:dyDescent="0.2">
      <c r="A2414" s="1135" t="str">
        <f>CONCATENATE(Programme!C2415,Programme!D2415,Programme!E2415,Programme!F2415,Programme!G2415,Programme!H2415,Programme!I2415)</f>
        <v>&lt;cellule&gt;</v>
      </c>
    </row>
    <row r="2415" spans="1:1" x14ac:dyDescent="0.2">
      <c r="A2415" s="1135" t="str">
        <f>CONCATENATE(Programme!C2416,Programme!D2416,Programme!E2416,Programme!F2416,Programme!G2416,Programme!H2416,Programme!I2416)</f>
        <v>&lt;codeEdi&gt;11328&lt;/codeEdi&gt;</v>
      </c>
    </row>
    <row r="2416" spans="1:1" x14ac:dyDescent="0.2">
      <c r="A2416" s="1135" t="str">
        <f>CONCATENATE(Programme!C2417,Programme!D2417,Programme!E2417,Programme!F2417,Programme!G2417,Programme!H2417,Programme!I2417)</f>
        <v>&lt;/cellule&gt;</v>
      </c>
    </row>
    <row r="2417" spans="1:1" x14ac:dyDescent="0.2">
      <c r="A2417" s="1135" t="str">
        <f>CONCATENATE(Programme!C2418,Programme!D2418,Programme!E2418,Programme!F2418,Programme!G2418,Programme!H2418,Programme!I2418)</f>
        <v>&lt;valeur&gt;0&lt;/valeur&gt;</v>
      </c>
    </row>
    <row r="2418" spans="1:1" x14ac:dyDescent="0.2">
      <c r="A2418" s="1135" t="str">
        <f>CONCATENATE(Programme!C2419,Programme!D2419,Programme!E2419,Programme!F2419,Programme!G2419,Programme!H2419,Programme!I2419)</f>
        <v>&lt;/ValeurCellule&gt;</v>
      </c>
    </row>
    <row r="2419" spans="1:1" x14ac:dyDescent="0.2">
      <c r="A2419" s="1135" t="str">
        <f>CONCATENATE(Programme!C2420,Programme!D2420,Programme!E2420,Programme!F2420,Programme!G2420,Programme!H2420,Programme!I2420)</f>
        <v>&lt;ValeurCellule&gt;</v>
      </c>
    </row>
    <row r="2420" spans="1:1" x14ac:dyDescent="0.2">
      <c r="A2420" s="1135" t="str">
        <f>CONCATENATE(Programme!C2421,Programme!D2421,Programme!E2421,Programme!F2421,Programme!G2421,Programme!H2421,Programme!I2421)</f>
        <v>&lt;cellule&gt;</v>
      </c>
    </row>
    <row r="2421" spans="1:1" x14ac:dyDescent="0.2">
      <c r="A2421" s="1135" t="str">
        <f>CONCATENATE(Programme!C2422,Programme!D2422,Programme!E2422,Programme!F2422,Programme!G2422,Programme!H2422,Programme!I2422)</f>
        <v>&lt;codeEdi&gt;11274&lt;/codeEdi&gt;</v>
      </c>
    </row>
    <row r="2422" spans="1:1" x14ac:dyDescent="0.2">
      <c r="A2422" s="1135" t="str">
        <f>CONCATENATE(Programme!C2423,Programme!D2423,Programme!E2423,Programme!F2423,Programme!G2423,Programme!H2423,Programme!I2423)</f>
        <v>&lt;/cellule&gt;</v>
      </c>
    </row>
    <row r="2423" spans="1:1" x14ac:dyDescent="0.2">
      <c r="A2423" s="1135" t="str">
        <f>CONCATENATE(Programme!C2424,Programme!D2424,Programme!E2424,Programme!F2424,Programme!G2424,Programme!H2424,Programme!I2424)</f>
        <v>&lt;valeur&gt;0&lt;/valeur&gt;</v>
      </c>
    </row>
    <row r="2424" spans="1:1" x14ac:dyDescent="0.2">
      <c r="A2424" s="1135" t="str">
        <f>CONCATENATE(Programme!C2425,Programme!D2425,Programme!E2425,Programme!F2425,Programme!G2425,Programme!H2425,Programme!I2425)</f>
        <v>&lt;/ValeurCellule&gt;</v>
      </c>
    </row>
    <row r="2425" spans="1:1" x14ac:dyDescent="0.2">
      <c r="A2425" s="1135" t="str">
        <f>CONCATENATE(Programme!C2426,Programme!D2426,Programme!E2426,Programme!F2426,Programme!G2426,Programme!H2426,Programme!I2426)</f>
        <v>&lt;ValeurCellule&gt;</v>
      </c>
    </row>
    <row r="2426" spans="1:1" x14ac:dyDescent="0.2">
      <c r="A2426" s="1135" t="str">
        <f>CONCATENATE(Programme!C2427,Programme!D2427,Programme!E2427,Programme!F2427,Programme!G2427,Programme!H2427,Programme!I2427)</f>
        <v>&lt;cellule&gt;</v>
      </c>
    </row>
    <row r="2427" spans="1:1" x14ac:dyDescent="0.2">
      <c r="A2427" s="1135" t="str">
        <f>CONCATENATE(Programme!C2428,Programme!D2428,Programme!E2428,Programme!F2428,Programme!G2428,Programme!H2428,Programme!I2428)</f>
        <v>&lt;codeEdi&gt;11279&lt;/codeEdi&gt;</v>
      </c>
    </row>
    <row r="2428" spans="1:1" x14ac:dyDescent="0.2">
      <c r="A2428" s="1135" t="str">
        <f>CONCATENATE(Programme!C2429,Programme!D2429,Programme!E2429,Programme!F2429,Programme!G2429,Programme!H2429,Programme!I2429)</f>
        <v>&lt;/cellule&gt;</v>
      </c>
    </row>
    <row r="2429" spans="1:1" x14ac:dyDescent="0.2">
      <c r="A2429" s="1135" t="str">
        <f>CONCATENATE(Programme!C2430,Programme!D2430,Programme!E2430,Programme!F2430,Programme!G2430,Programme!H2430,Programme!I2430)</f>
        <v>&lt;valeur&gt;0&lt;/valeur&gt;</v>
      </c>
    </row>
    <row r="2430" spans="1:1" x14ac:dyDescent="0.2">
      <c r="A2430" s="1135" t="str">
        <f>CONCATENATE(Programme!C2431,Programme!D2431,Programme!E2431,Programme!F2431,Programme!G2431,Programme!H2431,Programme!I2431)</f>
        <v>&lt;/ValeurCellule&gt;</v>
      </c>
    </row>
    <row r="2431" spans="1:1" x14ac:dyDescent="0.2">
      <c r="A2431" s="1135" t="str">
        <f>CONCATENATE(Programme!C2432,Programme!D2432,Programme!E2432,Programme!F2432,Programme!G2432,Programme!H2432,Programme!I2432)</f>
        <v>&lt;ValeurCellule&gt;</v>
      </c>
    </row>
    <row r="2432" spans="1:1" x14ac:dyDescent="0.2">
      <c r="A2432" s="1135" t="str">
        <f>CONCATENATE(Programme!C2433,Programme!D2433,Programme!E2433,Programme!F2433,Programme!G2433,Programme!H2433,Programme!I2433)</f>
        <v>&lt;cellule&gt;</v>
      </c>
    </row>
    <row r="2433" spans="1:1" x14ac:dyDescent="0.2">
      <c r="A2433" s="1135" t="str">
        <f>CONCATENATE(Programme!C2434,Programme!D2434,Programme!E2434,Programme!F2434,Programme!G2434,Programme!H2434,Programme!I2434)</f>
        <v>&lt;codeEdi&gt;11284&lt;/codeEdi&gt;</v>
      </c>
    </row>
    <row r="2434" spans="1:1" x14ac:dyDescent="0.2">
      <c r="A2434" s="1135" t="str">
        <f>CONCATENATE(Programme!C2435,Programme!D2435,Programme!E2435,Programme!F2435,Programme!G2435,Programme!H2435,Programme!I2435)</f>
        <v>&lt;/cellule&gt;</v>
      </c>
    </row>
    <row r="2435" spans="1:1" x14ac:dyDescent="0.2">
      <c r="A2435" s="1135" t="str">
        <f>CONCATENATE(Programme!C2436,Programme!D2436,Programme!E2436,Programme!F2436,Programme!G2436,Programme!H2436,Programme!I2436)</f>
        <v>&lt;valeur&gt;0&lt;/valeur&gt;</v>
      </c>
    </row>
    <row r="2436" spans="1:1" x14ac:dyDescent="0.2">
      <c r="A2436" s="1135" t="str">
        <f>CONCATENATE(Programme!C2437,Programme!D2437,Programme!E2437,Programme!F2437,Programme!G2437,Programme!H2437,Programme!I2437)</f>
        <v>&lt;/ValeurCellule&gt;</v>
      </c>
    </row>
    <row r="2437" spans="1:1" x14ac:dyDescent="0.2">
      <c r="A2437" s="1135" t="str">
        <f>CONCATENATE(Programme!C2438,Programme!D2438,Programme!E2438,Programme!F2438,Programme!G2438,Programme!H2438,Programme!I2438)</f>
        <v>&lt;ValeurCellule&gt;</v>
      </c>
    </row>
    <row r="2438" spans="1:1" x14ac:dyDescent="0.2">
      <c r="A2438" s="1135" t="str">
        <f>CONCATENATE(Programme!C2439,Programme!D2439,Programme!E2439,Programme!F2439,Programme!G2439,Programme!H2439,Programme!I2439)</f>
        <v>&lt;cellule&gt;</v>
      </c>
    </row>
    <row r="2439" spans="1:1" x14ac:dyDescent="0.2">
      <c r="A2439" s="1135" t="str">
        <f>CONCATENATE(Programme!C2440,Programme!D2440,Programme!E2440,Programme!F2440,Programme!G2440,Programme!H2440,Programme!I2440)</f>
        <v>&lt;codeEdi&gt;11289&lt;/codeEdi&gt;</v>
      </c>
    </row>
    <row r="2440" spans="1:1" x14ac:dyDescent="0.2">
      <c r="A2440" s="1135" t="str">
        <f>CONCATENATE(Programme!C2441,Programme!D2441,Programme!E2441,Programme!F2441,Programme!G2441,Programme!H2441,Programme!I2441)</f>
        <v>&lt;/cellule&gt;</v>
      </c>
    </row>
    <row r="2441" spans="1:1" x14ac:dyDescent="0.2">
      <c r="A2441" s="1135" t="str">
        <f>CONCATENATE(Programme!C2442,Programme!D2442,Programme!E2442,Programme!F2442,Programme!G2442,Programme!H2442,Programme!I2442)</f>
        <v>&lt;valeur&gt;0&lt;/valeur&gt;</v>
      </c>
    </row>
    <row r="2442" spans="1:1" x14ac:dyDescent="0.2">
      <c r="A2442" s="1135" t="str">
        <f>CONCATENATE(Programme!C2443,Programme!D2443,Programme!E2443,Programme!F2443,Programme!G2443,Programme!H2443,Programme!I2443)</f>
        <v>&lt;/ValeurCellule&gt;</v>
      </c>
    </row>
    <row r="2443" spans="1:1" x14ac:dyDescent="0.2">
      <c r="A2443" s="1135" t="str">
        <f>CONCATENATE(Programme!C2444,Programme!D2444,Programme!E2444,Programme!F2444,Programme!G2444,Programme!H2444,Programme!I2444)</f>
        <v>&lt;ValeurCellule&gt;</v>
      </c>
    </row>
    <row r="2444" spans="1:1" x14ac:dyDescent="0.2">
      <c r="A2444" s="1135" t="str">
        <f>CONCATENATE(Programme!C2445,Programme!D2445,Programme!E2445,Programme!F2445,Programme!G2445,Programme!H2445,Programme!I2445)</f>
        <v>&lt;cellule&gt;</v>
      </c>
    </row>
    <row r="2445" spans="1:1" x14ac:dyDescent="0.2">
      <c r="A2445" s="1135" t="str">
        <f>CONCATENATE(Programme!C2446,Programme!D2446,Programme!E2446,Programme!F2446,Programme!G2446,Programme!H2446,Programme!I2446)</f>
        <v>&lt;codeEdi&gt;11294&lt;/codeEdi&gt;</v>
      </c>
    </row>
    <row r="2446" spans="1:1" x14ac:dyDescent="0.2">
      <c r="A2446" s="1135" t="str">
        <f>CONCATENATE(Programme!C2447,Programme!D2447,Programme!E2447,Programme!F2447,Programme!G2447,Programme!H2447,Programme!I2447)</f>
        <v>&lt;/cellule&gt;</v>
      </c>
    </row>
    <row r="2447" spans="1:1" x14ac:dyDescent="0.2">
      <c r="A2447" s="1135" t="str">
        <f>CONCATENATE(Programme!C2448,Programme!D2448,Programme!E2448,Programme!F2448,Programme!G2448,Programme!H2448,Programme!I2448)</f>
        <v>&lt;valeur&gt;0&lt;/valeur&gt;</v>
      </c>
    </row>
    <row r="2448" spans="1:1" x14ac:dyDescent="0.2">
      <c r="A2448" s="1135" t="str">
        <f>CONCATENATE(Programme!C2449,Programme!D2449,Programme!E2449,Programme!F2449,Programme!G2449,Programme!H2449,Programme!I2449)</f>
        <v>&lt;/ValeurCellule&gt;</v>
      </c>
    </row>
    <row r="2449" spans="1:1" x14ac:dyDescent="0.2">
      <c r="A2449" s="1135" t="str">
        <f>CONCATENATE(Programme!C2450,Programme!D2450,Programme!E2450,Programme!F2450,Programme!G2450,Programme!H2450,Programme!I2450)</f>
        <v>&lt;ValeurCellule&gt;</v>
      </c>
    </row>
    <row r="2450" spans="1:1" x14ac:dyDescent="0.2">
      <c r="A2450" s="1135" t="str">
        <f>CONCATENATE(Programme!C2451,Programme!D2451,Programme!E2451,Programme!F2451,Programme!G2451,Programme!H2451,Programme!I2451)</f>
        <v>&lt;cellule&gt;</v>
      </c>
    </row>
    <row r="2451" spans="1:1" x14ac:dyDescent="0.2">
      <c r="A2451" s="1135" t="str">
        <f>CONCATENATE(Programme!C2452,Programme!D2452,Programme!E2452,Programme!F2452,Programme!G2452,Programme!H2452,Programme!I2452)</f>
        <v>&lt;codeEdi&gt;11329&lt;/codeEdi&gt;</v>
      </c>
    </row>
    <row r="2452" spans="1:1" x14ac:dyDescent="0.2">
      <c r="A2452" s="1135" t="str">
        <f>CONCATENATE(Programme!C2453,Programme!D2453,Programme!E2453,Programme!F2453,Programme!G2453,Programme!H2453,Programme!I2453)</f>
        <v>&lt;/cellule&gt;</v>
      </c>
    </row>
    <row r="2453" spans="1:1" x14ac:dyDescent="0.2">
      <c r="A2453" s="1135" t="str">
        <f>CONCATENATE(Programme!C2454,Programme!D2454,Programme!E2454,Programme!F2454,Programme!G2454,Programme!H2454,Programme!I2454)</f>
        <v>&lt;valeur&gt;0&lt;/valeur&gt;</v>
      </c>
    </row>
    <row r="2454" spans="1:1" x14ac:dyDescent="0.2">
      <c r="A2454" s="1135" t="str">
        <f>CONCATENATE(Programme!C2455,Programme!D2455,Programme!E2455,Programme!F2455,Programme!G2455,Programme!H2455,Programme!I2455)</f>
        <v>&lt;/ValeurCellule&gt;</v>
      </c>
    </row>
    <row r="2455" spans="1:1" x14ac:dyDescent="0.2">
      <c r="A2455" s="1135" t="str">
        <f>CONCATENATE(Programme!C2456,Programme!D2456,Programme!E2456,Programme!F2456,Programme!G2456,Programme!H2456,Programme!I2456)</f>
        <v>&lt;ValeurCellule&gt;</v>
      </c>
    </row>
    <row r="2456" spans="1:1" x14ac:dyDescent="0.2">
      <c r="A2456" s="1135" t="str">
        <f>CONCATENATE(Programme!C2457,Programme!D2457,Programme!E2457,Programme!F2457,Programme!G2457,Programme!H2457,Programme!I2457)</f>
        <v>&lt;cellule&gt;</v>
      </c>
    </row>
    <row r="2457" spans="1:1" x14ac:dyDescent="0.2">
      <c r="A2457" s="1135" t="str">
        <f>CONCATENATE(Programme!C2458,Programme!D2458,Programme!E2458,Programme!F2458,Programme!G2458,Programme!H2458,Programme!I2458)</f>
        <v>&lt;codeEdi&gt;11334&lt;/codeEdi&gt;</v>
      </c>
    </row>
    <row r="2458" spans="1:1" x14ac:dyDescent="0.2">
      <c r="A2458" s="1135" t="str">
        <f>CONCATENATE(Programme!C2459,Programme!D2459,Programme!E2459,Programme!F2459,Programme!G2459,Programme!H2459,Programme!I2459)</f>
        <v>&lt;/cellule&gt;</v>
      </c>
    </row>
    <row r="2459" spans="1:1" x14ac:dyDescent="0.2">
      <c r="A2459" s="1135" t="str">
        <f>CONCATENATE(Programme!C2460,Programme!D2460,Programme!E2460,Programme!F2460,Programme!G2460,Programme!H2460,Programme!I2460)</f>
        <v>&lt;valeur&gt;0&lt;/valeur&gt;</v>
      </c>
    </row>
    <row r="2460" spans="1:1" x14ac:dyDescent="0.2">
      <c r="A2460" s="1135" t="str">
        <f>CONCATENATE(Programme!C2461,Programme!D2461,Programme!E2461,Programme!F2461,Programme!G2461,Programme!H2461,Programme!I2461)</f>
        <v>&lt;/ValeurCellule&gt;</v>
      </c>
    </row>
    <row r="2461" spans="1:1" x14ac:dyDescent="0.2">
      <c r="A2461" s="1135" t="str">
        <f>CONCATENATE(Programme!C2462,Programme!D2462,Programme!E2462,Programme!F2462,Programme!G2462,Programme!H2462,Programme!I2462)</f>
        <v>&lt;ValeurCellule&gt;</v>
      </c>
    </row>
    <row r="2462" spans="1:1" x14ac:dyDescent="0.2">
      <c r="A2462" s="1135" t="str">
        <f>CONCATENATE(Programme!C2463,Programme!D2463,Programme!E2463,Programme!F2463,Programme!G2463,Programme!H2463,Programme!I2463)</f>
        <v>&lt;cellule&gt;</v>
      </c>
    </row>
    <row r="2463" spans="1:1" x14ac:dyDescent="0.2">
      <c r="A2463" s="1135" t="str">
        <f>CONCATENATE(Programme!C2464,Programme!D2464,Programme!E2464,Programme!F2464,Programme!G2464,Programme!H2464,Programme!I2464)</f>
        <v>&lt;codeEdi&gt;11299&lt;/codeEdi&gt;</v>
      </c>
    </row>
    <row r="2464" spans="1:1" x14ac:dyDescent="0.2">
      <c r="A2464" s="1135" t="str">
        <f>CONCATENATE(Programme!C2465,Programme!D2465,Programme!E2465,Programme!F2465,Programme!G2465,Programme!H2465,Programme!I2465)</f>
        <v>&lt;/cellule&gt;</v>
      </c>
    </row>
    <row r="2465" spans="1:1" x14ac:dyDescent="0.2">
      <c r="A2465" s="1135" t="str">
        <f>CONCATENATE(Programme!C2466,Programme!D2466,Programme!E2466,Programme!F2466,Programme!G2466,Programme!H2466,Programme!I2466)</f>
        <v>&lt;valeur&gt;0&lt;/valeur&gt;</v>
      </c>
    </row>
    <row r="2466" spans="1:1" x14ac:dyDescent="0.2">
      <c r="A2466" s="1135" t="str">
        <f>CONCATENATE(Programme!C2467,Programme!D2467,Programme!E2467,Programme!F2467,Programme!G2467,Programme!H2467,Programme!I2467)</f>
        <v>&lt;/ValeurCellule&gt;</v>
      </c>
    </row>
    <row r="2467" spans="1:1" x14ac:dyDescent="0.2">
      <c r="A2467" s="1135" t="str">
        <f>CONCATENATE(Programme!C2468,Programme!D2468,Programme!E2468,Programme!F2468,Programme!G2468,Programme!H2468,Programme!I2468)</f>
        <v>&lt;ValeurCellule&gt;</v>
      </c>
    </row>
    <row r="2468" spans="1:1" x14ac:dyDescent="0.2">
      <c r="A2468" s="1135" t="str">
        <f>CONCATENATE(Programme!C2469,Programme!D2469,Programme!E2469,Programme!F2469,Programme!G2469,Programme!H2469,Programme!I2469)</f>
        <v>&lt;cellule&gt;</v>
      </c>
    </row>
    <row r="2469" spans="1:1" x14ac:dyDescent="0.2">
      <c r="A2469" s="1135" t="str">
        <f>CONCATENATE(Programme!C2470,Programme!D2470,Programme!E2470,Programme!F2470,Programme!G2470,Programme!H2470,Programme!I2470)</f>
        <v>&lt;codeEdi&gt;11304&lt;/codeEdi&gt;</v>
      </c>
    </row>
    <row r="2470" spans="1:1" x14ac:dyDescent="0.2">
      <c r="A2470" s="1135" t="str">
        <f>CONCATENATE(Programme!C2471,Programme!D2471,Programme!E2471,Programme!F2471,Programme!G2471,Programme!H2471,Programme!I2471)</f>
        <v>&lt;/cellule&gt;</v>
      </c>
    </row>
    <row r="2471" spans="1:1" x14ac:dyDescent="0.2">
      <c r="A2471" s="1135" t="str">
        <f>CONCATENATE(Programme!C2472,Programme!D2472,Programme!E2472,Programme!F2472,Programme!G2472,Programme!H2472,Programme!I2472)</f>
        <v>&lt;valeur&gt;0&lt;/valeur&gt;</v>
      </c>
    </row>
    <row r="2472" spans="1:1" x14ac:dyDescent="0.2">
      <c r="A2472" s="1135" t="str">
        <f>CONCATENATE(Programme!C2473,Programme!D2473,Programme!E2473,Programme!F2473,Programme!G2473,Programme!H2473,Programme!I2473)</f>
        <v>&lt;/ValeurCellule&gt;</v>
      </c>
    </row>
    <row r="2473" spans="1:1" x14ac:dyDescent="0.2">
      <c r="A2473" s="1135" t="str">
        <f>CONCATENATE(Programme!C2474,Programme!D2474,Programme!E2474,Programme!F2474,Programme!G2474,Programme!H2474,Programme!I2474)</f>
        <v>&lt;ValeurCellule&gt;</v>
      </c>
    </row>
    <row r="2474" spans="1:1" x14ac:dyDescent="0.2">
      <c r="A2474" s="1135" t="str">
        <f>CONCATENATE(Programme!C2475,Programme!D2475,Programme!E2475,Programme!F2475,Programme!G2475,Programme!H2475,Programme!I2475)</f>
        <v>&lt;cellule&gt;</v>
      </c>
    </row>
    <row r="2475" spans="1:1" x14ac:dyDescent="0.2">
      <c r="A2475" s="1135" t="str">
        <f>CONCATENATE(Programme!C2476,Programme!D2476,Programme!E2476,Programme!F2476,Programme!G2476,Programme!H2476,Programme!I2476)</f>
        <v>&lt;codeEdi&gt;11309&lt;/codeEdi&gt;</v>
      </c>
    </row>
    <row r="2476" spans="1:1" x14ac:dyDescent="0.2">
      <c r="A2476" s="1135" t="str">
        <f>CONCATENATE(Programme!C2477,Programme!D2477,Programme!E2477,Programme!F2477,Programme!G2477,Programme!H2477,Programme!I2477)</f>
        <v>&lt;/cellule&gt;</v>
      </c>
    </row>
    <row r="2477" spans="1:1" x14ac:dyDescent="0.2">
      <c r="A2477" s="1135" t="str">
        <f>CONCATENATE(Programme!C2478,Programme!D2478,Programme!E2478,Programme!F2478,Programme!G2478,Programme!H2478,Programme!I2478)</f>
        <v>&lt;valeur&gt;0&lt;/valeur&gt;</v>
      </c>
    </row>
    <row r="2478" spans="1:1" x14ac:dyDescent="0.2">
      <c r="A2478" s="1135" t="str">
        <f>CONCATENATE(Programme!C2479,Programme!D2479,Programme!E2479,Programme!F2479,Programme!G2479,Programme!H2479,Programme!I2479)</f>
        <v>&lt;/ValeurCellule&gt;</v>
      </c>
    </row>
    <row r="2479" spans="1:1" x14ac:dyDescent="0.2">
      <c r="A2479" s="1135" t="str">
        <f>CONCATENATE(Programme!C2480,Programme!D2480,Programme!E2480,Programme!F2480,Programme!G2480,Programme!H2480,Programme!I2480)</f>
        <v>&lt;ValeurCellule&gt;</v>
      </c>
    </row>
    <row r="2480" spans="1:1" x14ac:dyDescent="0.2">
      <c r="A2480" s="1135" t="str">
        <f>CONCATENATE(Programme!C2481,Programme!D2481,Programme!E2481,Programme!F2481,Programme!G2481,Programme!H2481,Programme!I2481)</f>
        <v>&lt;cellule&gt;</v>
      </c>
    </row>
    <row r="2481" spans="1:1" x14ac:dyDescent="0.2">
      <c r="A2481" s="1135" t="str">
        <f>CONCATENATE(Programme!C2482,Programme!D2482,Programme!E2482,Programme!F2482,Programme!G2482,Programme!H2482,Programme!I2482)</f>
        <v>&lt;codeEdi&gt;11314&lt;/codeEdi&gt;</v>
      </c>
    </row>
    <row r="2482" spans="1:1" x14ac:dyDescent="0.2">
      <c r="A2482" s="1135" t="str">
        <f>CONCATENATE(Programme!C2483,Programme!D2483,Programme!E2483,Programme!F2483,Programme!G2483,Programme!H2483,Programme!I2483)</f>
        <v>&lt;/cellule&gt;</v>
      </c>
    </row>
    <row r="2483" spans="1:1" x14ac:dyDescent="0.2">
      <c r="A2483" s="1135" t="str">
        <f>CONCATENATE(Programme!C2484,Programme!D2484,Programme!E2484,Programme!F2484,Programme!G2484,Programme!H2484,Programme!I2484)</f>
        <v>&lt;valeur&gt;0&lt;/valeur&gt;</v>
      </c>
    </row>
    <row r="2484" spans="1:1" x14ac:dyDescent="0.2">
      <c r="A2484" s="1135" t="str">
        <f>CONCATENATE(Programme!C2485,Programme!D2485,Programme!E2485,Programme!F2485,Programme!G2485,Programme!H2485,Programme!I2485)</f>
        <v>&lt;/ValeurCellule&gt;</v>
      </c>
    </row>
    <row r="2485" spans="1:1" x14ac:dyDescent="0.2">
      <c r="A2485" s="1135" t="str">
        <f>CONCATENATE(Programme!C2486,Programme!D2486,Programme!E2486,Programme!F2486,Programme!G2486,Programme!H2486,Programme!I2486)</f>
        <v>&lt;ValeurCellule&gt;</v>
      </c>
    </row>
    <row r="2486" spans="1:1" x14ac:dyDescent="0.2">
      <c r="A2486" s="1135" t="str">
        <f>CONCATENATE(Programme!C2487,Programme!D2487,Programme!E2487,Programme!F2487,Programme!G2487,Programme!H2487,Programme!I2487)</f>
        <v>&lt;cellule&gt;</v>
      </c>
    </row>
    <row r="2487" spans="1:1" x14ac:dyDescent="0.2">
      <c r="A2487" s="1135" t="str">
        <f>CONCATENATE(Programme!C2488,Programme!D2488,Programme!E2488,Programme!F2488,Programme!G2488,Programme!H2488,Programme!I2488)</f>
        <v>&lt;codeEdi&gt;11319&lt;/codeEdi&gt;</v>
      </c>
    </row>
    <row r="2488" spans="1:1" x14ac:dyDescent="0.2">
      <c r="A2488" s="1135" t="str">
        <f>CONCATENATE(Programme!C2489,Programme!D2489,Programme!E2489,Programme!F2489,Programme!G2489,Programme!H2489,Programme!I2489)</f>
        <v>&lt;/cellule&gt;</v>
      </c>
    </row>
    <row r="2489" spans="1:1" x14ac:dyDescent="0.2">
      <c r="A2489" s="1135" t="str">
        <f>CONCATENATE(Programme!C2490,Programme!D2490,Programme!E2490,Programme!F2490,Programme!G2490,Programme!H2490,Programme!I2490)</f>
        <v>&lt;valeur&gt;0&lt;/valeur&gt;</v>
      </c>
    </row>
    <row r="2490" spans="1:1" x14ac:dyDescent="0.2">
      <c r="A2490" s="1135" t="str">
        <f>CONCATENATE(Programme!C2491,Programme!D2491,Programme!E2491,Programme!F2491,Programme!G2491,Programme!H2491,Programme!I2491)</f>
        <v>&lt;/ValeurCellule&gt;</v>
      </c>
    </row>
    <row r="2491" spans="1:1" x14ac:dyDescent="0.2">
      <c r="A2491" s="1135" t="str">
        <f>CONCATENATE(Programme!C2492,Programme!D2492,Programme!E2492,Programme!F2492,Programme!G2492,Programme!H2492,Programme!I2492)</f>
        <v>&lt;ValeurCellule&gt;</v>
      </c>
    </row>
    <row r="2492" spans="1:1" x14ac:dyDescent="0.2">
      <c r="A2492" s="1135" t="str">
        <f>CONCATENATE(Programme!C2493,Programme!D2493,Programme!E2493,Programme!F2493,Programme!G2493,Programme!H2493,Programme!I2493)</f>
        <v>&lt;cellule&gt;</v>
      </c>
    </row>
    <row r="2493" spans="1:1" x14ac:dyDescent="0.2">
      <c r="A2493" s="1135" t="str">
        <f>CONCATENATE(Programme!C2494,Programme!D2494,Programme!E2494,Programme!F2494,Programme!G2494,Programme!H2494,Programme!I2494)</f>
        <v>&lt;codeEdi&gt;11324&lt;/codeEdi&gt;</v>
      </c>
    </row>
    <row r="2494" spans="1:1" x14ac:dyDescent="0.2">
      <c r="A2494" s="1135" t="str">
        <f>CONCATENATE(Programme!C2495,Programme!D2495,Programme!E2495,Programme!F2495,Programme!G2495,Programme!H2495,Programme!I2495)</f>
        <v>&lt;/cellule&gt;</v>
      </c>
    </row>
    <row r="2495" spans="1:1" x14ac:dyDescent="0.2">
      <c r="A2495" s="1135" t="str">
        <f>CONCATENATE(Programme!C2496,Programme!D2496,Programme!E2496,Programme!F2496,Programme!G2496,Programme!H2496,Programme!I2496)</f>
        <v>&lt;valeur&gt;0&lt;/valeur&gt;</v>
      </c>
    </row>
    <row r="2496" spans="1:1" x14ac:dyDescent="0.2">
      <c r="A2496" s="1135" t="str">
        <f>CONCATENATE(Programme!C2497,Programme!D2497,Programme!E2497,Programme!F2497,Programme!G2497,Programme!H2497,Programme!I2497)</f>
        <v>&lt;/ValeurCellule&gt;</v>
      </c>
    </row>
    <row r="2497" spans="1:1" x14ac:dyDescent="0.2">
      <c r="A2497" s="1135" t="str">
        <f>CONCATENATE(Programme!C2498,Programme!D2498,Programme!E2498,Programme!F2498,Programme!G2498,Programme!H2498,Programme!I2498)</f>
        <v>&lt;ValeurCellule&gt;</v>
      </c>
    </row>
    <row r="2498" spans="1:1" x14ac:dyDescent="0.2">
      <c r="A2498" s="1135" t="str">
        <f>CONCATENATE(Programme!C2499,Programme!D2499,Programme!E2499,Programme!F2499,Programme!G2499,Programme!H2499,Programme!I2499)</f>
        <v>&lt;cellule&gt;</v>
      </c>
    </row>
    <row r="2499" spans="1:1" x14ac:dyDescent="0.2">
      <c r="A2499" s="1135" t="str">
        <f>CONCATENATE(Programme!C2500,Programme!D2500,Programme!E2500,Programme!F2500,Programme!G2500,Programme!H2500,Programme!I2500)</f>
        <v>&lt;codeEdi&gt;11336&lt;/codeEdi&gt;</v>
      </c>
    </row>
    <row r="2500" spans="1:1" x14ac:dyDescent="0.2">
      <c r="A2500" s="1135" t="str">
        <f>CONCATENATE(Programme!C2501,Programme!D2501,Programme!E2501,Programme!F2501,Programme!G2501,Programme!H2501,Programme!I2501)</f>
        <v>&lt;/cellule&gt;</v>
      </c>
    </row>
    <row r="2501" spans="1:1" x14ac:dyDescent="0.2">
      <c r="A2501" s="1135" t="str">
        <f>CONCATENATE(Programme!C2502,Programme!D2502,Programme!E2502,Programme!F2502,Programme!G2502,Programme!H2502,Programme!I2502)</f>
        <v>&lt;valeur&gt;23836,44&lt;/valeur&gt;</v>
      </c>
    </row>
    <row r="2502" spans="1:1" x14ac:dyDescent="0.2">
      <c r="A2502" s="1135" t="str">
        <f>CONCATENATE(Programme!C2503,Programme!D2503,Programme!E2503,Programme!F2503,Programme!G2503,Programme!H2503,Programme!I2503)</f>
        <v>&lt;/ValeurCellule&gt;</v>
      </c>
    </row>
    <row r="2503" spans="1:1" x14ac:dyDescent="0.2">
      <c r="A2503" s="1135" t="str">
        <f>CONCATENATE(Programme!C2504,Programme!D2504,Programme!E2504,Programme!F2504,Programme!G2504,Programme!H2504,Programme!I2504)</f>
        <v>&lt;ValeurCellule&gt;</v>
      </c>
    </row>
    <row r="2504" spans="1:1" x14ac:dyDescent="0.2">
      <c r="A2504" s="1135" t="str">
        <f>CONCATENATE(Programme!C2505,Programme!D2505,Programme!E2505,Programme!F2505,Programme!G2505,Programme!H2505,Programme!I2505)</f>
        <v>&lt;cellule&gt;</v>
      </c>
    </row>
    <row r="2505" spans="1:1" x14ac:dyDescent="0.2">
      <c r="A2505" s="1135" t="str">
        <f>CONCATENATE(Programme!C2506,Programme!D2506,Programme!E2506,Programme!F2506,Programme!G2506,Programme!H2506,Programme!I2506)</f>
        <v>&lt;codeEdi&gt;11337&lt;/codeEdi&gt;</v>
      </c>
    </row>
    <row r="2506" spans="1:1" x14ac:dyDescent="0.2">
      <c r="A2506" s="1135" t="str">
        <f>CONCATENATE(Programme!C2507,Programme!D2507,Programme!E2507,Programme!F2507,Programme!G2507,Programme!H2507,Programme!I2507)</f>
        <v>&lt;/cellule&gt;</v>
      </c>
    </row>
    <row r="2507" spans="1:1" x14ac:dyDescent="0.2">
      <c r="A2507" s="1135" t="str">
        <f>CONCATENATE(Programme!C2508,Programme!D2508,Programme!E2508,Programme!F2508,Programme!G2508,Programme!H2508,Programme!I2508)</f>
        <v>&lt;valeur&gt;0&lt;/valeur&gt;</v>
      </c>
    </row>
    <row r="2508" spans="1:1" x14ac:dyDescent="0.2">
      <c r="A2508" s="1135" t="str">
        <f>CONCATENATE(Programme!C2509,Programme!D2509,Programme!E2509,Programme!F2509,Programme!G2509,Programme!H2509,Programme!I2509)</f>
        <v>&lt;/ValeurCellule&gt;</v>
      </c>
    </row>
    <row r="2509" spans="1:1" x14ac:dyDescent="0.2">
      <c r="A2509" s="1135" t="str">
        <f>CONCATENATE(Programme!C2510,Programme!D2510,Programme!E2510,Programme!F2510,Programme!G2510,Programme!H2510,Programme!I2510)</f>
        <v>&lt;ValeurCellule&gt;</v>
      </c>
    </row>
    <row r="2510" spans="1:1" x14ac:dyDescent="0.2">
      <c r="A2510" s="1135" t="str">
        <f>CONCATENATE(Programme!C2511,Programme!D2511,Programme!E2511,Programme!F2511,Programme!G2511,Programme!H2511,Programme!I2511)</f>
        <v>&lt;cellule&gt;</v>
      </c>
    </row>
    <row r="2511" spans="1:1" x14ac:dyDescent="0.2">
      <c r="A2511" s="1135" t="str">
        <f>CONCATENATE(Programme!C2512,Programme!D2512,Programme!E2512,Programme!F2512,Programme!G2512,Programme!H2512,Programme!I2512)</f>
        <v>&lt;codeEdi&gt;11338&lt;/codeEdi&gt;</v>
      </c>
    </row>
    <row r="2512" spans="1:1" x14ac:dyDescent="0.2">
      <c r="A2512" s="1135" t="str">
        <f>CONCATENATE(Programme!C2513,Programme!D2513,Programme!E2513,Programme!F2513,Programme!G2513,Programme!H2513,Programme!I2513)</f>
        <v>&lt;/cellule&gt;</v>
      </c>
    </row>
    <row r="2513" spans="1:1" x14ac:dyDescent="0.2">
      <c r="A2513" s="1135" t="str">
        <f>CONCATENATE(Programme!C2514,Programme!D2514,Programme!E2514,Programme!F2514,Programme!G2514,Programme!H2514,Programme!I2514)</f>
        <v>&lt;valeur&gt;23836,44&lt;/valeur&gt;</v>
      </c>
    </row>
    <row r="2514" spans="1:1" x14ac:dyDescent="0.2">
      <c r="A2514" s="1135" t="str">
        <f>CONCATENATE(Programme!C2515,Programme!D2515,Programme!E2515,Programme!F2515,Programme!G2515,Programme!H2515,Programme!I2515)</f>
        <v>&lt;/ValeurCellule&gt;</v>
      </c>
    </row>
    <row r="2515" spans="1:1" x14ac:dyDescent="0.2">
      <c r="A2515" s="1135" t="str">
        <f>CONCATENATE(Programme!C2516,Programme!D2516,Programme!E2516,Programme!F2516,Programme!G2516,Programme!H2516,Programme!I2516)</f>
        <v>&lt;ValeurCellule&gt;</v>
      </c>
    </row>
    <row r="2516" spans="1:1" x14ac:dyDescent="0.2">
      <c r="A2516" s="1135" t="str">
        <f>CONCATENATE(Programme!C2517,Programme!D2517,Programme!E2517,Programme!F2517,Programme!G2517,Programme!H2517,Programme!I2517)</f>
        <v>&lt;cellule&gt;</v>
      </c>
    </row>
    <row r="2517" spans="1:1" x14ac:dyDescent="0.2">
      <c r="A2517" s="1135" t="str">
        <f>CONCATENATE(Programme!C2518,Programme!D2518,Programme!E2518,Programme!F2518,Programme!G2518,Programme!H2518,Programme!I2518)</f>
        <v>&lt;codeEdi&gt;11339&lt;/codeEdi&gt;</v>
      </c>
    </row>
    <row r="2518" spans="1:1" x14ac:dyDescent="0.2">
      <c r="A2518" s="1135" t="str">
        <f>CONCATENATE(Programme!C2519,Programme!D2519,Programme!E2519,Programme!F2519,Programme!G2519,Programme!H2519,Programme!I2519)</f>
        <v>&lt;/cellule&gt;</v>
      </c>
    </row>
    <row r="2519" spans="1:1" x14ac:dyDescent="0.2">
      <c r="A2519" s="1135" t="str">
        <f>CONCATENATE(Programme!C2520,Programme!D2520,Programme!E2520,Programme!F2520,Programme!G2520,Programme!H2520,Programme!I2520)</f>
        <v>&lt;valeur&gt;-18918,67&lt;/valeur&gt;</v>
      </c>
    </row>
    <row r="2520" spans="1:1" x14ac:dyDescent="0.2">
      <c r="A2520" s="1135" t="str">
        <f>CONCATENATE(Programme!C2521,Programme!D2521,Programme!E2521,Programme!F2521,Programme!G2521,Programme!H2521,Programme!I2521)</f>
        <v>&lt;/ValeurCellule&gt;</v>
      </c>
    </row>
    <row r="2521" spans="1:1" x14ac:dyDescent="0.2">
      <c r="A2521" s="1135" t="str">
        <f>CONCATENATE(Programme!C2522,Programme!D2522,Programme!E2522,Programme!F2522,Programme!G2522,Programme!H2522,Programme!I2522)</f>
        <v>&lt;ValeurCellule&gt;</v>
      </c>
    </row>
    <row r="2522" spans="1:1" x14ac:dyDescent="0.2">
      <c r="A2522" s="1135" t="str">
        <f>CONCATENATE(Programme!C2523,Programme!D2523,Programme!E2523,Programme!F2523,Programme!G2523,Programme!H2523,Programme!I2523)</f>
        <v>&lt;cellule&gt;</v>
      </c>
    </row>
    <row r="2523" spans="1:1" x14ac:dyDescent="0.2">
      <c r="A2523" s="1135" t="str">
        <f>CONCATENATE(Programme!C2524,Programme!D2524,Programme!E2524,Programme!F2524,Programme!G2524,Programme!H2524,Programme!I2524)</f>
        <v>&lt;codeEdi&gt;11341&lt;/codeEdi&gt;</v>
      </c>
    </row>
    <row r="2524" spans="1:1" x14ac:dyDescent="0.2">
      <c r="A2524" s="1135" t="str">
        <f>CONCATENATE(Programme!C2525,Programme!D2525,Programme!E2525,Programme!F2525,Programme!G2525,Programme!H2525,Programme!I2525)</f>
        <v>&lt;/cellule&gt;</v>
      </c>
    </row>
    <row r="2525" spans="1:1" x14ac:dyDescent="0.2">
      <c r="A2525" s="1135" t="str">
        <f>CONCATENATE(Programme!C2526,Programme!D2526,Programme!E2526,Programme!F2526,Programme!G2526,Programme!H2526,Programme!I2526)</f>
        <v>&lt;valeur&gt;0&lt;/valeur&gt;</v>
      </c>
    </row>
    <row r="2526" spans="1:1" x14ac:dyDescent="0.2">
      <c r="A2526" s="1135" t="str">
        <f>CONCATENATE(Programme!C2527,Programme!D2527,Programme!E2527,Programme!F2527,Programme!G2527,Programme!H2527,Programme!I2527)</f>
        <v>&lt;/ValeurCellule&gt;</v>
      </c>
    </row>
    <row r="2527" spans="1:1" x14ac:dyDescent="0.2">
      <c r="A2527" s="1135" t="str">
        <f>CONCATENATE(Programme!C2528,Programme!D2528,Programme!E2528,Programme!F2528,Programme!G2528,Programme!H2528,Programme!I2528)</f>
        <v>&lt;ValeurCellule&gt;</v>
      </c>
    </row>
    <row r="2528" spans="1:1" x14ac:dyDescent="0.2">
      <c r="A2528" s="1135" t="str">
        <f>CONCATENATE(Programme!C2529,Programme!D2529,Programme!E2529,Programme!F2529,Programme!G2529,Programme!H2529,Programme!I2529)</f>
        <v>&lt;cellule&gt;</v>
      </c>
    </row>
    <row r="2529" spans="1:1" x14ac:dyDescent="0.2">
      <c r="A2529" s="1135" t="str">
        <f>CONCATENATE(Programme!C2530,Programme!D2530,Programme!E2530,Programme!F2530,Programme!G2530,Programme!H2530,Programme!I2530)</f>
        <v>&lt;codeEdi&gt;11346&lt;/codeEdi&gt;</v>
      </c>
    </row>
    <row r="2530" spans="1:1" x14ac:dyDescent="0.2">
      <c r="A2530" s="1135" t="str">
        <f>CONCATENATE(Programme!C2531,Programme!D2531,Programme!E2531,Programme!F2531,Programme!G2531,Programme!H2531,Programme!I2531)</f>
        <v>&lt;/cellule&gt;</v>
      </c>
    </row>
    <row r="2531" spans="1:1" x14ac:dyDescent="0.2">
      <c r="A2531" s="1135" t="str">
        <f>CONCATENATE(Programme!C2532,Programme!D2532,Programme!E2532,Programme!F2532,Programme!G2532,Programme!H2532,Programme!I2532)</f>
        <v>&lt;valeur&gt;0&lt;/valeur&gt;</v>
      </c>
    </row>
    <row r="2532" spans="1:1" x14ac:dyDescent="0.2">
      <c r="A2532" s="1135" t="str">
        <f>CONCATENATE(Programme!C2533,Programme!D2533,Programme!E2533,Programme!F2533,Programme!G2533,Programme!H2533,Programme!I2533)</f>
        <v>&lt;/ValeurCellule&gt;</v>
      </c>
    </row>
    <row r="2533" spans="1:1" x14ac:dyDescent="0.2">
      <c r="A2533" s="1135" t="str">
        <f>CONCATENATE(Programme!C2534,Programme!D2534,Programme!E2534,Programme!F2534,Programme!G2534,Programme!H2534,Programme!I2534)</f>
        <v>&lt;ValeurCellule&gt;</v>
      </c>
    </row>
    <row r="2534" spans="1:1" x14ac:dyDescent="0.2">
      <c r="A2534" s="1135" t="str">
        <f>CONCATENATE(Programme!C2535,Programme!D2535,Programme!E2535,Programme!F2535,Programme!G2535,Programme!H2535,Programme!I2535)</f>
        <v>&lt;cellule&gt;</v>
      </c>
    </row>
    <row r="2535" spans="1:1" x14ac:dyDescent="0.2">
      <c r="A2535" s="1135" t="str">
        <f>CONCATENATE(Programme!C2536,Programme!D2536,Programme!E2536,Programme!F2536,Programme!G2536,Programme!H2536,Programme!I2536)</f>
        <v>&lt;codeEdi&gt;11351&lt;/codeEdi&gt;</v>
      </c>
    </row>
    <row r="2536" spans="1:1" x14ac:dyDescent="0.2">
      <c r="A2536" s="1135" t="str">
        <f>CONCATENATE(Programme!C2537,Programme!D2537,Programme!E2537,Programme!F2537,Programme!G2537,Programme!H2537,Programme!I2537)</f>
        <v>&lt;/cellule&gt;</v>
      </c>
    </row>
    <row r="2537" spans="1:1" x14ac:dyDescent="0.2">
      <c r="A2537" s="1135" t="str">
        <f>CONCATENATE(Programme!C2538,Programme!D2538,Programme!E2538,Programme!F2538,Programme!G2538,Programme!H2538,Programme!I2538)</f>
        <v>&lt;valeur&gt;0&lt;/valeur&gt;</v>
      </c>
    </row>
    <row r="2538" spans="1:1" x14ac:dyDescent="0.2">
      <c r="A2538" s="1135" t="str">
        <f>CONCATENATE(Programme!C2539,Programme!D2539,Programme!E2539,Programme!F2539,Programme!G2539,Programme!H2539,Programme!I2539)</f>
        <v>&lt;/ValeurCellule&gt;</v>
      </c>
    </row>
    <row r="2539" spans="1:1" x14ac:dyDescent="0.2">
      <c r="A2539" s="1135" t="str">
        <f>CONCATENATE(Programme!C2540,Programme!D2540,Programme!E2540,Programme!F2540,Programme!G2540,Programme!H2540,Programme!I2540)</f>
        <v>&lt;ValeurCellule&gt;</v>
      </c>
    </row>
    <row r="2540" spans="1:1" x14ac:dyDescent="0.2">
      <c r="A2540" s="1135" t="str">
        <f>CONCATENATE(Programme!C2541,Programme!D2541,Programme!E2541,Programme!F2541,Programme!G2541,Programme!H2541,Programme!I2541)</f>
        <v>&lt;cellule&gt;</v>
      </c>
    </row>
    <row r="2541" spans="1:1" x14ac:dyDescent="0.2">
      <c r="A2541" s="1135" t="str">
        <f>CONCATENATE(Programme!C2542,Programme!D2542,Programme!E2542,Programme!F2542,Programme!G2542,Programme!H2542,Programme!I2542)</f>
        <v>&lt;codeEdi&gt;11396&lt;/codeEdi&gt;</v>
      </c>
    </row>
    <row r="2542" spans="1:1" x14ac:dyDescent="0.2">
      <c r="A2542" s="1135" t="str">
        <f>CONCATENATE(Programme!C2543,Programme!D2543,Programme!E2543,Programme!F2543,Programme!G2543,Programme!H2543,Programme!I2543)</f>
        <v>&lt;/cellule&gt;</v>
      </c>
    </row>
    <row r="2543" spans="1:1" x14ac:dyDescent="0.2">
      <c r="A2543" s="1135" t="str">
        <f>CONCATENATE(Programme!C2544,Programme!D2544,Programme!E2544,Programme!F2544,Programme!G2544,Programme!H2544,Programme!I2544)</f>
        <v>&lt;valeur&gt;0&lt;/valeur&gt;</v>
      </c>
    </row>
    <row r="2544" spans="1:1" x14ac:dyDescent="0.2">
      <c r="A2544" s="1135" t="str">
        <f>CONCATENATE(Programme!C2545,Programme!D2545,Programme!E2545,Programme!F2545,Programme!G2545,Programme!H2545,Programme!I2545)</f>
        <v>&lt;/ValeurCellule&gt;</v>
      </c>
    </row>
    <row r="2545" spans="1:1" x14ac:dyDescent="0.2">
      <c r="A2545" s="1135" t="str">
        <f>CONCATENATE(Programme!C2546,Programme!D2546,Programme!E2546,Programme!F2546,Programme!G2546,Programme!H2546,Programme!I2546)</f>
        <v>&lt;ValeurCellule&gt;</v>
      </c>
    </row>
    <row r="2546" spans="1:1" x14ac:dyDescent="0.2">
      <c r="A2546" s="1135" t="str">
        <f>CONCATENATE(Programme!C2547,Programme!D2547,Programme!E2547,Programme!F2547,Programme!G2547,Programme!H2547,Programme!I2547)</f>
        <v>&lt;cellule&gt;</v>
      </c>
    </row>
    <row r="2547" spans="1:1" x14ac:dyDescent="0.2">
      <c r="A2547" s="1135" t="str">
        <f>CONCATENATE(Programme!C2548,Programme!D2548,Programme!E2548,Programme!F2548,Programme!G2548,Programme!H2548,Programme!I2548)</f>
        <v>&lt;codeEdi&gt;11401&lt;/codeEdi&gt;</v>
      </c>
    </row>
    <row r="2548" spans="1:1" x14ac:dyDescent="0.2">
      <c r="A2548" s="1135" t="str">
        <f>CONCATENATE(Programme!C2549,Programme!D2549,Programme!E2549,Programme!F2549,Programme!G2549,Programme!H2549,Programme!I2549)</f>
        <v>&lt;/cellule&gt;</v>
      </c>
    </row>
    <row r="2549" spans="1:1" x14ac:dyDescent="0.2">
      <c r="A2549" s="1135" t="str">
        <f>CONCATENATE(Programme!C2550,Programme!D2550,Programme!E2550,Programme!F2550,Programme!G2550,Programme!H2550,Programme!I2550)</f>
        <v>&lt;valeur&gt;0&lt;/valeur&gt;</v>
      </c>
    </row>
    <row r="2550" spans="1:1" x14ac:dyDescent="0.2">
      <c r="A2550" s="1135" t="str">
        <f>CONCATENATE(Programme!C2551,Programme!D2551,Programme!E2551,Programme!F2551,Programme!G2551,Programme!H2551,Programme!I2551)</f>
        <v>&lt;/ValeurCellule&gt;</v>
      </c>
    </row>
    <row r="2551" spans="1:1" x14ac:dyDescent="0.2">
      <c r="A2551" s="1135" t="str">
        <f>CONCATENATE(Programme!C2552,Programme!D2552,Programme!E2552,Programme!F2552,Programme!G2552,Programme!H2552,Programme!I2552)</f>
        <v>&lt;ValeurCellule&gt;</v>
      </c>
    </row>
    <row r="2552" spans="1:1" x14ac:dyDescent="0.2">
      <c r="A2552" s="1135" t="str">
        <f>CONCATENATE(Programme!C2553,Programme!D2553,Programme!E2553,Programme!F2553,Programme!G2553,Programme!H2553,Programme!I2553)</f>
        <v>&lt;cellule&gt;</v>
      </c>
    </row>
    <row r="2553" spans="1:1" x14ac:dyDescent="0.2">
      <c r="A2553" s="1135" t="str">
        <f>CONCATENATE(Programme!C2554,Programme!D2554,Programme!E2554,Programme!F2554,Programme!G2554,Programme!H2554,Programme!I2554)</f>
        <v>&lt;codeEdi&gt;11406&lt;/codeEdi&gt;</v>
      </c>
    </row>
    <row r="2554" spans="1:1" x14ac:dyDescent="0.2">
      <c r="A2554" s="1135" t="str">
        <f>CONCATENATE(Programme!C2555,Programme!D2555,Programme!E2555,Programme!F2555,Programme!G2555,Programme!H2555,Programme!I2555)</f>
        <v>&lt;/cellule&gt;</v>
      </c>
    </row>
    <row r="2555" spans="1:1" x14ac:dyDescent="0.2">
      <c r="A2555" s="1135" t="str">
        <f>CONCATENATE(Programme!C2556,Programme!D2556,Programme!E2556,Programme!F2556,Programme!G2556,Programme!H2556,Programme!I2556)</f>
        <v>&lt;valeur&gt;0&lt;/valeur&gt;</v>
      </c>
    </row>
    <row r="2556" spans="1:1" x14ac:dyDescent="0.2">
      <c r="A2556" s="1135" t="str">
        <f>CONCATENATE(Programme!C2557,Programme!D2557,Programme!E2557,Programme!F2557,Programme!G2557,Programme!H2557,Programme!I2557)</f>
        <v>&lt;/ValeurCellule&gt;</v>
      </c>
    </row>
    <row r="2557" spans="1:1" x14ac:dyDescent="0.2">
      <c r="A2557" s="1135" t="str">
        <f>CONCATENATE(Programme!C2558,Programme!D2558,Programme!E2558,Programme!F2558,Programme!G2558,Programme!H2558,Programme!I2558)</f>
        <v>&lt;ValeurCellule&gt;</v>
      </c>
    </row>
    <row r="2558" spans="1:1" x14ac:dyDescent="0.2">
      <c r="A2558" s="1135" t="str">
        <f>CONCATENATE(Programme!C2559,Programme!D2559,Programme!E2559,Programme!F2559,Programme!G2559,Programme!H2559,Programme!I2559)</f>
        <v>&lt;cellule&gt;</v>
      </c>
    </row>
    <row r="2559" spans="1:1" x14ac:dyDescent="0.2">
      <c r="A2559" s="1135" t="str">
        <f>CONCATENATE(Programme!C2560,Programme!D2560,Programme!E2560,Programme!F2560,Programme!G2560,Programme!H2560,Programme!I2560)</f>
        <v>&lt;codeEdi&gt;11356&lt;/codeEdi&gt;</v>
      </c>
    </row>
    <row r="2560" spans="1:1" x14ac:dyDescent="0.2">
      <c r="A2560" s="1135" t="str">
        <f>CONCATENATE(Programme!C2561,Programme!D2561,Programme!E2561,Programme!F2561,Programme!G2561,Programme!H2561,Programme!I2561)</f>
        <v>&lt;/cellule&gt;</v>
      </c>
    </row>
    <row r="2561" spans="1:1" x14ac:dyDescent="0.2">
      <c r="A2561" s="1135" t="str">
        <f>CONCATENATE(Programme!C2562,Programme!D2562,Programme!E2562,Programme!F2562,Programme!G2562,Programme!H2562,Programme!I2562)</f>
        <v>&lt;valeur&gt;0&lt;/valeur&gt;</v>
      </c>
    </row>
    <row r="2562" spans="1:1" x14ac:dyDescent="0.2">
      <c r="A2562" s="1135" t="str">
        <f>CONCATENATE(Programme!C2563,Programme!D2563,Programme!E2563,Programme!F2563,Programme!G2563,Programme!H2563,Programme!I2563)</f>
        <v>&lt;/ValeurCellule&gt;</v>
      </c>
    </row>
    <row r="2563" spans="1:1" x14ac:dyDescent="0.2">
      <c r="A2563" s="1135" t="str">
        <f>CONCATENATE(Programme!C2564,Programme!D2564,Programme!E2564,Programme!F2564,Programme!G2564,Programme!H2564,Programme!I2564)</f>
        <v>&lt;ValeurCellule&gt;</v>
      </c>
    </row>
    <row r="2564" spans="1:1" x14ac:dyDescent="0.2">
      <c r="A2564" s="1135" t="str">
        <f>CONCATENATE(Programme!C2565,Programme!D2565,Programme!E2565,Programme!F2565,Programme!G2565,Programme!H2565,Programme!I2565)</f>
        <v>&lt;cellule&gt;</v>
      </c>
    </row>
    <row r="2565" spans="1:1" x14ac:dyDescent="0.2">
      <c r="A2565" s="1135" t="str">
        <f>CONCATENATE(Programme!C2566,Programme!D2566,Programme!E2566,Programme!F2566,Programme!G2566,Programme!H2566,Programme!I2566)</f>
        <v>&lt;codeEdi&gt;11361&lt;/codeEdi&gt;</v>
      </c>
    </row>
    <row r="2566" spans="1:1" x14ac:dyDescent="0.2">
      <c r="A2566" s="1135" t="str">
        <f>CONCATENATE(Programme!C2567,Programme!D2567,Programme!E2567,Programme!F2567,Programme!G2567,Programme!H2567,Programme!I2567)</f>
        <v>&lt;/cellule&gt;</v>
      </c>
    </row>
    <row r="2567" spans="1:1" x14ac:dyDescent="0.2">
      <c r="A2567" s="1135" t="str">
        <f>CONCATENATE(Programme!C2568,Programme!D2568,Programme!E2568,Programme!F2568,Programme!G2568,Programme!H2568,Programme!I2568)</f>
        <v>&lt;valeur&gt;0&lt;/valeur&gt;</v>
      </c>
    </row>
    <row r="2568" spans="1:1" x14ac:dyDescent="0.2">
      <c r="A2568" s="1135" t="str">
        <f>CONCATENATE(Programme!C2569,Programme!D2569,Programme!E2569,Programme!F2569,Programme!G2569,Programme!H2569,Programme!I2569)</f>
        <v>&lt;/ValeurCellule&gt;</v>
      </c>
    </row>
    <row r="2569" spans="1:1" x14ac:dyDescent="0.2">
      <c r="A2569" s="1135" t="str">
        <f>CONCATENATE(Programme!C2570,Programme!D2570,Programme!E2570,Programme!F2570,Programme!G2570,Programme!H2570,Programme!I2570)</f>
        <v>&lt;ValeurCellule&gt;</v>
      </c>
    </row>
    <row r="2570" spans="1:1" x14ac:dyDescent="0.2">
      <c r="A2570" s="1135" t="str">
        <f>CONCATENATE(Programme!C2571,Programme!D2571,Programme!E2571,Programme!F2571,Programme!G2571,Programme!H2571,Programme!I2571)</f>
        <v>&lt;cellule&gt;</v>
      </c>
    </row>
    <row r="2571" spans="1:1" x14ac:dyDescent="0.2">
      <c r="A2571" s="1135" t="str">
        <f>CONCATENATE(Programme!C2572,Programme!D2572,Programme!E2572,Programme!F2572,Programme!G2572,Programme!H2572,Programme!I2572)</f>
        <v>&lt;codeEdi&gt;11366&lt;/codeEdi&gt;</v>
      </c>
    </row>
    <row r="2572" spans="1:1" x14ac:dyDescent="0.2">
      <c r="A2572" s="1135" t="str">
        <f>CONCATENATE(Programme!C2573,Programme!D2573,Programme!E2573,Programme!F2573,Programme!G2573,Programme!H2573,Programme!I2573)</f>
        <v>&lt;/cellule&gt;</v>
      </c>
    </row>
    <row r="2573" spans="1:1" x14ac:dyDescent="0.2">
      <c r="A2573" s="1135" t="str">
        <f>CONCATENATE(Programme!C2574,Programme!D2574,Programme!E2574,Programme!F2574,Programme!G2574,Programme!H2574,Programme!I2574)</f>
        <v>&lt;valeur&gt;0&lt;/valeur&gt;</v>
      </c>
    </row>
    <row r="2574" spans="1:1" x14ac:dyDescent="0.2">
      <c r="A2574" s="1135" t="str">
        <f>CONCATENATE(Programme!C2575,Programme!D2575,Programme!E2575,Programme!F2575,Programme!G2575,Programme!H2575,Programme!I2575)</f>
        <v>&lt;/ValeurCellule&gt;</v>
      </c>
    </row>
    <row r="2575" spans="1:1" x14ac:dyDescent="0.2">
      <c r="A2575" s="1135" t="str">
        <f>CONCATENATE(Programme!C2576,Programme!D2576,Programme!E2576,Programme!F2576,Programme!G2576,Programme!H2576,Programme!I2576)</f>
        <v>&lt;ValeurCellule&gt;</v>
      </c>
    </row>
    <row r="2576" spans="1:1" x14ac:dyDescent="0.2">
      <c r="A2576" s="1135" t="str">
        <f>CONCATENATE(Programme!C2577,Programme!D2577,Programme!E2577,Programme!F2577,Programme!G2577,Programme!H2577,Programme!I2577)</f>
        <v>&lt;cellule&gt;</v>
      </c>
    </row>
    <row r="2577" spans="1:1" x14ac:dyDescent="0.2">
      <c r="A2577" s="1135" t="str">
        <f>CONCATENATE(Programme!C2578,Programme!D2578,Programme!E2578,Programme!F2578,Programme!G2578,Programme!H2578,Programme!I2578)</f>
        <v>&lt;codeEdi&gt;11371&lt;/codeEdi&gt;</v>
      </c>
    </row>
    <row r="2578" spans="1:1" x14ac:dyDescent="0.2">
      <c r="A2578" s="1135" t="str">
        <f>CONCATENATE(Programme!C2579,Programme!D2579,Programme!E2579,Programme!F2579,Programme!G2579,Programme!H2579,Programme!I2579)</f>
        <v>&lt;/cellule&gt;</v>
      </c>
    </row>
    <row r="2579" spans="1:1" x14ac:dyDescent="0.2">
      <c r="A2579" s="1135" t="str">
        <f>CONCATENATE(Programme!C2580,Programme!D2580,Programme!E2580,Programme!F2580,Programme!G2580,Programme!H2580,Programme!I2580)</f>
        <v>&lt;valeur&gt;0&lt;/valeur&gt;</v>
      </c>
    </row>
    <row r="2580" spans="1:1" x14ac:dyDescent="0.2">
      <c r="A2580" s="1135" t="str">
        <f>CONCATENATE(Programme!C2581,Programme!D2581,Programme!E2581,Programme!F2581,Programme!G2581,Programme!H2581,Programme!I2581)</f>
        <v>&lt;/ValeurCellule&gt;</v>
      </c>
    </row>
    <row r="2581" spans="1:1" x14ac:dyDescent="0.2">
      <c r="A2581" s="1135" t="str">
        <f>CONCATENATE(Programme!C2582,Programme!D2582,Programme!E2582,Programme!F2582,Programme!G2582,Programme!H2582,Programme!I2582)</f>
        <v>&lt;ValeurCellule&gt;</v>
      </c>
    </row>
    <row r="2582" spans="1:1" x14ac:dyDescent="0.2">
      <c r="A2582" s="1135" t="str">
        <f>CONCATENATE(Programme!C2583,Programme!D2583,Programme!E2583,Programme!F2583,Programme!G2583,Programme!H2583,Programme!I2583)</f>
        <v>&lt;cellule&gt;</v>
      </c>
    </row>
    <row r="2583" spans="1:1" x14ac:dyDescent="0.2">
      <c r="A2583" s="1135" t="str">
        <f>CONCATENATE(Programme!C2584,Programme!D2584,Programme!E2584,Programme!F2584,Programme!G2584,Programme!H2584,Programme!I2584)</f>
        <v>&lt;codeEdi&gt;11376&lt;/codeEdi&gt;</v>
      </c>
    </row>
    <row r="2584" spans="1:1" x14ac:dyDescent="0.2">
      <c r="A2584" s="1135" t="str">
        <f>CONCATENATE(Programme!C2585,Programme!D2585,Programme!E2585,Programme!F2585,Programme!G2585,Programme!H2585,Programme!I2585)</f>
        <v>&lt;/cellule&gt;</v>
      </c>
    </row>
    <row r="2585" spans="1:1" x14ac:dyDescent="0.2">
      <c r="A2585" s="1135" t="str">
        <f>CONCATENATE(Programme!C2586,Programme!D2586,Programme!E2586,Programme!F2586,Programme!G2586,Programme!H2586,Programme!I2586)</f>
        <v>&lt;valeur&gt;0&lt;/valeur&gt;</v>
      </c>
    </row>
    <row r="2586" spans="1:1" x14ac:dyDescent="0.2">
      <c r="A2586" s="1135" t="str">
        <f>CONCATENATE(Programme!C2587,Programme!D2587,Programme!E2587,Programme!F2587,Programme!G2587,Programme!H2587,Programme!I2587)</f>
        <v>&lt;/ValeurCellule&gt;</v>
      </c>
    </row>
    <row r="2587" spans="1:1" x14ac:dyDescent="0.2">
      <c r="A2587" s="1135" t="str">
        <f>CONCATENATE(Programme!C2588,Programme!D2588,Programme!E2588,Programme!F2588,Programme!G2588,Programme!H2588,Programme!I2588)</f>
        <v>&lt;ValeurCellule&gt;</v>
      </c>
    </row>
    <row r="2588" spans="1:1" x14ac:dyDescent="0.2">
      <c r="A2588" s="1135" t="str">
        <f>CONCATENATE(Programme!C2589,Programme!D2589,Programme!E2589,Programme!F2589,Programme!G2589,Programme!H2589,Programme!I2589)</f>
        <v>&lt;cellule&gt;</v>
      </c>
    </row>
    <row r="2589" spans="1:1" x14ac:dyDescent="0.2">
      <c r="A2589" s="1135" t="str">
        <f>CONCATENATE(Programme!C2590,Programme!D2590,Programme!E2590,Programme!F2590,Programme!G2590,Programme!H2590,Programme!I2590)</f>
        <v>&lt;codeEdi&gt;11381&lt;/codeEdi&gt;</v>
      </c>
    </row>
    <row r="2590" spans="1:1" x14ac:dyDescent="0.2">
      <c r="A2590" s="1135" t="str">
        <f>CONCATENATE(Programme!C2591,Programme!D2591,Programme!E2591,Programme!F2591,Programme!G2591,Programme!H2591,Programme!I2591)</f>
        <v>&lt;/cellule&gt;</v>
      </c>
    </row>
    <row r="2591" spans="1:1" x14ac:dyDescent="0.2">
      <c r="A2591" s="1135" t="str">
        <f>CONCATENATE(Programme!C2592,Programme!D2592,Programme!E2592,Programme!F2592,Programme!G2592,Programme!H2592,Programme!I2592)</f>
        <v>&lt;valeur&gt;0&lt;/valeur&gt;</v>
      </c>
    </row>
    <row r="2592" spans="1:1" x14ac:dyDescent="0.2">
      <c r="A2592" s="1135" t="str">
        <f>CONCATENATE(Programme!C2593,Programme!D2593,Programme!E2593,Programme!F2593,Programme!G2593,Programme!H2593,Programme!I2593)</f>
        <v>&lt;/ValeurCellule&gt;</v>
      </c>
    </row>
    <row r="2593" spans="1:1" x14ac:dyDescent="0.2">
      <c r="A2593" s="1135" t="str">
        <f>CONCATENATE(Programme!C2594,Programme!D2594,Programme!E2594,Programme!F2594,Programme!G2594,Programme!H2594,Programme!I2594)</f>
        <v>&lt;ValeurCellule&gt;</v>
      </c>
    </row>
    <row r="2594" spans="1:1" x14ac:dyDescent="0.2">
      <c r="A2594" s="1135" t="str">
        <f>CONCATENATE(Programme!C2595,Programme!D2595,Programme!E2595,Programme!F2595,Programme!G2595,Programme!H2595,Programme!I2595)</f>
        <v>&lt;cellule&gt;</v>
      </c>
    </row>
    <row r="2595" spans="1:1" x14ac:dyDescent="0.2">
      <c r="A2595" s="1135" t="str">
        <f>CONCATENATE(Programme!C2596,Programme!D2596,Programme!E2596,Programme!F2596,Programme!G2596,Programme!H2596,Programme!I2596)</f>
        <v>&lt;codeEdi&gt;11386&lt;/codeEdi&gt;</v>
      </c>
    </row>
    <row r="2596" spans="1:1" x14ac:dyDescent="0.2">
      <c r="A2596" s="1135" t="str">
        <f>CONCATENATE(Programme!C2597,Programme!D2597,Programme!E2597,Programme!F2597,Programme!G2597,Programme!H2597,Programme!I2597)</f>
        <v>&lt;/cellule&gt;</v>
      </c>
    </row>
    <row r="2597" spans="1:1" x14ac:dyDescent="0.2">
      <c r="A2597" s="1135" t="str">
        <f>CONCATENATE(Programme!C2598,Programme!D2598,Programme!E2598,Programme!F2598,Programme!G2598,Programme!H2598,Programme!I2598)</f>
        <v>&lt;valeur&gt;0&lt;/valeur&gt;</v>
      </c>
    </row>
    <row r="2598" spans="1:1" x14ac:dyDescent="0.2">
      <c r="A2598" s="1135" t="str">
        <f>CONCATENATE(Programme!C2599,Programme!D2599,Programme!E2599,Programme!F2599,Programme!G2599,Programme!H2599,Programme!I2599)</f>
        <v>&lt;/ValeurCellule&gt;</v>
      </c>
    </row>
    <row r="2599" spans="1:1" x14ac:dyDescent="0.2">
      <c r="A2599" s="1135" t="str">
        <f>CONCATENATE(Programme!C2600,Programme!D2600,Programme!E2600,Programme!F2600,Programme!G2600,Programme!H2600,Programme!I2600)</f>
        <v>&lt;ValeurCellule&gt;</v>
      </c>
    </row>
    <row r="2600" spans="1:1" x14ac:dyDescent="0.2">
      <c r="A2600" s="1135" t="str">
        <f>CONCATENATE(Programme!C2601,Programme!D2601,Programme!E2601,Programme!F2601,Programme!G2601,Programme!H2601,Programme!I2601)</f>
        <v>&lt;cellule&gt;</v>
      </c>
    </row>
    <row r="2601" spans="1:1" x14ac:dyDescent="0.2">
      <c r="A2601" s="1135" t="str">
        <f>CONCATENATE(Programme!C2602,Programme!D2602,Programme!E2602,Programme!F2602,Programme!G2602,Programme!H2602,Programme!I2602)</f>
        <v>&lt;codeEdi&gt;11391&lt;/codeEdi&gt;</v>
      </c>
    </row>
    <row r="2602" spans="1:1" x14ac:dyDescent="0.2">
      <c r="A2602" s="1135" t="str">
        <f>CONCATENATE(Programme!C2603,Programme!D2603,Programme!E2603,Programme!F2603,Programme!G2603,Programme!H2603,Programme!I2603)</f>
        <v>&lt;/cellule&gt;</v>
      </c>
    </row>
    <row r="2603" spans="1:1" x14ac:dyDescent="0.2">
      <c r="A2603" s="1135" t="str">
        <f>CONCATENATE(Programme!C2604,Programme!D2604,Programme!E2604,Programme!F2604,Programme!G2604,Programme!H2604,Programme!I2604)</f>
        <v>&lt;valeur&gt;0&lt;/valeur&gt;</v>
      </c>
    </row>
    <row r="2604" spans="1:1" x14ac:dyDescent="0.2">
      <c r="A2604" s="1135" t="str">
        <f>CONCATENATE(Programme!C2605,Programme!D2605,Programme!E2605,Programme!F2605,Programme!G2605,Programme!H2605,Programme!I2605)</f>
        <v>&lt;/ValeurCellule&gt;</v>
      </c>
    </row>
    <row r="2605" spans="1:1" x14ac:dyDescent="0.2">
      <c r="A2605" s="1135" t="str">
        <f>CONCATENATE(Programme!C2606,Programme!D2606,Programme!E2606,Programme!F2606,Programme!G2606,Programme!H2606,Programme!I2606)</f>
        <v>&lt;ValeurCellule&gt;</v>
      </c>
    </row>
    <row r="2606" spans="1:1" x14ac:dyDescent="0.2">
      <c r="A2606" s="1135" t="str">
        <f>CONCATENATE(Programme!C2607,Programme!D2607,Programme!E2607,Programme!F2607,Programme!G2607,Programme!H2607,Programme!I2607)</f>
        <v>&lt;cellule&gt;</v>
      </c>
    </row>
    <row r="2607" spans="1:1" x14ac:dyDescent="0.2">
      <c r="A2607" s="1135" t="str">
        <f>CONCATENATE(Programme!C2608,Programme!D2608,Programme!E2608,Programme!F2608,Programme!G2608,Programme!H2608,Programme!I2608)</f>
        <v>&lt;codeEdi&gt;11342&lt;/codeEdi&gt;</v>
      </c>
    </row>
    <row r="2608" spans="1:1" x14ac:dyDescent="0.2">
      <c r="A2608" s="1135" t="str">
        <f>CONCATENATE(Programme!C2609,Programme!D2609,Programme!E2609,Programme!F2609,Programme!G2609,Programme!H2609,Programme!I2609)</f>
        <v>&lt;/cellule&gt;</v>
      </c>
    </row>
    <row r="2609" spans="1:1" x14ac:dyDescent="0.2">
      <c r="A2609" s="1135" t="str">
        <f>CONCATENATE(Programme!C2610,Programme!D2610,Programme!E2610,Programme!F2610,Programme!G2610,Programme!H2610,Programme!I2610)</f>
        <v>&lt;valeur&gt;0&lt;/valeur&gt;</v>
      </c>
    </row>
    <row r="2610" spans="1:1" x14ac:dyDescent="0.2">
      <c r="A2610" s="1135" t="str">
        <f>CONCATENATE(Programme!C2611,Programme!D2611,Programme!E2611,Programme!F2611,Programme!G2611,Programme!H2611,Programme!I2611)</f>
        <v>&lt;/ValeurCellule&gt;</v>
      </c>
    </row>
    <row r="2611" spans="1:1" x14ac:dyDescent="0.2">
      <c r="A2611" s="1135" t="str">
        <f>CONCATENATE(Programme!C2612,Programme!D2612,Programme!E2612,Programme!F2612,Programme!G2612,Programme!H2612,Programme!I2612)</f>
        <v>&lt;ValeurCellule&gt;</v>
      </c>
    </row>
    <row r="2612" spans="1:1" x14ac:dyDescent="0.2">
      <c r="A2612" s="1135" t="str">
        <f>CONCATENATE(Programme!C2613,Programme!D2613,Programme!E2613,Programme!F2613,Programme!G2613,Programme!H2613,Programme!I2613)</f>
        <v>&lt;cellule&gt;</v>
      </c>
    </row>
    <row r="2613" spans="1:1" x14ac:dyDescent="0.2">
      <c r="A2613" s="1135" t="str">
        <f>CONCATENATE(Programme!C2614,Programme!D2614,Programme!E2614,Programme!F2614,Programme!G2614,Programme!H2614,Programme!I2614)</f>
        <v>&lt;codeEdi&gt;11347&lt;/codeEdi&gt;</v>
      </c>
    </row>
    <row r="2614" spans="1:1" x14ac:dyDescent="0.2">
      <c r="A2614" s="1135" t="str">
        <f>CONCATENATE(Programme!C2615,Programme!D2615,Programme!E2615,Programme!F2615,Programme!G2615,Programme!H2615,Programme!I2615)</f>
        <v>&lt;/cellule&gt;</v>
      </c>
    </row>
    <row r="2615" spans="1:1" x14ac:dyDescent="0.2">
      <c r="A2615" s="1135" t="str">
        <f>CONCATENATE(Programme!C2616,Programme!D2616,Programme!E2616,Programme!F2616,Programme!G2616,Programme!H2616,Programme!I2616)</f>
        <v>&lt;valeur&gt;0&lt;/valeur&gt;</v>
      </c>
    </row>
    <row r="2616" spans="1:1" x14ac:dyDescent="0.2">
      <c r="A2616" s="1135" t="str">
        <f>CONCATENATE(Programme!C2617,Programme!D2617,Programme!E2617,Programme!F2617,Programme!G2617,Programme!H2617,Programme!I2617)</f>
        <v>&lt;/ValeurCellule&gt;</v>
      </c>
    </row>
    <row r="2617" spans="1:1" x14ac:dyDescent="0.2">
      <c r="A2617" s="1135" t="str">
        <f>CONCATENATE(Programme!C2618,Programme!D2618,Programme!E2618,Programme!F2618,Programme!G2618,Programme!H2618,Programme!I2618)</f>
        <v>&lt;ValeurCellule&gt;</v>
      </c>
    </row>
    <row r="2618" spans="1:1" x14ac:dyDescent="0.2">
      <c r="A2618" s="1135" t="str">
        <f>CONCATENATE(Programme!C2619,Programme!D2619,Programme!E2619,Programme!F2619,Programme!G2619,Programme!H2619,Programme!I2619)</f>
        <v>&lt;cellule&gt;</v>
      </c>
    </row>
    <row r="2619" spans="1:1" x14ac:dyDescent="0.2">
      <c r="A2619" s="1135" t="str">
        <f>CONCATENATE(Programme!C2620,Programme!D2620,Programme!E2620,Programme!F2620,Programme!G2620,Programme!H2620,Programme!I2620)</f>
        <v>&lt;codeEdi&gt;11352&lt;/codeEdi&gt;</v>
      </c>
    </row>
    <row r="2620" spans="1:1" x14ac:dyDescent="0.2">
      <c r="A2620" s="1135" t="str">
        <f>CONCATENATE(Programme!C2621,Programme!D2621,Programme!E2621,Programme!F2621,Programme!G2621,Programme!H2621,Programme!I2621)</f>
        <v>&lt;/cellule&gt;</v>
      </c>
    </row>
    <row r="2621" spans="1:1" x14ac:dyDescent="0.2">
      <c r="A2621" s="1135" t="str">
        <f>CONCATENATE(Programme!C2622,Programme!D2622,Programme!E2622,Programme!F2622,Programme!G2622,Programme!H2622,Programme!I2622)</f>
        <v>&lt;valeur&gt;0&lt;/valeur&gt;</v>
      </c>
    </row>
    <row r="2622" spans="1:1" x14ac:dyDescent="0.2">
      <c r="A2622" s="1135" t="str">
        <f>CONCATENATE(Programme!C2623,Programme!D2623,Programme!E2623,Programme!F2623,Programme!G2623,Programme!H2623,Programme!I2623)</f>
        <v>&lt;/ValeurCellule&gt;</v>
      </c>
    </row>
    <row r="2623" spans="1:1" x14ac:dyDescent="0.2">
      <c r="A2623" s="1135" t="str">
        <f>CONCATENATE(Programme!C2624,Programme!D2624,Programme!E2624,Programme!F2624,Programme!G2624,Programme!H2624,Programme!I2624)</f>
        <v>&lt;ValeurCellule&gt;</v>
      </c>
    </row>
    <row r="2624" spans="1:1" x14ac:dyDescent="0.2">
      <c r="A2624" s="1135" t="str">
        <f>CONCATENATE(Programme!C2625,Programme!D2625,Programme!E2625,Programme!F2625,Programme!G2625,Programme!H2625,Programme!I2625)</f>
        <v>&lt;cellule&gt;</v>
      </c>
    </row>
    <row r="2625" spans="1:1" x14ac:dyDescent="0.2">
      <c r="A2625" s="1135" t="str">
        <f>CONCATENATE(Programme!C2626,Programme!D2626,Programme!E2626,Programme!F2626,Programme!G2626,Programme!H2626,Programme!I2626)</f>
        <v>&lt;codeEdi&gt;11392&lt;/codeEdi&gt;</v>
      </c>
    </row>
    <row r="2626" spans="1:1" x14ac:dyDescent="0.2">
      <c r="A2626" s="1135" t="str">
        <f>CONCATENATE(Programme!C2627,Programme!D2627,Programme!E2627,Programme!F2627,Programme!G2627,Programme!H2627,Programme!I2627)</f>
        <v>&lt;/cellule&gt;</v>
      </c>
    </row>
    <row r="2627" spans="1:1" x14ac:dyDescent="0.2">
      <c r="A2627" s="1135" t="str">
        <f>CONCATENATE(Programme!C2628,Programme!D2628,Programme!E2628,Programme!F2628,Programme!G2628,Programme!H2628,Programme!I2628)</f>
        <v>&lt;valeur&gt;0&lt;/valeur&gt;</v>
      </c>
    </row>
    <row r="2628" spans="1:1" x14ac:dyDescent="0.2">
      <c r="A2628" s="1135" t="str">
        <f>CONCATENATE(Programme!C2629,Programme!D2629,Programme!E2629,Programme!F2629,Programme!G2629,Programme!H2629,Programme!I2629)</f>
        <v>&lt;/ValeurCellule&gt;</v>
      </c>
    </row>
    <row r="2629" spans="1:1" x14ac:dyDescent="0.2">
      <c r="A2629" s="1135" t="str">
        <f>CONCATENATE(Programme!C2630,Programme!D2630,Programme!E2630,Programme!F2630,Programme!G2630,Programme!H2630,Programme!I2630)</f>
        <v>&lt;ValeurCellule&gt;</v>
      </c>
    </row>
    <row r="2630" spans="1:1" x14ac:dyDescent="0.2">
      <c r="A2630" s="1135" t="str">
        <f>CONCATENATE(Programme!C2631,Programme!D2631,Programme!E2631,Programme!F2631,Programme!G2631,Programme!H2631,Programme!I2631)</f>
        <v>&lt;cellule&gt;</v>
      </c>
    </row>
    <row r="2631" spans="1:1" x14ac:dyDescent="0.2">
      <c r="A2631" s="1135" t="str">
        <f>CONCATENATE(Programme!C2632,Programme!D2632,Programme!E2632,Programme!F2632,Programme!G2632,Programme!H2632,Programme!I2632)</f>
        <v>&lt;codeEdi&gt;11397&lt;/codeEdi&gt;</v>
      </c>
    </row>
    <row r="2632" spans="1:1" x14ac:dyDescent="0.2">
      <c r="A2632" s="1135" t="str">
        <f>CONCATENATE(Programme!C2633,Programme!D2633,Programme!E2633,Programme!F2633,Programme!G2633,Programme!H2633,Programme!I2633)</f>
        <v>&lt;/cellule&gt;</v>
      </c>
    </row>
    <row r="2633" spans="1:1" x14ac:dyDescent="0.2">
      <c r="A2633" s="1135" t="str">
        <f>CONCATENATE(Programme!C2634,Programme!D2634,Programme!E2634,Programme!F2634,Programme!G2634,Programme!H2634,Programme!I2634)</f>
        <v>&lt;valeur&gt;0&lt;/valeur&gt;</v>
      </c>
    </row>
    <row r="2634" spans="1:1" x14ac:dyDescent="0.2">
      <c r="A2634" s="1135" t="str">
        <f>CONCATENATE(Programme!C2635,Programme!D2635,Programme!E2635,Programme!F2635,Programme!G2635,Programme!H2635,Programme!I2635)</f>
        <v>&lt;/ValeurCellule&gt;</v>
      </c>
    </row>
    <row r="2635" spans="1:1" x14ac:dyDescent="0.2">
      <c r="A2635" s="1135" t="str">
        <f>CONCATENATE(Programme!C2636,Programme!D2636,Programme!E2636,Programme!F2636,Programme!G2636,Programme!H2636,Programme!I2636)</f>
        <v>&lt;ValeurCellule&gt;</v>
      </c>
    </row>
    <row r="2636" spans="1:1" x14ac:dyDescent="0.2">
      <c r="A2636" s="1135" t="str">
        <f>CONCATENATE(Programme!C2637,Programme!D2637,Programme!E2637,Programme!F2637,Programme!G2637,Programme!H2637,Programme!I2637)</f>
        <v>&lt;cellule&gt;</v>
      </c>
    </row>
    <row r="2637" spans="1:1" x14ac:dyDescent="0.2">
      <c r="A2637" s="1135" t="str">
        <f>CONCATENATE(Programme!C2638,Programme!D2638,Programme!E2638,Programme!F2638,Programme!G2638,Programme!H2638,Programme!I2638)</f>
        <v>&lt;codeEdi&gt;11402&lt;/codeEdi&gt;</v>
      </c>
    </row>
    <row r="2638" spans="1:1" x14ac:dyDescent="0.2">
      <c r="A2638" s="1135" t="str">
        <f>CONCATENATE(Programme!C2639,Programme!D2639,Programme!E2639,Programme!F2639,Programme!G2639,Programme!H2639,Programme!I2639)</f>
        <v>&lt;/cellule&gt;</v>
      </c>
    </row>
    <row r="2639" spans="1:1" x14ac:dyDescent="0.2">
      <c r="A2639" s="1135" t="str">
        <f>CONCATENATE(Programme!C2640,Programme!D2640,Programme!E2640,Programme!F2640,Programme!G2640,Programme!H2640,Programme!I2640)</f>
        <v>&lt;valeur&gt;0&lt;/valeur&gt;</v>
      </c>
    </row>
    <row r="2640" spans="1:1" x14ac:dyDescent="0.2">
      <c r="A2640" s="1135" t="str">
        <f>CONCATENATE(Programme!C2641,Programme!D2641,Programme!E2641,Programme!F2641,Programme!G2641,Programme!H2641,Programme!I2641)</f>
        <v>&lt;/ValeurCellule&gt;</v>
      </c>
    </row>
    <row r="2641" spans="1:1" x14ac:dyDescent="0.2">
      <c r="A2641" s="1135" t="str">
        <f>CONCATENATE(Programme!C2642,Programme!D2642,Programme!E2642,Programme!F2642,Programme!G2642,Programme!H2642,Programme!I2642)</f>
        <v>&lt;ValeurCellule&gt;</v>
      </c>
    </row>
    <row r="2642" spans="1:1" x14ac:dyDescent="0.2">
      <c r="A2642" s="1135" t="str">
        <f>CONCATENATE(Programme!C2643,Programme!D2643,Programme!E2643,Programme!F2643,Programme!G2643,Programme!H2643,Programme!I2643)</f>
        <v>&lt;cellule&gt;</v>
      </c>
    </row>
    <row r="2643" spans="1:1" x14ac:dyDescent="0.2">
      <c r="A2643" s="1135" t="str">
        <f>CONCATENATE(Programme!C2644,Programme!D2644,Programme!E2644,Programme!F2644,Programme!G2644,Programme!H2644,Programme!I2644)</f>
        <v>&lt;codeEdi&gt;11407&lt;/codeEdi&gt;</v>
      </c>
    </row>
    <row r="2644" spans="1:1" x14ac:dyDescent="0.2">
      <c r="A2644" s="1135" t="str">
        <f>CONCATENATE(Programme!C2645,Programme!D2645,Programme!E2645,Programme!F2645,Programme!G2645,Programme!H2645,Programme!I2645)</f>
        <v>&lt;/cellule&gt;</v>
      </c>
    </row>
    <row r="2645" spans="1:1" x14ac:dyDescent="0.2">
      <c r="A2645" s="1135" t="str">
        <f>CONCATENATE(Programme!C2646,Programme!D2646,Programme!E2646,Programme!F2646,Programme!G2646,Programme!H2646,Programme!I2646)</f>
        <v>&lt;valeur&gt;0&lt;/valeur&gt;</v>
      </c>
    </row>
    <row r="2646" spans="1:1" x14ac:dyDescent="0.2">
      <c r="A2646" s="1135" t="str">
        <f>CONCATENATE(Programme!C2647,Programme!D2647,Programme!E2647,Programme!F2647,Programme!G2647,Programme!H2647,Programme!I2647)</f>
        <v>&lt;/ValeurCellule&gt;</v>
      </c>
    </row>
    <row r="2647" spans="1:1" x14ac:dyDescent="0.2">
      <c r="A2647" s="1135" t="str">
        <f>CONCATENATE(Programme!C2648,Programme!D2648,Programme!E2648,Programme!F2648,Programme!G2648,Programme!H2648,Programme!I2648)</f>
        <v>&lt;ValeurCellule&gt;</v>
      </c>
    </row>
    <row r="2648" spans="1:1" x14ac:dyDescent="0.2">
      <c r="A2648" s="1135" t="str">
        <f>CONCATENATE(Programme!C2649,Programme!D2649,Programme!E2649,Programme!F2649,Programme!G2649,Programme!H2649,Programme!I2649)</f>
        <v>&lt;cellule&gt;</v>
      </c>
    </row>
    <row r="2649" spans="1:1" x14ac:dyDescent="0.2">
      <c r="A2649" s="1135" t="str">
        <f>CONCATENATE(Programme!C2650,Programme!D2650,Programme!E2650,Programme!F2650,Programme!G2650,Programme!H2650,Programme!I2650)</f>
        <v>&lt;codeEdi&gt;11357&lt;/codeEdi&gt;</v>
      </c>
    </row>
    <row r="2650" spans="1:1" x14ac:dyDescent="0.2">
      <c r="A2650" s="1135" t="str">
        <f>CONCATENATE(Programme!C2651,Programme!D2651,Programme!E2651,Programme!F2651,Programme!G2651,Programme!H2651,Programme!I2651)</f>
        <v>&lt;/cellule&gt;</v>
      </c>
    </row>
    <row r="2651" spans="1:1" x14ac:dyDescent="0.2">
      <c r="A2651" s="1135" t="str">
        <f>CONCATENATE(Programme!C2652,Programme!D2652,Programme!E2652,Programme!F2652,Programme!G2652,Programme!H2652,Programme!I2652)</f>
        <v>&lt;valeur&gt;0&lt;/valeur&gt;</v>
      </c>
    </row>
    <row r="2652" spans="1:1" x14ac:dyDescent="0.2">
      <c r="A2652" s="1135" t="str">
        <f>CONCATENATE(Programme!C2653,Programme!D2653,Programme!E2653,Programme!F2653,Programme!G2653,Programme!H2653,Programme!I2653)</f>
        <v>&lt;/ValeurCellule&gt;</v>
      </c>
    </row>
    <row r="2653" spans="1:1" x14ac:dyDescent="0.2">
      <c r="A2653" s="1135" t="str">
        <f>CONCATENATE(Programme!C2654,Programme!D2654,Programme!E2654,Programme!F2654,Programme!G2654,Programme!H2654,Programme!I2654)</f>
        <v>&lt;ValeurCellule&gt;</v>
      </c>
    </row>
    <row r="2654" spans="1:1" x14ac:dyDescent="0.2">
      <c r="A2654" s="1135" t="str">
        <f>CONCATENATE(Programme!C2655,Programme!D2655,Programme!E2655,Programme!F2655,Programme!G2655,Programme!H2655,Programme!I2655)</f>
        <v>&lt;cellule&gt;</v>
      </c>
    </row>
    <row r="2655" spans="1:1" x14ac:dyDescent="0.2">
      <c r="A2655" s="1135" t="str">
        <f>CONCATENATE(Programme!C2656,Programme!D2656,Programme!E2656,Programme!F2656,Programme!G2656,Programme!H2656,Programme!I2656)</f>
        <v>&lt;codeEdi&gt;11362&lt;/codeEdi&gt;</v>
      </c>
    </row>
    <row r="2656" spans="1:1" x14ac:dyDescent="0.2">
      <c r="A2656" s="1135" t="str">
        <f>CONCATENATE(Programme!C2657,Programme!D2657,Programme!E2657,Programme!F2657,Programme!G2657,Programme!H2657,Programme!I2657)</f>
        <v>&lt;/cellule&gt;</v>
      </c>
    </row>
    <row r="2657" spans="1:1" x14ac:dyDescent="0.2">
      <c r="A2657" s="1135" t="str">
        <f>CONCATENATE(Programme!C2658,Programme!D2658,Programme!E2658,Programme!F2658,Programme!G2658,Programme!H2658,Programme!I2658)</f>
        <v>&lt;valeur&gt;0&lt;/valeur&gt;</v>
      </c>
    </row>
    <row r="2658" spans="1:1" x14ac:dyDescent="0.2">
      <c r="A2658" s="1135" t="str">
        <f>CONCATENATE(Programme!C2659,Programme!D2659,Programme!E2659,Programme!F2659,Programme!G2659,Programme!H2659,Programme!I2659)</f>
        <v>&lt;/ValeurCellule&gt;</v>
      </c>
    </row>
    <row r="2659" spans="1:1" x14ac:dyDescent="0.2">
      <c r="A2659" s="1135" t="str">
        <f>CONCATENATE(Programme!C2660,Programme!D2660,Programme!E2660,Programme!F2660,Programme!G2660,Programme!H2660,Programme!I2660)</f>
        <v>&lt;ValeurCellule&gt;</v>
      </c>
    </row>
    <row r="2660" spans="1:1" x14ac:dyDescent="0.2">
      <c r="A2660" s="1135" t="str">
        <f>CONCATENATE(Programme!C2661,Programme!D2661,Programme!E2661,Programme!F2661,Programme!G2661,Programme!H2661,Programme!I2661)</f>
        <v>&lt;cellule&gt;</v>
      </c>
    </row>
    <row r="2661" spans="1:1" x14ac:dyDescent="0.2">
      <c r="A2661" s="1135" t="str">
        <f>CONCATENATE(Programme!C2662,Programme!D2662,Programme!E2662,Programme!F2662,Programme!G2662,Programme!H2662,Programme!I2662)</f>
        <v>&lt;codeEdi&gt;11367&lt;/codeEdi&gt;</v>
      </c>
    </row>
    <row r="2662" spans="1:1" x14ac:dyDescent="0.2">
      <c r="A2662" s="1135" t="str">
        <f>CONCATENATE(Programme!C2663,Programme!D2663,Programme!E2663,Programme!F2663,Programme!G2663,Programme!H2663,Programme!I2663)</f>
        <v>&lt;/cellule&gt;</v>
      </c>
    </row>
    <row r="2663" spans="1:1" x14ac:dyDescent="0.2">
      <c r="A2663" s="1135" t="str">
        <f>CONCATENATE(Programme!C2664,Programme!D2664,Programme!E2664,Programme!F2664,Programme!G2664,Programme!H2664,Programme!I2664)</f>
        <v>&lt;valeur&gt;0&lt;/valeur&gt;</v>
      </c>
    </row>
    <row r="2664" spans="1:1" x14ac:dyDescent="0.2">
      <c r="A2664" s="1135" t="str">
        <f>CONCATENATE(Programme!C2665,Programme!D2665,Programme!E2665,Programme!F2665,Programme!G2665,Programme!H2665,Programme!I2665)</f>
        <v>&lt;/ValeurCellule&gt;</v>
      </c>
    </row>
    <row r="2665" spans="1:1" x14ac:dyDescent="0.2">
      <c r="A2665" s="1135" t="str">
        <f>CONCATENATE(Programme!C2666,Programme!D2666,Programme!E2666,Programme!F2666,Programme!G2666,Programme!H2666,Programme!I2666)</f>
        <v>&lt;ValeurCellule&gt;</v>
      </c>
    </row>
    <row r="2666" spans="1:1" x14ac:dyDescent="0.2">
      <c r="A2666" s="1135" t="str">
        <f>CONCATENATE(Programme!C2667,Programme!D2667,Programme!E2667,Programme!F2667,Programme!G2667,Programme!H2667,Programme!I2667)</f>
        <v>&lt;cellule&gt;</v>
      </c>
    </row>
    <row r="2667" spans="1:1" x14ac:dyDescent="0.2">
      <c r="A2667" s="1135" t="str">
        <f>CONCATENATE(Programme!C2668,Programme!D2668,Programme!E2668,Programme!F2668,Programme!G2668,Programme!H2668,Programme!I2668)</f>
        <v>&lt;codeEdi&gt;11372&lt;/codeEdi&gt;</v>
      </c>
    </row>
    <row r="2668" spans="1:1" x14ac:dyDescent="0.2">
      <c r="A2668" s="1135" t="str">
        <f>CONCATENATE(Programme!C2669,Programme!D2669,Programme!E2669,Programme!F2669,Programme!G2669,Programme!H2669,Programme!I2669)</f>
        <v>&lt;/cellule&gt;</v>
      </c>
    </row>
    <row r="2669" spans="1:1" x14ac:dyDescent="0.2">
      <c r="A2669" s="1135" t="str">
        <f>CONCATENATE(Programme!C2670,Programme!D2670,Programme!E2670,Programme!F2670,Programme!G2670,Programme!H2670,Programme!I2670)</f>
        <v>&lt;valeur&gt;0&lt;/valeur&gt;</v>
      </c>
    </row>
    <row r="2670" spans="1:1" x14ac:dyDescent="0.2">
      <c r="A2670" s="1135" t="str">
        <f>CONCATENATE(Programme!C2671,Programme!D2671,Programme!E2671,Programme!F2671,Programme!G2671,Programme!H2671,Programme!I2671)</f>
        <v>&lt;/ValeurCellule&gt;</v>
      </c>
    </row>
    <row r="2671" spans="1:1" x14ac:dyDescent="0.2">
      <c r="A2671" s="1135" t="str">
        <f>CONCATENATE(Programme!C2672,Programme!D2672,Programme!E2672,Programme!F2672,Programme!G2672,Programme!H2672,Programme!I2672)</f>
        <v>&lt;ValeurCellule&gt;</v>
      </c>
    </row>
    <row r="2672" spans="1:1" x14ac:dyDescent="0.2">
      <c r="A2672" s="1135" t="str">
        <f>CONCATENATE(Programme!C2673,Programme!D2673,Programme!E2673,Programme!F2673,Programme!G2673,Programme!H2673,Programme!I2673)</f>
        <v>&lt;cellule&gt;</v>
      </c>
    </row>
    <row r="2673" spans="1:1" x14ac:dyDescent="0.2">
      <c r="A2673" s="1135" t="str">
        <f>CONCATENATE(Programme!C2674,Programme!D2674,Programme!E2674,Programme!F2674,Programme!G2674,Programme!H2674,Programme!I2674)</f>
        <v>&lt;codeEdi&gt;11377&lt;/codeEdi&gt;</v>
      </c>
    </row>
    <row r="2674" spans="1:1" x14ac:dyDescent="0.2">
      <c r="A2674" s="1135" t="str">
        <f>CONCATENATE(Programme!C2675,Programme!D2675,Programme!E2675,Programme!F2675,Programme!G2675,Programme!H2675,Programme!I2675)</f>
        <v>&lt;/cellule&gt;</v>
      </c>
    </row>
    <row r="2675" spans="1:1" x14ac:dyDescent="0.2">
      <c r="A2675" s="1135" t="str">
        <f>CONCATENATE(Programme!C2676,Programme!D2676,Programme!E2676,Programme!F2676,Programme!G2676,Programme!H2676,Programme!I2676)</f>
        <v>&lt;valeur&gt;0&lt;/valeur&gt;</v>
      </c>
    </row>
    <row r="2676" spans="1:1" x14ac:dyDescent="0.2">
      <c r="A2676" s="1135" t="str">
        <f>CONCATENATE(Programme!C2677,Programme!D2677,Programme!E2677,Programme!F2677,Programme!G2677,Programme!H2677,Programme!I2677)</f>
        <v>&lt;/ValeurCellule&gt;</v>
      </c>
    </row>
    <row r="2677" spans="1:1" x14ac:dyDescent="0.2">
      <c r="A2677" s="1135" t="str">
        <f>CONCATENATE(Programme!C2678,Programme!D2678,Programme!E2678,Programme!F2678,Programme!G2678,Programme!H2678,Programme!I2678)</f>
        <v>&lt;ValeurCellule&gt;</v>
      </c>
    </row>
    <row r="2678" spans="1:1" x14ac:dyDescent="0.2">
      <c r="A2678" s="1135" t="str">
        <f>CONCATENATE(Programme!C2679,Programme!D2679,Programme!E2679,Programme!F2679,Programme!G2679,Programme!H2679,Programme!I2679)</f>
        <v>&lt;cellule&gt;</v>
      </c>
    </row>
    <row r="2679" spans="1:1" x14ac:dyDescent="0.2">
      <c r="A2679" s="1135" t="str">
        <f>CONCATENATE(Programme!C2680,Programme!D2680,Programme!E2680,Programme!F2680,Programme!G2680,Programme!H2680,Programme!I2680)</f>
        <v>&lt;codeEdi&gt;11382&lt;/codeEdi&gt;</v>
      </c>
    </row>
    <row r="2680" spans="1:1" x14ac:dyDescent="0.2">
      <c r="A2680" s="1135" t="str">
        <f>CONCATENATE(Programme!C2681,Programme!D2681,Programme!E2681,Programme!F2681,Programme!G2681,Programme!H2681,Programme!I2681)</f>
        <v>&lt;/cellule&gt;</v>
      </c>
    </row>
    <row r="2681" spans="1:1" x14ac:dyDescent="0.2">
      <c r="A2681" s="1135" t="str">
        <f>CONCATENATE(Programme!C2682,Programme!D2682,Programme!E2682,Programme!F2682,Programme!G2682,Programme!H2682,Programme!I2682)</f>
        <v>&lt;valeur&gt;0&lt;/valeur&gt;</v>
      </c>
    </row>
    <row r="2682" spans="1:1" x14ac:dyDescent="0.2">
      <c r="A2682" s="1135" t="str">
        <f>CONCATENATE(Programme!C2683,Programme!D2683,Programme!E2683,Programme!F2683,Programme!G2683,Programme!H2683,Programme!I2683)</f>
        <v>&lt;/ValeurCellule&gt;</v>
      </c>
    </row>
    <row r="2683" spans="1:1" x14ac:dyDescent="0.2">
      <c r="A2683" s="1135" t="str">
        <f>CONCATENATE(Programme!C2684,Programme!D2684,Programme!E2684,Programme!F2684,Programme!G2684,Programme!H2684,Programme!I2684)</f>
        <v>&lt;ValeurCellule&gt;</v>
      </c>
    </row>
    <row r="2684" spans="1:1" x14ac:dyDescent="0.2">
      <c r="A2684" s="1135" t="str">
        <f>CONCATENATE(Programme!C2685,Programme!D2685,Programme!E2685,Programme!F2685,Programme!G2685,Programme!H2685,Programme!I2685)</f>
        <v>&lt;cellule&gt;</v>
      </c>
    </row>
    <row r="2685" spans="1:1" x14ac:dyDescent="0.2">
      <c r="A2685" s="1135" t="str">
        <f>CONCATENATE(Programme!C2686,Programme!D2686,Programme!E2686,Programme!F2686,Programme!G2686,Programme!H2686,Programme!I2686)</f>
        <v>&lt;codeEdi&gt;11387&lt;/codeEdi&gt;</v>
      </c>
    </row>
    <row r="2686" spans="1:1" x14ac:dyDescent="0.2">
      <c r="A2686" s="1135" t="str">
        <f>CONCATENATE(Programme!C2687,Programme!D2687,Programme!E2687,Programme!F2687,Programme!G2687,Programme!H2687,Programme!I2687)</f>
        <v>&lt;/cellule&gt;</v>
      </c>
    </row>
    <row r="2687" spans="1:1" x14ac:dyDescent="0.2">
      <c r="A2687" s="1135" t="str">
        <f>CONCATENATE(Programme!C2688,Programme!D2688,Programme!E2688,Programme!F2688,Programme!G2688,Programme!H2688,Programme!I2688)</f>
        <v>&lt;valeur&gt;0&lt;/valeur&gt;</v>
      </c>
    </row>
    <row r="2688" spans="1:1" x14ac:dyDescent="0.2">
      <c r="A2688" s="1135" t="str">
        <f>CONCATENATE(Programme!C2689,Programme!D2689,Programme!E2689,Programme!F2689,Programme!G2689,Programme!H2689,Programme!I2689)</f>
        <v>&lt;/ValeurCellule&gt;</v>
      </c>
    </row>
    <row r="2689" spans="1:1" x14ac:dyDescent="0.2">
      <c r="A2689" s="1135" t="str">
        <f>CONCATENATE(Programme!C2690,Programme!D2690,Programme!E2690,Programme!F2690,Programme!G2690,Programme!H2690,Programme!I2690)</f>
        <v>&lt;ValeurCellule&gt;</v>
      </c>
    </row>
    <row r="2690" spans="1:1" x14ac:dyDescent="0.2">
      <c r="A2690" s="1135" t="str">
        <f>CONCATENATE(Programme!C2691,Programme!D2691,Programme!E2691,Programme!F2691,Programme!G2691,Programme!H2691,Programme!I2691)</f>
        <v>&lt;cellule&gt;</v>
      </c>
    </row>
    <row r="2691" spans="1:1" x14ac:dyDescent="0.2">
      <c r="A2691" s="1135" t="str">
        <f>CONCATENATE(Programme!C2692,Programme!D2692,Programme!E2692,Programme!F2692,Programme!G2692,Programme!H2692,Programme!I2692)</f>
        <v>&lt;codeEdi&gt;11343&lt;/codeEdi&gt;</v>
      </c>
    </row>
    <row r="2692" spans="1:1" x14ac:dyDescent="0.2">
      <c r="A2692" s="1135" t="str">
        <f>CONCATENATE(Programme!C2693,Programme!D2693,Programme!E2693,Programme!F2693,Programme!G2693,Programme!H2693,Programme!I2693)</f>
        <v>&lt;/cellule&gt;</v>
      </c>
    </row>
    <row r="2693" spans="1:1" x14ac:dyDescent="0.2">
      <c r="A2693" s="1135" t="str">
        <f>CONCATENATE(Programme!C2694,Programme!D2694,Programme!E2694,Programme!F2694,Programme!G2694,Programme!H2694,Programme!I2694)</f>
        <v>&lt;valeur&gt;0&lt;/valeur&gt;</v>
      </c>
    </row>
    <row r="2694" spans="1:1" x14ac:dyDescent="0.2">
      <c r="A2694" s="1135" t="str">
        <f>CONCATENATE(Programme!C2695,Programme!D2695,Programme!E2695,Programme!F2695,Programme!G2695,Programme!H2695,Programme!I2695)</f>
        <v>&lt;/ValeurCellule&gt;</v>
      </c>
    </row>
    <row r="2695" spans="1:1" x14ac:dyDescent="0.2">
      <c r="A2695" s="1135" t="str">
        <f>CONCATENATE(Programme!C2696,Programme!D2696,Programme!E2696,Programme!F2696,Programme!G2696,Programme!H2696,Programme!I2696)</f>
        <v>&lt;ValeurCellule&gt;</v>
      </c>
    </row>
    <row r="2696" spans="1:1" x14ac:dyDescent="0.2">
      <c r="A2696" s="1135" t="str">
        <f>CONCATENATE(Programme!C2697,Programme!D2697,Programme!E2697,Programme!F2697,Programme!G2697,Programme!H2697,Programme!I2697)</f>
        <v>&lt;cellule&gt;</v>
      </c>
    </row>
    <row r="2697" spans="1:1" x14ac:dyDescent="0.2">
      <c r="A2697" s="1135" t="str">
        <f>CONCATENATE(Programme!C2698,Programme!D2698,Programme!E2698,Programme!F2698,Programme!G2698,Programme!H2698,Programme!I2698)</f>
        <v>&lt;codeEdi&gt;11348&lt;/codeEdi&gt;</v>
      </c>
    </row>
    <row r="2698" spans="1:1" x14ac:dyDescent="0.2">
      <c r="A2698" s="1135" t="str">
        <f>CONCATENATE(Programme!C2699,Programme!D2699,Programme!E2699,Programme!F2699,Programme!G2699,Programme!H2699,Programme!I2699)</f>
        <v>&lt;/cellule&gt;</v>
      </c>
    </row>
    <row r="2699" spans="1:1" x14ac:dyDescent="0.2">
      <c r="A2699" s="1135" t="str">
        <f>CONCATENATE(Programme!C2700,Programme!D2700,Programme!E2700,Programme!F2700,Programme!G2700,Programme!H2700,Programme!I2700)</f>
        <v>&lt;valeur&gt;0&lt;/valeur&gt;</v>
      </c>
    </row>
    <row r="2700" spans="1:1" x14ac:dyDescent="0.2">
      <c r="A2700" s="1135" t="str">
        <f>CONCATENATE(Programme!C2701,Programme!D2701,Programme!E2701,Programme!F2701,Programme!G2701,Programme!H2701,Programme!I2701)</f>
        <v>&lt;/ValeurCellule&gt;</v>
      </c>
    </row>
    <row r="2701" spans="1:1" x14ac:dyDescent="0.2">
      <c r="A2701" s="1135" t="str">
        <f>CONCATENATE(Programme!C2702,Programme!D2702,Programme!E2702,Programme!F2702,Programme!G2702,Programme!H2702,Programme!I2702)</f>
        <v>&lt;ValeurCellule&gt;</v>
      </c>
    </row>
    <row r="2702" spans="1:1" x14ac:dyDescent="0.2">
      <c r="A2702" s="1135" t="str">
        <f>CONCATENATE(Programme!C2703,Programme!D2703,Programme!E2703,Programme!F2703,Programme!G2703,Programme!H2703,Programme!I2703)</f>
        <v>&lt;cellule&gt;</v>
      </c>
    </row>
    <row r="2703" spans="1:1" x14ac:dyDescent="0.2">
      <c r="A2703" s="1135" t="str">
        <f>CONCATENATE(Programme!C2704,Programme!D2704,Programme!E2704,Programme!F2704,Programme!G2704,Programme!H2704,Programme!I2704)</f>
        <v>&lt;codeEdi&gt;11353&lt;/codeEdi&gt;</v>
      </c>
    </row>
    <row r="2704" spans="1:1" x14ac:dyDescent="0.2">
      <c r="A2704" s="1135" t="str">
        <f>CONCATENATE(Programme!C2705,Programme!D2705,Programme!E2705,Programme!F2705,Programme!G2705,Programme!H2705,Programme!I2705)</f>
        <v>&lt;/cellule&gt;</v>
      </c>
    </row>
    <row r="2705" spans="1:1" x14ac:dyDescent="0.2">
      <c r="A2705" s="1135" t="str">
        <f>CONCATENATE(Programme!C2706,Programme!D2706,Programme!E2706,Programme!F2706,Programme!G2706,Programme!H2706,Programme!I2706)</f>
        <v>&lt;valeur&gt;0&lt;/valeur&gt;</v>
      </c>
    </row>
    <row r="2706" spans="1:1" x14ac:dyDescent="0.2">
      <c r="A2706" s="1135" t="str">
        <f>CONCATENATE(Programme!C2707,Programme!D2707,Programme!E2707,Programme!F2707,Programme!G2707,Programme!H2707,Programme!I2707)</f>
        <v>&lt;/ValeurCellule&gt;</v>
      </c>
    </row>
    <row r="2707" spans="1:1" x14ac:dyDescent="0.2">
      <c r="A2707" s="1135" t="str">
        <f>CONCATENATE(Programme!C2708,Programme!D2708,Programme!E2708,Programme!F2708,Programme!G2708,Programme!H2708,Programme!I2708)</f>
        <v>&lt;ValeurCellule&gt;</v>
      </c>
    </row>
    <row r="2708" spans="1:1" x14ac:dyDescent="0.2">
      <c r="A2708" s="1135" t="str">
        <f>CONCATENATE(Programme!C2709,Programme!D2709,Programme!E2709,Programme!F2709,Programme!G2709,Programme!H2709,Programme!I2709)</f>
        <v>&lt;cellule&gt;</v>
      </c>
    </row>
    <row r="2709" spans="1:1" x14ac:dyDescent="0.2">
      <c r="A2709" s="1135" t="str">
        <f>CONCATENATE(Programme!C2710,Programme!D2710,Programme!E2710,Programme!F2710,Programme!G2710,Programme!H2710,Programme!I2710)</f>
        <v>&lt;codeEdi&gt;11393&lt;/codeEdi&gt;</v>
      </c>
    </row>
    <row r="2710" spans="1:1" x14ac:dyDescent="0.2">
      <c r="A2710" s="1135" t="str">
        <f>CONCATENATE(Programme!C2711,Programme!D2711,Programme!E2711,Programme!F2711,Programme!G2711,Programme!H2711,Programme!I2711)</f>
        <v>&lt;/cellule&gt;</v>
      </c>
    </row>
    <row r="2711" spans="1:1" x14ac:dyDescent="0.2">
      <c r="A2711" s="1135" t="str">
        <f>CONCATENATE(Programme!C2712,Programme!D2712,Programme!E2712,Programme!F2712,Programme!G2712,Programme!H2712,Programme!I2712)</f>
        <v>&lt;valeur&gt;0&lt;/valeur&gt;</v>
      </c>
    </row>
    <row r="2712" spans="1:1" x14ac:dyDescent="0.2">
      <c r="A2712" s="1135" t="str">
        <f>CONCATENATE(Programme!C2713,Programme!D2713,Programme!E2713,Programme!F2713,Programme!G2713,Programme!H2713,Programme!I2713)</f>
        <v>&lt;/ValeurCellule&gt;</v>
      </c>
    </row>
    <row r="2713" spans="1:1" x14ac:dyDescent="0.2">
      <c r="A2713" s="1135" t="str">
        <f>CONCATENATE(Programme!C2714,Programme!D2714,Programme!E2714,Programme!F2714,Programme!G2714,Programme!H2714,Programme!I2714)</f>
        <v>&lt;ValeurCellule&gt;</v>
      </c>
    </row>
    <row r="2714" spans="1:1" x14ac:dyDescent="0.2">
      <c r="A2714" s="1135" t="str">
        <f>CONCATENATE(Programme!C2715,Programme!D2715,Programme!E2715,Programme!F2715,Programme!G2715,Programme!H2715,Programme!I2715)</f>
        <v>&lt;cellule&gt;</v>
      </c>
    </row>
    <row r="2715" spans="1:1" x14ac:dyDescent="0.2">
      <c r="A2715" s="1135" t="str">
        <f>CONCATENATE(Programme!C2716,Programme!D2716,Programme!E2716,Programme!F2716,Programme!G2716,Programme!H2716,Programme!I2716)</f>
        <v>&lt;codeEdi&gt;11398&lt;/codeEdi&gt;</v>
      </c>
    </row>
    <row r="2716" spans="1:1" x14ac:dyDescent="0.2">
      <c r="A2716" s="1135" t="str">
        <f>CONCATENATE(Programme!C2717,Programme!D2717,Programme!E2717,Programme!F2717,Programme!G2717,Programme!H2717,Programme!I2717)</f>
        <v>&lt;/cellule&gt;</v>
      </c>
    </row>
    <row r="2717" spans="1:1" x14ac:dyDescent="0.2">
      <c r="A2717" s="1135" t="str">
        <f>CONCATENATE(Programme!C2718,Programme!D2718,Programme!E2718,Programme!F2718,Programme!G2718,Programme!H2718,Programme!I2718)</f>
        <v>&lt;valeur&gt;0&lt;/valeur&gt;</v>
      </c>
    </row>
    <row r="2718" spans="1:1" x14ac:dyDescent="0.2">
      <c r="A2718" s="1135" t="str">
        <f>CONCATENATE(Programme!C2719,Programme!D2719,Programme!E2719,Programme!F2719,Programme!G2719,Programme!H2719,Programme!I2719)</f>
        <v>&lt;/ValeurCellule&gt;</v>
      </c>
    </row>
    <row r="2719" spans="1:1" x14ac:dyDescent="0.2">
      <c r="A2719" s="1135" t="str">
        <f>CONCATENATE(Programme!C2720,Programme!D2720,Programme!E2720,Programme!F2720,Programme!G2720,Programme!H2720,Programme!I2720)</f>
        <v>&lt;ValeurCellule&gt;</v>
      </c>
    </row>
    <row r="2720" spans="1:1" x14ac:dyDescent="0.2">
      <c r="A2720" s="1135" t="str">
        <f>CONCATENATE(Programme!C2721,Programme!D2721,Programme!E2721,Programme!F2721,Programme!G2721,Programme!H2721,Programme!I2721)</f>
        <v>&lt;cellule&gt;</v>
      </c>
    </row>
    <row r="2721" spans="1:1" x14ac:dyDescent="0.2">
      <c r="A2721" s="1135" t="str">
        <f>CONCATENATE(Programme!C2722,Programme!D2722,Programme!E2722,Programme!F2722,Programme!G2722,Programme!H2722,Programme!I2722)</f>
        <v>&lt;codeEdi&gt;11403&lt;/codeEdi&gt;</v>
      </c>
    </row>
    <row r="2722" spans="1:1" x14ac:dyDescent="0.2">
      <c r="A2722" s="1135" t="str">
        <f>CONCATENATE(Programme!C2723,Programme!D2723,Programme!E2723,Programme!F2723,Programme!G2723,Programme!H2723,Programme!I2723)</f>
        <v>&lt;/cellule&gt;</v>
      </c>
    </row>
    <row r="2723" spans="1:1" x14ac:dyDescent="0.2">
      <c r="A2723" s="1135" t="str">
        <f>CONCATENATE(Programme!C2724,Programme!D2724,Programme!E2724,Programme!F2724,Programme!G2724,Programme!H2724,Programme!I2724)</f>
        <v>&lt;valeur&gt;0&lt;/valeur&gt;</v>
      </c>
    </row>
    <row r="2724" spans="1:1" x14ac:dyDescent="0.2">
      <c r="A2724" s="1135" t="str">
        <f>CONCATENATE(Programme!C2725,Programme!D2725,Programme!E2725,Programme!F2725,Programme!G2725,Programme!H2725,Programme!I2725)</f>
        <v>&lt;/ValeurCellule&gt;</v>
      </c>
    </row>
    <row r="2725" spans="1:1" x14ac:dyDescent="0.2">
      <c r="A2725" s="1135" t="str">
        <f>CONCATENATE(Programme!C2726,Programme!D2726,Programme!E2726,Programme!F2726,Programme!G2726,Programme!H2726,Programme!I2726)</f>
        <v>&lt;ValeurCellule&gt;</v>
      </c>
    </row>
    <row r="2726" spans="1:1" x14ac:dyDescent="0.2">
      <c r="A2726" s="1135" t="str">
        <f>CONCATENATE(Programme!C2727,Programme!D2727,Programme!E2727,Programme!F2727,Programme!G2727,Programme!H2727,Programme!I2727)</f>
        <v>&lt;cellule&gt;</v>
      </c>
    </row>
    <row r="2727" spans="1:1" x14ac:dyDescent="0.2">
      <c r="A2727" s="1135" t="str">
        <f>CONCATENATE(Programme!C2728,Programme!D2728,Programme!E2728,Programme!F2728,Programme!G2728,Programme!H2728,Programme!I2728)</f>
        <v>&lt;codeEdi&gt;11408&lt;/codeEdi&gt;</v>
      </c>
    </row>
    <row r="2728" spans="1:1" x14ac:dyDescent="0.2">
      <c r="A2728" s="1135" t="str">
        <f>CONCATENATE(Programme!C2729,Programme!D2729,Programme!E2729,Programme!F2729,Programme!G2729,Programme!H2729,Programme!I2729)</f>
        <v>&lt;/cellule&gt;</v>
      </c>
    </row>
    <row r="2729" spans="1:1" x14ac:dyDescent="0.2">
      <c r="A2729" s="1135" t="str">
        <f>CONCATENATE(Programme!C2730,Programme!D2730,Programme!E2730,Programme!F2730,Programme!G2730,Programme!H2730,Programme!I2730)</f>
        <v>&lt;valeur&gt;0&lt;/valeur&gt;</v>
      </c>
    </row>
    <row r="2730" spans="1:1" x14ac:dyDescent="0.2">
      <c r="A2730" s="1135" t="str">
        <f>CONCATENATE(Programme!C2731,Programme!D2731,Programme!E2731,Programme!F2731,Programme!G2731,Programme!H2731,Programme!I2731)</f>
        <v>&lt;/ValeurCellule&gt;</v>
      </c>
    </row>
    <row r="2731" spans="1:1" x14ac:dyDescent="0.2">
      <c r="A2731" s="1135" t="str">
        <f>CONCATENATE(Programme!C2732,Programme!D2732,Programme!E2732,Programme!F2732,Programme!G2732,Programme!H2732,Programme!I2732)</f>
        <v>&lt;ValeurCellule&gt;</v>
      </c>
    </row>
    <row r="2732" spans="1:1" x14ac:dyDescent="0.2">
      <c r="A2732" s="1135" t="str">
        <f>CONCATENATE(Programme!C2733,Programme!D2733,Programme!E2733,Programme!F2733,Programme!G2733,Programme!H2733,Programme!I2733)</f>
        <v>&lt;cellule&gt;</v>
      </c>
    </row>
    <row r="2733" spans="1:1" x14ac:dyDescent="0.2">
      <c r="A2733" s="1135" t="str">
        <f>CONCATENATE(Programme!C2734,Programme!D2734,Programme!E2734,Programme!F2734,Programme!G2734,Programme!H2734,Programme!I2734)</f>
        <v>&lt;codeEdi&gt;11358&lt;/codeEdi&gt;</v>
      </c>
    </row>
    <row r="2734" spans="1:1" x14ac:dyDescent="0.2">
      <c r="A2734" s="1135" t="str">
        <f>CONCATENATE(Programme!C2735,Programme!D2735,Programme!E2735,Programme!F2735,Programme!G2735,Programme!H2735,Programme!I2735)</f>
        <v>&lt;/cellule&gt;</v>
      </c>
    </row>
    <row r="2735" spans="1:1" x14ac:dyDescent="0.2">
      <c r="A2735" s="1135" t="str">
        <f>CONCATENATE(Programme!C2736,Programme!D2736,Programme!E2736,Programme!F2736,Programme!G2736,Programme!H2736,Programme!I2736)</f>
        <v>&lt;valeur&gt;0&lt;/valeur&gt;</v>
      </c>
    </row>
    <row r="2736" spans="1:1" x14ac:dyDescent="0.2">
      <c r="A2736" s="1135" t="str">
        <f>CONCATENATE(Programme!C2737,Programme!D2737,Programme!E2737,Programme!F2737,Programme!G2737,Programme!H2737,Programme!I2737)</f>
        <v>&lt;/ValeurCellule&gt;</v>
      </c>
    </row>
    <row r="2737" spans="1:1" x14ac:dyDescent="0.2">
      <c r="A2737" s="1135" t="str">
        <f>CONCATENATE(Programme!C2738,Programme!D2738,Programme!E2738,Programme!F2738,Programme!G2738,Programme!H2738,Programme!I2738)</f>
        <v>&lt;ValeurCellule&gt;</v>
      </c>
    </row>
    <row r="2738" spans="1:1" x14ac:dyDescent="0.2">
      <c r="A2738" s="1135" t="str">
        <f>CONCATENATE(Programme!C2739,Programme!D2739,Programme!E2739,Programme!F2739,Programme!G2739,Programme!H2739,Programme!I2739)</f>
        <v>&lt;cellule&gt;</v>
      </c>
    </row>
    <row r="2739" spans="1:1" x14ac:dyDescent="0.2">
      <c r="A2739" s="1135" t="str">
        <f>CONCATENATE(Programme!C2740,Programme!D2740,Programme!E2740,Programme!F2740,Programme!G2740,Programme!H2740,Programme!I2740)</f>
        <v>&lt;codeEdi&gt;11363&lt;/codeEdi&gt;</v>
      </c>
    </row>
    <row r="2740" spans="1:1" x14ac:dyDescent="0.2">
      <c r="A2740" s="1135" t="str">
        <f>CONCATENATE(Programme!C2741,Programme!D2741,Programme!E2741,Programme!F2741,Programme!G2741,Programme!H2741,Programme!I2741)</f>
        <v>&lt;/cellule&gt;</v>
      </c>
    </row>
    <row r="2741" spans="1:1" x14ac:dyDescent="0.2">
      <c r="A2741" s="1135" t="str">
        <f>CONCATENATE(Programme!C2742,Programme!D2742,Programme!E2742,Programme!F2742,Programme!G2742,Programme!H2742,Programme!I2742)</f>
        <v>&lt;valeur&gt;0&lt;/valeur&gt;</v>
      </c>
    </row>
    <row r="2742" spans="1:1" x14ac:dyDescent="0.2">
      <c r="A2742" s="1135" t="str">
        <f>CONCATENATE(Programme!C2743,Programme!D2743,Programme!E2743,Programme!F2743,Programme!G2743,Programme!H2743,Programme!I2743)</f>
        <v>&lt;/ValeurCellule&gt;</v>
      </c>
    </row>
    <row r="2743" spans="1:1" x14ac:dyDescent="0.2">
      <c r="A2743" s="1135" t="str">
        <f>CONCATENATE(Programme!C2744,Programme!D2744,Programme!E2744,Programme!F2744,Programme!G2744,Programme!H2744,Programme!I2744)</f>
        <v>&lt;ValeurCellule&gt;</v>
      </c>
    </row>
    <row r="2744" spans="1:1" x14ac:dyDescent="0.2">
      <c r="A2744" s="1135" t="str">
        <f>CONCATENATE(Programme!C2745,Programme!D2745,Programme!E2745,Programme!F2745,Programme!G2745,Programme!H2745,Programme!I2745)</f>
        <v>&lt;cellule&gt;</v>
      </c>
    </row>
    <row r="2745" spans="1:1" x14ac:dyDescent="0.2">
      <c r="A2745" s="1135" t="str">
        <f>CONCATENATE(Programme!C2746,Programme!D2746,Programme!E2746,Programme!F2746,Programme!G2746,Programme!H2746,Programme!I2746)</f>
        <v>&lt;codeEdi&gt;11368&lt;/codeEdi&gt;</v>
      </c>
    </row>
    <row r="2746" spans="1:1" x14ac:dyDescent="0.2">
      <c r="A2746" s="1135" t="str">
        <f>CONCATENATE(Programme!C2747,Programme!D2747,Programme!E2747,Programme!F2747,Programme!G2747,Programme!H2747,Programme!I2747)</f>
        <v>&lt;/cellule&gt;</v>
      </c>
    </row>
    <row r="2747" spans="1:1" x14ac:dyDescent="0.2">
      <c r="A2747" s="1135" t="str">
        <f>CONCATENATE(Programme!C2748,Programme!D2748,Programme!E2748,Programme!F2748,Programme!G2748,Programme!H2748,Programme!I2748)</f>
        <v>&lt;valeur&gt;0&lt;/valeur&gt;</v>
      </c>
    </row>
    <row r="2748" spans="1:1" x14ac:dyDescent="0.2">
      <c r="A2748" s="1135" t="str">
        <f>CONCATENATE(Programme!C2749,Programme!D2749,Programme!E2749,Programme!F2749,Programme!G2749,Programme!H2749,Programme!I2749)</f>
        <v>&lt;/ValeurCellule&gt;</v>
      </c>
    </row>
    <row r="2749" spans="1:1" x14ac:dyDescent="0.2">
      <c r="A2749" s="1135" t="str">
        <f>CONCATENATE(Programme!C2750,Programme!D2750,Programme!E2750,Programme!F2750,Programme!G2750,Programme!H2750,Programme!I2750)</f>
        <v>&lt;ValeurCellule&gt;</v>
      </c>
    </row>
    <row r="2750" spans="1:1" x14ac:dyDescent="0.2">
      <c r="A2750" s="1135" t="str">
        <f>CONCATENATE(Programme!C2751,Programme!D2751,Programme!E2751,Programme!F2751,Programme!G2751,Programme!H2751,Programme!I2751)</f>
        <v>&lt;cellule&gt;</v>
      </c>
    </row>
    <row r="2751" spans="1:1" x14ac:dyDescent="0.2">
      <c r="A2751" s="1135" t="str">
        <f>CONCATENATE(Programme!C2752,Programme!D2752,Programme!E2752,Programme!F2752,Programme!G2752,Programme!H2752,Programme!I2752)</f>
        <v>&lt;codeEdi&gt;11373&lt;/codeEdi&gt;</v>
      </c>
    </row>
    <row r="2752" spans="1:1" x14ac:dyDescent="0.2">
      <c r="A2752" s="1135" t="str">
        <f>CONCATENATE(Programme!C2753,Programme!D2753,Programme!E2753,Programme!F2753,Programme!G2753,Programme!H2753,Programme!I2753)</f>
        <v>&lt;/cellule&gt;</v>
      </c>
    </row>
    <row r="2753" spans="1:1" x14ac:dyDescent="0.2">
      <c r="A2753" s="1135" t="str">
        <f>CONCATENATE(Programme!C2754,Programme!D2754,Programme!E2754,Programme!F2754,Programme!G2754,Programme!H2754,Programme!I2754)</f>
        <v>&lt;valeur&gt;0&lt;/valeur&gt;</v>
      </c>
    </row>
    <row r="2754" spans="1:1" x14ac:dyDescent="0.2">
      <c r="A2754" s="1135" t="str">
        <f>CONCATENATE(Programme!C2755,Programme!D2755,Programme!E2755,Programme!F2755,Programme!G2755,Programme!H2755,Programme!I2755)</f>
        <v>&lt;/ValeurCellule&gt;</v>
      </c>
    </row>
    <row r="2755" spans="1:1" x14ac:dyDescent="0.2">
      <c r="A2755" s="1135" t="str">
        <f>CONCATENATE(Programme!C2756,Programme!D2756,Programme!E2756,Programme!F2756,Programme!G2756,Programme!H2756,Programme!I2756)</f>
        <v>&lt;ValeurCellule&gt;</v>
      </c>
    </row>
    <row r="2756" spans="1:1" x14ac:dyDescent="0.2">
      <c r="A2756" s="1135" t="str">
        <f>CONCATENATE(Programme!C2757,Programme!D2757,Programme!E2757,Programme!F2757,Programme!G2757,Programme!H2757,Programme!I2757)</f>
        <v>&lt;cellule&gt;</v>
      </c>
    </row>
    <row r="2757" spans="1:1" x14ac:dyDescent="0.2">
      <c r="A2757" s="1135" t="str">
        <f>CONCATENATE(Programme!C2758,Programme!D2758,Programme!E2758,Programme!F2758,Programme!G2758,Programme!H2758,Programme!I2758)</f>
        <v>&lt;codeEdi&gt;11378&lt;/codeEdi&gt;</v>
      </c>
    </row>
    <row r="2758" spans="1:1" x14ac:dyDescent="0.2">
      <c r="A2758" s="1135" t="str">
        <f>CONCATENATE(Programme!C2759,Programme!D2759,Programme!E2759,Programme!F2759,Programme!G2759,Programme!H2759,Programme!I2759)</f>
        <v>&lt;/cellule&gt;</v>
      </c>
    </row>
    <row r="2759" spans="1:1" x14ac:dyDescent="0.2">
      <c r="A2759" s="1135" t="str">
        <f>CONCATENATE(Programme!C2760,Programme!D2760,Programme!E2760,Programme!F2760,Programme!G2760,Programme!H2760,Programme!I2760)</f>
        <v>&lt;valeur&gt;0&lt;/valeur&gt;</v>
      </c>
    </row>
    <row r="2760" spans="1:1" x14ac:dyDescent="0.2">
      <c r="A2760" s="1135" t="str">
        <f>CONCATENATE(Programme!C2761,Programme!D2761,Programme!E2761,Programme!F2761,Programme!G2761,Programme!H2761,Programme!I2761)</f>
        <v>&lt;/ValeurCellule&gt;</v>
      </c>
    </row>
    <row r="2761" spans="1:1" x14ac:dyDescent="0.2">
      <c r="A2761" s="1135" t="str">
        <f>CONCATENATE(Programme!C2762,Programme!D2762,Programme!E2762,Programme!F2762,Programme!G2762,Programme!H2762,Programme!I2762)</f>
        <v>&lt;ValeurCellule&gt;</v>
      </c>
    </row>
    <row r="2762" spans="1:1" x14ac:dyDescent="0.2">
      <c r="A2762" s="1135" t="str">
        <f>CONCATENATE(Programme!C2763,Programme!D2763,Programme!E2763,Programme!F2763,Programme!G2763,Programme!H2763,Programme!I2763)</f>
        <v>&lt;cellule&gt;</v>
      </c>
    </row>
    <row r="2763" spans="1:1" x14ac:dyDescent="0.2">
      <c r="A2763" s="1135" t="str">
        <f>CONCATENATE(Programme!C2764,Programme!D2764,Programme!E2764,Programme!F2764,Programme!G2764,Programme!H2764,Programme!I2764)</f>
        <v>&lt;codeEdi&gt;11383&lt;/codeEdi&gt;</v>
      </c>
    </row>
    <row r="2764" spans="1:1" x14ac:dyDescent="0.2">
      <c r="A2764" s="1135" t="str">
        <f>CONCATENATE(Programme!C2765,Programme!D2765,Programme!E2765,Programme!F2765,Programme!G2765,Programme!H2765,Programme!I2765)</f>
        <v>&lt;/cellule&gt;</v>
      </c>
    </row>
    <row r="2765" spans="1:1" x14ac:dyDescent="0.2">
      <c r="A2765" s="1135" t="str">
        <f>CONCATENATE(Programme!C2766,Programme!D2766,Programme!E2766,Programme!F2766,Programme!G2766,Programme!H2766,Programme!I2766)</f>
        <v>&lt;valeur&gt;0&lt;/valeur&gt;</v>
      </c>
    </row>
    <row r="2766" spans="1:1" x14ac:dyDescent="0.2">
      <c r="A2766" s="1135" t="str">
        <f>CONCATENATE(Programme!C2767,Programme!D2767,Programme!E2767,Programme!F2767,Programme!G2767,Programme!H2767,Programme!I2767)</f>
        <v>&lt;/ValeurCellule&gt;</v>
      </c>
    </row>
    <row r="2767" spans="1:1" x14ac:dyDescent="0.2">
      <c r="A2767" s="1135" t="str">
        <f>CONCATENATE(Programme!C2768,Programme!D2768,Programme!E2768,Programme!F2768,Programme!G2768,Programme!H2768,Programme!I2768)</f>
        <v>&lt;ValeurCellule&gt;</v>
      </c>
    </row>
    <row r="2768" spans="1:1" x14ac:dyDescent="0.2">
      <c r="A2768" s="1135" t="str">
        <f>CONCATENATE(Programme!C2769,Programme!D2769,Programme!E2769,Programme!F2769,Programme!G2769,Programme!H2769,Programme!I2769)</f>
        <v>&lt;cellule&gt;</v>
      </c>
    </row>
    <row r="2769" spans="1:1" x14ac:dyDescent="0.2">
      <c r="A2769" s="1135" t="str">
        <f>CONCATENATE(Programme!C2770,Programme!D2770,Programme!E2770,Programme!F2770,Programme!G2770,Programme!H2770,Programme!I2770)</f>
        <v>&lt;codeEdi&gt;11388&lt;/codeEdi&gt;</v>
      </c>
    </row>
    <row r="2770" spans="1:1" x14ac:dyDescent="0.2">
      <c r="A2770" s="1135" t="str">
        <f>CONCATENATE(Programme!C2771,Programme!D2771,Programme!E2771,Programme!F2771,Programme!G2771,Programme!H2771,Programme!I2771)</f>
        <v>&lt;/cellule&gt;</v>
      </c>
    </row>
    <row r="2771" spans="1:1" x14ac:dyDescent="0.2">
      <c r="A2771" s="1135" t="str">
        <f>CONCATENATE(Programme!C2772,Programme!D2772,Programme!E2772,Programme!F2772,Programme!G2772,Programme!H2772,Programme!I2772)</f>
        <v>&lt;valeur&gt;0&lt;/valeur&gt;</v>
      </c>
    </row>
    <row r="2772" spans="1:1" x14ac:dyDescent="0.2">
      <c r="A2772" s="1135" t="str">
        <f>CONCATENATE(Programme!C2773,Programme!D2773,Programme!E2773,Programme!F2773,Programme!G2773,Programme!H2773,Programme!I2773)</f>
        <v>&lt;/ValeurCellule&gt;</v>
      </c>
    </row>
    <row r="2773" spans="1:1" x14ac:dyDescent="0.2">
      <c r="A2773" s="1135" t="str">
        <f>CONCATENATE(Programme!C2774,Programme!D2774,Programme!E2774,Programme!F2774,Programme!G2774,Programme!H2774,Programme!I2774)</f>
        <v>&lt;ValeurCellule&gt;</v>
      </c>
    </row>
    <row r="2774" spans="1:1" x14ac:dyDescent="0.2">
      <c r="A2774" s="1135" t="str">
        <f>CONCATENATE(Programme!C2775,Programme!D2775,Programme!E2775,Programme!F2775,Programme!G2775,Programme!H2775,Programme!I2775)</f>
        <v>&lt;cellule&gt;</v>
      </c>
    </row>
    <row r="2775" spans="1:1" x14ac:dyDescent="0.2">
      <c r="A2775" s="1135" t="str">
        <f>CONCATENATE(Programme!C2776,Programme!D2776,Programme!E2776,Programme!F2776,Programme!G2776,Programme!H2776,Programme!I2776)</f>
        <v>&lt;codeEdi&gt;11344&lt;/codeEdi&gt;</v>
      </c>
    </row>
    <row r="2776" spans="1:1" x14ac:dyDescent="0.2">
      <c r="A2776" s="1135" t="str">
        <f>CONCATENATE(Programme!C2777,Programme!D2777,Programme!E2777,Programme!F2777,Programme!G2777,Programme!H2777,Programme!I2777)</f>
        <v>&lt;/cellule&gt;</v>
      </c>
    </row>
    <row r="2777" spans="1:1" x14ac:dyDescent="0.2">
      <c r="A2777" s="1135" t="str">
        <f>CONCATENATE(Programme!C2778,Programme!D2778,Programme!E2778,Programme!F2778,Programme!G2778,Programme!H2778,Programme!I2778)</f>
        <v>&lt;valeur&gt;0&lt;/valeur&gt;</v>
      </c>
    </row>
    <row r="2778" spans="1:1" x14ac:dyDescent="0.2">
      <c r="A2778" s="1135" t="str">
        <f>CONCATENATE(Programme!C2779,Programme!D2779,Programme!E2779,Programme!F2779,Programme!G2779,Programme!H2779,Programme!I2779)</f>
        <v>&lt;/ValeurCellule&gt;</v>
      </c>
    </row>
    <row r="2779" spans="1:1" x14ac:dyDescent="0.2">
      <c r="A2779" s="1135" t="str">
        <f>CONCATENATE(Programme!C2780,Programme!D2780,Programme!E2780,Programme!F2780,Programme!G2780,Programme!H2780,Programme!I2780)</f>
        <v>&lt;ValeurCellule&gt;</v>
      </c>
    </row>
    <row r="2780" spans="1:1" x14ac:dyDescent="0.2">
      <c r="A2780" s="1135" t="str">
        <f>CONCATENATE(Programme!C2781,Programme!D2781,Programme!E2781,Programme!F2781,Programme!G2781,Programme!H2781,Programme!I2781)</f>
        <v>&lt;cellule&gt;</v>
      </c>
    </row>
    <row r="2781" spans="1:1" x14ac:dyDescent="0.2">
      <c r="A2781" s="1135" t="str">
        <f>CONCATENATE(Programme!C2782,Programme!D2782,Programme!E2782,Programme!F2782,Programme!G2782,Programme!H2782,Programme!I2782)</f>
        <v>&lt;codeEdi&gt;11349&lt;/codeEdi&gt;</v>
      </c>
    </row>
    <row r="2782" spans="1:1" x14ac:dyDescent="0.2">
      <c r="A2782" s="1135" t="str">
        <f>CONCATENATE(Programme!C2783,Programme!D2783,Programme!E2783,Programme!F2783,Programme!G2783,Programme!H2783,Programme!I2783)</f>
        <v>&lt;/cellule&gt;</v>
      </c>
    </row>
    <row r="2783" spans="1:1" x14ac:dyDescent="0.2">
      <c r="A2783" s="1135" t="str">
        <f>CONCATENATE(Programme!C2784,Programme!D2784,Programme!E2784,Programme!F2784,Programme!G2784,Programme!H2784,Programme!I2784)</f>
        <v>&lt;valeur&gt;0&lt;/valeur&gt;</v>
      </c>
    </row>
    <row r="2784" spans="1:1" x14ac:dyDescent="0.2">
      <c r="A2784" s="1135" t="str">
        <f>CONCATENATE(Programme!C2785,Programme!D2785,Programme!E2785,Programme!F2785,Programme!G2785,Programme!H2785,Programme!I2785)</f>
        <v>&lt;/ValeurCellule&gt;</v>
      </c>
    </row>
    <row r="2785" spans="1:1" x14ac:dyDescent="0.2">
      <c r="A2785" s="1135" t="str">
        <f>CONCATENATE(Programme!C2786,Programme!D2786,Programme!E2786,Programme!F2786,Programme!G2786,Programme!H2786,Programme!I2786)</f>
        <v>&lt;ValeurCellule&gt;</v>
      </c>
    </row>
    <row r="2786" spans="1:1" x14ac:dyDescent="0.2">
      <c r="A2786" s="1135" t="str">
        <f>CONCATENATE(Programme!C2787,Programme!D2787,Programme!E2787,Programme!F2787,Programme!G2787,Programme!H2787,Programme!I2787)</f>
        <v>&lt;cellule&gt;</v>
      </c>
    </row>
    <row r="2787" spans="1:1" x14ac:dyDescent="0.2">
      <c r="A2787" s="1135" t="str">
        <f>CONCATENATE(Programme!C2788,Programme!D2788,Programme!E2788,Programme!F2788,Programme!G2788,Programme!H2788,Programme!I2788)</f>
        <v>&lt;codeEdi&gt;11354&lt;/codeEdi&gt;</v>
      </c>
    </row>
    <row r="2788" spans="1:1" x14ac:dyDescent="0.2">
      <c r="A2788" s="1135" t="str">
        <f>CONCATENATE(Programme!C2789,Programme!D2789,Programme!E2789,Programme!F2789,Programme!G2789,Programme!H2789,Programme!I2789)</f>
        <v>&lt;/cellule&gt;</v>
      </c>
    </row>
    <row r="2789" spans="1:1" x14ac:dyDescent="0.2">
      <c r="A2789" s="1135" t="str">
        <f>CONCATENATE(Programme!C2790,Programme!D2790,Programme!E2790,Programme!F2790,Programme!G2790,Programme!H2790,Programme!I2790)</f>
        <v>&lt;valeur&gt;0&lt;/valeur&gt;</v>
      </c>
    </row>
    <row r="2790" spans="1:1" x14ac:dyDescent="0.2">
      <c r="A2790" s="1135" t="str">
        <f>CONCATENATE(Programme!C2791,Programme!D2791,Programme!E2791,Programme!F2791,Programme!G2791,Programme!H2791,Programme!I2791)</f>
        <v>&lt;/ValeurCellule&gt;</v>
      </c>
    </row>
    <row r="2791" spans="1:1" x14ac:dyDescent="0.2">
      <c r="A2791" s="1135" t="str">
        <f>CONCATENATE(Programme!C2792,Programme!D2792,Programme!E2792,Programme!F2792,Programme!G2792,Programme!H2792,Programme!I2792)</f>
        <v>&lt;ValeurCellule&gt;</v>
      </c>
    </row>
    <row r="2792" spans="1:1" x14ac:dyDescent="0.2">
      <c r="A2792" s="1135" t="str">
        <f>CONCATENATE(Programme!C2793,Programme!D2793,Programme!E2793,Programme!F2793,Programme!G2793,Programme!H2793,Programme!I2793)</f>
        <v>&lt;cellule&gt;</v>
      </c>
    </row>
    <row r="2793" spans="1:1" x14ac:dyDescent="0.2">
      <c r="A2793" s="1135" t="str">
        <f>CONCATENATE(Programme!C2794,Programme!D2794,Programme!E2794,Programme!F2794,Programme!G2794,Programme!H2794,Programme!I2794)</f>
        <v>&lt;codeEdi&gt;11394&lt;/codeEdi&gt;</v>
      </c>
    </row>
    <row r="2794" spans="1:1" x14ac:dyDescent="0.2">
      <c r="A2794" s="1135" t="str">
        <f>CONCATENATE(Programme!C2795,Programme!D2795,Programme!E2795,Programme!F2795,Programme!G2795,Programme!H2795,Programme!I2795)</f>
        <v>&lt;/cellule&gt;</v>
      </c>
    </row>
    <row r="2795" spans="1:1" x14ac:dyDescent="0.2">
      <c r="A2795" s="1135" t="str">
        <f>CONCATENATE(Programme!C2796,Programme!D2796,Programme!E2796,Programme!F2796,Programme!G2796,Programme!H2796,Programme!I2796)</f>
        <v>&lt;valeur&gt;0&lt;/valeur&gt;</v>
      </c>
    </row>
    <row r="2796" spans="1:1" x14ac:dyDescent="0.2">
      <c r="A2796" s="1135" t="str">
        <f>CONCATENATE(Programme!C2797,Programme!D2797,Programme!E2797,Programme!F2797,Programme!G2797,Programme!H2797,Programme!I2797)</f>
        <v>&lt;/ValeurCellule&gt;</v>
      </c>
    </row>
    <row r="2797" spans="1:1" x14ac:dyDescent="0.2">
      <c r="A2797" s="1135" t="str">
        <f>CONCATENATE(Programme!C2798,Programme!D2798,Programme!E2798,Programme!F2798,Programme!G2798,Programme!H2798,Programme!I2798)</f>
        <v>&lt;ValeurCellule&gt;</v>
      </c>
    </row>
    <row r="2798" spans="1:1" x14ac:dyDescent="0.2">
      <c r="A2798" s="1135" t="str">
        <f>CONCATENATE(Programme!C2799,Programme!D2799,Programme!E2799,Programme!F2799,Programme!G2799,Programme!H2799,Programme!I2799)</f>
        <v>&lt;cellule&gt;</v>
      </c>
    </row>
    <row r="2799" spans="1:1" x14ac:dyDescent="0.2">
      <c r="A2799" s="1135" t="str">
        <f>CONCATENATE(Programme!C2800,Programme!D2800,Programme!E2800,Programme!F2800,Programme!G2800,Programme!H2800,Programme!I2800)</f>
        <v>&lt;codeEdi&gt;11399&lt;/codeEdi&gt;</v>
      </c>
    </row>
    <row r="2800" spans="1:1" x14ac:dyDescent="0.2">
      <c r="A2800" s="1135" t="str">
        <f>CONCATENATE(Programme!C2801,Programme!D2801,Programme!E2801,Programme!F2801,Programme!G2801,Programme!H2801,Programme!I2801)</f>
        <v>&lt;/cellule&gt;</v>
      </c>
    </row>
    <row r="2801" spans="1:1" x14ac:dyDescent="0.2">
      <c r="A2801" s="1135" t="str">
        <f>CONCATENATE(Programme!C2802,Programme!D2802,Programme!E2802,Programme!F2802,Programme!G2802,Programme!H2802,Programme!I2802)</f>
        <v>&lt;valeur&gt;0&lt;/valeur&gt;</v>
      </c>
    </row>
    <row r="2802" spans="1:1" x14ac:dyDescent="0.2">
      <c r="A2802" s="1135" t="str">
        <f>CONCATENATE(Programme!C2803,Programme!D2803,Programme!E2803,Programme!F2803,Programme!G2803,Programme!H2803,Programme!I2803)</f>
        <v>&lt;/ValeurCellule&gt;</v>
      </c>
    </row>
    <row r="2803" spans="1:1" x14ac:dyDescent="0.2">
      <c r="A2803" s="1135" t="str">
        <f>CONCATENATE(Programme!C2804,Programme!D2804,Programme!E2804,Programme!F2804,Programme!G2804,Programme!H2804,Programme!I2804)</f>
        <v>&lt;ValeurCellule&gt;</v>
      </c>
    </row>
    <row r="2804" spans="1:1" x14ac:dyDescent="0.2">
      <c r="A2804" s="1135" t="str">
        <f>CONCATENATE(Programme!C2805,Programme!D2805,Programme!E2805,Programme!F2805,Programme!G2805,Programme!H2805,Programme!I2805)</f>
        <v>&lt;cellule&gt;</v>
      </c>
    </row>
    <row r="2805" spans="1:1" x14ac:dyDescent="0.2">
      <c r="A2805" s="1135" t="str">
        <f>CONCATENATE(Programme!C2806,Programme!D2806,Programme!E2806,Programme!F2806,Programme!G2806,Programme!H2806,Programme!I2806)</f>
        <v>&lt;codeEdi&gt;11404&lt;/codeEdi&gt;</v>
      </c>
    </row>
    <row r="2806" spans="1:1" x14ac:dyDescent="0.2">
      <c r="A2806" s="1135" t="str">
        <f>CONCATENATE(Programme!C2807,Programme!D2807,Programme!E2807,Programme!F2807,Programme!G2807,Programme!H2807,Programme!I2807)</f>
        <v>&lt;/cellule&gt;</v>
      </c>
    </row>
    <row r="2807" spans="1:1" x14ac:dyDescent="0.2">
      <c r="A2807" s="1135" t="str">
        <f>CONCATENATE(Programme!C2808,Programme!D2808,Programme!E2808,Programme!F2808,Programme!G2808,Programme!H2808,Programme!I2808)</f>
        <v>&lt;valeur&gt;0&lt;/valeur&gt;</v>
      </c>
    </row>
    <row r="2808" spans="1:1" x14ac:dyDescent="0.2">
      <c r="A2808" s="1135" t="str">
        <f>CONCATENATE(Programme!C2809,Programme!D2809,Programme!E2809,Programme!F2809,Programme!G2809,Programme!H2809,Programme!I2809)</f>
        <v>&lt;/ValeurCellule&gt;</v>
      </c>
    </row>
    <row r="2809" spans="1:1" x14ac:dyDescent="0.2">
      <c r="A2809" s="1135" t="str">
        <f>CONCATENATE(Programme!C2810,Programme!D2810,Programme!E2810,Programme!F2810,Programme!G2810,Programme!H2810,Programme!I2810)</f>
        <v>&lt;ValeurCellule&gt;</v>
      </c>
    </row>
    <row r="2810" spans="1:1" x14ac:dyDescent="0.2">
      <c r="A2810" s="1135" t="str">
        <f>CONCATENATE(Programme!C2811,Programme!D2811,Programme!E2811,Programme!F2811,Programme!G2811,Programme!H2811,Programme!I2811)</f>
        <v>&lt;cellule&gt;</v>
      </c>
    </row>
    <row r="2811" spans="1:1" x14ac:dyDescent="0.2">
      <c r="A2811" s="1135" t="str">
        <f>CONCATENATE(Programme!C2812,Programme!D2812,Programme!E2812,Programme!F2812,Programme!G2812,Programme!H2812,Programme!I2812)</f>
        <v>&lt;codeEdi&gt;11409&lt;/codeEdi&gt;</v>
      </c>
    </row>
    <row r="2812" spans="1:1" x14ac:dyDescent="0.2">
      <c r="A2812" s="1135" t="str">
        <f>CONCATENATE(Programme!C2813,Programme!D2813,Programme!E2813,Programme!F2813,Programme!G2813,Programme!H2813,Programme!I2813)</f>
        <v>&lt;/cellule&gt;</v>
      </c>
    </row>
    <row r="2813" spans="1:1" x14ac:dyDescent="0.2">
      <c r="A2813" s="1135" t="str">
        <f>CONCATENATE(Programme!C2814,Programme!D2814,Programme!E2814,Programme!F2814,Programme!G2814,Programme!H2814,Programme!I2814)</f>
        <v>&lt;valeur&gt;0&lt;/valeur&gt;</v>
      </c>
    </row>
    <row r="2814" spans="1:1" x14ac:dyDescent="0.2">
      <c r="A2814" s="1135" t="str">
        <f>CONCATENATE(Programme!C2815,Programme!D2815,Programme!E2815,Programme!F2815,Programme!G2815,Programme!H2815,Programme!I2815)</f>
        <v>&lt;/ValeurCellule&gt;</v>
      </c>
    </row>
    <row r="2815" spans="1:1" x14ac:dyDescent="0.2">
      <c r="A2815" s="1135" t="str">
        <f>CONCATENATE(Programme!C2816,Programme!D2816,Programme!E2816,Programme!F2816,Programme!G2816,Programme!H2816,Programme!I2816)</f>
        <v>&lt;ValeurCellule&gt;</v>
      </c>
    </row>
    <row r="2816" spans="1:1" x14ac:dyDescent="0.2">
      <c r="A2816" s="1135" t="str">
        <f>CONCATENATE(Programme!C2817,Programme!D2817,Programme!E2817,Programme!F2817,Programme!G2817,Programme!H2817,Programme!I2817)</f>
        <v>&lt;cellule&gt;</v>
      </c>
    </row>
    <row r="2817" spans="1:1" x14ac:dyDescent="0.2">
      <c r="A2817" s="1135" t="str">
        <f>CONCATENATE(Programme!C2818,Programme!D2818,Programme!E2818,Programme!F2818,Programme!G2818,Programme!H2818,Programme!I2818)</f>
        <v>&lt;codeEdi&gt;11359&lt;/codeEdi&gt;</v>
      </c>
    </row>
    <row r="2818" spans="1:1" x14ac:dyDescent="0.2">
      <c r="A2818" s="1135" t="str">
        <f>CONCATENATE(Programme!C2819,Programme!D2819,Programme!E2819,Programme!F2819,Programme!G2819,Programme!H2819,Programme!I2819)</f>
        <v>&lt;/cellule&gt;</v>
      </c>
    </row>
    <row r="2819" spans="1:1" x14ac:dyDescent="0.2">
      <c r="A2819" s="1135" t="str">
        <f>CONCATENATE(Programme!C2820,Programme!D2820,Programme!E2820,Programme!F2820,Programme!G2820,Programme!H2820,Programme!I2820)</f>
        <v>&lt;valeur&gt;0&lt;/valeur&gt;</v>
      </c>
    </row>
    <row r="2820" spans="1:1" x14ac:dyDescent="0.2">
      <c r="A2820" s="1135" t="str">
        <f>CONCATENATE(Programme!C2821,Programme!D2821,Programme!E2821,Programme!F2821,Programme!G2821,Programme!H2821,Programme!I2821)</f>
        <v>&lt;/ValeurCellule&gt;</v>
      </c>
    </row>
    <row r="2821" spans="1:1" x14ac:dyDescent="0.2">
      <c r="A2821" s="1135" t="str">
        <f>CONCATENATE(Programme!C2822,Programme!D2822,Programme!E2822,Programme!F2822,Programme!G2822,Programme!H2822,Programme!I2822)</f>
        <v>&lt;ValeurCellule&gt;</v>
      </c>
    </row>
    <row r="2822" spans="1:1" x14ac:dyDescent="0.2">
      <c r="A2822" s="1135" t="str">
        <f>CONCATENATE(Programme!C2823,Programme!D2823,Programme!E2823,Programme!F2823,Programme!G2823,Programme!H2823,Programme!I2823)</f>
        <v>&lt;cellule&gt;</v>
      </c>
    </row>
    <row r="2823" spans="1:1" x14ac:dyDescent="0.2">
      <c r="A2823" s="1135" t="str">
        <f>CONCATENATE(Programme!C2824,Programme!D2824,Programme!E2824,Programme!F2824,Programme!G2824,Programme!H2824,Programme!I2824)</f>
        <v>&lt;codeEdi&gt;11364&lt;/codeEdi&gt;</v>
      </c>
    </row>
    <row r="2824" spans="1:1" x14ac:dyDescent="0.2">
      <c r="A2824" s="1135" t="str">
        <f>CONCATENATE(Programme!C2825,Programme!D2825,Programme!E2825,Programme!F2825,Programme!G2825,Programme!H2825,Programme!I2825)</f>
        <v>&lt;/cellule&gt;</v>
      </c>
    </row>
    <row r="2825" spans="1:1" x14ac:dyDescent="0.2">
      <c r="A2825" s="1135" t="str">
        <f>CONCATENATE(Programme!C2826,Programme!D2826,Programme!E2826,Programme!F2826,Programme!G2826,Programme!H2826,Programme!I2826)</f>
        <v>&lt;valeur&gt;0&lt;/valeur&gt;</v>
      </c>
    </row>
    <row r="2826" spans="1:1" x14ac:dyDescent="0.2">
      <c r="A2826" s="1135" t="str">
        <f>CONCATENATE(Programme!C2827,Programme!D2827,Programme!E2827,Programme!F2827,Programme!G2827,Programme!H2827,Programme!I2827)</f>
        <v>&lt;/ValeurCellule&gt;</v>
      </c>
    </row>
    <row r="2827" spans="1:1" x14ac:dyDescent="0.2">
      <c r="A2827" s="1135" t="str">
        <f>CONCATENATE(Programme!C2828,Programme!D2828,Programme!E2828,Programme!F2828,Programme!G2828,Programme!H2828,Programme!I2828)</f>
        <v>&lt;ValeurCellule&gt;</v>
      </c>
    </row>
    <row r="2828" spans="1:1" x14ac:dyDescent="0.2">
      <c r="A2828" s="1135" t="str">
        <f>CONCATENATE(Programme!C2829,Programme!D2829,Programme!E2829,Programme!F2829,Programme!G2829,Programme!H2829,Programme!I2829)</f>
        <v>&lt;cellule&gt;</v>
      </c>
    </row>
    <row r="2829" spans="1:1" x14ac:dyDescent="0.2">
      <c r="A2829" s="1135" t="str">
        <f>CONCATENATE(Programme!C2830,Programme!D2830,Programme!E2830,Programme!F2830,Programme!G2830,Programme!H2830,Programme!I2830)</f>
        <v>&lt;codeEdi&gt;11369&lt;/codeEdi&gt;</v>
      </c>
    </row>
    <row r="2830" spans="1:1" x14ac:dyDescent="0.2">
      <c r="A2830" s="1135" t="str">
        <f>CONCATENATE(Programme!C2831,Programme!D2831,Programme!E2831,Programme!F2831,Programme!G2831,Programme!H2831,Programme!I2831)</f>
        <v>&lt;/cellule&gt;</v>
      </c>
    </row>
    <row r="2831" spans="1:1" x14ac:dyDescent="0.2">
      <c r="A2831" s="1135" t="str">
        <f>CONCATENATE(Programme!C2832,Programme!D2832,Programme!E2832,Programme!F2832,Programme!G2832,Programme!H2832,Programme!I2832)</f>
        <v>&lt;valeur&gt;0&lt;/valeur&gt;</v>
      </c>
    </row>
    <row r="2832" spans="1:1" x14ac:dyDescent="0.2">
      <c r="A2832" s="1135" t="str">
        <f>CONCATENATE(Programme!C2833,Programme!D2833,Programme!E2833,Programme!F2833,Programme!G2833,Programme!H2833,Programme!I2833)</f>
        <v>&lt;/ValeurCellule&gt;</v>
      </c>
    </row>
    <row r="2833" spans="1:1" x14ac:dyDescent="0.2">
      <c r="A2833" s="1135" t="str">
        <f>CONCATENATE(Programme!C2834,Programme!D2834,Programme!E2834,Programme!F2834,Programme!G2834,Programme!H2834,Programme!I2834)</f>
        <v>&lt;ValeurCellule&gt;</v>
      </c>
    </row>
    <row r="2834" spans="1:1" x14ac:dyDescent="0.2">
      <c r="A2834" s="1135" t="str">
        <f>CONCATENATE(Programme!C2835,Programme!D2835,Programme!E2835,Programme!F2835,Programme!G2835,Programme!H2835,Programme!I2835)</f>
        <v>&lt;cellule&gt;</v>
      </c>
    </row>
    <row r="2835" spans="1:1" x14ac:dyDescent="0.2">
      <c r="A2835" s="1135" t="str">
        <f>CONCATENATE(Programme!C2836,Programme!D2836,Programme!E2836,Programme!F2836,Programme!G2836,Programme!H2836,Programme!I2836)</f>
        <v>&lt;codeEdi&gt;11374&lt;/codeEdi&gt;</v>
      </c>
    </row>
    <row r="2836" spans="1:1" x14ac:dyDescent="0.2">
      <c r="A2836" s="1135" t="str">
        <f>CONCATENATE(Programme!C2837,Programme!D2837,Programme!E2837,Programme!F2837,Programme!G2837,Programme!H2837,Programme!I2837)</f>
        <v>&lt;/cellule&gt;</v>
      </c>
    </row>
    <row r="2837" spans="1:1" x14ac:dyDescent="0.2">
      <c r="A2837" s="1135" t="str">
        <f>CONCATENATE(Programme!C2838,Programme!D2838,Programme!E2838,Programme!F2838,Programme!G2838,Programme!H2838,Programme!I2838)</f>
        <v>&lt;valeur&gt;0&lt;/valeur&gt;</v>
      </c>
    </row>
    <row r="2838" spans="1:1" x14ac:dyDescent="0.2">
      <c r="A2838" s="1135" t="str">
        <f>CONCATENATE(Programme!C2839,Programme!D2839,Programme!E2839,Programme!F2839,Programme!G2839,Programme!H2839,Programme!I2839)</f>
        <v>&lt;/ValeurCellule&gt;</v>
      </c>
    </row>
    <row r="2839" spans="1:1" x14ac:dyDescent="0.2">
      <c r="A2839" s="1135" t="str">
        <f>CONCATENATE(Programme!C2840,Programme!D2840,Programme!E2840,Programme!F2840,Programme!G2840,Programme!H2840,Programme!I2840)</f>
        <v>&lt;ValeurCellule&gt;</v>
      </c>
    </row>
    <row r="2840" spans="1:1" x14ac:dyDescent="0.2">
      <c r="A2840" s="1135" t="str">
        <f>CONCATENATE(Programme!C2841,Programme!D2841,Programme!E2841,Programme!F2841,Programme!G2841,Programme!H2841,Programme!I2841)</f>
        <v>&lt;cellule&gt;</v>
      </c>
    </row>
    <row r="2841" spans="1:1" x14ac:dyDescent="0.2">
      <c r="A2841" s="1135" t="str">
        <f>CONCATENATE(Programme!C2842,Programme!D2842,Programme!E2842,Programme!F2842,Programme!G2842,Programme!H2842,Programme!I2842)</f>
        <v>&lt;codeEdi&gt;11379&lt;/codeEdi&gt;</v>
      </c>
    </row>
    <row r="2842" spans="1:1" x14ac:dyDescent="0.2">
      <c r="A2842" s="1135" t="str">
        <f>CONCATENATE(Programme!C2843,Programme!D2843,Programme!E2843,Programme!F2843,Programme!G2843,Programme!H2843,Programme!I2843)</f>
        <v>&lt;/cellule&gt;</v>
      </c>
    </row>
    <row r="2843" spans="1:1" x14ac:dyDescent="0.2">
      <c r="A2843" s="1135" t="str">
        <f>CONCATENATE(Programme!C2844,Programme!D2844,Programme!E2844,Programme!F2844,Programme!G2844,Programme!H2844,Programme!I2844)</f>
        <v>&lt;valeur&gt;0&lt;/valeur&gt;</v>
      </c>
    </row>
    <row r="2844" spans="1:1" x14ac:dyDescent="0.2">
      <c r="A2844" s="1135" t="str">
        <f>CONCATENATE(Programme!C2845,Programme!D2845,Programme!E2845,Programme!F2845,Programme!G2845,Programme!H2845,Programme!I2845)</f>
        <v>&lt;/ValeurCellule&gt;</v>
      </c>
    </row>
    <row r="2845" spans="1:1" x14ac:dyDescent="0.2">
      <c r="A2845" s="1135" t="str">
        <f>CONCATENATE(Programme!C2846,Programme!D2846,Programme!E2846,Programme!F2846,Programme!G2846,Programme!H2846,Programme!I2846)</f>
        <v>&lt;ValeurCellule&gt;</v>
      </c>
    </row>
    <row r="2846" spans="1:1" x14ac:dyDescent="0.2">
      <c r="A2846" s="1135" t="str">
        <f>CONCATENATE(Programme!C2847,Programme!D2847,Programme!E2847,Programme!F2847,Programme!G2847,Programme!H2847,Programme!I2847)</f>
        <v>&lt;cellule&gt;</v>
      </c>
    </row>
    <row r="2847" spans="1:1" x14ac:dyDescent="0.2">
      <c r="A2847" s="1135" t="str">
        <f>CONCATENATE(Programme!C2848,Programme!D2848,Programme!E2848,Programme!F2848,Programme!G2848,Programme!H2848,Programme!I2848)</f>
        <v>&lt;codeEdi&gt;11384&lt;/codeEdi&gt;</v>
      </c>
    </row>
    <row r="2848" spans="1:1" x14ac:dyDescent="0.2">
      <c r="A2848" s="1135" t="str">
        <f>CONCATENATE(Programme!C2849,Programme!D2849,Programme!E2849,Programme!F2849,Programme!G2849,Programme!H2849,Programme!I2849)</f>
        <v>&lt;/cellule&gt;</v>
      </c>
    </row>
    <row r="2849" spans="1:1" x14ac:dyDescent="0.2">
      <c r="A2849" s="1135" t="str">
        <f>CONCATENATE(Programme!C2850,Programme!D2850,Programme!E2850,Programme!F2850,Programme!G2850,Programme!H2850,Programme!I2850)</f>
        <v>&lt;valeur&gt;0&lt;/valeur&gt;</v>
      </c>
    </row>
    <row r="2850" spans="1:1" x14ac:dyDescent="0.2">
      <c r="A2850" s="1135" t="str">
        <f>CONCATENATE(Programme!C2851,Programme!D2851,Programme!E2851,Programme!F2851,Programme!G2851,Programme!H2851,Programme!I2851)</f>
        <v>&lt;/ValeurCellule&gt;</v>
      </c>
    </row>
    <row r="2851" spans="1:1" x14ac:dyDescent="0.2">
      <c r="A2851" s="1135" t="str">
        <f>CONCATENATE(Programme!C2852,Programme!D2852,Programme!E2852,Programme!F2852,Programme!G2852,Programme!H2852,Programme!I2852)</f>
        <v>&lt;ValeurCellule&gt;</v>
      </c>
    </row>
    <row r="2852" spans="1:1" x14ac:dyDescent="0.2">
      <c r="A2852" s="1135" t="str">
        <f>CONCATENATE(Programme!C2853,Programme!D2853,Programme!E2853,Programme!F2853,Programme!G2853,Programme!H2853,Programme!I2853)</f>
        <v>&lt;cellule&gt;</v>
      </c>
    </row>
    <row r="2853" spans="1:1" x14ac:dyDescent="0.2">
      <c r="A2853" s="1135" t="str">
        <f>CONCATENATE(Programme!C2854,Programme!D2854,Programme!E2854,Programme!F2854,Programme!G2854,Programme!H2854,Programme!I2854)</f>
        <v>&lt;codeEdi&gt;11389&lt;/codeEdi&gt;</v>
      </c>
    </row>
    <row r="2854" spans="1:1" x14ac:dyDescent="0.2">
      <c r="A2854" s="1135" t="str">
        <f>CONCATENATE(Programme!C2855,Programme!D2855,Programme!E2855,Programme!F2855,Programme!G2855,Programme!H2855,Programme!I2855)</f>
        <v>&lt;/cellule&gt;</v>
      </c>
    </row>
    <row r="2855" spans="1:1" x14ac:dyDescent="0.2">
      <c r="A2855" s="1135" t="str">
        <f>CONCATENATE(Programme!C2856,Programme!D2856,Programme!E2856,Programme!F2856,Programme!G2856,Programme!H2856,Programme!I2856)</f>
        <v>&lt;valeur&gt;0&lt;/valeur&gt;</v>
      </c>
    </row>
    <row r="2856" spans="1:1" x14ac:dyDescent="0.2">
      <c r="A2856" s="1135" t="str">
        <f>CONCATENATE(Programme!C2857,Programme!D2857,Programme!E2857,Programme!F2857,Programme!G2857,Programme!H2857,Programme!I2857)</f>
        <v>&lt;/ValeurCellule&gt;</v>
      </c>
    </row>
    <row r="2857" spans="1:1" x14ac:dyDescent="0.2">
      <c r="A2857" s="1135" t="str">
        <f>CONCATENATE(Programme!C2858,Programme!D2858,Programme!E2858,Programme!F2858,Programme!G2858,Programme!H2858,Programme!I2858)</f>
        <v>&lt;ValeurCellule&gt;</v>
      </c>
    </row>
    <row r="2858" spans="1:1" x14ac:dyDescent="0.2">
      <c r="A2858" s="1135" t="str">
        <f>CONCATENATE(Programme!C2859,Programme!D2859,Programme!E2859,Programme!F2859,Programme!G2859,Programme!H2859,Programme!I2859)</f>
        <v>&lt;cellule&gt;</v>
      </c>
    </row>
    <row r="2859" spans="1:1" x14ac:dyDescent="0.2">
      <c r="A2859" s="1135" t="str">
        <f>CONCATENATE(Programme!C2860,Programme!D2860,Programme!E2860,Programme!F2860,Programme!G2860,Programme!H2860,Programme!I2860)</f>
        <v>&lt;codeEdi&gt;11411&lt;/codeEdi&gt;</v>
      </c>
    </row>
    <row r="2860" spans="1:1" x14ac:dyDescent="0.2">
      <c r="A2860" s="1135" t="str">
        <f>CONCATENATE(Programme!C2861,Programme!D2861,Programme!E2861,Programme!F2861,Programme!G2861,Programme!H2861,Programme!I2861)</f>
        <v>&lt;/cellule&gt;</v>
      </c>
    </row>
    <row r="2861" spans="1:1" x14ac:dyDescent="0.2">
      <c r="A2861" s="1135" t="str">
        <f>CONCATENATE(Programme!C2862,Programme!D2862,Programme!E2862,Programme!F2862,Programme!G2862,Programme!H2862,Programme!I2862)</f>
        <v>&lt;valeur&gt;23836,44&lt;/valeur&gt;</v>
      </c>
    </row>
    <row r="2862" spans="1:1" x14ac:dyDescent="0.2">
      <c r="A2862" s="1135" t="str">
        <f>CONCATENATE(Programme!C2863,Programme!D2863,Programme!E2863,Programme!F2863,Programme!G2863,Programme!H2863,Programme!I2863)</f>
        <v>&lt;/ValeurCellule&gt;</v>
      </c>
    </row>
    <row r="2863" spans="1:1" x14ac:dyDescent="0.2">
      <c r="A2863" s="1135" t="str">
        <f>CONCATENATE(Programme!C2864,Programme!D2864,Programme!E2864,Programme!F2864,Programme!G2864,Programme!H2864,Programme!I2864)</f>
        <v>&lt;ValeurCellule&gt;</v>
      </c>
    </row>
    <row r="2864" spans="1:1" x14ac:dyDescent="0.2">
      <c r="A2864" s="1135" t="str">
        <f>CONCATENATE(Programme!C2865,Programme!D2865,Programme!E2865,Programme!F2865,Programme!G2865,Programme!H2865,Programme!I2865)</f>
        <v>&lt;cellule&gt;</v>
      </c>
    </row>
    <row r="2865" spans="1:1" x14ac:dyDescent="0.2">
      <c r="A2865" s="1135" t="str">
        <f>CONCATENATE(Programme!C2866,Programme!D2866,Programme!E2866,Programme!F2866,Programme!G2866,Programme!H2866,Programme!I2866)</f>
        <v>&lt;codeEdi&gt;11412&lt;/codeEdi&gt;</v>
      </c>
    </row>
    <row r="2866" spans="1:1" x14ac:dyDescent="0.2">
      <c r="A2866" s="1135" t="str">
        <f>CONCATENATE(Programme!C2867,Programme!D2867,Programme!E2867,Programme!F2867,Programme!G2867,Programme!H2867,Programme!I2867)</f>
        <v>&lt;/cellule&gt;</v>
      </c>
    </row>
    <row r="2867" spans="1:1" x14ac:dyDescent="0.2">
      <c r="A2867" s="1135" t="str">
        <f>CONCATENATE(Programme!C2868,Programme!D2868,Programme!E2868,Programme!F2868,Programme!G2868,Programme!H2868,Programme!I2868)</f>
        <v>&lt;valeur&gt;0&lt;/valeur&gt;</v>
      </c>
    </row>
    <row r="2868" spans="1:1" x14ac:dyDescent="0.2">
      <c r="A2868" s="1135" t="str">
        <f>CONCATENATE(Programme!C2869,Programme!D2869,Programme!E2869,Programme!F2869,Programme!G2869,Programme!H2869,Programme!I2869)</f>
        <v>&lt;/ValeurCellule&gt;</v>
      </c>
    </row>
    <row r="2869" spans="1:1" x14ac:dyDescent="0.2">
      <c r="A2869" s="1135" t="str">
        <f>CONCATENATE(Programme!C2870,Programme!D2870,Programme!E2870,Programme!F2870,Programme!G2870,Programme!H2870,Programme!I2870)</f>
        <v>&lt;ValeurCellule&gt;</v>
      </c>
    </row>
    <row r="2870" spans="1:1" x14ac:dyDescent="0.2">
      <c r="A2870" s="1135" t="str">
        <f>CONCATENATE(Programme!C2871,Programme!D2871,Programme!E2871,Programme!F2871,Programme!G2871,Programme!H2871,Programme!I2871)</f>
        <v>&lt;cellule&gt;</v>
      </c>
    </row>
    <row r="2871" spans="1:1" x14ac:dyDescent="0.2">
      <c r="A2871" s="1135" t="str">
        <f>CONCATENATE(Programme!C2872,Programme!D2872,Programme!E2872,Programme!F2872,Programme!G2872,Programme!H2872,Programme!I2872)</f>
        <v>&lt;codeEdi&gt;11413&lt;/codeEdi&gt;</v>
      </c>
    </row>
    <row r="2872" spans="1:1" x14ac:dyDescent="0.2">
      <c r="A2872" s="1135" t="str">
        <f>CONCATENATE(Programme!C2873,Programme!D2873,Programme!E2873,Programme!F2873,Programme!G2873,Programme!H2873,Programme!I2873)</f>
        <v>&lt;/cellule&gt;</v>
      </c>
    </row>
    <row r="2873" spans="1:1" x14ac:dyDescent="0.2">
      <c r="A2873" s="1135" t="str">
        <f>CONCATENATE(Programme!C2874,Programme!D2874,Programme!E2874,Programme!F2874,Programme!G2874,Programme!H2874,Programme!I2874)</f>
        <v>&lt;valeur&gt;23836,44&lt;/valeur&gt;</v>
      </c>
    </row>
    <row r="2874" spans="1:1" x14ac:dyDescent="0.2">
      <c r="A2874" s="1135" t="str">
        <f>CONCATENATE(Programme!C2875,Programme!D2875,Programme!E2875,Programme!F2875,Programme!G2875,Programme!H2875,Programme!I2875)</f>
        <v>&lt;/ValeurCellule&gt;</v>
      </c>
    </row>
    <row r="2875" spans="1:1" x14ac:dyDescent="0.2">
      <c r="A2875" s="1135" t="str">
        <f>CONCATENATE(Programme!C2876,Programme!D2876,Programme!E2876,Programme!F2876,Programme!G2876,Programme!H2876,Programme!I2876)</f>
        <v>&lt;ValeurCellule&gt;</v>
      </c>
    </row>
    <row r="2876" spans="1:1" x14ac:dyDescent="0.2">
      <c r="A2876" s="1135" t="str">
        <f>CONCATENATE(Programme!C2877,Programme!D2877,Programme!E2877,Programme!F2877,Programme!G2877,Programme!H2877,Programme!I2877)</f>
        <v>&lt;cellule&gt;</v>
      </c>
    </row>
    <row r="2877" spans="1:1" x14ac:dyDescent="0.2">
      <c r="A2877" s="1135" t="str">
        <f>CONCATENATE(Programme!C2878,Programme!D2878,Programme!E2878,Programme!F2878,Programme!G2878,Programme!H2878,Programme!I2878)</f>
        <v>&lt;codeEdi&gt;11414&lt;/codeEdi&gt;</v>
      </c>
    </row>
    <row r="2878" spans="1:1" x14ac:dyDescent="0.2">
      <c r="A2878" s="1135" t="str">
        <f>CONCATENATE(Programme!C2879,Programme!D2879,Programme!E2879,Programme!F2879,Programme!G2879,Programme!H2879,Programme!I2879)</f>
        <v>&lt;/cellule&gt;</v>
      </c>
    </row>
    <row r="2879" spans="1:1" x14ac:dyDescent="0.2">
      <c r="A2879" s="1135" t="str">
        <f>CONCATENATE(Programme!C2880,Programme!D2880,Programme!E2880,Programme!F2880,Programme!G2880,Programme!H2880,Programme!I2880)</f>
        <v>&lt;valeur&gt;-18918,67&lt;/valeur&gt;</v>
      </c>
    </row>
    <row r="2880" spans="1:1" x14ac:dyDescent="0.2">
      <c r="A2880" s="1135" t="str">
        <f>CONCATENATE(Programme!C2881,Programme!D2881,Programme!E2881,Programme!F2881,Programme!G2881,Programme!H2881,Programme!I2881)</f>
        <v>&lt;/ValeurCellule&gt;</v>
      </c>
    </row>
    <row r="2881" spans="1:1" x14ac:dyDescent="0.2">
      <c r="A2881" s="1135" t="str">
        <f>CONCATENATE(Programme!C2882,Programme!D2882,Programme!E2882,Programme!F2882,Programme!G2882,Programme!H2882,Programme!I2882)</f>
        <v>&lt;ValeurCellule&gt;</v>
      </c>
    </row>
    <row r="2882" spans="1:1" x14ac:dyDescent="0.2">
      <c r="A2882" s="1135" t="str">
        <f>CONCATENATE(Programme!C2883,Programme!D2883,Programme!E2883,Programme!F2883,Programme!G2883,Programme!H2883,Programme!I2883)</f>
        <v>&lt;cellule&gt;</v>
      </c>
    </row>
    <row r="2883" spans="1:1" x14ac:dyDescent="0.2">
      <c r="A2883" s="1135" t="str">
        <f>CONCATENATE(Programme!C2884,Programme!D2884,Programme!E2884,Programme!F2884,Programme!G2884,Programme!H2884,Programme!I2884)</f>
        <v>&lt;codeEdi&gt;11416&lt;/codeEdi&gt;</v>
      </c>
    </row>
    <row r="2884" spans="1:1" x14ac:dyDescent="0.2">
      <c r="A2884" s="1135" t="str">
        <f>CONCATENATE(Programme!C2885,Programme!D2885,Programme!E2885,Programme!F2885,Programme!G2885,Programme!H2885,Programme!I2885)</f>
        <v>&lt;/cellule&gt;</v>
      </c>
    </row>
    <row r="2885" spans="1:1" x14ac:dyDescent="0.2">
      <c r="A2885" s="1135" t="str">
        <f>CONCATENATE(Programme!C2886,Programme!D2886,Programme!E2886,Programme!F2886,Programme!G2886,Programme!H2886,Programme!I2886)</f>
        <v>&lt;valeur&gt;2384&lt;/valeur&gt;</v>
      </c>
    </row>
    <row r="2886" spans="1:1" x14ac:dyDescent="0.2">
      <c r="A2886" s="1135" t="str">
        <f>CONCATENATE(Programme!C2887,Programme!D2887,Programme!E2887,Programme!F2887,Programme!G2887,Programme!H2887,Programme!I2887)</f>
        <v>&lt;/ValeurCellule&gt;</v>
      </c>
    </row>
    <row r="2887" spans="1:1" x14ac:dyDescent="0.2">
      <c r="A2887" s="1135" t="str">
        <f>CONCATENATE(Programme!C2888,Programme!D2888,Programme!E2888,Programme!F2888,Programme!G2888,Programme!H2888,Programme!I2888)</f>
        <v>&lt;ValeurCellule&gt;</v>
      </c>
    </row>
    <row r="2888" spans="1:1" x14ac:dyDescent="0.2">
      <c r="A2888" s="1135" t="str">
        <f>CONCATENATE(Programme!C2889,Programme!D2889,Programme!E2889,Programme!F2889,Programme!G2889,Programme!H2889,Programme!I2889)</f>
        <v>&lt;cellule&gt;</v>
      </c>
    </row>
    <row r="2889" spans="1:1" x14ac:dyDescent="0.2">
      <c r="A2889" s="1135" t="str">
        <f>CONCATENATE(Programme!C2890,Programme!D2890,Programme!E2890,Programme!F2890,Programme!G2890,Programme!H2890,Programme!I2890)</f>
        <v>&lt;codeEdi&gt;11417&lt;/codeEdi&gt;</v>
      </c>
    </row>
    <row r="2890" spans="1:1" x14ac:dyDescent="0.2">
      <c r="A2890" s="1135" t="str">
        <f>CONCATENATE(Programme!C2891,Programme!D2891,Programme!E2891,Programme!F2891,Programme!G2891,Programme!H2891,Programme!I2891)</f>
        <v>&lt;/cellule&gt;</v>
      </c>
    </row>
    <row r="2891" spans="1:1" x14ac:dyDescent="0.2">
      <c r="A2891" s="1135" t="str">
        <f>CONCATENATE(Programme!C2892,Programme!D2892,Programme!E2892,Programme!F2892,Programme!G2892,Programme!H2892,Programme!I2892)</f>
        <v>&lt;valeur&gt;0&lt;/valeur&gt;</v>
      </c>
    </row>
    <row r="2892" spans="1:1" x14ac:dyDescent="0.2">
      <c r="A2892" s="1135" t="str">
        <f>CONCATENATE(Programme!C2893,Programme!D2893,Programme!E2893,Programme!F2893,Programme!G2893,Programme!H2893,Programme!I2893)</f>
        <v>&lt;/ValeurCellule&gt;</v>
      </c>
    </row>
    <row r="2893" spans="1:1" x14ac:dyDescent="0.2">
      <c r="A2893" s="1135" t="str">
        <f>CONCATENATE(Programme!C2894,Programme!D2894,Programme!E2894,Programme!F2894,Programme!G2894,Programme!H2894,Programme!I2894)</f>
        <v>&lt;ValeurCellule&gt;</v>
      </c>
    </row>
    <row r="2894" spans="1:1" x14ac:dyDescent="0.2">
      <c r="A2894" s="1135" t="str">
        <f>CONCATENATE(Programme!C2895,Programme!D2895,Programme!E2895,Programme!F2895,Programme!G2895,Programme!H2895,Programme!I2895)</f>
        <v>&lt;cellule&gt;</v>
      </c>
    </row>
    <row r="2895" spans="1:1" x14ac:dyDescent="0.2">
      <c r="A2895" s="1135" t="str">
        <f>CONCATENATE(Programme!C2896,Programme!D2896,Programme!E2896,Programme!F2896,Programme!G2896,Programme!H2896,Programme!I2896)</f>
        <v>&lt;codeEdi&gt;11418&lt;/codeEdi&gt;</v>
      </c>
    </row>
    <row r="2896" spans="1:1" x14ac:dyDescent="0.2">
      <c r="A2896" s="1135" t="str">
        <f>CONCATENATE(Programme!C2897,Programme!D2897,Programme!E2897,Programme!F2897,Programme!G2897,Programme!H2897,Programme!I2897)</f>
        <v>&lt;/cellule&gt;</v>
      </c>
    </row>
    <row r="2897" spans="1:1" x14ac:dyDescent="0.2">
      <c r="A2897" s="1135" t="str">
        <f>CONCATENATE(Programme!C2898,Programme!D2898,Programme!E2898,Programme!F2898,Programme!G2898,Programme!H2898,Programme!I2898)</f>
        <v>&lt;valeur&gt;2384&lt;/valeur&gt;</v>
      </c>
    </row>
    <row r="2898" spans="1:1" x14ac:dyDescent="0.2">
      <c r="A2898" s="1135" t="str">
        <f>CONCATENATE(Programme!C2899,Programme!D2899,Programme!E2899,Programme!F2899,Programme!G2899,Programme!H2899,Programme!I2899)</f>
        <v>&lt;/ValeurCellule&gt;</v>
      </c>
    </row>
    <row r="2899" spans="1:1" x14ac:dyDescent="0.2">
      <c r="A2899" s="1135" t="str">
        <f>CONCATENATE(Programme!C2900,Programme!D2900,Programme!E2900,Programme!F2900,Programme!G2900,Programme!H2900,Programme!I2900)</f>
        <v>&lt;ValeurCellule&gt;</v>
      </c>
    </row>
    <row r="2900" spans="1:1" x14ac:dyDescent="0.2">
      <c r="A2900" s="1135" t="str">
        <f>CONCATENATE(Programme!C2901,Programme!D2901,Programme!E2901,Programme!F2901,Programme!G2901,Programme!H2901,Programme!I2901)</f>
        <v>&lt;cellule&gt;</v>
      </c>
    </row>
    <row r="2901" spans="1:1" x14ac:dyDescent="0.2">
      <c r="A2901" s="1135" t="str">
        <f>CONCATENATE(Programme!C2902,Programme!D2902,Programme!E2902,Programme!F2902,Programme!G2902,Programme!H2902,Programme!I2902)</f>
        <v>&lt;codeEdi&gt;11419&lt;/codeEdi&gt;</v>
      </c>
    </row>
    <row r="2902" spans="1:1" x14ac:dyDescent="0.2">
      <c r="A2902" s="1135" t="str">
        <f>CONCATENATE(Programme!C2903,Programme!D2903,Programme!E2903,Programme!F2903,Programme!G2903,Programme!H2903,Programme!I2903)</f>
        <v>&lt;/cellule&gt;</v>
      </c>
    </row>
    <row r="2903" spans="1:1" x14ac:dyDescent="0.2">
      <c r="A2903" s="1135" t="str">
        <f>CONCATENATE(Programme!C2904,Programme!D2904,Programme!E2904,Programme!F2904,Programme!G2904,Programme!H2904,Programme!I2904)</f>
        <v>&lt;valeur&gt;0&lt;/valeur&gt;</v>
      </c>
    </row>
    <row r="2904" spans="1:1" x14ac:dyDescent="0.2">
      <c r="A2904" s="1135" t="str">
        <f>CONCATENATE(Programme!C2905,Programme!D2905,Programme!E2905,Programme!F2905,Programme!G2905,Programme!H2905,Programme!I2905)</f>
        <v>&lt;/ValeurCellule&gt;</v>
      </c>
    </row>
    <row r="2905" spans="1:1" x14ac:dyDescent="0.2">
      <c r="A2905" s="1135" t="str">
        <f>CONCATENATE(Programme!C2906,Programme!D2906,Programme!E2906,Programme!F2906,Programme!G2906,Programme!H2906,Programme!I2906)</f>
        <v>&lt;ValeurCellule&gt;</v>
      </c>
    </row>
    <row r="2906" spans="1:1" x14ac:dyDescent="0.2">
      <c r="A2906" s="1135" t="str">
        <f>CONCATENATE(Programme!C2907,Programme!D2907,Programme!E2907,Programme!F2907,Programme!G2907,Programme!H2907,Programme!I2907)</f>
        <v>&lt;cellule&gt;</v>
      </c>
    </row>
    <row r="2907" spans="1:1" x14ac:dyDescent="0.2">
      <c r="A2907" s="1135" t="str">
        <f>CONCATENATE(Programme!C2908,Programme!D2908,Programme!E2908,Programme!F2908,Programme!G2908,Programme!H2908,Programme!I2908)</f>
        <v>&lt;codeEdi&gt;11421&lt;/codeEdi&gt;</v>
      </c>
    </row>
    <row r="2908" spans="1:1" x14ac:dyDescent="0.2">
      <c r="A2908" s="1135" t="str">
        <f>CONCATENATE(Programme!C2909,Programme!D2909,Programme!E2909,Programme!F2909,Programme!G2909,Programme!H2909,Programme!I2909)</f>
        <v>&lt;/cellule&gt;</v>
      </c>
    </row>
    <row r="2909" spans="1:1" x14ac:dyDescent="0.2">
      <c r="A2909" s="1135" t="str">
        <f>CONCATENATE(Programme!C2910,Programme!D2910,Programme!E2910,Programme!F2910,Programme!G2910,Programme!H2910,Programme!I2910)</f>
        <v>&lt;valeur&gt;21452,44&lt;/valeur&gt;</v>
      </c>
    </row>
    <row r="2910" spans="1:1" x14ac:dyDescent="0.2">
      <c r="A2910" s="1135" t="str">
        <f>CONCATENATE(Programme!C2911,Programme!D2911,Programme!E2911,Programme!F2911,Programme!G2911,Programme!H2911,Programme!I2911)</f>
        <v>&lt;/ValeurCellule&gt;</v>
      </c>
    </row>
    <row r="2911" spans="1:1" x14ac:dyDescent="0.2">
      <c r="A2911" s="1135" t="str">
        <f>CONCATENATE(Programme!C2912,Programme!D2912,Programme!E2912,Programme!F2912,Programme!G2912,Programme!H2912,Programme!I2912)</f>
        <v>&lt;ValeurCellule&gt;</v>
      </c>
    </row>
    <row r="2912" spans="1:1" x14ac:dyDescent="0.2">
      <c r="A2912" s="1135" t="str">
        <f>CONCATENATE(Programme!C2913,Programme!D2913,Programme!E2913,Programme!F2913,Programme!G2913,Programme!H2913,Programme!I2913)</f>
        <v>&lt;cellule&gt;</v>
      </c>
    </row>
    <row r="2913" spans="1:1" x14ac:dyDescent="0.2">
      <c r="A2913" s="1135" t="str">
        <f>CONCATENATE(Programme!C2914,Programme!D2914,Programme!E2914,Programme!F2914,Programme!G2914,Programme!H2914,Programme!I2914)</f>
        <v>&lt;codeEdi&gt;11422&lt;/codeEdi&gt;</v>
      </c>
    </row>
    <row r="2914" spans="1:1" x14ac:dyDescent="0.2">
      <c r="A2914" s="1135" t="str">
        <f>CONCATENATE(Programme!C2915,Programme!D2915,Programme!E2915,Programme!F2915,Programme!G2915,Programme!H2915,Programme!I2915)</f>
        <v>&lt;/cellule&gt;</v>
      </c>
    </row>
    <row r="2915" spans="1:1" x14ac:dyDescent="0.2">
      <c r="A2915" s="1135" t="str">
        <f>CONCATENATE(Programme!C2916,Programme!D2916,Programme!E2916,Programme!F2916,Programme!G2916,Programme!H2916,Programme!I2916)</f>
        <v>&lt;valeur&gt;0&lt;/valeur&gt;</v>
      </c>
    </row>
    <row r="2916" spans="1:1" x14ac:dyDescent="0.2">
      <c r="A2916" s="1135" t="str">
        <f>CONCATENATE(Programme!C2917,Programme!D2917,Programme!E2917,Programme!F2917,Programme!G2917,Programme!H2917,Programme!I2917)</f>
        <v>&lt;/ValeurCellule&gt;</v>
      </c>
    </row>
    <row r="2917" spans="1:1" x14ac:dyDescent="0.2">
      <c r="A2917" s="1135" t="str">
        <f>CONCATENATE(Programme!C2918,Programme!D2918,Programme!E2918,Programme!F2918,Programme!G2918,Programme!H2918,Programme!I2918)</f>
        <v>&lt;ValeurCellule&gt;</v>
      </c>
    </row>
    <row r="2918" spans="1:1" x14ac:dyDescent="0.2">
      <c r="A2918" s="1135" t="str">
        <f>CONCATENATE(Programme!C2919,Programme!D2919,Programme!E2919,Programme!F2919,Programme!G2919,Programme!H2919,Programme!I2919)</f>
        <v>&lt;cellule&gt;</v>
      </c>
    </row>
    <row r="2919" spans="1:1" x14ac:dyDescent="0.2">
      <c r="A2919" s="1135" t="str">
        <f>CONCATENATE(Programme!C2920,Programme!D2920,Programme!E2920,Programme!F2920,Programme!G2920,Programme!H2920,Programme!I2920)</f>
        <v>&lt;codeEdi&gt;11423&lt;/codeEdi&gt;</v>
      </c>
    </row>
    <row r="2920" spans="1:1" x14ac:dyDescent="0.2">
      <c r="A2920" s="1135" t="str">
        <f>CONCATENATE(Programme!C2921,Programme!D2921,Programme!E2921,Programme!F2921,Programme!G2921,Programme!H2921,Programme!I2921)</f>
        <v>&lt;/cellule&gt;</v>
      </c>
    </row>
    <row r="2921" spans="1:1" x14ac:dyDescent="0.2">
      <c r="A2921" s="1135" t="str">
        <f>CONCATENATE(Programme!C2922,Programme!D2922,Programme!E2922,Programme!F2922,Programme!G2922,Programme!H2922,Programme!I2922)</f>
        <v>&lt;valeur&gt;21452,44&lt;/valeur&gt;</v>
      </c>
    </row>
    <row r="2922" spans="1:1" x14ac:dyDescent="0.2">
      <c r="A2922" s="1135" t="str">
        <f>CONCATENATE(Programme!C2923,Programme!D2923,Programme!E2923,Programme!F2923,Programme!G2923,Programme!H2923,Programme!I2923)</f>
        <v>&lt;/ValeurCellule&gt;</v>
      </c>
    </row>
    <row r="2923" spans="1:1" x14ac:dyDescent="0.2">
      <c r="A2923" s="1135" t="str">
        <f>CONCATENATE(Programme!C2924,Programme!D2924,Programme!E2924,Programme!F2924,Programme!G2924,Programme!H2924,Programme!I2924)</f>
        <v>&lt;ValeurCellule&gt;</v>
      </c>
    </row>
    <row r="2924" spans="1:1" x14ac:dyDescent="0.2">
      <c r="A2924" s="1135" t="str">
        <f>CONCATENATE(Programme!C2925,Programme!D2925,Programme!E2925,Programme!F2925,Programme!G2925,Programme!H2925,Programme!I2925)</f>
        <v>&lt;cellule&gt;</v>
      </c>
    </row>
    <row r="2925" spans="1:1" x14ac:dyDescent="0.2">
      <c r="A2925" s="1135" t="str">
        <f>CONCATENATE(Programme!C2926,Programme!D2926,Programme!E2926,Programme!F2926,Programme!G2926,Programme!H2926,Programme!I2926)</f>
        <v>&lt;codeEdi&gt;11424&lt;/codeEdi&gt;</v>
      </c>
    </row>
    <row r="2926" spans="1:1" x14ac:dyDescent="0.2">
      <c r="A2926" s="1135" t="str">
        <f>CONCATENATE(Programme!C2927,Programme!D2927,Programme!E2927,Programme!F2927,Programme!G2927,Programme!H2927,Programme!I2927)</f>
        <v>&lt;/cellule&gt;</v>
      </c>
    </row>
    <row r="2927" spans="1:1" x14ac:dyDescent="0.2">
      <c r="A2927" s="1135" t="str">
        <f>CONCATENATE(Programme!C2928,Programme!D2928,Programme!E2928,Programme!F2928,Programme!G2928,Programme!H2928,Programme!I2928)</f>
        <v>&lt;valeur&gt;-18918,67&lt;/valeur&gt;</v>
      </c>
    </row>
    <row r="2928" spans="1:1" x14ac:dyDescent="0.2">
      <c r="A2928" s="1135" t="str">
        <f>CONCATENATE(Programme!C2929,Programme!D2929,Programme!E2929,Programme!F2929,Programme!G2929,Programme!H2929,Programme!I2929)</f>
        <v>&lt;/ValeurCellule&gt;</v>
      </c>
    </row>
    <row r="2929" spans="1:1" x14ac:dyDescent="0.2">
      <c r="A2929" s="1135" t="str">
        <f>CONCATENATE(Programme!C2930,Programme!D2930,Programme!E2930,Programme!F2930,Programme!G2930,Programme!H2930,Programme!I2930)</f>
        <v>&lt;ValeurCellule&gt;</v>
      </c>
    </row>
    <row r="2930" spans="1:1" x14ac:dyDescent="0.2">
      <c r="A2930" s="1135" t="str">
        <f>CONCATENATE(Programme!C2931,Programme!D2931,Programme!E2931,Programme!F2931,Programme!G2931,Programme!H2931,Programme!I2931)</f>
        <v>&lt;cellule&gt;</v>
      </c>
    </row>
    <row r="2931" spans="1:1" x14ac:dyDescent="0.2">
      <c r="A2931" s="1135" t="str">
        <f>CONCATENATE(Programme!C2932,Programme!D2932,Programme!E2932,Programme!F2932,Programme!G2932,Programme!H2932,Programme!I2932)</f>
        <v>&lt;codeEdi&gt;11426&lt;/codeEdi&gt;</v>
      </c>
    </row>
    <row r="2932" spans="1:1" x14ac:dyDescent="0.2">
      <c r="A2932" s="1135" t="str">
        <f>CONCATENATE(Programme!C2933,Programme!D2933,Programme!E2933,Programme!F2933,Programme!G2933,Programme!H2933,Programme!I2933)</f>
        <v>&lt;/cellule&gt;</v>
      </c>
    </row>
    <row r="2933" spans="1:1" x14ac:dyDescent="0.2">
      <c r="A2933" s="1135" t="str">
        <f>CONCATENATE(Programme!C2934,Programme!D2934,Programme!E2934,Programme!F2934,Programme!G2934,Programme!H2934,Programme!I2934)</f>
        <v>&lt;valeur&gt;381666,67&lt;/valeur&gt;</v>
      </c>
    </row>
    <row r="2934" spans="1:1" x14ac:dyDescent="0.2">
      <c r="A2934" s="1135" t="str">
        <f>CONCATENATE(Programme!C2935,Programme!D2935,Programme!E2935,Programme!F2935,Programme!G2935,Programme!H2935,Programme!I2935)</f>
        <v>&lt;/ValeurCellule&gt;</v>
      </c>
    </row>
    <row r="2935" spans="1:1" x14ac:dyDescent="0.2">
      <c r="A2935" s="1135" t="str">
        <f>CONCATENATE(Programme!C2936,Programme!D2936,Programme!E2936,Programme!F2936,Programme!G2936,Programme!H2936,Programme!I2936)</f>
        <v>&lt;ValeurCellule&gt;</v>
      </c>
    </row>
    <row r="2936" spans="1:1" x14ac:dyDescent="0.2">
      <c r="A2936" s="1135" t="str">
        <f>CONCATENATE(Programme!C2937,Programme!D2937,Programme!E2937,Programme!F2937,Programme!G2937,Programme!H2937,Programme!I2937)</f>
        <v>&lt;cellule&gt;</v>
      </c>
    </row>
    <row r="2937" spans="1:1" x14ac:dyDescent="0.2">
      <c r="A2937" s="1135" t="str">
        <f>CONCATENATE(Programme!C2938,Programme!D2938,Programme!E2938,Programme!F2938,Programme!G2938,Programme!H2938,Programme!I2938)</f>
        <v>&lt;codeEdi&gt;11427&lt;/codeEdi&gt;</v>
      </c>
    </row>
    <row r="2938" spans="1:1" x14ac:dyDescent="0.2">
      <c r="A2938" s="1135" t="str">
        <f>CONCATENATE(Programme!C2939,Programme!D2939,Programme!E2939,Programme!F2939,Programme!G2939,Programme!H2939,Programme!I2939)</f>
        <v>&lt;/cellule&gt;</v>
      </c>
    </row>
    <row r="2939" spans="1:1" x14ac:dyDescent="0.2">
      <c r="A2939" s="1135" t="str">
        <f>CONCATENATE(Programme!C2940,Programme!D2940,Programme!E2940,Programme!F2940,Programme!G2940,Programme!H2940,Programme!I2940)</f>
        <v>&lt;valeur&gt;0&lt;/valeur&gt;</v>
      </c>
    </row>
    <row r="2940" spans="1:1" x14ac:dyDescent="0.2">
      <c r="A2940" s="1135" t="str">
        <f>CONCATENATE(Programme!C2941,Programme!D2941,Programme!E2941,Programme!F2941,Programme!G2941,Programme!H2941,Programme!I2941)</f>
        <v>&lt;/ValeurCellule&gt;</v>
      </c>
    </row>
    <row r="2941" spans="1:1" x14ac:dyDescent="0.2">
      <c r="A2941" s="1135" t="str">
        <f>CONCATENATE(Programme!C2942,Programme!D2942,Programme!E2942,Programme!F2942,Programme!G2942,Programme!H2942,Programme!I2942)</f>
        <v>&lt;ValeurCellule&gt;</v>
      </c>
    </row>
    <row r="2942" spans="1:1" x14ac:dyDescent="0.2">
      <c r="A2942" s="1135" t="str">
        <f>CONCATENATE(Programme!C2943,Programme!D2943,Programme!E2943,Programme!F2943,Programme!G2943,Programme!H2943,Programme!I2943)</f>
        <v>&lt;cellule&gt;</v>
      </c>
    </row>
    <row r="2943" spans="1:1" x14ac:dyDescent="0.2">
      <c r="A2943" s="1135" t="str">
        <f>CONCATENATE(Programme!C2944,Programme!D2944,Programme!E2944,Programme!F2944,Programme!G2944,Programme!H2944,Programme!I2944)</f>
        <v>&lt;codeEdi&gt;11428&lt;/codeEdi&gt;</v>
      </c>
    </row>
    <row r="2944" spans="1:1" x14ac:dyDescent="0.2">
      <c r="A2944" s="1135" t="str">
        <f>CONCATENATE(Programme!C2945,Programme!D2945,Programme!E2945,Programme!F2945,Programme!G2945,Programme!H2945,Programme!I2945)</f>
        <v>&lt;/cellule&gt;</v>
      </c>
    </row>
    <row r="2945" spans="1:1" x14ac:dyDescent="0.2">
      <c r="A2945" s="1135" t="str">
        <f>CONCATENATE(Programme!C2946,Programme!D2946,Programme!E2946,Programme!F2946,Programme!G2946,Programme!H2946,Programme!I2946)</f>
        <v>&lt;valeur&gt;381666,67&lt;/valeur&gt;</v>
      </c>
    </row>
    <row r="2946" spans="1:1" x14ac:dyDescent="0.2">
      <c r="A2946" s="1135" t="str">
        <f>CONCATENATE(Programme!C2947,Programme!D2947,Programme!E2947,Programme!F2947,Programme!G2947,Programme!H2947,Programme!I2947)</f>
        <v>&lt;/ValeurCellule&gt;</v>
      </c>
    </row>
    <row r="2947" spans="1:1" x14ac:dyDescent="0.2">
      <c r="A2947" s="1135" t="str">
        <f>CONCATENATE(Programme!C2948,Programme!D2948,Programme!E2948,Programme!F2948,Programme!G2948,Programme!H2948,Programme!I2948)</f>
        <v>&lt;ValeurCellule&gt;</v>
      </c>
    </row>
    <row r="2948" spans="1:1" x14ac:dyDescent="0.2">
      <c r="A2948" s="1135" t="str">
        <f>CONCATENATE(Programme!C2949,Programme!D2949,Programme!E2949,Programme!F2949,Programme!G2949,Programme!H2949,Programme!I2949)</f>
        <v>&lt;cellule&gt;</v>
      </c>
    </row>
    <row r="2949" spans="1:1" x14ac:dyDescent="0.2">
      <c r="A2949" s="1135" t="str">
        <f>CONCATENATE(Programme!C2950,Programme!D2950,Programme!E2950,Programme!F2950,Programme!G2950,Programme!H2950,Programme!I2950)</f>
        <v>&lt;codeEdi&gt;11429&lt;/codeEdi&gt;</v>
      </c>
    </row>
    <row r="2950" spans="1:1" x14ac:dyDescent="0.2">
      <c r="A2950" s="1135" t="str">
        <f>CONCATENATE(Programme!C2951,Programme!D2951,Programme!E2951,Programme!F2951,Programme!G2951,Programme!H2951,Programme!I2951)</f>
        <v>&lt;/cellule&gt;</v>
      </c>
    </row>
    <row r="2951" spans="1:1" x14ac:dyDescent="0.2">
      <c r="A2951" s="1135" t="str">
        <f>CONCATENATE(Programme!C2952,Programme!D2952,Programme!E2952,Programme!F2952,Programme!G2952,Programme!H2952,Programme!I2952)</f>
        <v>&lt;valeur&gt;0&lt;/valeur&gt;</v>
      </c>
    </row>
    <row r="2952" spans="1:1" x14ac:dyDescent="0.2">
      <c r="A2952" s="1135" t="str">
        <f>CONCATENATE(Programme!C2953,Programme!D2953,Programme!E2953,Programme!F2953,Programme!G2953,Programme!H2953,Programme!I2953)</f>
        <v>&lt;/ValeurCellule&gt;</v>
      </c>
    </row>
    <row r="2953" spans="1:1" x14ac:dyDescent="0.2">
      <c r="A2953" s="1135" t="str">
        <f>CONCATENATE(Programme!C2954,Programme!D2954,Programme!E2954,Programme!F2954,Programme!G2954,Programme!H2954,Programme!I2954)</f>
        <v>&lt;ValeurCellule&gt;</v>
      </c>
    </row>
    <row r="2954" spans="1:1" x14ac:dyDescent="0.2">
      <c r="A2954" s="1135" t="str">
        <f>CONCATENATE(Programme!C2955,Programme!D2955,Programme!E2955,Programme!F2955,Programme!G2955,Programme!H2955,Programme!I2955)</f>
        <v>&lt;cellule&gt;</v>
      </c>
    </row>
    <row r="2955" spans="1:1" x14ac:dyDescent="0.2">
      <c r="A2955" s="1135" t="str">
        <f>CONCATENATE(Programme!C2956,Programme!D2956,Programme!E2956,Programme!F2956,Programme!G2956,Programme!H2956,Programme!I2956)</f>
        <v>&lt;codeEdi&gt;11431&lt;/codeEdi&gt;</v>
      </c>
    </row>
    <row r="2956" spans="1:1" x14ac:dyDescent="0.2">
      <c r="A2956" s="1135" t="str">
        <f>CONCATENATE(Programme!C2957,Programme!D2957,Programme!E2957,Programme!F2957,Programme!G2957,Programme!H2957,Programme!I2957)</f>
        <v>&lt;/cellule&gt;</v>
      </c>
    </row>
    <row r="2957" spans="1:1" x14ac:dyDescent="0.2">
      <c r="A2957" s="1135" t="str">
        <f>CONCATENATE(Programme!C2958,Programme!D2958,Programme!E2958,Programme!F2958,Programme!G2958,Programme!H2958,Programme!I2958)</f>
        <v>&lt;valeur&gt;360214,23&lt;/valeur&gt;</v>
      </c>
    </row>
    <row r="2958" spans="1:1" x14ac:dyDescent="0.2">
      <c r="A2958" s="1135" t="str">
        <f>CONCATENATE(Programme!C2959,Programme!D2959,Programme!E2959,Programme!F2959,Programme!G2959,Programme!H2959,Programme!I2959)</f>
        <v>&lt;/ValeurCellule&gt;</v>
      </c>
    </row>
    <row r="2959" spans="1:1" x14ac:dyDescent="0.2">
      <c r="A2959" s="1135" t="str">
        <f>CONCATENATE(Programme!C2960,Programme!D2960,Programme!E2960,Programme!F2960,Programme!G2960,Programme!H2960,Programme!I2960)</f>
        <v>&lt;ValeurCellule&gt;</v>
      </c>
    </row>
    <row r="2960" spans="1:1" x14ac:dyDescent="0.2">
      <c r="A2960" s="1135" t="str">
        <f>CONCATENATE(Programme!C2961,Programme!D2961,Programme!E2961,Programme!F2961,Programme!G2961,Programme!H2961,Programme!I2961)</f>
        <v>&lt;cellule&gt;</v>
      </c>
    </row>
    <row r="2961" spans="1:1" x14ac:dyDescent="0.2">
      <c r="A2961" s="1135" t="str">
        <f>CONCATENATE(Programme!C2962,Programme!D2962,Programme!E2962,Programme!F2962,Programme!G2962,Programme!H2962,Programme!I2962)</f>
        <v>&lt;codeEdi&gt;11432&lt;/codeEdi&gt;</v>
      </c>
    </row>
    <row r="2962" spans="1:1" x14ac:dyDescent="0.2">
      <c r="A2962" s="1135" t="str">
        <f>CONCATENATE(Programme!C2963,Programme!D2963,Programme!E2963,Programme!F2963,Programme!G2963,Programme!H2963,Programme!I2963)</f>
        <v>&lt;/cellule&gt;</v>
      </c>
    </row>
    <row r="2963" spans="1:1" x14ac:dyDescent="0.2">
      <c r="A2963" s="1135" t="str">
        <f>CONCATENATE(Programme!C2964,Programme!D2964,Programme!E2964,Programme!F2964,Programme!G2964,Programme!H2964,Programme!I2964)</f>
        <v>&lt;valeur&gt;0&lt;/valeur&gt;</v>
      </c>
    </row>
    <row r="2964" spans="1:1" x14ac:dyDescent="0.2">
      <c r="A2964" s="1135" t="str">
        <f>CONCATENATE(Programme!C2965,Programme!D2965,Programme!E2965,Programme!F2965,Programme!G2965,Programme!H2965,Programme!I2965)</f>
        <v>&lt;/ValeurCellule&gt;</v>
      </c>
    </row>
    <row r="2965" spans="1:1" x14ac:dyDescent="0.2">
      <c r="A2965" s="1135" t="str">
        <f>CONCATENATE(Programme!C2966,Programme!D2966,Programme!E2966,Programme!F2966,Programme!G2966,Programme!H2966,Programme!I2966)</f>
        <v>&lt;ValeurCellule&gt;</v>
      </c>
    </row>
    <row r="2966" spans="1:1" x14ac:dyDescent="0.2">
      <c r="A2966" s="1135" t="str">
        <f>CONCATENATE(Programme!C2967,Programme!D2967,Programme!E2967,Programme!F2967,Programme!G2967,Programme!H2967,Programme!I2967)</f>
        <v>&lt;cellule&gt;</v>
      </c>
    </row>
    <row r="2967" spans="1:1" x14ac:dyDescent="0.2">
      <c r="A2967" s="1135" t="str">
        <f>CONCATENATE(Programme!C2968,Programme!D2968,Programme!E2968,Programme!F2968,Programme!G2968,Programme!H2968,Programme!I2968)</f>
        <v>&lt;codeEdi&gt;11433&lt;/codeEdi&gt;</v>
      </c>
    </row>
    <row r="2968" spans="1:1" x14ac:dyDescent="0.2">
      <c r="A2968" s="1135" t="str">
        <f>CONCATENATE(Programme!C2969,Programme!D2969,Programme!E2969,Programme!F2969,Programme!G2969,Programme!H2969,Programme!I2969)</f>
        <v>&lt;/cellule&gt;</v>
      </c>
    </row>
    <row r="2969" spans="1:1" x14ac:dyDescent="0.2">
      <c r="A2969" s="1135" t="str">
        <f>CONCATENATE(Programme!C2970,Programme!D2970,Programme!E2970,Programme!F2970,Programme!G2970,Programme!H2970,Programme!I2970)</f>
        <v>&lt;valeur&gt;360214,23&lt;/valeur&gt;</v>
      </c>
    </row>
    <row r="2970" spans="1:1" x14ac:dyDescent="0.2">
      <c r="A2970" s="1135" t="str">
        <f>CONCATENATE(Programme!C2971,Programme!D2971,Programme!E2971,Programme!F2971,Programme!G2971,Programme!H2971,Programme!I2971)</f>
        <v>&lt;/ValeurCellule&gt;</v>
      </c>
    </row>
    <row r="2971" spans="1:1" x14ac:dyDescent="0.2">
      <c r="A2971" s="1135" t="str">
        <f>CONCATENATE(Programme!C2972,Programme!D2972,Programme!E2972,Programme!F2972,Programme!G2972,Programme!H2972,Programme!I2972)</f>
        <v>&lt;ValeurCellule&gt;</v>
      </c>
    </row>
    <row r="2972" spans="1:1" x14ac:dyDescent="0.2">
      <c r="A2972" s="1135" t="str">
        <f>CONCATENATE(Programme!C2973,Programme!D2973,Programme!E2973,Programme!F2973,Programme!G2973,Programme!H2973,Programme!I2973)</f>
        <v>&lt;cellule&gt;</v>
      </c>
    </row>
    <row r="2973" spans="1:1" x14ac:dyDescent="0.2">
      <c r="A2973" s="1135" t="str">
        <f>CONCATENATE(Programme!C2974,Programme!D2974,Programme!E2974,Programme!F2974,Programme!G2974,Programme!H2974,Programme!I2974)</f>
        <v>&lt;codeEdi&gt;11434&lt;/codeEdi&gt;</v>
      </c>
    </row>
    <row r="2974" spans="1:1" x14ac:dyDescent="0.2">
      <c r="A2974" s="1135" t="str">
        <f>CONCATENATE(Programme!C2975,Programme!D2975,Programme!E2975,Programme!F2975,Programme!G2975,Programme!H2975,Programme!I2975)</f>
        <v>&lt;/cellule&gt;</v>
      </c>
    </row>
    <row r="2975" spans="1:1" x14ac:dyDescent="0.2">
      <c r="A2975" s="1135" t="str">
        <f>CONCATENATE(Programme!C2976,Programme!D2976,Programme!E2976,Programme!F2976,Programme!G2976,Programme!H2976,Programme!I2976)</f>
        <v>&lt;valeur&gt;18918,67&lt;/valeur&gt;</v>
      </c>
    </row>
    <row r="2976" spans="1:1" x14ac:dyDescent="0.2">
      <c r="A2976" s="1135" t="str">
        <f>CONCATENATE(Programme!C2977,Programme!D2977,Programme!E2977,Programme!F2977,Programme!G2977,Programme!H2977,Programme!I2977)</f>
        <v>&lt;/ValeurCellule&gt;</v>
      </c>
    </row>
    <row r="2977" spans="1:1" x14ac:dyDescent="0.2">
      <c r="A2977" s="1135" t="str">
        <f>CONCATENATE(Programme!C2978,Programme!D2978,Programme!E2978,Programme!F2978,Programme!G2978,Programme!H2978,Programme!I2978)</f>
        <v>&lt;ValeurCellule&gt;</v>
      </c>
    </row>
    <row r="2978" spans="1:1" x14ac:dyDescent="0.2">
      <c r="A2978" s="1135" t="str">
        <f>CONCATENATE(Programme!C2979,Programme!D2979,Programme!E2979,Programme!F2979,Programme!G2979,Programme!H2979,Programme!I2979)</f>
        <v>&lt;cellule&gt;</v>
      </c>
    </row>
    <row r="2979" spans="1:1" x14ac:dyDescent="0.2">
      <c r="A2979" s="1135" t="str">
        <f>CONCATENATE(Programme!C2980,Programme!D2980,Programme!E2980,Programme!F2980,Programme!G2980,Programme!H2980,Programme!I2980)</f>
        <v>&lt;codeEdi&gt;11436&lt;/codeEdi&gt;</v>
      </c>
    </row>
    <row r="2980" spans="1:1" x14ac:dyDescent="0.2">
      <c r="A2980" s="1135" t="str">
        <f>CONCATENATE(Programme!C2981,Programme!D2981,Programme!E2981,Programme!F2981,Programme!G2981,Programme!H2981,Programme!I2981)</f>
        <v>&lt;/cellule&gt;</v>
      </c>
    </row>
    <row r="2981" spans="1:1" x14ac:dyDescent="0.2">
      <c r="A2981" s="1135" t="str">
        <f>CONCATENATE(Programme!C2982,Programme!D2982,Programme!E2982,Programme!F2982,Programme!G2982,Programme!H2982,Programme!I2982)</f>
        <v>&lt;valeur&gt;21452,44&lt;/valeur&gt;</v>
      </c>
    </row>
    <row r="2982" spans="1:1" x14ac:dyDescent="0.2">
      <c r="A2982" s="1135" t="str">
        <f>CONCATENATE(Programme!C2983,Programme!D2983,Programme!E2983,Programme!F2983,Programme!G2983,Programme!H2983,Programme!I2983)</f>
        <v>&lt;/ValeurCellule&gt;</v>
      </c>
    </row>
    <row r="2983" spans="1:1" x14ac:dyDescent="0.2">
      <c r="A2983" s="1135" t="str">
        <f>CONCATENATE(Programme!C2984,Programme!D2984,Programme!E2984,Programme!F2984,Programme!G2984,Programme!H2984,Programme!I2984)</f>
        <v>&lt;ValeurCellule&gt;</v>
      </c>
    </row>
    <row r="2984" spans="1:1" x14ac:dyDescent="0.2">
      <c r="A2984" s="1135" t="str">
        <f>CONCATENATE(Programme!C2985,Programme!D2985,Programme!E2985,Programme!F2985,Programme!G2985,Programme!H2985,Programme!I2985)</f>
        <v>&lt;cellule&gt;</v>
      </c>
    </row>
    <row r="2985" spans="1:1" x14ac:dyDescent="0.2">
      <c r="A2985" s="1135" t="str">
        <f>CONCATENATE(Programme!C2986,Programme!D2986,Programme!E2986,Programme!F2986,Programme!G2986,Programme!H2986,Programme!I2986)</f>
        <v>&lt;codeEdi&gt;11437&lt;/codeEdi&gt;</v>
      </c>
    </row>
    <row r="2986" spans="1:1" x14ac:dyDescent="0.2">
      <c r="A2986" s="1135" t="str">
        <f>CONCATENATE(Programme!C2987,Programme!D2987,Programme!E2987,Programme!F2987,Programme!G2987,Programme!H2987,Programme!I2987)</f>
        <v>&lt;/cellule&gt;</v>
      </c>
    </row>
    <row r="2987" spans="1:1" x14ac:dyDescent="0.2">
      <c r="A2987" s="1135" t="str">
        <f>CONCATENATE(Programme!C2988,Programme!D2988,Programme!E2988,Programme!F2988,Programme!G2988,Programme!H2988,Programme!I2988)</f>
        <v>&lt;valeur&gt;0&lt;/valeur&gt;</v>
      </c>
    </row>
    <row r="2988" spans="1:1" x14ac:dyDescent="0.2">
      <c r="A2988" s="1135" t="str">
        <f>CONCATENATE(Programme!C2989,Programme!D2989,Programme!E2989,Programme!F2989,Programme!G2989,Programme!H2989,Programme!I2989)</f>
        <v>&lt;/ValeurCellule&gt;</v>
      </c>
    </row>
    <row r="2989" spans="1:1" x14ac:dyDescent="0.2">
      <c r="A2989" s="1135" t="str">
        <f>CONCATENATE(Programme!C2990,Programme!D2990,Programme!E2990,Programme!F2990,Programme!G2990,Programme!H2990,Programme!I2990)</f>
        <v>&lt;ValeurCellule&gt;</v>
      </c>
    </row>
    <row r="2990" spans="1:1" x14ac:dyDescent="0.2">
      <c r="A2990" s="1135" t="str">
        <f>CONCATENATE(Programme!C2991,Programme!D2991,Programme!E2991,Programme!F2991,Programme!G2991,Programme!H2991,Programme!I2991)</f>
        <v>&lt;cellule&gt;</v>
      </c>
    </row>
    <row r="2991" spans="1:1" x14ac:dyDescent="0.2">
      <c r="A2991" s="1135" t="str">
        <f>CONCATENATE(Programme!C2992,Programme!D2992,Programme!E2992,Programme!F2992,Programme!G2992,Programme!H2992,Programme!I2992)</f>
        <v>&lt;codeEdi&gt;11438&lt;/codeEdi&gt;</v>
      </c>
    </row>
    <row r="2992" spans="1:1" x14ac:dyDescent="0.2">
      <c r="A2992" s="1135" t="str">
        <f>CONCATENATE(Programme!C2993,Programme!D2993,Programme!E2993,Programme!F2993,Programme!G2993,Programme!H2993,Programme!I2993)</f>
        <v>&lt;/cellule&gt;</v>
      </c>
    </row>
    <row r="2993" spans="1:1" x14ac:dyDescent="0.2">
      <c r="A2993" s="1135" t="str">
        <f>CONCATENATE(Programme!C2994,Programme!D2994,Programme!E2994,Programme!F2994,Programme!G2994,Programme!H2994,Programme!I2994)</f>
        <v>&lt;valeur&gt;21452,44&lt;/valeur&gt;</v>
      </c>
    </row>
    <row r="2994" spans="1:1" x14ac:dyDescent="0.2">
      <c r="A2994" s="1135" t="str">
        <f>CONCATENATE(Programme!C2995,Programme!D2995,Programme!E2995,Programme!F2995,Programme!G2995,Programme!H2995,Programme!I2995)</f>
        <v>&lt;/ValeurCellule&gt;</v>
      </c>
    </row>
    <row r="2995" spans="1:1" x14ac:dyDescent="0.2">
      <c r="A2995" s="1135" t="str">
        <f>CONCATENATE(Programme!C2996,Programme!D2996,Programme!E2996,Programme!F2996,Programme!G2996,Programme!H2996,Programme!I2996)</f>
        <v>&lt;ValeurCellule&gt;</v>
      </c>
    </row>
    <row r="2996" spans="1:1" x14ac:dyDescent="0.2">
      <c r="A2996" s="1135" t="str">
        <f>CONCATENATE(Programme!C2997,Programme!D2997,Programme!E2997,Programme!F2997,Programme!G2997,Programme!H2997,Programme!I2997)</f>
        <v>&lt;cellule&gt;</v>
      </c>
    </row>
    <row r="2997" spans="1:1" x14ac:dyDescent="0.2">
      <c r="A2997" s="1135" t="str">
        <f>CONCATENATE(Programme!C2998,Programme!D2998,Programme!E2998,Programme!F2998,Programme!G2998,Programme!H2998,Programme!I2998)</f>
        <v>&lt;codeEdi&gt;11439&lt;/codeEdi&gt;</v>
      </c>
    </row>
    <row r="2998" spans="1:1" x14ac:dyDescent="0.2">
      <c r="A2998" s="1135" t="str">
        <f>CONCATENATE(Programme!C2999,Programme!D2999,Programme!E2999,Programme!F2999,Programme!G2999,Programme!H2999,Programme!I2999)</f>
        <v>&lt;/cellule&gt;</v>
      </c>
    </row>
    <row r="2999" spans="1:1" x14ac:dyDescent="0.2">
      <c r="A2999" s="1135" t="str">
        <f>CONCATENATE(Programme!C3000,Programme!D3000,Programme!E3000,Programme!F3000,Programme!G3000,Programme!H3000,Programme!I3000)</f>
        <v>&lt;valeur&gt;-18918,67&lt;/valeur&gt;</v>
      </c>
    </row>
    <row r="3000" spans="1:1" x14ac:dyDescent="0.2">
      <c r="A3000" s="1135" t="str">
        <f>CONCATENATE(Programme!C3001,Programme!D3001,Programme!E3001,Programme!F3001,Programme!G3001,Programme!H3001,Programme!I3001)</f>
        <v>&lt;/ValeurCellule&gt;</v>
      </c>
    </row>
    <row r="3001" spans="1:1" x14ac:dyDescent="0.2">
      <c r="A3001" s="1135" t="str">
        <f>CONCATENATE(Programme!C3002,Programme!D3002,Programme!E3002,Programme!F3002,Programme!G3002,Programme!H3002,Programme!I3002)</f>
        <v>&lt;/groupeValeurs&gt;</v>
      </c>
    </row>
    <row r="3002" spans="1:1" x14ac:dyDescent="0.2">
      <c r="A3002" s="1135" t="str">
        <f>CONCATENATE(Programme!C3003,Programme!D3003,Programme!E3003,Programme!F3003,Programme!G3003,Programme!H3003,Programme!I3003)</f>
        <v>&lt;extraFieldvaleurs&gt;</v>
      </c>
    </row>
    <row r="3003" spans="1:1" x14ac:dyDescent="0.2">
      <c r="A3003" s="1135" t="str">
        <f>CONCATENATE(Programme!C3004,Programme!D3004,Programme!E3004,Programme!F3004,Programme!G3004,Programme!H3004,Programme!I3004)</f>
        <v>&lt;/extraFieldvaleurs&gt;</v>
      </c>
    </row>
    <row r="3004" spans="1:1" x14ac:dyDescent="0.2">
      <c r="A3004" s="1135" t="str">
        <f>CONCATENATE(Programme!C3005,Programme!D3005,Programme!E3005,Programme!F3005,Programme!G3005,Programme!H3005,Programme!I3005)</f>
        <v>&lt;/ValeursTableau&gt;</v>
      </c>
    </row>
    <row r="3005" spans="1:1" x14ac:dyDescent="0.2">
      <c r="A3005" s="1135" t="str">
        <f>CONCATENATE(Programme!C3006,Programme!D3006,Programme!E3006,Programme!F3006,Programme!G3006,Programme!H3006,Programme!I3006)</f>
        <v>&lt;ValeursTableau&gt;</v>
      </c>
    </row>
    <row r="3006" spans="1:1" x14ac:dyDescent="0.2">
      <c r="A3006" s="1135" t="str">
        <f>CONCATENATE(Programme!C3007,Programme!D3007,Programme!E3007,Programme!F3007,Programme!G3007,Programme!H3007,Programme!I3007)</f>
        <v>&lt;tableau&gt;&lt;id&gt;7&lt;/id&gt;&lt;/tableau&gt;</v>
      </c>
    </row>
    <row r="3007" spans="1:1" x14ac:dyDescent="0.2">
      <c r="A3007" s="1135" t="str">
        <f>CONCATENATE(Programme!C3008,Programme!D3008,Programme!E3008,Programme!F3008,Programme!G3008,Programme!H3008,Programme!I3008)</f>
        <v>&lt;groupeValeurs&gt;</v>
      </c>
    </row>
    <row r="3008" spans="1:1" x14ac:dyDescent="0.2">
      <c r="A3008" s="1135" t="str">
        <f>CONCATENATE(Programme!C3009,Programme!D3009,Programme!E3009,Programme!F3009,Programme!G3009,Programme!H3009,Programme!I3009)</f>
        <v>&lt;ValeurCellule&gt;</v>
      </c>
    </row>
    <row r="3009" spans="1:1" x14ac:dyDescent="0.2">
      <c r="A3009" s="1135" t="str">
        <f>CONCATENATE(Programme!C3010,Programme!D3010,Programme!E3010,Programme!F3010,Programme!G3010,Programme!H3010,Programme!I3010)</f>
        <v>&lt;cellule&gt;</v>
      </c>
    </row>
    <row r="3010" spans="1:1" x14ac:dyDescent="0.2">
      <c r="A3010" s="1135" t="str">
        <f>CONCATENATE(Programme!C3011,Programme!D3011,Programme!E3011,Programme!F3011,Programme!G3011,Programme!H3011,Programme!I3011)</f>
        <v>&lt;codeEdi&gt;817&lt;/codeEdi&gt;</v>
      </c>
    </row>
    <row r="3011" spans="1:1" x14ac:dyDescent="0.2">
      <c r="A3011" s="1135" t="str">
        <f>CONCATENATE(Programme!C3012,Programme!D3012,Programme!E3012,Programme!F3012,Programme!G3012,Programme!H3012,Programme!I3012)</f>
        <v>&lt;/cellule&gt;</v>
      </c>
    </row>
    <row r="3012" spans="1:1" x14ac:dyDescent="0.2">
      <c r="A3012" s="1135" t="str">
        <f>CONCATENATE(Programme!C3013,Programme!D3013,Programme!E3013,Programme!F3013,Programme!G3013,Programme!H3013,Programme!I3013)</f>
        <v>&lt;valeur&gt;21452,44&lt;/valeur&gt;</v>
      </c>
    </row>
    <row r="3013" spans="1:1" x14ac:dyDescent="0.2">
      <c r="A3013" s="1135" t="str">
        <f>CONCATENATE(Programme!C3014,Programme!D3014,Programme!E3014,Programme!F3014,Programme!G3014,Programme!H3014,Programme!I3014)</f>
        <v>&lt;/ValeurCellule&gt;</v>
      </c>
    </row>
    <row r="3014" spans="1:1" x14ac:dyDescent="0.2">
      <c r="A3014" s="1135" t="str">
        <f>CONCATENATE(Programme!C3015,Programme!D3015,Programme!E3015,Programme!F3015,Programme!G3015,Programme!H3015,Programme!I3015)</f>
        <v>&lt;ValeurCellule&gt;</v>
      </c>
    </row>
    <row r="3015" spans="1:1" x14ac:dyDescent="0.2">
      <c r="A3015" s="1135" t="str">
        <f>CONCATENATE(Programme!C3016,Programme!D3016,Programme!E3016,Programme!F3016,Programme!G3016,Programme!H3016,Programme!I3016)</f>
        <v>&lt;cellule&gt;</v>
      </c>
    </row>
    <row r="3016" spans="1:1" x14ac:dyDescent="0.2">
      <c r="A3016" s="1135" t="str">
        <f>CONCATENATE(Programme!C3017,Programme!D3017,Programme!E3017,Programme!F3017,Programme!G3017,Programme!H3017,Programme!I3017)</f>
        <v>&lt;codeEdi&gt;818&lt;/codeEdi&gt;</v>
      </c>
    </row>
    <row r="3017" spans="1:1" x14ac:dyDescent="0.2">
      <c r="A3017" s="1135" t="str">
        <f>CONCATENATE(Programme!C3018,Programme!D3018,Programme!E3018,Programme!F3018,Programme!G3018,Programme!H3018,Programme!I3018)</f>
        <v>&lt;/cellule&gt;</v>
      </c>
    </row>
    <row r="3018" spans="1:1" x14ac:dyDescent="0.2">
      <c r="A3018" s="1135" t="str">
        <f>CONCATENATE(Programme!C3019,Programme!D3019,Programme!E3019,Programme!F3019,Programme!G3019,Programme!H3019,Programme!I3019)</f>
        <v>&lt;valeur&gt;&lt;/valeur&gt;</v>
      </c>
    </row>
    <row r="3019" spans="1:1" x14ac:dyDescent="0.2">
      <c r="A3019" s="1135" t="str">
        <f>CONCATENATE(Programme!C3020,Programme!D3020,Programme!E3020,Programme!F3020,Programme!G3020,Programme!H3020,Programme!I3020)</f>
        <v>&lt;/ValeurCellule&gt;</v>
      </c>
    </row>
    <row r="3020" spans="1:1" x14ac:dyDescent="0.2">
      <c r="A3020" s="1135" t="str">
        <f>CONCATENATE(Programme!C3021,Programme!D3021,Programme!E3021,Programme!F3021,Programme!G3021,Programme!H3021,Programme!I3021)</f>
        <v>&lt;ValeurCellule&gt;</v>
      </c>
    </row>
    <row r="3021" spans="1:1" x14ac:dyDescent="0.2">
      <c r="A3021" s="1135" t="str">
        <f>CONCATENATE(Programme!C3022,Programme!D3022,Programme!E3022,Programme!F3022,Programme!G3022,Programme!H3022,Programme!I3022)</f>
        <v>&lt;cellule&gt;</v>
      </c>
    </row>
    <row r="3022" spans="1:1" x14ac:dyDescent="0.2">
      <c r="A3022" s="1135" t="str">
        <f>CONCATENATE(Programme!C3023,Programme!D3023,Programme!E3023,Programme!F3023,Programme!G3023,Programme!H3023,Programme!I3023)</f>
        <v>&lt;codeEdi&gt;819&lt;/codeEdi&gt;</v>
      </c>
    </row>
    <row r="3023" spans="1:1" x14ac:dyDescent="0.2">
      <c r="A3023" s="1135" t="str">
        <f>CONCATENATE(Programme!C3024,Programme!D3024,Programme!E3024,Programme!F3024,Programme!G3024,Programme!H3024,Programme!I3024)</f>
        <v>&lt;/cellule&gt;</v>
      </c>
    </row>
    <row r="3024" spans="1:1" x14ac:dyDescent="0.2">
      <c r="A3024" s="1135" t="str">
        <f>CONCATENATE(Programme!C3025,Programme!D3025,Programme!E3025,Programme!F3025,Programme!G3025,Programme!H3025,Programme!I3025)</f>
        <v>&lt;valeur&gt;&lt;/valeur&gt;</v>
      </c>
    </row>
    <row r="3025" spans="1:1" x14ac:dyDescent="0.2">
      <c r="A3025" s="1135" t="str">
        <f>CONCATENATE(Programme!C3026,Programme!D3026,Programme!E3026,Programme!F3026,Programme!G3026,Programme!H3026,Programme!I3026)</f>
        <v>&lt;/ValeurCellule&gt;</v>
      </c>
    </row>
    <row r="3026" spans="1:1" x14ac:dyDescent="0.2">
      <c r="A3026" s="1135" t="str">
        <f>CONCATENATE(Programme!C3027,Programme!D3027,Programme!E3027,Programme!F3027,Programme!G3027,Programme!H3027,Programme!I3027)</f>
        <v>&lt;ValeurCellule&gt;</v>
      </c>
    </row>
    <row r="3027" spans="1:1" x14ac:dyDescent="0.2">
      <c r="A3027" s="1135" t="str">
        <f>CONCATENATE(Programme!C3028,Programme!D3028,Programme!E3028,Programme!F3028,Programme!G3028,Programme!H3028,Programme!I3028)</f>
        <v>&lt;cellule&gt;</v>
      </c>
    </row>
    <row r="3028" spans="1:1" x14ac:dyDescent="0.2">
      <c r="A3028" s="1135" t="str">
        <f>CONCATENATE(Programme!C3029,Programme!D3029,Programme!E3029,Programme!F3029,Programme!G3029,Programme!H3029,Programme!I3029)</f>
        <v>&lt;codeEdi&gt;820&lt;/codeEdi&gt;</v>
      </c>
    </row>
    <row r="3029" spans="1:1" x14ac:dyDescent="0.2">
      <c r="A3029" s="1135" t="str">
        <f>CONCATENATE(Programme!C3030,Programme!D3030,Programme!E3030,Programme!F3030,Programme!G3030,Programme!H3030,Programme!I3030)</f>
        <v>&lt;/cellule&gt;</v>
      </c>
    </row>
    <row r="3030" spans="1:1" x14ac:dyDescent="0.2">
      <c r="A3030" s="1135" t="str">
        <f>CONCATENATE(Programme!C3031,Programme!D3031,Programme!E3031,Programme!F3031,Programme!G3031,Programme!H3031,Programme!I3031)</f>
        <v>&lt;valeur&gt;0&lt;/valeur&gt;</v>
      </c>
    </row>
    <row r="3031" spans="1:1" x14ac:dyDescent="0.2">
      <c r="A3031" s="1135" t="str">
        <f>CONCATENATE(Programme!C3032,Programme!D3032,Programme!E3032,Programme!F3032,Programme!G3032,Programme!H3032,Programme!I3032)</f>
        <v>&lt;/ValeurCellule&gt;</v>
      </c>
    </row>
    <row r="3032" spans="1:1" x14ac:dyDescent="0.2">
      <c r="A3032" s="1135" t="str">
        <f>CONCATENATE(Programme!C3033,Programme!D3033,Programme!E3033,Programme!F3033,Programme!G3033,Programme!H3033,Programme!I3033)</f>
        <v>&lt;ValeurCellule&gt;</v>
      </c>
    </row>
    <row r="3033" spans="1:1" x14ac:dyDescent="0.2">
      <c r="A3033" s="1135" t="str">
        <f>CONCATENATE(Programme!C3034,Programme!D3034,Programme!E3034,Programme!F3034,Programme!G3034,Programme!H3034,Programme!I3034)</f>
        <v>&lt;cellule&gt;&lt;codeEdi&gt;821&lt;/codeEdi&gt;&lt;/cellule&gt;</v>
      </c>
    </row>
    <row r="3034" spans="1:1" x14ac:dyDescent="0.2">
      <c r="A3034" s="1135" t="str">
        <f>CONCATENATE(Programme!C3035,Programme!D3035,Programme!E3035,Programme!F3035,Programme!G3035,Programme!H3035,Programme!I3035)</f>
        <v>&lt;valeur&gt;Excédent voiture de tourisme&lt;/valeur&gt;</v>
      </c>
    </row>
    <row r="3035" spans="1:1" x14ac:dyDescent="0.2">
      <c r="A3035" s="1135" t="str">
        <f>CONCATENATE(Programme!C3036,Programme!D3036,Programme!E3036,Programme!F3036,Programme!G3036,Programme!H3036,Programme!I3036)</f>
        <v>&lt;numeroLigne&gt;1&lt;/numeroLigne&gt;</v>
      </c>
    </row>
    <row r="3036" spans="1:1" x14ac:dyDescent="0.2">
      <c r="A3036" s="1135" t="str">
        <f>CONCATENATE(Programme!C3037,Programme!D3037,Programme!E3037,Programme!F3037,Programme!G3037,Programme!H3037,Programme!I3037)</f>
        <v>&lt;/ValeurCellule&gt;</v>
      </c>
    </row>
    <row r="3037" spans="1:1" x14ac:dyDescent="0.2">
      <c r="A3037" s="1135" t="str">
        <f>CONCATENATE(Programme!C3038,Programme!D3038,Programme!E3038,Programme!F3038,Programme!G3038,Programme!H3038,Programme!I3038)</f>
        <v>&lt;ValeurCellule&gt;</v>
      </c>
    </row>
    <row r="3038" spans="1:1" x14ac:dyDescent="0.2">
      <c r="A3038" s="1135" t="str">
        <f>CONCATENATE(Programme!C3039,Programme!D3039,Programme!E3039,Programme!F3039,Programme!G3039,Programme!H3039,Programme!I3039)</f>
        <v>&lt;cellule&gt;&lt;codeEdi&gt;822&lt;/codeEdi&gt;&lt;/cellule&gt;</v>
      </c>
    </row>
    <row r="3039" spans="1:1" x14ac:dyDescent="0.2">
      <c r="A3039" s="1135" t="str">
        <f>CONCATENATE(Programme!C3040,Programme!D3040,Programme!E3040,Programme!F3040,Programme!G3040,Programme!H3040,Programme!I3040)</f>
        <v>&lt;valeur&gt;0&lt;/valeur&gt;</v>
      </c>
    </row>
    <row r="3040" spans="1:1" x14ac:dyDescent="0.2">
      <c r="A3040" s="1135" t="str">
        <f>CONCATENATE(Programme!C3041,Programme!D3041,Programme!E3041,Programme!F3041,Programme!G3041,Programme!H3041,Programme!I3041)</f>
        <v>&lt;numeroLigne&gt;1&lt;/numeroLigne&gt;</v>
      </c>
    </row>
    <row r="3041" spans="1:1" x14ac:dyDescent="0.2">
      <c r="A3041" s="1135" t="str">
        <f>CONCATENATE(Programme!C3042,Programme!D3042,Programme!E3042,Programme!F3042,Programme!G3042,Programme!H3042,Programme!I3042)</f>
        <v>&lt;/ValeurCellule&gt;</v>
      </c>
    </row>
    <row r="3042" spans="1:1" x14ac:dyDescent="0.2">
      <c r="A3042" s="1135" t="str">
        <f>CONCATENATE(Programme!C3043,Programme!D3043,Programme!E3043,Programme!F3043,Programme!G3043,Programme!H3043,Programme!I3043)</f>
        <v>&lt;ValeurCellule&gt;</v>
      </c>
    </row>
    <row r="3043" spans="1:1" x14ac:dyDescent="0.2">
      <c r="A3043" s="1135" t="str">
        <f>CONCATENATE(Programme!C3044,Programme!D3044,Programme!E3044,Programme!F3044,Programme!G3044,Programme!H3044,Programme!I3044)</f>
        <v>&lt;cellule&gt;&lt;codeEdi&gt;823&lt;/codeEdi&gt;&lt;/cellule&gt;</v>
      </c>
    </row>
    <row r="3044" spans="1:1" x14ac:dyDescent="0.2">
      <c r="A3044" s="1135" t="str">
        <f>CONCATENATE(Programme!C3045,Programme!D3045,Programme!E3045,Programme!F3045,Programme!G3045,Programme!H3045,Programme!I3045)</f>
        <v>&lt;valeur&gt;0&lt;/valeur&gt;</v>
      </c>
    </row>
    <row r="3045" spans="1:1" x14ac:dyDescent="0.2">
      <c r="A3045" s="1135" t="str">
        <f>CONCATENATE(Programme!C3046,Programme!D3046,Programme!E3046,Programme!F3046,Programme!G3046,Programme!H3046,Programme!I3046)</f>
        <v>&lt;numeroLigne&gt;1&lt;/numeroLigne&gt;</v>
      </c>
    </row>
    <row r="3046" spans="1:1" x14ac:dyDescent="0.2">
      <c r="A3046" s="1135" t="str">
        <f>CONCATENATE(Programme!C3047,Programme!D3047,Programme!E3047,Programme!F3047,Programme!G3047,Programme!H3047,Programme!I3047)</f>
        <v>&lt;/ValeurCellule&gt;</v>
      </c>
    </row>
    <row r="3047" spans="1:1" x14ac:dyDescent="0.2">
      <c r="A3047" s="1135" t="str">
        <f>CONCATENATE(Programme!C3048,Programme!D3048,Programme!E3048,Programme!F3048,Programme!G3048,Programme!H3048,Programme!I3048)</f>
        <v>&lt;ValeurCellule&gt;</v>
      </c>
    </row>
    <row r="3048" spans="1:1" x14ac:dyDescent="0.2">
      <c r="A3048" s="1135" t="str">
        <f>CONCATENATE(Programme!C3049,Programme!D3049,Programme!E3049,Programme!F3049,Programme!G3049,Programme!H3049,Programme!I3049)</f>
        <v>&lt;cellule&gt;&lt;codeEdi&gt;821&lt;/codeEdi&gt;&lt;/cellule&gt;</v>
      </c>
    </row>
    <row r="3049" spans="1:1" x14ac:dyDescent="0.2">
      <c r="A3049" s="1135" t="str">
        <f>CONCATENATE(Programme!C3050,Programme!D3050,Programme!E3050,Programme!F3050,Programme!G3050,Programme!H3050,Programme!I3050)</f>
        <v>&lt;valeur&gt;&lt;/valeur&gt;</v>
      </c>
    </row>
    <row r="3050" spans="1:1" x14ac:dyDescent="0.2">
      <c r="A3050" s="1135" t="str">
        <f>CONCATENATE(Programme!C3051,Programme!D3051,Programme!E3051,Programme!F3051,Programme!G3051,Programme!H3051,Programme!I3051)</f>
        <v>&lt;numeroLigne&gt;2&lt;/numeroLigne&gt;</v>
      </c>
    </row>
    <row r="3051" spans="1:1" x14ac:dyDescent="0.2">
      <c r="A3051" s="1135" t="str">
        <f>CONCATENATE(Programme!C3052,Programme!D3052,Programme!E3052,Programme!F3052,Programme!G3052,Programme!H3052,Programme!I3052)</f>
        <v>&lt;/ValeurCellule&gt;</v>
      </c>
    </row>
    <row r="3052" spans="1:1" x14ac:dyDescent="0.2">
      <c r="A3052" s="1135" t="str">
        <f>CONCATENATE(Programme!C3053,Programme!D3053,Programme!E3053,Programme!F3053,Programme!G3053,Programme!H3053,Programme!I3053)</f>
        <v>&lt;ValeurCellule&gt;</v>
      </c>
    </row>
    <row r="3053" spans="1:1" x14ac:dyDescent="0.2">
      <c r="A3053" s="1135" t="str">
        <f>CONCATENATE(Programme!C3054,Programme!D3054,Programme!E3054,Programme!F3054,Programme!G3054,Programme!H3054,Programme!I3054)</f>
        <v>&lt;cellule&gt;&lt;codeEdi&gt;822&lt;/codeEdi&gt;&lt;/cellule&gt;</v>
      </c>
    </row>
    <row r="3054" spans="1:1" x14ac:dyDescent="0.2">
      <c r="A3054" s="1135" t="str">
        <f>CONCATENATE(Programme!C3055,Programme!D3055,Programme!E3055,Programme!F3055,Programme!G3055,Programme!H3055,Programme!I3055)</f>
        <v>&lt;valeur&gt;0&lt;/valeur&gt;</v>
      </c>
    </row>
    <row r="3055" spans="1:1" x14ac:dyDescent="0.2">
      <c r="A3055" s="1135" t="str">
        <f>CONCATENATE(Programme!C3056,Programme!D3056,Programme!E3056,Programme!F3056,Programme!G3056,Programme!H3056,Programme!I3056)</f>
        <v>&lt;numeroLigne&gt;2&lt;/numeroLigne&gt;</v>
      </c>
    </row>
    <row r="3056" spans="1:1" x14ac:dyDescent="0.2">
      <c r="A3056" s="1135" t="str">
        <f>CONCATENATE(Programme!C3057,Programme!D3057,Programme!E3057,Programme!F3057,Programme!G3057,Programme!H3057,Programme!I3057)</f>
        <v>&lt;/ValeurCellule&gt;</v>
      </c>
    </row>
    <row r="3057" spans="1:1" x14ac:dyDescent="0.2">
      <c r="A3057" s="1135" t="str">
        <f>CONCATENATE(Programme!C3058,Programme!D3058,Programme!E3058,Programme!F3058,Programme!G3058,Programme!H3058,Programme!I3058)</f>
        <v>&lt;ValeurCellule&gt;</v>
      </c>
    </row>
    <row r="3058" spans="1:1" x14ac:dyDescent="0.2">
      <c r="A3058" s="1135" t="str">
        <f>CONCATENATE(Programme!C3059,Programme!D3059,Programme!E3059,Programme!F3059,Programme!G3059,Programme!H3059,Programme!I3059)</f>
        <v>&lt;cellule&gt;&lt;codeEdi&gt;823&lt;/codeEdi&gt;&lt;/cellule&gt;</v>
      </c>
    </row>
    <row r="3059" spans="1:1" x14ac:dyDescent="0.2">
      <c r="A3059" s="1135" t="str">
        <f>CONCATENATE(Programme!C3060,Programme!D3060,Programme!E3060,Programme!F3060,Programme!G3060,Programme!H3060,Programme!I3060)</f>
        <v>&lt;valeur&gt;0&lt;/valeur&gt;</v>
      </c>
    </row>
    <row r="3060" spans="1:1" x14ac:dyDescent="0.2">
      <c r="A3060" s="1135" t="str">
        <f>CONCATENATE(Programme!C3061,Programme!D3061,Programme!E3061,Programme!F3061,Programme!G3061,Programme!H3061,Programme!I3061)</f>
        <v>&lt;numeroLigne&gt;2&lt;/numeroLigne&gt;</v>
      </c>
    </row>
    <row r="3061" spans="1:1" x14ac:dyDescent="0.2">
      <c r="A3061" s="1135" t="str">
        <f>CONCATENATE(Programme!C3062,Programme!D3062,Programme!E3062,Programme!F3062,Programme!G3062,Programme!H3062,Programme!I3062)</f>
        <v>&lt;/ValeurCellule&gt;</v>
      </c>
    </row>
    <row r="3062" spans="1:1" x14ac:dyDescent="0.2">
      <c r="A3062" s="1135" t="str">
        <f>CONCATENATE(Programme!C3063,Programme!D3063,Programme!E3063,Programme!F3063,Programme!G3063,Programme!H3063,Programme!I3063)</f>
        <v>&lt;ValeurCellule&gt;</v>
      </c>
    </row>
    <row r="3063" spans="1:1" x14ac:dyDescent="0.2">
      <c r="A3063" s="1135" t="str">
        <f>CONCATENATE(Programme!C3064,Programme!D3064,Programme!E3064,Programme!F3064,Programme!G3064,Programme!H3064,Programme!I3064)</f>
        <v>&lt;cellule&gt;&lt;codeEdi&gt;821&lt;/codeEdi&gt;&lt;/cellule&gt;</v>
      </c>
    </row>
    <row r="3064" spans="1:1" x14ac:dyDescent="0.2">
      <c r="A3064" s="1135" t="str">
        <f>CONCATENATE(Programme!C3065,Programme!D3065,Programme!E3065,Programme!F3065,Programme!G3065,Programme!H3065,Programme!I3065)</f>
        <v>&lt;valeur&gt;&lt;/valeur&gt;</v>
      </c>
    </row>
    <row r="3065" spans="1:1" x14ac:dyDescent="0.2">
      <c r="A3065" s="1135" t="str">
        <f>CONCATENATE(Programme!C3066,Programme!D3066,Programme!E3066,Programme!F3066,Programme!G3066,Programme!H3066,Programme!I3066)</f>
        <v>&lt;numeroLigne&gt;3&lt;/numeroLigne&gt;</v>
      </c>
    </row>
    <row r="3066" spans="1:1" x14ac:dyDescent="0.2">
      <c r="A3066" s="1135" t="str">
        <f>CONCATENATE(Programme!C3067,Programme!D3067,Programme!E3067,Programme!F3067,Programme!G3067,Programme!H3067,Programme!I3067)</f>
        <v>&lt;/ValeurCellule&gt;</v>
      </c>
    </row>
    <row r="3067" spans="1:1" x14ac:dyDescent="0.2">
      <c r="A3067" s="1135" t="str">
        <f>CONCATENATE(Programme!C3068,Programme!D3068,Programme!E3068,Programme!F3068,Programme!G3068,Programme!H3068,Programme!I3068)</f>
        <v>&lt;ValeurCellule&gt;</v>
      </c>
    </row>
    <row r="3068" spans="1:1" x14ac:dyDescent="0.2">
      <c r="A3068" s="1135" t="str">
        <f>CONCATENATE(Programme!C3069,Programme!D3069,Programme!E3069,Programme!F3069,Programme!G3069,Programme!H3069,Programme!I3069)</f>
        <v>&lt;cellule&gt;&lt;codeEdi&gt;822&lt;/codeEdi&gt;&lt;/cellule&gt;</v>
      </c>
    </row>
    <row r="3069" spans="1:1" x14ac:dyDescent="0.2">
      <c r="A3069" s="1135" t="str">
        <f>CONCATENATE(Programme!C3070,Programme!D3070,Programme!E3070,Programme!F3070,Programme!G3070,Programme!H3070,Programme!I3070)</f>
        <v>&lt;valeur&gt;0&lt;/valeur&gt;</v>
      </c>
    </row>
    <row r="3070" spans="1:1" x14ac:dyDescent="0.2">
      <c r="A3070" s="1135" t="str">
        <f>CONCATENATE(Programme!C3071,Programme!D3071,Programme!E3071,Programme!F3071,Programme!G3071,Programme!H3071,Programme!I3071)</f>
        <v>&lt;numeroLigne&gt;3&lt;/numeroLigne&gt;</v>
      </c>
    </row>
    <row r="3071" spans="1:1" x14ac:dyDescent="0.2">
      <c r="A3071" s="1135" t="str">
        <f>CONCATENATE(Programme!C3072,Programme!D3072,Programme!E3072,Programme!F3072,Programme!G3072,Programme!H3072,Programme!I3072)</f>
        <v>&lt;/ValeurCellule&gt;</v>
      </c>
    </row>
    <row r="3072" spans="1:1" x14ac:dyDescent="0.2">
      <c r="A3072" s="1135" t="str">
        <f>CONCATENATE(Programme!C3073,Programme!D3073,Programme!E3073,Programme!F3073,Programme!G3073,Programme!H3073,Programme!I3073)</f>
        <v>&lt;ValeurCellule&gt;</v>
      </c>
    </row>
    <row r="3073" spans="1:1" x14ac:dyDescent="0.2">
      <c r="A3073" s="1135" t="str">
        <f>CONCATENATE(Programme!C3074,Programme!D3074,Programme!E3074,Programme!F3074,Programme!G3074,Programme!H3074,Programme!I3074)</f>
        <v>&lt;cellule&gt;&lt;codeEdi&gt;823&lt;/codeEdi&gt;&lt;/cellule&gt;</v>
      </c>
    </row>
    <row r="3074" spans="1:1" x14ac:dyDescent="0.2">
      <c r="A3074" s="1135" t="str">
        <f>CONCATENATE(Programme!C3075,Programme!D3075,Programme!E3075,Programme!F3075,Programme!G3075,Programme!H3075,Programme!I3075)</f>
        <v>&lt;valeur&gt;0&lt;/valeur&gt;</v>
      </c>
    </row>
    <row r="3075" spans="1:1" x14ac:dyDescent="0.2">
      <c r="A3075" s="1135" t="str">
        <f>CONCATENATE(Programme!C3076,Programme!D3076,Programme!E3076,Programme!F3076,Programme!G3076,Programme!H3076,Programme!I3076)</f>
        <v>&lt;numeroLigne&gt;3&lt;/numeroLigne&gt;</v>
      </c>
    </row>
    <row r="3076" spans="1:1" x14ac:dyDescent="0.2">
      <c r="A3076" s="1135" t="str">
        <f>CONCATENATE(Programme!C3077,Programme!D3077,Programme!E3077,Programme!F3077,Programme!G3077,Programme!H3077,Programme!I3077)</f>
        <v>&lt;/ValeurCellule&gt;</v>
      </c>
    </row>
    <row r="3077" spans="1:1" x14ac:dyDescent="0.2">
      <c r="A3077" s="1135" t="str">
        <f>CONCATENATE(Programme!C3078,Programme!D3078,Programme!E3078,Programme!F3078,Programme!G3078,Programme!H3078,Programme!I3078)</f>
        <v>&lt;ValeurCellule&gt;</v>
      </c>
    </row>
    <row r="3078" spans="1:1" x14ac:dyDescent="0.2">
      <c r="A3078" s="1135" t="str">
        <f>CONCATENATE(Programme!C3079,Programme!D3079,Programme!E3079,Programme!F3079,Programme!G3079,Programme!H3079,Programme!I3079)</f>
        <v>&lt;cellule&gt;&lt;codeEdi&gt;821&lt;/codeEdi&gt;&lt;/cellule&gt;</v>
      </c>
    </row>
    <row r="3079" spans="1:1" x14ac:dyDescent="0.2">
      <c r="A3079" s="1135" t="str">
        <f>CONCATENATE(Programme!C3080,Programme!D3080,Programme!E3080,Programme!F3080,Programme!G3080,Programme!H3080,Programme!I3080)</f>
        <v>&lt;valeur&gt;&lt;/valeur&gt;</v>
      </c>
    </row>
    <row r="3080" spans="1:1" x14ac:dyDescent="0.2">
      <c r="A3080" s="1135" t="str">
        <f>CONCATENATE(Programme!C3081,Programme!D3081,Programme!E3081,Programme!F3081,Programme!G3081,Programme!H3081,Programme!I3081)</f>
        <v>&lt;numeroLigne&gt;4&lt;/numeroLigne&gt;</v>
      </c>
    </row>
    <row r="3081" spans="1:1" x14ac:dyDescent="0.2">
      <c r="A3081" s="1135" t="str">
        <f>CONCATENATE(Programme!C3082,Programme!D3082,Programme!E3082,Programme!F3082,Programme!G3082,Programme!H3082,Programme!I3082)</f>
        <v>&lt;/ValeurCellule&gt;</v>
      </c>
    </row>
    <row r="3082" spans="1:1" x14ac:dyDescent="0.2">
      <c r="A3082" s="1135" t="str">
        <f>CONCATENATE(Programme!C3083,Programme!D3083,Programme!E3083,Programme!F3083,Programme!G3083,Programme!H3083,Programme!I3083)</f>
        <v>&lt;ValeurCellule&gt;</v>
      </c>
    </row>
    <row r="3083" spans="1:1" x14ac:dyDescent="0.2">
      <c r="A3083" s="1135" t="str">
        <f>CONCATENATE(Programme!C3084,Programme!D3084,Programme!E3084,Programme!F3084,Programme!G3084,Programme!H3084,Programme!I3084)</f>
        <v>&lt;cellule&gt;&lt;codeEdi&gt;822&lt;/codeEdi&gt;&lt;/cellule&gt;</v>
      </c>
    </row>
    <row r="3084" spans="1:1" x14ac:dyDescent="0.2">
      <c r="A3084" s="1135" t="str">
        <f>CONCATENATE(Programme!C3085,Programme!D3085,Programme!E3085,Programme!F3085,Programme!G3085,Programme!H3085,Programme!I3085)</f>
        <v>&lt;valeur&gt;0&lt;/valeur&gt;</v>
      </c>
    </row>
    <row r="3085" spans="1:1" x14ac:dyDescent="0.2">
      <c r="A3085" s="1135" t="str">
        <f>CONCATENATE(Programme!C3086,Programme!D3086,Programme!E3086,Programme!F3086,Programme!G3086,Programme!H3086,Programme!I3086)</f>
        <v>&lt;numeroLigne&gt;4&lt;/numeroLigne&gt;</v>
      </c>
    </row>
    <row r="3086" spans="1:1" x14ac:dyDescent="0.2">
      <c r="A3086" s="1135" t="str">
        <f>CONCATENATE(Programme!C3087,Programme!D3087,Programme!E3087,Programme!F3087,Programme!G3087,Programme!H3087,Programme!I3087)</f>
        <v>&lt;/ValeurCellule&gt;</v>
      </c>
    </row>
    <row r="3087" spans="1:1" x14ac:dyDescent="0.2">
      <c r="A3087" s="1135" t="str">
        <f>CONCATENATE(Programme!C3088,Programme!D3088,Programme!E3088,Programme!F3088,Programme!G3088,Programme!H3088,Programme!I3088)</f>
        <v>&lt;ValeurCellule&gt;</v>
      </c>
    </row>
    <row r="3088" spans="1:1" x14ac:dyDescent="0.2">
      <c r="A3088" s="1135" t="str">
        <f>CONCATENATE(Programme!C3089,Programme!D3089,Programme!E3089,Programme!F3089,Programme!G3089,Programme!H3089,Programme!I3089)</f>
        <v>&lt;cellule&gt;&lt;codeEdi&gt;823&lt;/codeEdi&gt;&lt;/cellule&gt;</v>
      </c>
    </row>
    <row r="3089" spans="1:1" x14ac:dyDescent="0.2">
      <c r="A3089" s="1135" t="str">
        <f>CONCATENATE(Programme!C3090,Programme!D3090,Programme!E3090,Programme!F3090,Programme!G3090,Programme!H3090,Programme!I3090)</f>
        <v>&lt;valeur&gt;0&lt;/valeur&gt;</v>
      </c>
    </row>
    <row r="3090" spans="1:1" x14ac:dyDescent="0.2">
      <c r="A3090" s="1135" t="str">
        <f>CONCATENATE(Programme!C3091,Programme!D3091,Programme!E3091,Programme!F3091,Programme!G3091,Programme!H3091,Programme!I3091)</f>
        <v>&lt;numeroLigne&gt;4&lt;/numeroLigne&gt;</v>
      </c>
    </row>
    <row r="3091" spans="1:1" x14ac:dyDescent="0.2">
      <c r="A3091" s="1135" t="str">
        <f>CONCATENATE(Programme!C3092,Programme!D3092,Programme!E3092,Programme!F3092,Programme!G3092,Programme!H3092,Programme!I3092)</f>
        <v>&lt;/ValeurCellule&gt;</v>
      </c>
    </row>
    <row r="3092" spans="1:1" x14ac:dyDescent="0.2">
      <c r="A3092" s="1135" t="str">
        <f>CONCATENATE(Programme!C3093,Programme!D3093,Programme!E3093,Programme!F3093,Programme!G3093,Programme!H3093,Programme!I3093)</f>
        <v>&lt;ValeurCellule&gt;</v>
      </c>
    </row>
    <row r="3093" spans="1:1" x14ac:dyDescent="0.2">
      <c r="A3093" s="1135" t="str">
        <f>CONCATENATE(Programme!C3094,Programme!D3094,Programme!E3094,Programme!F3094,Programme!G3094,Programme!H3094,Programme!I3094)</f>
        <v>&lt;cellule&gt;&lt;codeEdi&gt;821&lt;/codeEdi&gt;&lt;/cellule&gt;</v>
      </c>
    </row>
    <row r="3094" spans="1:1" x14ac:dyDescent="0.2">
      <c r="A3094" s="1135" t="str">
        <f>CONCATENATE(Programme!C3095,Programme!D3095,Programme!E3095,Programme!F3095,Programme!G3095,Programme!H3095,Programme!I3095)</f>
        <v>&lt;valeur&gt;&lt;/valeur&gt;</v>
      </c>
    </row>
    <row r="3095" spans="1:1" x14ac:dyDescent="0.2">
      <c r="A3095" s="1135" t="str">
        <f>CONCATENATE(Programme!C3096,Programme!D3096,Programme!E3096,Programme!F3096,Programme!G3096,Programme!H3096,Programme!I3096)</f>
        <v>&lt;numeroLigne&gt;5&lt;/numeroLigne&gt;</v>
      </c>
    </row>
    <row r="3096" spans="1:1" x14ac:dyDescent="0.2">
      <c r="A3096" s="1135" t="str">
        <f>CONCATENATE(Programme!C3097,Programme!D3097,Programme!E3097,Programme!F3097,Programme!G3097,Programme!H3097,Programme!I3097)</f>
        <v>&lt;/ValeurCellule&gt;</v>
      </c>
    </row>
    <row r="3097" spans="1:1" x14ac:dyDescent="0.2">
      <c r="A3097" s="1135" t="str">
        <f>CONCATENATE(Programme!C3098,Programme!D3098,Programme!E3098,Programme!F3098,Programme!G3098,Programme!H3098,Programme!I3098)</f>
        <v>&lt;ValeurCellule&gt;</v>
      </c>
    </row>
    <row r="3098" spans="1:1" x14ac:dyDescent="0.2">
      <c r="A3098" s="1135" t="str">
        <f>CONCATENATE(Programme!C3099,Programme!D3099,Programme!E3099,Programme!F3099,Programme!G3099,Programme!H3099,Programme!I3099)</f>
        <v>&lt;cellule&gt;&lt;codeEdi&gt;822&lt;/codeEdi&gt;&lt;/cellule&gt;</v>
      </c>
    </row>
    <row r="3099" spans="1:1" x14ac:dyDescent="0.2">
      <c r="A3099" s="1135" t="str">
        <f>CONCATENATE(Programme!C3100,Programme!D3100,Programme!E3100,Programme!F3100,Programme!G3100,Programme!H3100,Programme!I3100)</f>
        <v>&lt;valeur&gt;0&lt;/valeur&gt;</v>
      </c>
    </row>
    <row r="3100" spans="1:1" x14ac:dyDescent="0.2">
      <c r="A3100" s="1135" t="str">
        <f>CONCATENATE(Programme!C3101,Programme!D3101,Programme!E3101,Programme!F3101,Programme!G3101,Programme!H3101,Programme!I3101)</f>
        <v>&lt;numeroLigne&gt;5&lt;/numeroLigne&gt;</v>
      </c>
    </row>
    <row r="3101" spans="1:1" x14ac:dyDescent="0.2">
      <c r="A3101" s="1135" t="str">
        <f>CONCATENATE(Programme!C3102,Programme!D3102,Programme!E3102,Programme!F3102,Programme!G3102,Programme!H3102,Programme!I3102)</f>
        <v>&lt;/ValeurCellule&gt;</v>
      </c>
    </row>
    <row r="3102" spans="1:1" x14ac:dyDescent="0.2">
      <c r="A3102" s="1135" t="str">
        <f>CONCATENATE(Programme!C3103,Programme!D3103,Programme!E3103,Programme!F3103,Programme!G3103,Programme!H3103,Programme!I3103)</f>
        <v>&lt;ValeurCellule&gt;</v>
      </c>
    </row>
    <row r="3103" spans="1:1" x14ac:dyDescent="0.2">
      <c r="A3103" s="1135" t="str">
        <f>CONCATENATE(Programme!C3104,Programme!D3104,Programme!E3104,Programme!F3104,Programme!G3104,Programme!H3104,Programme!I3104)</f>
        <v>&lt;cellule&gt;&lt;codeEdi&gt;823&lt;/codeEdi&gt;&lt;/cellule&gt;</v>
      </c>
    </row>
    <row r="3104" spans="1:1" x14ac:dyDescent="0.2">
      <c r="A3104" s="1135" t="str">
        <f>CONCATENATE(Programme!C3105,Programme!D3105,Programme!E3105,Programme!F3105,Programme!G3105,Programme!H3105,Programme!I3105)</f>
        <v>&lt;valeur&gt;0&lt;/valeur&gt;</v>
      </c>
    </row>
    <row r="3105" spans="1:1" x14ac:dyDescent="0.2">
      <c r="A3105" s="1135" t="str">
        <f>CONCATENATE(Programme!C3106,Programme!D3106,Programme!E3106,Programme!F3106,Programme!G3106,Programme!H3106,Programme!I3106)</f>
        <v>&lt;numeroLigne&gt;5&lt;/numeroLigne&gt;</v>
      </c>
    </row>
    <row r="3106" spans="1:1" x14ac:dyDescent="0.2">
      <c r="A3106" s="1135" t="str">
        <f>CONCATENATE(Programme!C3107,Programme!D3107,Programme!E3107,Programme!F3107,Programme!G3107,Programme!H3107,Programme!I3107)</f>
        <v>&lt;/ValeurCellule&gt;</v>
      </c>
    </row>
    <row r="3107" spans="1:1" x14ac:dyDescent="0.2">
      <c r="A3107" s="1135" t="str">
        <f>CONCATENATE(Programme!C3108,Programme!D3108,Programme!E3108,Programme!F3108,Programme!G3108,Programme!H3108,Programme!I3108)</f>
        <v>&lt;ValeurCellule&gt;</v>
      </c>
    </row>
    <row r="3108" spans="1:1" x14ac:dyDescent="0.2">
      <c r="A3108" s="1135" t="str">
        <f>CONCATENATE(Programme!C3109,Programme!D3109,Programme!E3109,Programme!F3109,Programme!G3109,Programme!H3109,Programme!I3109)</f>
        <v>&lt;cellule&gt;&lt;codeEdi&gt;821&lt;/codeEdi&gt;&lt;/cellule&gt;</v>
      </c>
    </row>
    <row r="3109" spans="1:1" x14ac:dyDescent="0.2">
      <c r="A3109" s="1135" t="str">
        <f>CONCATENATE(Programme!C3110,Programme!D3110,Programme!E3110,Programme!F3110,Programme!G3110,Programme!H3110,Programme!I3110)</f>
        <v>&lt;valeur&gt;&lt;/valeur&gt;</v>
      </c>
    </row>
    <row r="3110" spans="1:1" x14ac:dyDescent="0.2">
      <c r="A3110" s="1135" t="str">
        <f>CONCATENATE(Programme!C3111,Programme!D3111,Programme!E3111,Programme!F3111,Programme!G3111,Programme!H3111,Programme!I3111)</f>
        <v>&lt;numeroLigne&gt;6&lt;/numeroLigne&gt;</v>
      </c>
    </row>
    <row r="3111" spans="1:1" x14ac:dyDescent="0.2">
      <c r="A3111" s="1135" t="str">
        <f>CONCATENATE(Programme!C3112,Programme!D3112,Programme!E3112,Programme!F3112,Programme!G3112,Programme!H3112,Programme!I3112)</f>
        <v>&lt;/ValeurCellule&gt;</v>
      </c>
    </row>
    <row r="3112" spans="1:1" x14ac:dyDescent="0.2">
      <c r="A3112" s="1135" t="str">
        <f>CONCATENATE(Programme!C3113,Programme!D3113,Programme!E3113,Programme!F3113,Programme!G3113,Programme!H3113,Programme!I3113)</f>
        <v>&lt;ValeurCellule&gt;</v>
      </c>
    </row>
    <row r="3113" spans="1:1" x14ac:dyDescent="0.2">
      <c r="A3113" s="1135" t="str">
        <f>CONCATENATE(Programme!C3114,Programme!D3114,Programme!E3114,Programme!F3114,Programme!G3114,Programme!H3114,Programme!I3114)</f>
        <v>&lt;cellule&gt;&lt;codeEdi&gt;822&lt;/codeEdi&gt;&lt;/cellule&gt;</v>
      </c>
    </row>
    <row r="3114" spans="1:1" x14ac:dyDescent="0.2">
      <c r="A3114" s="1135" t="str">
        <f>CONCATENATE(Programme!C3115,Programme!D3115,Programme!E3115,Programme!F3115,Programme!G3115,Programme!H3115,Programme!I3115)</f>
        <v>&lt;valeur&gt;0&lt;/valeur&gt;</v>
      </c>
    </row>
    <row r="3115" spans="1:1" x14ac:dyDescent="0.2">
      <c r="A3115" s="1135" t="str">
        <f>CONCATENATE(Programme!C3116,Programme!D3116,Programme!E3116,Programme!F3116,Programme!G3116,Programme!H3116,Programme!I3116)</f>
        <v>&lt;numeroLigne&gt;6&lt;/numeroLigne&gt;</v>
      </c>
    </row>
    <row r="3116" spans="1:1" x14ac:dyDescent="0.2">
      <c r="A3116" s="1135" t="str">
        <f>CONCATENATE(Programme!C3117,Programme!D3117,Programme!E3117,Programme!F3117,Programme!G3117,Programme!H3117,Programme!I3117)</f>
        <v>&lt;/ValeurCellule&gt;</v>
      </c>
    </row>
    <row r="3117" spans="1:1" x14ac:dyDescent="0.2">
      <c r="A3117" s="1135" t="str">
        <f>CONCATENATE(Programme!C3118,Programme!D3118,Programme!E3118,Programme!F3118,Programme!G3118,Programme!H3118,Programme!I3118)</f>
        <v>&lt;ValeurCellule&gt;</v>
      </c>
    </row>
    <row r="3118" spans="1:1" x14ac:dyDescent="0.2">
      <c r="A3118" s="1135" t="str">
        <f>CONCATENATE(Programme!C3119,Programme!D3119,Programme!E3119,Programme!F3119,Programme!G3119,Programme!H3119,Programme!I3119)</f>
        <v>&lt;cellule&gt;&lt;codeEdi&gt;823&lt;/codeEdi&gt;&lt;/cellule&gt;</v>
      </c>
    </row>
    <row r="3119" spans="1:1" x14ac:dyDescent="0.2">
      <c r="A3119" s="1135" t="str">
        <f>CONCATENATE(Programme!C3120,Programme!D3120,Programme!E3120,Programme!F3120,Programme!G3120,Programme!H3120,Programme!I3120)</f>
        <v>&lt;valeur&gt;0&lt;/valeur&gt;</v>
      </c>
    </row>
    <row r="3120" spans="1:1" x14ac:dyDescent="0.2">
      <c r="A3120" s="1135" t="str">
        <f>CONCATENATE(Programme!C3121,Programme!D3121,Programme!E3121,Programme!F3121,Programme!G3121,Programme!H3121,Programme!I3121)</f>
        <v>&lt;numeroLigne&gt;6&lt;/numeroLigne&gt;</v>
      </c>
    </row>
    <row r="3121" spans="1:1" x14ac:dyDescent="0.2">
      <c r="A3121" s="1135" t="str">
        <f>CONCATENATE(Programme!C3122,Programme!D3122,Programme!E3122,Programme!F3122,Programme!G3122,Programme!H3122,Programme!I3122)</f>
        <v>&lt;/ValeurCellule&gt;</v>
      </c>
    </row>
    <row r="3122" spans="1:1" x14ac:dyDescent="0.2">
      <c r="A3122" s="1135" t="str">
        <f>CONCATENATE(Programme!C3123,Programme!D3123,Programme!E3123,Programme!F3123,Programme!G3123,Programme!H3123,Programme!I3123)</f>
        <v>&lt;ValeurCellule&gt;</v>
      </c>
    </row>
    <row r="3123" spans="1:1" x14ac:dyDescent="0.2">
      <c r="A3123" s="1135" t="str">
        <f>CONCATENATE(Programme!C3124,Programme!D3124,Programme!E3124,Programme!F3124,Programme!G3124,Programme!H3124,Programme!I3124)</f>
        <v>&lt;cellule&gt;&lt;codeEdi&gt;824&lt;/codeEdi&gt;&lt;/cellule&gt;</v>
      </c>
    </row>
    <row r="3124" spans="1:1" x14ac:dyDescent="0.2">
      <c r="A3124" s="1135" t="str">
        <f>CONCATENATE(Programme!C3125,Programme!D3125,Programme!E3125,Programme!F3125,Programme!G3125,Programme!H3125,Programme!I3125)</f>
        <v>&lt;valeur&gt;Impôt sur les sociétés&lt;/valeur&gt;</v>
      </c>
    </row>
    <row r="3125" spans="1:1" x14ac:dyDescent="0.2">
      <c r="A3125" s="1135" t="str">
        <f>CONCATENATE(Programme!C3126,Programme!D3126,Programme!E3126,Programme!F3126,Programme!G3126,Programme!H3126,Programme!I3126)</f>
        <v>&lt;numeroLigne&gt;1&lt;/numeroLigne&gt;</v>
      </c>
    </row>
    <row r="3126" spans="1:1" x14ac:dyDescent="0.2">
      <c r="A3126" s="1135" t="str">
        <f>CONCATENATE(Programme!C3127,Programme!D3127,Programme!E3127,Programme!F3127,Programme!G3127,Programme!H3127,Programme!I3127)</f>
        <v>&lt;/ValeurCellule&gt;</v>
      </c>
    </row>
    <row r="3127" spans="1:1" x14ac:dyDescent="0.2">
      <c r="A3127" s="1135" t="str">
        <f>CONCATENATE(Programme!C3128,Programme!D3128,Programme!E3128,Programme!F3128,Programme!G3128,Programme!H3128,Programme!I3128)</f>
        <v>&lt;ValeurCellule&gt;</v>
      </c>
    </row>
    <row r="3128" spans="1:1" x14ac:dyDescent="0.2">
      <c r="A3128" s="1135" t="str">
        <f>CONCATENATE(Programme!C3129,Programme!D3129,Programme!E3129,Programme!F3129,Programme!G3129,Programme!H3129,Programme!I3129)</f>
        <v>&lt;cellule&gt;&lt;codeEdi&gt;825&lt;/codeEdi&gt;&lt;/cellule&gt;</v>
      </c>
    </row>
    <row r="3129" spans="1:1" x14ac:dyDescent="0.2">
      <c r="A3129" s="1135" t="str">
        <f>CONCATENATE(Programme!C3130,Programme!D3130,Programme!E3130,Programme!F3130,Programme!G3130,Programme!H3130,Programme!I3130)</f>
        <v>&lt;valeur&gt;2384&lt;/valeur&gt;</v>
      </c>
    </row>
    <row r="3130" spans="1:1" x14ac:dyDescent="0.2">
      <c r="A3130" s="1135" t="str">
        <f>CONCATENATE(Programme!C3131,Programme!D3131,Programme!E3131,Programme!F3131,Programme!G3131,Programme!H3131,Programme!I3131)</f>
        <v>&lt;numeroLigne&gt;1&lt;/numeroLigne&gt;</v>
      </c>
    </row>
    <row r="3131" spans="1:1" x14ac:dyDescent="0.2">
      <c r="A3131" s="1135" t="str">
        <f>CONCATENATE(Programme!C3132,Programme!D3132,Programme!E3132,Programme!F3132,Programme!G3132,Programme!H3132,Programme!I3132)</f>
        <v>&lt;/ValeurCellule&gt;</v>
      </c>
    </row>
    <row r="3132" spans="1:1" x14ac:dyDescent="0.2">
      <c r="A3132" s="1135" t="str">
        <f>CONCATENATE(Programme!C3133,Programme!D3133,Programme!E3133,Programme!F3133,Programme!G3133,Programme!H3133,Programme!I3133)</f>
        <v>&lt;ValeurCellule&gt;</v>
      </c>
    </row>
    <row r="3133" spans="1:1" x14ac:dyDescent="0.2">
      <c r="A3133" s="1135" t="str">
        <f>CONCATENATE(Programme!C3134,Programme!D3134,Programme!E3134,Programme!F3134,Programme!G3134,Programme!H3134,Programme!I3134)</f>
        <v>&lt;cellule&gt;&lt;codeEdi&gt;826&lt;/codeEdi&gt;&lt;/cellule&gt;</v>
      </c>
    </row>
    <row r="3134" spans="1:1" x14ac:dyDescent="0.2">
      <c r="A3134" s="1135" t="str">
        <f>CONCATENATE(Programme!C3135,Programme!D3135,Programme!E3135,Programme!F3135,Programme!G3135,Programme!H3135,Programme!I3135)</f>
        <v>&lt;valeur&gt;0&lt;/valeur&gt;</v>
      </c>
    </row>
    <row r="3135" spans="1:1" x14ac:dyDescent="0.2">
      <c r="A3135" s="1135" t="str">
        <f>CONCATENATE(Programme!C3136,Programme!D3136,Programme!E3136,Programme!F3136,Programme!G3136,Programme!H3136,Programme!I3136)</f>
        <v>&lt;numeroLigne&gt;1&lt;/numeroLigne&gt;</v>
      </c>
    </row>
    <row r="3136" spans="1:1" x14ac:dyDescent="0.2">
      <c r="A3136" s="1135" t="str">
        <f>CONCATENATE(Programme!C3137,Programme!D3137,Programme!E3137,Programme!F3137,Programme!G3137,Programme!H3137,Programme!I3137)</f>
        <v>&lt;/ValeurCellule&gt;</v>
      </c>
    </row>
    <row r="3137" spans="1:1" x14ac:dyDescent="0.2">
      <c r="A3137" s="1135" t="str">
        <f>CONCATENATE(Programme!C3138,Programme!D3138,Programme!E3138,Programme!F3138,Programme!G3138,Programme!H3138,Programme!I3138)</f>
        <v>&lt;ValeurCellule&gt;</v>
      </c>
    </row>
    <row r="3138" spans="1:1" x14ac:dyDescent="0.2">
      <c r="A3138" s="1135" t="str">
        <f>CONCATENATE(Programme!C3139,Programme!D3139,Programme!E3139,Programme!F3139,Programme!G3139,Programme!H3139,Programme!I3139)</f>
        <v>&lt;cellule&gt;&lt;codeEdi&gt;824&lt;/codeEdi&gt;&lt;/cellule&gt;</v>
      </c>
    </row>
    <row r="3139" spans="1:1" x14ac:dyDescent="0.2">
      <c r="A3139" s="1135" t="str">
        <f>CONCATENATE(Programme!C3140,Programme!D3140,Programme!E3140,Programme!F3140,Programme!G3140,Programme!H3140,Programme!I3140)</f>
        <v>&lt;valeur&gt;Pénalités&lt;/valeur&gt;</v>
      </c>
    </row>
    <row r="3140" spans="1:1" x14ac:dyDescent="0.2">
      <c r="A3140" s="1135" t="str">
        <f>CONCATENATE(Programme!C3141,Programme!D3141,Programme!E3141,Programme!F3141,Programme!G3141,Programme!H3141,Programme!I3141)</f>
        <v>&lt;numeroLigne&gt;2&lt;/numeroLigne&gt;</v>
      </c>
    </row>
    <row r="3141" spans="1:1" x14ac:dyDescent="0.2">
      <c r="A3141" s="1135" t="str">
        <f>CONCATENATE(Programme!C3142,Programme!D3142,Programme!E3142,Programme!F3142,Programme!G3142,Programme!H3142,Programme!I3142)</f>
        <v>&lt;/ValeurCellule&gt;</v>
      </c>
    </row>
    <row r="3142" spans="1:1" x14ac:dyDescent="0.2">
      <c r="A3142" s="1135" t="str">
        <f>CONCATENATE(Programme!C3143,Programme!D3143,Programme!E3143,Programme!F3143,Programme!G3143,Programme!H3143,Programme!I3143)</f>
        <v>&lt;ValeurCellule&gt;</v>
      </c>
    </row>
    <row r="3143" spans="1:1" x14ac:dyDescent="0.2">
      <c r="A3143" s="1135" t="str">
        <f>CONCATENATE(Programme!C3144,Programme!D3144,Programme!E3144,Programme!F3144,Programme!G3144,Programme!H3144,Programme!I3144)</f>
        <v>&lt;cellule&gt;&lt;codeEdi&gt;825&lt;/codeEdi&gt;&lt;/cellule&gt;</v>
      </c>
    </row>
    <row r="3144" spans="1:1" x14ac:dyDescent="0.2">
      <c r="A3144" s="1135" t="str">
        <f>CONCATENATE(Programme!C3145,Programme!D3145,Programme!E3145,Programme!F3145,Programme!G3145,Programme!H3145,Programme!I3145)</f>
        <v>&lt;valeur&gt;0&lt;/valeur&gt;</v>
      </c>
    </row>
    <row r="3145" spans="1:1" x14ac:dyDescent="0.2">
      <c r="A3145" s="1135" t="str">
        <f>CONCATENATE(Programme!C3146,Programme!D3146,Programme!E3146,Programme!F3146,Programme!G3146,Programme!H3146,Programme!I3146)</f>
        <v>&lt;numeroLigne&gt;2&lt;/numeroLigne&gt;</v>
      </c>
    </row>
    <row r="3146" spans="1:1" x14ac:dyDescent="0.2">
      <c r="A3146" s="1135" t="str">
        <f>CONCATENATE(Programme!C3147,Programme!D3147,Programme!E3147,Programme!F3147,Programme!G3147,Programme!H3147,Programme!I3147)</f>
        <v>&lt;/ValeurCellule&gt;</v>
      </c>
    </row>
    <row r="3147" spans="1:1" x14ac:dyDescent="0.2">
      <c r="A3147" s="1135" t="str">
        <f>CONCATENATE(Programme!C3148,Programme!D3148,Programme!E3148,Programme!F3148,Programme!G3148,Programme!H3148,Programme!I3148)</f>
        <v>&lt;ValeurCellule&gt;</v>
      </c>
    </row>
    <row r="3148" spans="1:1" x14ac:dyDescent="0.2">
      <c r="A3148" s="1135" t="str">
        <f>CONCATENATE(Programme!C3149,Programme!D3149,Programme!E3149,Programme!F3149,Programme!G3149,Programme!H3149,Programme!I3149)</f>
        <v>&lt;cellule&gt;&lt;codeEdi&gt;826&lt;/codeEdi&gt;&lt;/cellule&gt;</v>
      </c>
    </row>
    <row r="3149" spans="1:1" x14ac:dyDescent="0.2">
      <c r="A3149" s="1135" t="str">
        <f>CONCATENATE(Programme!C3150,Programme!D3150,Programme!E3150,Programme!F3150,Programme!G3150,Programme!H3150,Programme!I3150)</f>
        <v>&lt;valeur&gt;0&lt;/valeur&gt;</v>
      </c>
    </row>
    <row r="3150" spans="1:1" x14ac:dyDescent="0.2">
      <c r="A3150" s="1135" t="str">
        <f>CONCATENATE(Programme!C3151,Programme!D3151,Programme!E3151,Programme!F3151,Programme!G3151,Programme!H3151,Programme!I3151)</f>
        <v>&lt;numeroLigne&gt;2&lt;/numeroLigne&gt;</v>
      </c>
    </row>
    <row r="3151" spans="1:1" x14ac:dyDescent="0.2">
      <c r="A3151" s="1135" t="str">
        <f>CONCATENATE(Programme!C3152,Programme!D3152,Programme!E3152,Programme!F3152,Programme!G3152,Programme!H3152,Programme!I3152)</f>
        <v>&lt;/ValeurCellule&gt;</v>
      </c>
    </row>
    <row r="3152" spans="1:1" x14ac:dyDescent="0.2">
      <c r="A3152" s="1135" t="str">
        <f>CONCATENATE(Programme!C3153,Programme!D3153,Programme!E3153,Programme!F3153,Programme!G3153,Programme!H3153,Programme!I3153)</f>
        <v>&lt;ValeurCellule&gt;</v>
      </c>
    </row>
    <row r="3153" spans="1:1" x14ac:dyDescent="0.2">
      <c r="A3153" s="1135" t="str">
        <f>CONCATENATE(Programme!C3154,Programme!D3154,Programme!E3154,Programme!F3154,Programme!G3154,Programme!H3154,Programme!I3154)</f>
        <v>&lt;cellule&gt;&lt;codeEdi&gt;824&lt;/codeEdi&gt;&lt;/cellule&gt;</v>
      </c>
    </row>
    <row r="3154" spans="1:1" x14ac:dyDescent="0.2">
      <c r="A3154" s="1135" t="str">
        <f>CONCATENATE(Programme!C3155,Programme!D3155,Programme!E3155,Programme!F3155,Programme!G3155,Programme!H3155,Programme!I3155)</f>
        <v>&lt;valeur&gt;Autres charges non courantes&lt;/valeur&gt;</v>
      </c>
    </row>
    <row r="3155" spans="1:1" x14ac:dyDescent="0.2">
      <c r="A3155" s="1135" t="str">
        <f>CONCATENATE(Programme!C3156,Programme!D3156,Programme!E3156,Programme!F3156,Programme!G3156,Programme!H3156,Programme!I3156)</f>
        <v>&lt;numeroLigne&gt;3&lt;/numeroLigne&gt;</v>
      </c>
    </row>
    <row r="3156" spans="1:1" x14ac:dyDescent="0.2">
      <c r="A3156" s="1135" t="str">
        <f>CONCATENATE(Programme!C3157,Programme!D3157,Programme!E3157,Programme!F3157,Programme!G3157,Programme!H3157,Programme!I3157)</f>
        <v>&lt;/ValeurCellule&gt;</v>
      </c>
    </row>
    <row r="3157" spans="1:1" x14ac:dyDescent="0.2">
      <c r="A3157" s="1135" t="str">
        <f>CONCATENATE(Programme!C3158,Programme!D3158,Programme!E3158,Programme!F3158,Programme!G3158,Programme!H3158,Programme!I3158)</f>
        <v>&lt;ValeurCellule&gt;</v>
      </c>
    </row>
    <row r="3158" spans="1:1" x14ac:dyDescent="0.2">
      <c r="A3158" s="1135" t="str">
        <f>CONCATENATE(Programme!C3159,Programme!D3159,Programme!E3159,Programme!F3159,Programme!G3159,Programme!H3159,Programme!I3159)</f>
        <v>&lt;cellule&gt;&lt;codeEdi&gt;825&lt;/codeEdi&gt;&lt;/cellule&gt;</v>
      </c>
    </row>
    <row r="3159" spans="1:1" x14ac:dyDescent="0.2">
      <c r="A3159" s="1135" t="str">
        <f>CONCATENATE(Programme!C3160,Programme!D3160,Programme!E3160,Programme!F3160,Programme!G3160,Programme!H3160,Programme!I3160)</f>
        <v>&lt;valeur&gt;0&lt;/valeur&gt;</v>
      </c>
    </row>
    <row r="3160" spans="1:1" x14ac:dyDescent="0.2">
      <c r="A3160" s="1135" t="str">
        <f>CONCATENATE(Programme!C3161,Programme!D3161,Programme!E3161,Programme!F3161,Programme!G3161,Programme!H3161,Programme!I3161)</f>
        <v>&lt;numeroLigne&gt;3&lt;/numeroLigne&gt;</v>
      </c>
    </row>
    <row r="3161" spans="1:1" x14ac:dyDescent="0.2">
      <c r="A3161" s="1135" t="str">
        <f>CONCATENATE(Programme!C3162,Programme!D3162,Programme!E3162,Programme!F3162,Programme!G3162,Programme!H3162,Programme!I3162)</f>
        <v>&lt;/ValeurCellule&gt;</v>
      </c>
    </row>
    <row r="3162" spans="1:1" x14ac:dyDescent="0.2">
      <c r="A3162" s="1135" t="str">
        <f>CONCATENATE(Programme!C3163,Programme!D3163,Programme!E3163,Programme!F3163,Programme!G3163,Programme!H3163,Programme!I3163)</f>
        <v>&lt;ValeurCellule&gt;</v>
      </c>
    </row>
    <row r="3163" spans="1:1" x14ac:dyDescent="0.2">
      <c r="A3163" s="1135" t="str">
        <f>CONCATENATE(Programme!C3164,Programme!D3164,Programme!E3164,Programme!F3164,Programme!G3164,Programme!H3164,Programme!I3164)</f>
        <v>&lt;cellule&gt;&lt;codeEdi&gt;826&lt;/codeEdi&gt;&lt;/cellule&gt;</v>
      </c>
    </row>
    <row r="3164" spans="1:1" x14ac:dyDescent="0.2">
      <c r="A3164" s="1135" t="str">
        <f>CONCATENATE(Programme!C3165,Programme!D3165,Programme!E3165,Programme!F3165,Programme!G3165,Programme!H3165,Programme!I3165)</f>
        <v>&lt;valeur&gt;0&lt;/valeur&gt;</v>
      </c>
    </row>
    <row r="3165" spans="1:1" x14ac:dyDescent="0.2">
      <c r="A3165" s="1135" t="str">
        <f>CONCATENATE(Programme!C3166,Programme!D3166,Programme!E3166,Programme!F3166,Programme!G3166,Programme!H3166,Programme!I3166)</f>
        <v>&lt;numeroLigne&gt;3&lt;/numeroLigne&gt;</v>
      </c>
    </row>
    <row r="3166" spans="1:1" x14ac:dyDescent="0.2">
      <c r="A3166" s="1135" t="str">
        <f>CONCATENATE(Programme!C3167,Programme!D3167,Programme!E3167,Programme!F3167,Programme!G3167,Programme!H3167,Programme!I3167)</f>
        <v>&lt;/ValeurCellule&gt;</v>
      </c>
    </row>
    <row r="3167" spans="1:1" x14ac:dyDescent="0.2">
      <c r="A3167" s="1135" t="str">
        <f>CONCATENATE(Programme!C3168,Programme!D3168,Programme!E3168,Programme!F3168,Programme!G3168,Programme!H3168,Programme!I3168)</f>
        <v>&lt;ValeurCellule&gt;</v>
      </c>
    </row>
    <row r="3168" spans="1:1" x14ac:dyDescent="0.2">
      <c r="A3168" s="1135" t="str">
        <f>CONCATENATE(Programme!C3169,Programme!D3169,Programme!E3169,Programme!F3169,Programme!G3169,Programme!H3169,Programme!I3169)</f>
        <v>&lt;cellule&gt;&lt;codeEdi&gt;824&lt;/codeEdi&gt;&lt;/cellule&gt;</v>
      </c>
    </row>
    <row r="3169" spans="1:1" x14ac:dyDescent="0.2">
      <c r="A3169" s="1135" t="str">
        <f>CONCATENATE(Programme!C3170,Programme!D3170,Programme!E3170,Programme!F3170,Programme!G3170,Programme!H3170,Programme!I3170)</f>
        <v>&lt;valeur&gt;&lt;/valeur&gt;</v>
      </c>
    </row>
    <row r="3170" spans="1:1" x14ac:dyDescent="0.2">
      <c r="A3170" s="1135" t="str">
        <f>CONCATENATE(Programme!C3171,Programme!D3171,Programme!E3171,Programme!F3171,Programme!G3171,Programme!H3171,Programme!I3171)</f>
        <v>&lt;numeroLigne&gt;4&lt;/numeroLigne&gt;</v>
      </c>
    </row>
    <row r="3171" spans="1:1" x14ac:dyDescent="0.2">
      <c r="A3171" s="1135" t="str">
        <f>CONCATENATE(Programme!C3172,Programme!D3172,Programme!E3172,Programme!F3172,Programme!G3172,Programme!H3172,Programme!I3172)</f>
        <v>&lt;/ValeurCellule&gt;</v>
      </c>
    </row>
    <row r="3172" spans="1:1" x14ac:dyDescent="0.2">
      <c r="A3172" s="1135" t="str">
        <f>CONCATENATE(Programme!C3173,Programme!D3173,Programme!E3173,Programme!F3173,Programme!G3173,Programme!H3173,Programme!I3173)</f>
        <v>&lt;ValeurCellule&gt;</v>
      </c>
    </row>
    <row r="3173" spans="1:1" x14ac:dyDescent="0.2">
      <c r="A3173" s="1135" t="str">
        <f>CONCATENATE(Programme!C3174,Programme!D3174,Programme!E3174,Programme!F3174,Programme!G3174,Programme!H3174,Programme!I3174)</f>
        <v>&lt;cellule&gt;&lt;codeEdi&gt;825&lt;/codeEdi&gt;&lt;/cellule&gt;</v>
      </c>
    </row>
    <row r="3174" spans="1:1" x14ac:dyDescent="0.2">
      <c r="A3174" s="1135" t="str">
        <f>CONCATENATE(Programme!C3175,Programme!D3175,Programme!E3175,Programme!F3175,Programme!G3175,Programme!H3175,Programme!I3175)</f>
        <v>&lt;valeur&gt;0&lt;/valeur&gt;</v>
      </c>
    </row>
    <row r="3175" spans="1:1" x14ac:dyDescent="0.2">
      <c r="A3175" s="1135" t="str">
        <f>CONCATENATE(Programme!C3176,Programme!D3176,Programme!E3176,Programme!F3176,Programme!G3176,Programme!H3176,Programme!I3176)</f>
        <v>&lt;numeroLigne&gt;4&lt;/numeroLigne&gt;</v>
      </c>
    </row>
    <row r="3176" spans="1:1" x14ac:dyDescent="0.2">
      <c r="A3176" s="1135" t="str">
        <f>CONCATENATE(Programme!C3177,Programme!D3177,Programme!E3177,Programme!F3177,Programme!G3177,Programme!H3177,Programme!I3177)</f>
        <v>&lt;/ValeurCellule&gt;</v>
      </c>
    </row>
    <row r="3177" spans="1:1" x14ac:dyDescent="0.2">
      <c r="A3177" s="1135" t="str">
        <f>CONCATENATE(Programme!C3178,Programme!D3178,Programme!E3178,Programme!F3178,Programme!G3178,Programme!H3178,Programme!I3178)</f>
        <v>&lt;ValeurCellule&gt;</v>
      </c>
    </row>
    <row r="3178" spans="1:1" x14ac:dyDescent="0.2">
      <c r="A3178" s="1135" t="str">
        <f>CONCATENATE(Programme!C3179,Programme!D3179,Programme!E3179,Programme!F3179,Programme!G3179,Programme!H3179,Programme!I3179)</f>
        <v>&lt;cellule&gt;&lt;codeEdi&gt;826&lt;/codeEdi&gt;&lt;/cellule&gt;</v>
      </c>
    </row>
    <row r="3179" spans="1:1" x14ac:dyDescent="0.2">
      <c r="A3179" s="1135" t="str">
        <f>CONCATENATE(Programme!C3180,Programme!D3180,Programme!E3180,Programme!F3180,Programme!G3180,Programme!H3180,Programme!I3180)</f>
        <v>&lt;valeur&gt;0&lt;/valeur&gt;</v>
      </c>
    </row>
    <row r="3180" spans="1:1" x14ac:dyDescent="0.2">
      <c r="A3180" s="1135" t="str">
        <f>CONCATENATE(Programme!C3181,Programme!D3181,Programme!E3181,Programme!F3181,Programme!G3181,Programme!H3181,Programme!I3181)</f>
        <v>&lt;numeroLigne&gt;4&lt;/numeroLigne&gt;</v>
      </c>
    </row>
    <row r="3181" spans="1:1" x14ac:dyDescent="0.2">
      <c r="A3181" s="1135" t="str">
        <f>CONCATENATE(Programme!C3182,Programme!D3182,Programme!E3182,Programme!F3182,Programme!G3182,Programme!H3182,Programme!I3182)</f>
        <v>&lt;/ValeurCellule&gt;</v>
      </c>
    </row>
    <row r="3182" spans="1:1" x14ac:dyDescent="0.2">
      <c r="A3182" s="1135" t="str">
        <f>CONCATENATE(Programme!C3183,Programme!D3183,Programme!E3183,Programme!F3183,Programme!G3183,Programme!H3183,Programme!I3183)</f>
        <v>&lt;ValeurCellule&gt;</v>
      </c>
    </row>
    <row r="3183" spans="1:1" x14ac:dyDescent="0.2">
      <c r="A3183" s="1135" t="str">
        <f>CONCATENATE(Programme!C3184,Programme!D3184,Programme!E3184,Programme!F3184,Programme!G3184,Programme!H3184,Programme!I3184)</f>
        <v>&lt;cellule&gt;&lt;codeEdi&gt;824&lt;/codeEdi&gt;&lt;/cellule&gt;</v>
      </c>
    </row>
    <row r="3184" spans="1:1" x14ac:dyDescent="0.2">
      <c r="A3184" s="1135" t="str">
        <f>CONCATENATE(Programme!C3185,Programme!D3185,Programme!E3185,Programme!F3185,Programme!G3185,Programme!H3185,Programme!I3185)</f>
        <v>&lt;valeur&gt;&lt;/valeur&gt;</v>
      </c>
    </row>
    <row r="3185" spans="1:1" x14ac:dyDescent="0.2">
      <c r="A3185" s="1135" t="str">
        <f>CONCATENATE(Programme!C3186,Programme!D3186,Programme!E3186,Programme!F3186,Programme!G3186,Programme!H3186,Programme!I3186)</f>
        <v>&lt;numeroLigne&gt;5&lt;/numeroLigne&gt;</v>
      </c>
    </row>
    <row r="3186" spans="1:1" x14ac:dyDescent="0.2">
      <c r="A3186" s="1135" t="str">
        <f>CONCATENATE(Programme!C3187,Programme!D3187,Programme!E3187,Programme!F3187,Programme!G3187,Programme!H3187,Programme!I3187)</f>
        <v>&lt;/ValeurCellule&gt;</v>
      </c>
    </row>
    <row r="3187" spans="1:1" x14ac:dyDescent="0.2">
      <c r="A3187" s="1135" t="str">
        <f>CONCATENATE(Programme!C3188,Programme!D3188,Programme!E3188,Programme!F3188,Programme!G3188,Programme!H3188,Programme!I3188)</f>
        <v>&lt;ValeurCellule&gt;</v>
      </c>
    </row>
    <row r="3188" spans="1:1" x14ac:dyDescent="0.2">
      <c r="A3188" s="1135" t="str">
        <f>CONCATENATE(Programme!C3189,Programme!D3189,Programme!E3189,Programme!F3189,Programme!G3189,Programme!H3189,Programme!I3189)</f>
        <v>&lt;cellule&gt;&lt;codeEdi&gt;825&lt;/codeEdi&gt;&lt;/cellule&gt;</v>
      </c>
    </row>
    <row r="3189" spans="1:1" x14ac:dyDescent="0.2">
      <c r="A3189" s="1135" t="str">
        <f>CONCATENATE(Programme!C3190,Programme!D3190,Programme!E3190,Programme!F3190,Programme!G3190,Programme!H3190,Programme!I3190)</f>
        <v>&lt;valeur&gt;0&lt;/valeur&gt;</v>
      </c>
    </row>
    <row r="3190" spans="1:1" x14ac:dyDescent="0.2">
      <c r="A3190" s="1135" t="str">
        <f>CONCATENATE(Programme!C3191,Programme!D3191,Programme!E3191,Programme!F3191,Programme!G3191,Programme!H3191,Programme!I3191)</f>
        <v>&lt;numeroLigne&gt;5&lt;/numeroLigne&gt;</v>
      </c>
    </row>
    <row r="3191" spans="1:1" x14ac:dyDescent="0.2">
      <c r="A3191" s="1135" t="str">
        <f>CONCATENATE(Programme!C3192,Programme!D3192,Programme!E3192,Programme!F3192,Programme!G3192,Programme!H3192,Programme!I3192)</f>
        <v>&lt;/ValeurCellule&gt;</v>
      </c>
    </row>
    <row r="3192" spans="1:1" x14ac:dyDescent="0.2">
      <c r="A3192" s="1135" t="str">
        <f>CONCATENATE(Programme!C3193,Programme!D3193,Programme!E3193,Programme!F3193,Programme!G3193,Programme!H3193,Programme!I3193)</f>
        <v>&lt;ValeurCellule&gt;</v>
      </c>
    </row>
    <row r="3193" spans="1:1" x14ac:dyDescent="0.2">
      <c r="A3193" s="1135" t="str">
        <f>CONCATENATE(Programme!C3194,Programme!D3194,Programme!E3194,Programme!F3194,Programme!G3194,Programme!H3194,Programme!I3194)</f>
        <v>&lt;cellule&gt;&lt;codeEdi&gt;826&lt;/codeEdi&gt;&lt;/cellule&gt;</v>
      </c>
    </row>
    <row r="3194" spans="1:1" x14ac:dyDescent="0.2">
      <c r="A3194" s="1135" t="str">
        <f>CONCATENATE(Programme!C3195,Programme!D3195,Programme!E3195,Programme!F3195,Programme!G3195,Programme!H3195,Programme!I3195)</f>
        <v>&lt;valeur&gt;0&lt;/valeur&gt;</v>
      </c>
    </row>
    <row r="3195" spans="1:1" x14ac:dyDescent="0.2">
      <c r="A3195" s="1135" t="str">
        <f>CONCATENATE(Programme!C3196,Programme!D3196,Programme!E3196,Programme!F3196,Programme!G3196,Programme!H3196,Programme!I3196)</f>
        <v>&lt;numeroLigne&gt;5&lt;/numeroLigne&gt;</v>
      </c>
    </row>
    <row r="3196" spans="1:1" x14ac:dyDescent="0.2">
      <c r="A3196" s="1135" t="str">
        <f>CONCATENATE(Programme!C3197,Programme!D3197,Programme!E3197,Programme!F3197,Programme!G3197,Programme!H3197,Programme!I3197)</f>
        <v>&lt;/ValeurCellule&gt;</v>
      </c>
    </row>
    <row r="3197" spans="1:1" x14ac:dyDescent="0.2">
      <c r="A3197" s="1135" t="str">
        <f>CONCATENATE(Programme!C3198,Programme!D3198,Programme!E3198,Programme!F3198,Programme!G3198,Programme!H3198,Programme!I3198)</f>
        <v>&lt;ValeurCellule&gt;</v>
      </c>
    </row>
    <row r="3198" spans="1:1" x14ac:dyDescent="0.2">
      <c r="A3198" s="1135" t="str">
        <f>CONCATENATE(Programme!C3199,Programme!D3199,Programme!E3199,Programme!F3199,Programme!G3199,Programme!H3199,Programme!I3199)</f>
        <v>&lt;cellule&gt;&lt;codeEdi&gt;824&lt;/codeEdi&gt;&lt;/cellule&gt;</v>
      </c>
    </row>
    <row r="3199" spans="1:1" x14ac:dyDescent="0.2">
      <c r="A3199" s="1135" t="str">
        <f>CONCATENATE(Programme!C3200,Programme!D3200,Programme!E3200,Programme!F3200,Programme!G3200,Programme!H3200,Programme!I3200)</f>
        <v>&lt;valeur&gt;&lt;/valeur&gt;</v>
      </c>
    </row>
    <row r="3200" spans="1:1" x14ac:dyDescent="0.2">
      <c r="A3200" s="1135" t="str">
        <f>CONCATENATE(Programme!C3201,Programme!D3201,Programme!E3201,Programme!F3201,Programme!G3201,Programme!H3201,Programme!I3201)</f>
        <v>&lt;numeroLigne&gt;6&lt;/numeroLigne&gt;</v>
      </c>
    </row>
    <row r="3201" spans="1:1" x14ac:dyDescent="0.2">
      <c r="A3201" s="1135" t="str">
        <f>CONCATENATE(Programme!C3202,Programme!D3202,Programme!E3202,Programme!F3202,Programme!G3202,Programme!H3202,Programme!I3202)</f>
        <v>&lt;/ValeurCellule&gt;</v>
      </c>
    </row>
    <row r="3202" spans="1:1" x14ac:dyDescent="0.2">
      <c r="A3202" s="1135" t="str">
        <f>CONCATENATE(Programme!C3203,Programme!D3203,Programme!E3203,Programme!F3203,Programme!G3203,Programme!H3203,Programme!I3203)</f>
        <v>&lt;ValeurCellule&gt;</v>
      </c>
    </row>
    <row r="3203" spans="1:1" x14ac:dyDescent="0.2">
      <c r="A3203" s="1135" t="str">
        <f>CONCATENATE(Programme!C3204,Programme!D3204,Programme!E3204,Programme!F3204,Programme!G3204,Programme!H3204,Programme!I3204)</f>
        <v>&lt;cellule&gt;&lt;codeEdi&gt;825&lt;/codeEdi&gt;&lt;/cellule&gt;</v>
      </c>
    </row>
    <row r="3204" spans="1:1" x14ac:dyDescent="0.2">
      <c r="A3204" s="1135" t="str">
        <f>CONCATENATE(Programme!C3205,Programme!D3205,Programme!E3205,Programme!F3205,Programme!G3205,Programme!H3205,Programme!I3205)</f>
        <v>&lt;valeur&gt;0&lt;/valeur&gt;</v>
      </c>
    </row>
    <row r="3205" spans="1:1" x14ac:dyDescent="0.2">
      <c r="A3205" s="1135" t="str">
        <f>CONCATENATE(Programme!C3206,Programme!D3206,Programme!E3206,Programme!F3206,Programme!G3206,Programme!H3206,Programme!I3206)</f>
        <v>&lt;numeroLigne&gt;6&lt;/numeroLigne&gt;</v>
      </c>
    </row>
    <row r="3206" spans="1:1" x14ac:dyDescent="0.2">
      <c r="A3206" s="1135" t="str">
        <f>CONCATENATE(Programme!C3207,Programme!D3207,Programme!E3207,Programme!F3207,Programme!G3207,Programme!H3207,Programme!I3207)</f>
        <v>&lt;/ValeurCellule&gt;</v>
      </c>
    </row>
    <row r="3207" spans="1:1" x14ac:dyDescent="0.2">
      <c r="A3207" s="1135" t="str">
        <f>CONCATENATE(Programme!C3208,Programme!D3208,Programme!E3208,Programme!F3208,Programme!G3208,Programme!H3208,Programme!I3208)</f>
        <v>&lt;ValeurCellule&gt;</v>
      </c>
    </row>
    <row r="3208" spans="1:1" x14ac:dyDescent="0.2">
      <c r="A3208" s="1135" t="str">
        <f>CONCATENATE(Programme!C3209,Programme!D3209,Programme!E3209,Programme!F3209,Programme!G3209,Programme!H3209,Programme!I3209)</f>
        <v>&lt;cellule&gt;&lt;codeEdi&gt;826&lt;/codeEdi&gt;&lt;/cellule&gt;</v>
      </c>
    </row>
    <row r="3209" spans="1:1" x14ac:dyDescent="0.2">
      <c r="A3209" s="1135" t="str">
        <f>CONCATENATE(Programme!C3210,Programme!D3210,Programme!E3210,Programme!F3210,Programme!G3210,Programme!H3210,Programme!I3210)</f>
        <v>&lt;valeur&gt;0&lt;/valeur&gt;</v>
      </c>
    </row>
    <row r="3210" spans="1:1" x14ac:dyDescent="0.2">
      <c r="A3210" s="1135" t="str">
        <f>CONCATENATE(Programme!C3211,Programme!D3211,Programme!E3211,Programme!F3211,Programme!G3211,Programme!H3211,Programme!I3211)</f>
        <v>&lt;numeroLigne&gt;6&lt;/numeroLigne&gt;</v>
      </c>
    </row>
    <row r="3211" spans="1:1" x14ac:dyDescent="0.2">
      <c r="A3211" s="1135" t="str">
        <f>CONCATENATE(Programme!C3212,Programme!D3212,Programme!E3212,Programme!F3212,Programme!G3212,Programme!H3212,Programme!I3212)</f>
        <v>&lt;/ValeurCellule&gt;</v>
      </c>
    </row>
    <row r="3212" spans="1:1" x14ac:dyDescent="0.2">
      <c r="A3212" s="1135" t="str">
        <f>CONCATENATE(Programme!C3213,Programme!D3213,Programme!E3213,Programme!F3213,Programme!G3213,Programme!H3213,Programme!I3213)</f>
        <v>&lt;ValeurCellule&gt;</v>
      </c>
    </row>
    <row r="3213" spans="1:1" x14ac:dyDescent="0.2">
      <c r="A3213" s="1135" t="str">
        <f>CONCATENATE(Programme!C3214,Programme!D3214,Programme!E3214,Programme!F3214,Programme!G3214,Programme!H3214,Programme!I3214)</f>
        <v>&lt;cellule&gt;&lt;codeEdi&gt;827&lt;/codeEdi&gt;&lt;/cellule&gt;</v>
      </c>
    </row>
    <row r="3214" spans="1:1" x14ac:dyDescent="0.2">
      <c r="A3214" s="1135" t="str">
        <f>CONCATENATE(Programme!C3215,Programme!D3215,Programme!E3215,Programme!F3215,Programme!G3215,Programme!H3215,Programme!I3215)</f>
        <v>&lt;valeur&gt;Abattement sur dividendes&lt;/valeur&gt;</v>
      </c>
    </row>
    <row r="3215" spans="1:1" x14ac:dyDescent="0.2">
      <c r="A3215" s="1135" t="str">
        <f>CONCATENATE(Programme!C3216,Programme!D3216,Programme!E3216,Programme!F3216,Programme!G3216,Programme!H3216,Programme!I3216)</f>
        <v>&lt;numeroLigne&gt;1&lt;/numeroLigne&gt;</v>
      </c>
    </row>
    <row r="3216" spans="1:1" x14ac:dyDescent="0.2">
      <c r="A3216" s="1135" t="str">
        <f>CONCATENATE(Programme!C3217,Programme!D3217,Programme!E3217,Programme!F3217,Programme!G3217,Programme!H3217,Programme!I3217)</f>
        <v>&lt;/ValeurCellule&gt;</v>
      </c>
    </row>
    <row r="3217" spans="1:1" x14ac:dyDescent="0.2">
      <c r="A3217" s="1135" t="str">
        <f>CONCATENATE(Programme!C3218,Programme!D3218,Programme!E3218,Programme!F3218,Programme!G3218,Programme!H3218,Programme!I3218)</f>
        <v>&lt;ValeurCellule&gt;</v>
      </c>
    </row>
    <row r="3218" spans="1:1" x14ac:dyDescent="0.2">
      <c r="A3218" s="1135" t="str">
        <f>CONCATENATE(Programme!C3219,Programme!D3219,Programme!E3219,Programme!F3219,Programme!G3219,Programme!H3219,Programme!I3219)</f>
        <v>&lt;cellule&gt;&lt;codeEdi&gt;828&lt;/codeEdi&gt;&lt;/cellule&gt;</v>
      </c>
    </row>
    <row r="3219" spans="1:1" x14ac:dyDescent="0.2">
      <c r="A3219" s="1135" t="str">
        <f>CONCATENATE(Programme!C3220,Programme!D3220,Programme!E3220,Programme!F3220,Programme!G3220,Programme!H3220,Programme!I3220)</f>
        <v>&lt;valeur&gt;0&lt;/valeur&gt;</v>
      </c>
    </row>
    <row r="3220" spans="1:1" x14ac:dyDescent="0.2">
      <c r="A3220" s="1135" t="str">
        <f>CONCATENATE(Programme!C3221,Programme!D3221,Programme!E3221,Programme!F3221,Programme!G3221,Programme!H3221,Programme!I3221)</f>
        <v>&lt;numeroLigne&gt;1&lt;/numeroLigne&gt;</v>
      </c>
    </row>
    <row r="3221" spans="1:1" x14ac:dyDescent="0.2">
      <c r="A3221" s="1135" t="str">
        <f>CONCATENATE(Programme!C3222,Programme!D3222,Programme!E3222,Programme!F3222,Programme!G3222,Programme!H3222,Programme!I3222)</f>
        <v>&lt;/ValeurCellule&gt;</v>
      </c>
    </row>
    <row r="3222" spans="1:1" x14ac:dyDescent="0.2">
      <c r="A3222" s="1135" t="str">
        <f>CONCATENATE(Programme!C3223,Programme!D3223,Programme!E3223,Programme!F3223,Programme!G3223,Programme!H3223,Programme!I3223)</f>
        <v>&lt;ValeurCellule&gt;</v>
      </c>
    </row>
    <row r="3223" spans="1:1" x14ac:dyDescent="0.2">
      <c r="A3223" s="1135" t="str">
        <f>CONCATENATE(Programme!C3224,Programme!D3224,Programme!E3224,Programme!F3224,Programme!G3224,Programme!H3224,Programme!I3224)</f>
        <v>&lt;cellule&gt;&lt;codeEdi&gt;830&lt;/codeEdi&gt;&lt;/cellule&gt;</v>
      </c>
    </row>
    <row r="3224" spans="1:1" x14ac:dyDescent="0.2">
      <c r="A3224" s="1135" t="str">
        <f>CONCATENATE(Programme!C3225,Programme!D3225,Programme!E3225,Programme!F3225,Programme!G3225,Programme!H3225,Programme!I3225)</f>
        <v>&lt;valeur&gt;0&lt;/valeur&gt;</v>
      </c>
    </row>
    <row r="3225" spans="1:1" x14ac:dyDescent="0.2">
      <c r="A3225" s="1135" t="str">
        <f>CONCATENATE(Programme!C3226,Programme!D3226,Programme!E3226,Programme!F3226,Programme!G3226,Programme!H3226,Programme!I3226)</f>
        <v>&lt;numeroLigne&gt;1&lt;/numeroLigne&gt;</v>
      </c>
    </row>
    <row r="3226" spans="1:1" x14ac:dyDescent="0.2">
      <c r="A3226" s="1135" t="str">
        <f>CONCATENATE(Programme!C3227,Programme!D3227,Programme!E3227,Programme!F3227,Programme!G3227,Programme!H3227,Programme!I3227)</f>
        <v>&lt;/ValeurCellule&gt;</v>
      </c>
    </row>
    <row r="3227" spans="1:1" x14ac:dyDescent="0.2">
      <c r="A3227" s="1135" t="str">
        <f>CONCATENATE(Programme!C3228,Programme!D3228,Programme!E3228,Programme!F3228,Programme!G3228,Programme!H3228,Programme!I3228)</f>
        <v>&lt;ValeurCellule&gt;</v>
      </c>
    </row>
    <row r="3228" spans="1:1" x14ac:dyDescent="0.2">
      <c r="A3228" s="1135" t="str">
        <f>CONCATENATE(Programme!C3229,Programme!D3229,Programme!E3229,Programme!F3229,Programme!G3229,Programme!H3229,Programme!I3229)</f>
        <v>&lt;cellule&gt;&lt;codeEdi&gt;827&lt;/codeEdi&gt;&lt;/cellule&gt;</v>
      </c>
    </row>
    <row r="3229" spans="1:1" x14ac:dyDescent="0.2">
      <c r="A3229" s="1135" t="str">
        <f>CONCATENATE(Programme!C3230,Programme!D3230,Programme!E3230,Programme!F3230,Programme!G3230,Programme!H3230,Programme!I3230)</f>
        <v>&lt;valeur&gt;Abattement sur cession de titres&lt;/valeur&gt;</v>
      </c>
    </row>
    <row r="3230" spans="1:1" x14ac:dyDescent="0.2">
      <c r="A3230" s="1135" t="str">
        <f>CONCATENATE(Programme!C3231,Programme!D3231,Programme!E3231,Programme!F3231,Programme!G3231,Programme!H3231,Programme!I3231)</f>
        <v>&lt;numeroLigne&gt;2&lt;/numeroLigne&gt;</v>
      </c>
    </row>
    <row r="3231" spans="1:1" x14ac:dyDescent="0.2">
      <c r="A3231" s="1135" t="str">
        <f>CONCATENATE(Programme!C3232,Programme!D3232,Programme!E3232,Programme!F3232,Programme!G3232,Programme!H3232,Programme!I3232)</f>
        <v>&lt;/ValeurCellule&gt;</v>
      </c>
    </row>
    <row r="3232" spans="1:1" x14ac:dyDescent="0.2">
      <c r="A3232" s="1135" t="str">
        <f>CONCATENATE(Programme!C3233,Programme!D3233,Programme!E3233,Programme!F3233,Programme!G3233,Programme!H3233,Programme!I3233)</f>
        <v>&lt;ValeurCellule&gt;</v>
      </c>
    </row>
    <row r="3233" spans="1:1" x14ac:dyDescent="0.2">
      <c r="A3233" s="1135" t="str">
        <f>CONCATENATE(Programme!C3234,Programme!D3234,Programme!E3234,Programme!F3234,Programme!G3234,Programme!H3234,Programme!I3234)</f>
        <v>&lt;cellule&gt;&lt;codeEdi&gt;828&lt;/codeEdi&gt;&lt;/cellule&gt;</v>
      </c>
    </row>
    <row r="3234" spans="1:1" x14ac:dyDescent="0.2">
      <c r="A3234" s="1135" t="str">
        <f>CONCATENATE(Programme!C3235,Programme!D3235,Programme!E3235,Programme!F3235,Programme!G3235,Programme!H3235,Programme!I3235)</f>
        <v>&lt;valeur&gt;0&lt;/valeur&gt;</v>
      </c>
    </row>
    <row r="3235" spans="1:1" x14ac:dyDescent="0.2">
      <c r="A3235" s="1135" t="str">
        <f>CONCATENATE(Programme!C3236,Programme!D3236,Programme!E3236,Programme!F3236,Programme!G3236,Programme!H3236,Programme!I3236)</f>
        <v>&lt;numeroLigne&gt;2&lt;/numeroLigne&gt;</v>
      </c>
    </row>
    <row r="3236" spans="1:1" x14ac:dyDescent="0.2">
      <c r="A3236" s="1135" t="str">
        <f>CONCATENATE(Programme!C3237,Programme!D3237,Programme!E3237,Programme!F3237,Programme!G3237,Programme!H3237,Programme!I3237)</f>
        <v>&lt;/ValeurCellule&gt;</v>
      </c>
    </row>
    <row r="3237" spans="1:1" x14ac:dyDescent="0.2">
      <c r="A3237" s="1135" t="str">
        <f>CONCATENATE(Programme!C3238,Programme!D3238,Programme!E3238,Programme!F3238,Programme!G3238,Programme!H3238,Programme!I3238)</f>
        <v>&lt;ValeurCellule&gt;</v>
      </c>
    </row>
    <row r="3238" spans="1:1" x14ac:dyDescent="0.2">
      <c r="A3238" s="1135" t="str">
        <f>CONCATENATE(Programme!C3239,Programme!D3239,Programme!E3239,Programme!F3239,Programme!G3239,Programme!H3239,Programme!I3239)</f>
        <v>&lt;cellule&gt;&lt;codeEdi&gt;830&lt;/codeEdi&gt;&lt;/cellule&gt;</v>
      </c>
    </row>
    <row r="3239" spans="1:1" x14ac:dyDescent="0.2">
      <c r="A3239" s="1135" t="str">
        <f>CONCATENATE(Programme!C3240,Programme!D3240,Programme!E3240,Programme!F3240,Programme!G3240,Programme!H3240,Programme!I3240)</f>
        <v>&lt;valeur&gt;0&lt;/valeur&gt;</v>
      </c>
    </row>
    <row r="3240" spans="1:1" x14ac:dyDescent="0.2">
      <c r="A3240" s="1135" t="str">
        <f>CONCATENATE(Programme!C3241,Programme!D3241,Programme!E3241,Programme!F3241,Programme!G3241,Programme!H3241,Programme!I3241)</f>
        <v>&lt;numeroLigne&gt;2&lt;/numeroLigne&gt;</v>
      </c>
    </row>
    <row r="3241" spans="1:1" x14ac:dyDescent="0.2">
      <c r="A3241" s="1135" t="str">
        <f>CONCATENATE(Programme!C3242,Programme!D3242,Programme!E3242,Programme!F3242,Programme!G3242,Programme!H3242,Programme!I3242)</f>
        <v>&lt;/ValeurCellule&gt;</v>
      </c>
    </row>
    <row r="3242" spans="1:1" x14ac:dyDescent="0.2">
      <c r="A3242" s="1135" t="str">
        <f>CONCATENATE(Programme!C3243,Programme!D3243,Programme!E3243,Programme!F3243,Programme!G3243,Programme!H3243,Programme!I3243)</f>
        <v>&lt;ValeurCellule&gt;</v>
      </c>
    </row>
    <row r="3243" spans="1:1" x14ac:dyDescent="0.2">
      <c r="A3243" s="1135" t="str">
        <f>CONCATENATE(Programme!C3244,Programme!D3244,Programme!E3244,Programme!F3244,Programme!G3244,Programme!H3244,Programme!I3244)</f>
        <v>&lt;cellule&gt;&lt;codeEdi&gt;827&lt;/codeEdi&gt;&lt;/cellule&gt;</v>
      </c>
    </row>
    <row r="3244" spans="1:1" x14ac:dyDescent="0.2">
      <c r="A3244" s="1135" t="str">
        <f>CONCATENATE(Programme!C3245,Programme!D3245,Programme!E3245,Programme!F3245,Programme!G3245,Programme!H3245,Programme!I3245)</f>
        <v>&lt;valeur&gt;&lt;/valeur&gt;</v>
      </c>
    </row>
    <row r="3245" spans="1:1" x14ac:dyDescent="0.2">
      <c r="A3245" s="1135" t="str">
        <f>CONCATENATE(Programme!C3246,Programme!D3246,Programme!E3246,Programme!F3246,Programme!G3246,Programme!H3246,Programme!I3246)</f>
        <v>&lt;numeroLigne&gt;3&lt;/numeroLigne&gt;</v>
      </c>
    </row>
    <row r="3246" spans="1:1" x14ac:dyDescent="0.2">
      <c r="A3246" s="1135" t="str">
        <f>CONCATENATE(Programme!C3247,Programme!D3247,Programme!E3247,Programme!F3247,Programme!G3247,Programme!H3247,Programme!I3247)</f>
        <v>&lt;/ValeurCellule&gt;</v>
      </c>
    </row>
    <row r="3247" spans="1:1" x14ac:dyDescent="0.2">
      <c r="A3247" s="1135" t="str">
        <f>CONCATENATE(Programme!C3248,Programme!D3248,Programme!E3248,Programme!F3248,Programme!G3248,Programme!H3248,Programme!I3248)</f>
        <v>&lt;ValeurCellule&gt;</v>
      </c>
    </row>
    <row r="3248" spans="1:1" x14ac:dyDescent="0.2">
      <c r="A3248" s="1135" t="str">
        <f>CONCATENATE(Programme!C3249,Programme!D3249,Programme!E3249,Programme!F3249,Programme!G3249,Programme!H3249,Programme!I3249)</f>
        <v>&lt;cellule&gt;&lt;codeEdi&gt;828&lt;/codeEdi&gt;&lt;/cellule&gt;</v>
      </c>
    </row>
    <row r="3249" spans="1:1" x14ac:dyDescent="0.2">
      <c r="A3249" s="1135" t="str">
        <f>CONCATENATE(Programme!C3250,Programme!D3250,Programme!E3250,Programme!F3250,Programme!G3250,Programme!H3250,Programme!I3250)</f>
        <v>&lt;valeur&gt;0&lt;/valeur&gt;</v>
      </c>
    </row>
    <row r="3250" spans="1:1" x14ac:dyDescent="0.2">
      <c r="A3250" s="1135" t="str">
        <f>CONCATENATE(Programme!C3251,Programme!D3251,Programme!E3251,Programme!F3251,Programme!G3251,Programme!H3251,Programme!I3251)</f>
        <v>&lt;numeroLigne&gt;3&lt;/numeroLigne&gt;</v>
      </c>
    </row>
    <row r="3251" spans="1:1" x14ac:dyDescent="0.2">
      <c r="A3251" s="1135" t="str">
        <f>CONCATENATE(Programme!C3252,Programme!D3252,Programme!E3252,Programme!F3252,Programme!G3252,Programme!H3252,Programme!I3252)</f>
        <v>&lt;/ValeurCellule&gt;</v>
      </c>
    </row>
    <row r="3252" spans="1:1" x14ac:dyDescent="0.2">
      <c r="A3252" s="1135" t="str">
        <f>CONCATENATE(Programme!C3253,Programme!D3253,Programme!E3253,Programme!F3253,Programme!G3253,Programme!H3253,Programme!I3253)</f>
        <v>&lt;ValeurCellule&gt;</v>
      </c>
    </row>
    <row r="3253" spans="1:1" x14ac:dyDescent="0.2">
      <c r="A3253" s="1135" t="str">
        <f>CONCATENATE(Programme!C3254,Programme!D3254,Programme!E3254,Programme!F3254,Programme!G3254,Programme!H3254,Programme!I3254)</f>
        <v>&lt;cellule&gt;&lt;codeEdi&gt;830&lt;/codeEdi&gt;&lt;/cellule&gt;</v>
      </c>
    </row>
    <row r="3254" spans="1:1" x14ac:dyDescent="0.2">
      <c r="A3254" s="1135" t="str">
        <f>CONCATENATE(Programme!C3255,Programme!D3255,Programme!E3255,Programme!F3255,Programme!G3255,Programme!H3255,Programme!I3255)</f>
        <v>&lt;valeur&gt;0&lt;/valeur&gt;</v>
      </c>
    </row>
    <row r="3255" spans="1:1" x14ac:dyDescent="0.2">
      <c r="A3255" s="1135" t="str">
        <f>CONCATENATE(Programme!C3256,Programme!D3256,Programme!E3256,Programme!F3256,Programme!G3256,Programme!H3256,Programme!I3256)</f>
        <v>&lt;numeroLigne&gt;3&lt;/numeroLigne&gt;</v>
      </c>
    </row>
    <row r="3256" spans="1:1" x14ac:dyDescent="0.2">
      <c r="A3256" s="1135" t="str">
        <f>CONCATENATE(Programme!C3257,Programme!D3257,Programme!E3257,Programme!F3257,Programme!G3257,Programme!H3257,Programme!I3257)</f>
        <v>&lt;/ValeurCellule&gt;</v>
      </c>
    </row>
    <row r="3257" spans="1:1" x14ac:dyDescent="0.2">
      <c r="A3257" s="1135" t="str">
        <f>CONCATENATE(Programme!C3258,Programme!D3258,Programme!E3258,Programme!F3258,Programme!G3258,Programme!H3258,Programme!I3258)</f>
        <v>&lt;ValeurCellule&gt;</v>
      </c>
    </row>
    <row r="3258" spans="1:1" x14ac:dyDescent="0.2">
      <c r="A3258" s="1135" t="str">
        <f>CONCATENATE(Programme!C3259,Programme!D3259,Programme!E3259,Programme!F3259,Programme!G3259,Programme!H3259,Programme!I3259)</f>
        <v>&lt;cellule&gt;&lt;codeEdi&gt;827&lt;/codeEdi&gt;&lt;/cellule&gt;</v>
      </c>
    </row>
    <row r="3259" spans="1:1" x14ac:dyDescent="0.2">
      <c r="A3259" s="1135" t="str">
        <f>CONCATENATE(Programme!C3260,Programme!D3260,Programme!E3260,Programme!F3260,Programme!G3260,Programme!H3260,Programme!I3260)</f>
        <v>&lt;valeur&gt;&lt;/valeur&gt;</v>
      </c>
    </row>
    <row r="3260" spans="1:1" x14ac:dyDescent="0.2">
      <c r="A3260" s="1135" t="str">
        <f>CONCATENATE(Programme!C3261,Programme!D3261,Programme!E3261,Programme!F3261,Programme!G3261,Programme!H3261,Programme!I3261)</f>
        <v>&lt;numeroLigne&gt;4&lt;/numeroLigne&gt;</v>
      </c>
    </row>
    <row r="3261" spans="1:1" x14ac:dyDescent="0.2">
      <c r="A3261" s="1135" t="str">
        <f>CONCATENATE(Programme!C3262,Programme!D3262,Programme!E3262,Programme!F3262,Programme!G3262,Programme!H3262,Programme!I3262)</f>
        <v>&lt;/ValeurCellule&gt;</v>
      </c>
    </row>
    <row r="3262" spans="1:1" x14ac:dyDescent="0.2">
      <c r="A3262" s="1135" t="str">
        <f>CONCATENATE(Programme!C3263,Programme!D3263,Programme!E3263,Programme!F3263,Programme!G3263,Programme!H3263,Programme!I3263)</f>
        <v>&lt;ValeurCellule&gt;</v>
      </c>
    </row>
    <row r="3263" spans="1:1" x14ac:dyDescent="0.2">
      <c r="A3263" s="1135" t="str">
        <f>CONCATENATE(Programme!C3264,Programme!D3264,Programme!E3264,Programme!F3264,Programme!G3264,Programme!H3264,Programme!I3264)</f>
        <v>&lt;cellule&gt;&lt;codeEdi&gt;828&lt;/codeEdi&gt;&lt;/cellule&gt;</v>
      </c>
    </row>
    <row r="3264" spans="1:1" x14ac:dyDescent="0.2">
      <c r="A3264" s="1135" t="str">
        <f>CONCATENATE(Programme!C3265,Programme!D3265,Programme!E3265,Programme!F3265,Programme!G3265,Programme!H3265,Programme!I3265)</f>
        <v>&lt;valeur&gt;0&lt;/valeur&gt;</v>
      </c>
    </row>
    <row r="3265" spans="1:1" x14ac:dyDescent="0.2">
      <c r="A3265" s="1135" t="str">
        <f>CONCATENATE(Programme!C3266,Programme!D3266,Programme!E3266,Programme!F3266,Programme!G3266,Programme!H3266,Programme!I3266)</f>
        <v>&lt;numeroLigne&gt;4&lt;/numeroLigne&gt;</v>
      </c>
    </row>
    <row r="3266" spans="1:1" x14ac:dyDescent="0.2">
      <c r="A3266" s="1135" t="str">
        <f>CONCATENATE(Programme!C3267,Programme!D3267,Programme!E3267,Programme!F3267,Programme!G3267,Programme!H3267,Programme!I3267)</f>
        <v>&lt;/ValeurCellule&gt;</v>
      </c>
    </row>
    <row r="3267" spans="1:1" x14ac:dyDescent="0.2">
      <c r="A3267" s="1135" t="str">
        <f>CONCATENATE(Programme!C3268,Programme!D3268,Programme!E3268,Programme!F3268,Programme!G3268,Programme!H3268,Programme!I3268)</f>
        <v>&lt;ValeurCellule&gt;</v>
      </c>
    </row>
    <row r="3268" spans="1:1" x14ac:dyDescent="0.2">
      <c r="A3268" s="1135" t="str">
        <f>CONCATENATE(Programme!C3269,Programme!D3269,Programme!E3269,Programme!F3269,Programme!G3269,Programme!H3269,Programme!I3269)</f>
        <v>&lt;cellule&gt;&lt;codeEdi&gt;830&lt;/codeEdi&gt;&lt;/cellule&gt;</v>
      </c>
    </row>
    <row r="3269" spans="1:1" x14ac:dyDescent="0.2">
      <c r="A3269" s="1135" t="str">
        <f>CONCATENATE(Programme!C3270,Programme!D3270,Programme!E3270,Programme!F3270,Programme!G3270,Programme!H3270,Programme!I3270)</f>
        <v>&lt;valeur&gt;0&lt;/valeur&gt;</v>
      </c>
    </row>
    <row r="3270" spans="1:1" x14ac:dyDescent="0.2">
      <c r="A3270" s="1135" t="str">
        <f>CONCATENATE(Programme!C3271,Programme!D3271,Programme!E3271,Programme!F3271,Programme!G3271,Programme!H3271,Programme!I3271)</f>
        <v>&lt;numeroLigne&gt;4&lt;/numeroLigne&gt;</v>
      </c>
    </row>
    <row r="3271" spans="1:1" x14ac:dyDescent="0.2">
      <c r="A3271" s="1135" t="str">
        <f>CONCATENATE(Programme!C3272,Programme!D3272,Programme!E3272,Programme!F3272,Programme!G3272,Programme!H3272,Programme!I3272)</f>
        <v>&lt;/ValeurCellule&gt;</v>
      </c>
    </row>
    <row r="3272" spans="1:1" x14ac:dyDescent="0.2">
      <c r="A3272" s="1135" t="str">
        <f>CONCATENATE(Programme!C3273,Programme!D3273,Programme!E3273,Programme!F3273,Programme!G3273,Programme!H3273,Programme!I3273)</f>
        <v>&lt;ValeurCellule&gt;</v>
      </c>
    </row>
    <row r="3273" spans="1:1" x14ac:dyDescent="0.2">
      <c r="A3273" s="1135" t="str">
        <f>CONCATENATE(Programme!C3274,Programme!D3274,Programme!E3274,Programme!F3274,Programme!G3274,Programme!H3274,Programme!I3274)</f>
        <v>&lt;cellule&gt;&lt;codeEdi&gt;827&lt;/codeEdi&gt;&lt;/cellule&gt;</v>
      </c>
    </row>
    <row r="3274" spans="1:1" x14ac:dyDescent="0.2">
      <c r="A3274" s="1135" t="str">
        <f>CONCATENATE(Programme!C3275,Programme!D3275,Programme!E3275,Programme!F3275,Programme!G3275,Programme!H3275,Programme!I3275)</f>
        <v>&lt;valeur&gt;&lt;/valeur&gt;</v>
      </c>
    </row>
    <row r="3275" spans="1:1" x14ac:dyDescent="0.2">
      <c r="A3275" s="1135" t="str">
        <f>CONCATENATE(Programme!C3276,Programme!D3276,Programme!E3276,Programme!F3276,Programme!G3276,Programme!H3276,Programme!I3276)</f>
        <v>&lt;numeroLigne&gt;5&lt;/numeroLigne&gt;</v>
      </c>
    </row>
    <row r="3276" spans="1:1" x14ac:dyDescent="0.2">
      <c r="A3276" s="1135" t="str">
        <f>CONCATENATE(Programme!C3277,Programme!D3277,Programme!E3277,Programme!F3277,Programme!G3277,Programme!H3277,Programme!I3277)</f>
        <v>&lt;/ValeurCellule&gt;</v>
      </c>
    </row>
    <row r="3277" spans="1:1" x14ac:dyDescent="0.2">
      <c r="A3277" s="1135" t="str">
        <f>CONCATENATE(Programme!C3278,Programme!D3278,Programme!E3278,Programme!F3278,Programme!G3278,Programme!H3278,Programme!I3278)</f>
        <v>&lt;ValeurCellule&gt;</v>
      </c>
    </row>
    <row r="3278" spans="1:1" x14ac:dyDescent="0.2">
      <c r="A3278" s="1135" t="str">
        <f>CONCATENATE(Programme!C3279,Programme!D3279,Programme!E3279,Programme!F3279,Programme!G3279,Programme!H3279,Programme!I3279)</f>
        <v>&lt;cellule&gt;&lt;codeEdi&gt;828&lt;/codeEdi&gt;&lt;/cellule&gt;</v>
      </c>
    </row>
    <row r="3279" spans="1:1" x14ac:dyDescent="0.2">
      <c r="A3279" s="1135" t="str">
        <f>CONCATENATE(Programme!C3280,Programme!D3280,Programme!E3280,Programme!F3280,Programme!G3280,Programme!H3280,Programme!I3280)</f>
        <v>&lt;valeur&gt;0&lt;/valeur&gt;</v>
      </c>
    </row>
    <row r="3280" spans="1:1" x14ac:dyDescent="0.2">
      <c r="A3280" s="1135" t="str">
        <f>CONCATENATE(Programme!C3281,Programme!D3281,Programme!E3281,Programme!F3281,Programme!G3281,Programme!H3281,Programme!I3281)</f>
        <v>&lt;numeroLigne&gt;5&lt;/numeroLigne&gt;</v>
      </c>
    </row>
    <row r="3281" spans="1:1" x14ac:dyDescent="0.2">
      <c r="A3281" s="1135" t="str">
        <f>CONCATENATE(Programme!C3282,Programme!D3282,Programme!E3282,Programme!F3282,Programme!G3282,Programme!H3282,Programme!I3282)</f>
        <v>&lt;/ValeurCellule&gt;</v>
      </c>
    </row>
    <row r="3282" spans="1:1" x14ac:dyDescent="0.2">
      <c r="A3282" s="1135" t="str">
        <f>CONCATENATE(Programme!C3283,Programme!D3283,Programme!E3283,Programme!F3283,Programme!G3283,Programme!H3283,Programme!I3283)</f>
        <v>&lt;ValeurCellule&gt;</v>
      </c>
    </row>
    <row r="3283" spans="1:1" x14ac:dyDescent="0.2">
      <c r="A3283" s="1135" t="str">
        <f>CONCATENATE(Programme!C3284,Programme!D3284,Programme!E3284,Programme!F3284,Programme!G3284,Programme!H3284,Programme!I3284)</f>
        <v>&lt;cellule&gt;&lt;codeEdi&gt;830&lt;/codeEdi&gt;&lt;/cellule&gt;</v>
      </c>
    </row>
    <row r="3284" spans="1:1" x14ac:dyDescent="0.2">
      <c r="A3284" s="1135" t="str">
        <f>CONCATENATE(Programme!C3285,Programme!D3285,Programme!E3285,Programme!F3285,Programme!G3285,Programme!H3285,Programme!I3285)</f>
        <v>&lt;valeur&gt;0&lt;/valeur&gt;</v>
      </c>
    </row>
    <row r="3285" spans="1:1" x14ac:dyDescent="0.2">
      <c r="A3285" s="1135" t="str">
        <f>CONCATENATE(Programme!C3286,Programme!D3286,Programme!E3286,Programme!F3286,Programme!G3286,Programme!H3286,Programme!I3286)</f>
        <v>&lt;numeroLigne&gt;5&lt;/numeroLigne&gt;</v>
      </c>
    </row>
    <row r="3286" spans="1:1" x14ac:dyDescent="0.2">
      <c r="A3286" s="1135" t="str">
        <f>CONCATENATE(Programme!C3287,Programme!D3287,Programme!E3287,Programme!F3287,Programme!G3287,Programme!H3287,Programme!I3287)</f>
        <v>&lt;/ValeurCellule&gt;</v>
      </c>
    </row>
    <row r="3287" spans="1:1" x14ac:dyDescent="0.2">
      <c r="A3287" s="1135" t="str">
        <f>CONCATENATE(Programme!C3288,Programme!D3288,Programme!E3288,Programme!F3288,Programme!G3288,Programme!H3288,Programme!I3288)</f>
        <v>&lt;ValeurCellule&gt;</v>
      </c>
    </row>
    <row r="3288" spans="1:1" x14ac:dyDescent="0.2">
      <c r="A3288" s="1135" t="str">
        <f>CONCATENATE(Programme!C3289,Programme!D3289,Programme!E3289,Programme!F3289,Programme!G3289,Programme!H3289,Programme!I3289)</f>
        <v>&lt;cellule&gt;&lt;codeEdi&gt;827&lt;/codeEdi&gt;&lt;/cellule&gt;</v>
      </c>
    </row>
    <row r="3289" spans="1:1" x14ac:dyDescent="0.2">
      <c r="A3289" s="1135" t="str">
        <f>CONCATENATE(Programme!C3290,Programme!D3290,Programme!E3290,Programme!F3290,Programme!G3290,Programme!H3290,Programme!I3290)</f>
        <v>&lt;valeur&gt;&lt;/valeur&gt;</v>
      </c>
    </row>
    <row r="3290" spans="1:1" x14ac:dyDescent="0.2">
      <c r="A3290" s="1135" t="str">
        <f>CONCATENATE(Programme!C3291,Programme!D3291,Programme!E3291,Programme!F3291,Programme!G3291,Programme!H3291,Programme!I3291)</f>
        <v>&lt;numeroLigne&gt;6&lt;/numeroLigne&gt;</v>
      </c>
    </row>
    <row r="3291" spans="1:1" x14ac:dyDescent="0.2">
      <c r="A3291" s="1135" t="str">
        <f>CONCATENATE(Programme!C3292,Programme!D3292,Programme!E3292,Programme!F3292,Programme!G3292,Programme!H3292,Programme!I3292)</f>
        <v>&lt;/ValeurCellule&gt;</v>
      </c>
    </row>
    <row r="3292" spans="1:1" x14ac:dyDescent="0.2">
      <c r="A3292" s="1135" t="str">
        <f>CONCATENATE(Programme!C3293,Programme!D3293,Programme!E3293,Programme!F3293,Programme!G3293,Programme!H3293,Programme!I3293)</f>
        <v>&lt;ValeurCellule&gt;</v>
      </c>
    </row>
    <row r="3293" spans="1:1" x14ac:dyDescent="0.2">
      <c r="A3293" s="1135" t="str">
        <f>CONCATENATE(Programme!C3294,Programme!D3294,Programme!E3294,Programme!F3294,Programme!G3294,Programme!H3294,Programme!I3294)</f>
        <v>&lt;cellule&gt;&lt;codeEdi&gt;828&lt;/codeEdi&gt;&lt;/cellule&gt;</v>
      </c>
    </row>
    <row r="3294" spans="1:1" x14ac:dyDescent="0.2">
      <c r="A3294" s="1135" t="str">
        <f>CONCATENATE(Programme!C3295,Programme!D3295,Programme!E3295,Programme!F3295,Programme!G3295,Programme!H3295,Programme!I3295)</f>
        <v>&lt;valeur&gt;0&lt;/valeur&gt;</v>
      </c>
    </row>
    <row r="3295" spans="1:1" x14ac:dyDescent="0.2">
      <c r="A3295" s="1135" t="str">
        <f>CONCATENATE(Programme!C3296,Programme!D3296,Programme!E3296,Programme!F3296,Programme!G3296,Programme!H3296,Programme!I3296)</f>
        <v>&lt;numeroLigne&gt;6&lt;/numeroLigne&gt;</v>
      </c>
    </row>
    <row r="3296" spans="1:1" x14ac:dyDescent="0.2">
      <c r="A3296" s="1135" t="str">
        <f>CONCATENATE(Programme!C3297,Programme!D3297,Programme!E3297,Programme!F3297,Programme!G3297,Programme!H3297,Programme!I3297)</f>
        <v>&lt;/ValeurCellule&gt;</v>
      </c>
    </row>
    <row r="3297" spans="1:1" x14ac:dyDescent="0.2">
      <c r="A3297" s="1135" t="str">
        <f>CONCATENATE(Programme!C3298,Programme!D3298,Programme!E3298,Programme!F3298,Programme!G3298,Programme!H3298,Programme!I3298)</f>
        <v>&lt;ValeurCellule&gt;</v>
      </c>
    </row>
    <row r="3298" spans="1:1" x14ac:dyDescent="0.2">
      <c r="A3298" s="1135" t="str">
        <f>CONCATENATE(Programme!C3299,Programme!D3299,Programme!E3299,Programme!F3299,Programme!G3299,Programme!H3299,Programme!I3299)</f>
        <v>&lt;cellule&gt;&lt;codeEdi&gt;830&lt;/codeEdi&gt;&lt;/cellule&gt;</v>
      </c>
    </row>
    <row r="3299" spans="1:1" x14ac:dyDescent="0.2">
      <c r="A3299" s="1135" t="str">
        <f>CONCATENATE(Programme!C3300,Programme!D3300,Programme!E3300,Programme!F3300,Programme!G3300,Programme!H3300,Programme!I3300)</f>
        <v>&lt;valeur&gt;0&lt;/valeur&gt;</v>
      </c>
    </row>
    <row r="3300" spans="1:1" x14ac:dyDescent="0.2">
      <c r="A3300" s="1135" t="str">
        <f>CONCATENATE(Programme!C3301,Programme!D3301,Programme!E3301,Programme!F3301,Programme!G3301,Programme!H3301,Programme!I3301)</f>
        <v>&lt;numeroLigne&gt;6&lt;/numeroLigne&gt;</v>
      </c>
    </row>
    <row r="3301" spans="1:1" x14ac:dyDescent="0.2">
      <c r="A3301" s="1135" t="str">
        <f>CONCATENATE(Programme!C3302,Programme!D3302,Programme!E3302,Programme!F3302,Programme!G3302,Programme!H3302,Programme!I3302)</f>
        <v>&lt;/ValeurCellule&gt;</v>
      </c>
    </row>
    <row r="3302" spans="1:1" x14ac:dyDescent="0.2">
      <c r="A3302" s="1135" t="str">
        <f>CONCATENATE(Programme!C3303,Programme!D3303,Programme!E3303,Programme!F3303,Programme!G3303,Programme!H3303,Programme!I3303)</f>
        <v>&lt;ValeurCellule&gt;</v>
      </c>
    </row>
    <row r="3303" spans="1:1" x14ac:dyDescent="0.2">
      <c r="A3303" s="1135" t="str">
        <f>CONCATENATE(Programme!C3304,Programme!D3304,Programme!E3304,Programme!F3304,Programme!G3304,Programme!H3304,Programme!I3304)</f>
        <v>&lt;cellule&gt;&lt;codeEdi&gt;829&lt;/codeEdi&gt;&lt;/cellule&gt;</v>
      </c>
    </row>
    <row r="3304" spans="1:1" x14ac:dyDescent="0.2">
      <c r="A3304" s="1135" t="str">
        <f>CONCATENATE(Programme!C3305,Programme!D3305,Programme!E3305,Programme!F3305,Programme!G3305,Programme!H3305,Programme!I3305)</f>
        <v>&lt;valeur&gt;Reprise sur autres Provisions&lt;/valeur&gt;</v>
      </c>
    </row>
    <row r="3305" spans="1:1" x14ac:dyDescent="0.2">
      <c r="A3305" s="1135" t="str">
        <f>CONCATENATE(Programme!C3306,Programme!D3306,Programme!E3306,Programme!F3306,Programme!G3306,Programme!H3306,Programme!I3306)</f>
        <v>&lt;numeroLigne&gt;1&lt;/numeroLigne&gt;</v>
      </c>
    </row>
    <row r="3306" spans="1:1" x14ac:dyDescent="0.2">
      <c r="A3306" s="1135" t="str">
        <f>CONCATENATE(Programme!C3307,Programme!D3307,Programme!E3307,Programme!F3307,Programme!G3307,Programme!H3307,Programme!I3307)</f>
        <v>&lt;/ValeurCellule&gt;</v>
      </c>
    </row>
    <row r="3307" spans="1:1" x14ac:dyDescent="0.2">
      <c r="A3307" s="1135" t="str">
        <f>CONCATENATE(Programme!C3308,Programme!D3308,Programme!E3308,Programme!F3308,Programme!G3308,Programme!H3308,Programme!I3308)</f>
        <v>&lt;ValeurCellule&gt;</v>
      </c>
    </row>
    <row r="3308" spans="1:1" x14ac:dyDescent="0.2">
      <c r="A3308" s="1135" t="str">
        <f>CONCATENATE(Programme!C3309,Programme!D3309,Programme!E3309,Programme!F3309,Programme!G3309,Programme!H3309,Programme!I3309)</f>
        <v>&lt;cellule&gt;&lt;codeEdi&gt;831&lt;/codeEdi&gt;&lt;/cellule&gt;</v>
      </c>
    </row>
    <row r="3309" spans="1:1" x14ac:dyDescent="0.2">
      <c r="A3309" s="1135" t="str">
        <f>CONCATENATE(Programme!C3310,Programme!D3310,Programme!E3310,Programme!F3310,Programme!G3310,Programme!H3310,Programme!I3310)</f>
        <v>&lt;valeur&gt;0&lt;/valeur&gt;</v>
      </c>
    </row>
    <row r="3310" spans="1:1" x14ac:dyDescent="0.2">
      <c r="A3310" s="1135" t="str">
        <f>CONCATENATE(Programme!C3311,Programme!D3311,Programme!E3311,Programme!F3311,Programme!G3311,Programme!H3311,Programme!I3311)</f>
        <v>&lt;numeroLigne&gt;1&lt;/numeroLigne&gt;</v>
      </c>
    </row>
    <row r="3311" spans="1:1" x14ac:dyDescent="0.2">
      <c r="A3311" s="1135" t="str">
        <f>CONCATENATE(Programme!C3312,Programme!D3312,Programme!E3312,Programme!F3312,Programme!G3312,Programme!H3312,Programme!I3312)</f>
        <v>&lt;/ValeurCellule&gt;</v>
      </c>
    </row>
    <row r="3312" spans="1:1" x14ac:dyDescent="0.2">
      <c r="A3312" s="1135" t="str">
        <f>CONCATENATE(Programme!C3313,Programme!D3313,Programme!E3313,Programme!F3313,Programme!G3313,Programme!H3313,Programme!I3313)</f>
        <v>&lt;ValeurCellule&gt;</v>
      </c>
    </row>
    <row r="3313" spans="1:1" x14ac:dyDescent="0.2">
      <c r="A3313" s="1135" t="str">
        <f>CONCATENATE(Programme!C3314,Programme!D3314,Programme!E3314,Programme!F3314,Programme!G3314,Programme!H3314,Programme!I3314)</f>
        <v>&lt;cellule&gt;&lt;codeEdi&gt;7830&lt;/codeEdi&gt;&lt;/cellule&gt;</v>
      </c>
    </row>
    <row r="3314" spans="1:1" x14ac:dyDescent="0.2">
      <c r="A3314" s="1135" t="str">
        <f>CONCATENATE(Programme!C3315,Programme!D3315,Programme!E3315,Programme!F3315,Programme!G3315,Programme!H3315,Programme!I3315)</f>
        <v>&lt;valeur&gt;0&lt;/valeur&gt;</v>
      </c>
    </row>
    <row r="3315" spans="1:1" x14ac:dyDescent="0.2">
      <c r="A3315" s="1135" t="str">
        <f>CONCATENATE(Programme!C3316,Programme!D3316,Programme!E3316,Programme!F3316,Programme!G3316,Programme!H3316,Programme!I3316)</f>
        <v>&lt;numeroLigne&gt;1&lt;/numeroLigne&gt;</v>
      </c>
    </row>
    <row r="3316" spans="1:1" x14ac:dyDescent="0.2">
      <c r="A3316" s="1135" t="str">
        <f>CONCATENATE(Programme!C3317,Programme!D3317,Programme!E3317,Programme!F3317,Programme!G3317,Programme!H3317,Programme!I3317)</f>
        <v>&lt;/ValeurCellule&gt;</v>
      </c>
    </row>
    <row r="3317" spans="1:1" x14ac:dyDescent="0.2">
      <c r="A3317" s="1135" t="str">
        <f>CONCATENATE(Programme!C3318,Programme!D3318,Programme!E3318,Programme!F3318,Programme!G3318,Programme!H3318,Programme!I3318)</f>
        <v>&lt;ValeurCellule&gt;</v>
      </c>
    </row>
    <row r="3318" spans="1:1" x14ac:dyDescent="0.2">
      <c r="A3318" s="1135" t="str">
        <f>CONCATENATE(Programme!C3319,Programme!D3319,Programme!E3319,Programme!F3319,Programme!G3319,Programme!H3319,Programme!I3319)</f>
        <v>&lt;cellule&gt;&lt;codeEdi&gt;829&lt;/codeEdi&gt;&lt;/cellule&gt;</v>
      </c>
    </row>
    <row r="3319" spans="1:1" x14ac:dyDescent="0.2">
      <c r="A3319" s="1135" t="str">
        <f>CONCATENATE(Programme!C3320,Programme!D3320,Programme!E3320,Programme!F3320,Programme!G3320,Programme!H3320,Programme!I3320)</f>
        <v>&lt;valeur&gt;&lt;/valeur&gt;</v>
      </c>
    </row>
    <row r="3320" spans="1:1" x14ac:dyDescent="0.2">
      <c r="A3320" s="1135" t="str">
        <f>CONCATENATE(Programme!C3321,Programme!D3321,Programme!E3321,Programme!F3321,Programme!G3321,Programme!H3321,Programme!I3321)</f>
        <v>&lt;numeroLigne&gt;2&lt;/numeroLigne&gt;</v>
      </c>
    </row>
    <row r="3321" spans="1:1" x14ac:dyDescent="0.2">
      <c r="A3321" s="1135" t="str">
        <f>CONCATENATE(Programme!C3322,Programme!D3322,Programme!E3322,Programme!F3322,Programme!G3322,Programme!H3322,Programme!I3322)</f>
        <v>&lt;/ValeurCellule&gt;</v>
      </c>
    </row>
    <row r="3322" spans="1:1" x14ac:dyDescent="0.2">
      <c r="A3322" s="1135" t="str">
        <f>CONCATENATE(Programme!C3323,Programme!D3323,Programme!E3323,Programme!F3323,Programme!G3323,Programme!H3323,Programme!I3323)</f>
        <v>&lt;ValeurCellule&gt;</v>
      </c>
    </row>
    <row r="3323" spans="1:1" x14ac:dyDescent="0.2">
      <c r="A3323" s="1135" t="str">
        <f>CONCATENATE(Programme!C3324,Programme!D3324,Programme!E3324,Programme!F3324,Programme!G3324,Programme!H3324,Programme!I3324)</f>
        <v>&lt;cellule&gt;&lt;codeEdi&gt;831&lt;/codeEdi&gt;&lt;/cellule&gt;</v>
      </c>
    </row>
    <row r="3324" spans="1:1" x14ac:dyDescent="0.2">
      <c r="A3324" s="1135" t="str">
        <f>CONCATENATE(Programme!C3325,Programme!D3325,Programme!E3325,Programme!F3325,Programme!G3325,Programme!H3325,Programme!I3325)</f>
        <v>&lt;valeur&gt;0&lt;/valeur&gt;</v>
      </c>
    </row>
    <row r="3325" spans="1:1" x14ac:dyDescent="0.2">
      <c r="A3325" s="1135" t="str">
        <f>CONCATENATE(Programme!C3326,Programme!D3326,Programme!E3326,Programme!F3326,Programme!G3326,Programme!H3326,Programme!I3326)</f>
        <v>&lt;numeroLigne&gt;2&lt;/numeroLigne&gt;</v>
      </c>
    </row>
    <row r="3326" spans="1:1" x14ac:dyDescent="0.2">
      <c r="A3326" s="1135" t="str">
        <f>CONCATENATE(Programme!C3327,Programme!D3327,Programme!E3327,Programme!F3327,Programme!G3327,Programme!H3327,Programme!I3327)</f>
        <v>&lt;/ValeurCellule&gt;</v>
      </c>
    </row>
    <row r="3327" spans="1:1" x14ac:dyDescent="0.2">
      <c r="A3327" s="1135" t="str">
        <f>CONCATENATE(Programme!C3328,Programme!D3328,Programme!E3328,Programme!F3328,Programme!G3328,Programme!H3328,Programme!I3328)</f>
        <v>&lt;ValeurCellule&gt;</v>
      </c>
    </row>
    <row r="3328" spans="1:1" x14ac:dyDescent="0.2">
      <c r="A3328" s="1135" t="str">
        <f>CONCATENATE(Programme!C3329,Programme!D3329,Programme!E3329,Programme!F3329,Programme!G3329,Programme!H3329,Programme!I3329)</f>
        <v>&lt;cellule&gt;&lt;codeEdi&gt;7830&lt;/codeEdi&gt;&lt;/cellule&gt;</v>
      </c>
    </row>
    <row r="3329" spans="1:1" x14ac:dyDescent="0.2">
      <c r="A3329" s="1135" t="str">
        <f>CONCATENATE(Programme!C3330,Programme!D3330,Programme!E3330,Programme!F3330,Programme!G3330,Programme!H3330,Programme!I3330)</f>
        <v>&lt;valeur&gt;0&lt;/valeur&gt;</v>
      </c>
    </row>
    <row r="3330" spans="1:1" x14ac:dyDescent="0.2">
      <c r="A3330" s="1135" t="str">
        <f>CONCATENATE(Programme!C3331,Programme!D3331,Programme!E3331,Programme!F3331,Programme!G3331,Programme!H3331,Programme!I3331)</f>
        <v>&lt;numeroLigne&gt;2&lt;/numeroLigne&gt;</v>
      </c>
    </row>
    <row r="3331" spans="1:1" x14ac:dyDescent="0.2">
      <c r="A3331" s="1135" t="str">
        <f>CONCATENATE(Programme!C3332,Programme!D3332,Programme!E3332,Programme!F3332,Programme!G3332,Programme!H3332,Programme!I3332)</f>
        <v>&lt;/ValeurCellule&gt;</v>
      </c>
    </row>
    <row r="3332" spans="1:1" x14ac:dyDescent="0.2">
      <c r="A3332" s="1135" t="str">
        <f>CONCATENATE(Programme!C3333,Programme!D3333,Programme!E3333,Programme!F3333,Programme!G3333,Programme!H3333,Programme!I3333)</f>
        <v>&lt;ValeurCellule&gt;</v>
      </c>
    </row>
    <row r="3333" spans="1:1" x14ac:dyDescent="0.2">
      <c r="A3333" s="1135" t="str">
        <f>CONCATENATE(Programme!C3334,Programme!D3334,Programme!E3334,Programme!F3334,Programme!G3334,Programme!H3334,Programme!I3334)</f>
        <v>&lt;cellule&gt;&lt;codeEdi&gt;829&lt;/codeEdi&gt;&lt;/cellule&gt;</v>
      </c>
    </row>
    <row r="3334" spans="1:1" x14ac:dyDescent="0.2">
      <c r="A3334" s="1135" t="str">
        <f>CONCATENATE(Programme!C3335,Programme!D3335,Programme!E3335,Programme!F3335,Programme!G3335,Programme!H3335,Programme!I3335)</f>
        <v>&lt;valeur&gt;&lt;/valeur&gt;</v>
      </c>
    </row>
    <row r="3335" spans="1:1" x14ac:dyDescent="0.2">
      <c r="A3335" s="1135" t="str">
        <f>CONCATENATE(Programme!C3336,Programme!D3336,Programme!E3336,Programme!F3336,Programme!G3336,Programme!H3336,Programme!I3336)</f>
        <v>&lt;numeroLigne&gt;3&lt;/numeroLigne&gt;</v>
      </c>
    </row>
    <row r="3336" spans="1:1" x14ac:dyDescent="0.2">
      <c r="A3336" s="1135" t="str">
        <f>CONCATENATE(Programme!C3337,Programme!D3337,Programme!E3337,Programme!F3337,Programme!G3337,Programme!H3337,Programme!I3337)</f>
        <v>&lt;/ValeurCellule&gt;</v>
      </c>
    </row>
    <row r="3337" spans="1:1" x14ac:dyDescent="0.2">
      <c r="A3337" s="1135" t="str">
        <f>CONCATENATE(Programme!C3338,Programme!D3338,Programme!E3338,Programme!F3338,Programme!G3338,Programme!H3338,Programme!I3338)</f>
        <v>&lt;ValeurCellule&gt;</v>
      </c>
    </row>
    <row r="3338" spans="1:1" x14ac:dyDescent="0.2">
      <c r="A3338" s="1135" t="str">
        <f>CONCATENATE(Programme!C3339,Programme!D3339,Programme!E3339,Programme!F3339,Programme!G3339,Programme!H3339,Programme!I3339)</f>
        <v>&lt;cellule&gt;&lt;codeEdi&gt;831&lt;/codeEdi&gt;&lt;/cellule&gt;</v>
      </c>
    </row>
    <row r="3339" spans="1:1" x14ac:dyDescent="0.2">
      <c r="A3339" s="1135" t="str">
        <f>CONCATENATE(Programme!C3340,Programme!D3340,Programme!E3340,Programme!F3340,Programme!G3340,Programme!H3340,Programme!I3340)</f>
        <v>&lt;valeur&gt;0&lt;/valeur&gt;</v>
      </c>
    </row>
    <row r="3340" spans="1:1" x14ac:dyDescent="0.2">
      <c r="A3340" s="1135" t="str">
        <f>CONCATENATE(Programme!C3341,Programme!D3341,Programme!E3341,Programme!F3341,Programme!G3341,Programme!H3341,Programme!I3341)</f>
        <v>&lt;numeroLigne&gt;3&lt;/numeroLigne&gt;</v>
      </c>
    </row>
    <row r="3341" spans="1:1" x14ac:dyDescent="0.2">
      <c r="A3341" s="1135" t="str">
        <f>CONCATENATE(Programme!C3342,Programme!D3342,Programme!E3342,Programme!F3342,Programme!G3342,Programme!H3342,Programme!I3342)</f>
        <v>&lt;/ValeurCellule&gt;</v>
      </c>
    </row>
    <row r="3342" spans="1:1" x14ac:dyDescent="0.2">
      <c r="A3342" s="1135" t="str">
        <f>CONCATENATE(Programme!C3343,Programme!D3343,Programme!E3343,Programme!F3343,Programme!G3343,Programme!H3343,Programme!I3343)</f>
        <v>&lt;ValeurCellule&gt;</v>
      </c>
    </row>
    <row r="3343" spans="1:1" x14ac:dyDescent="0.2">
      <c r="A3343" s="1135" t="str">
        <f>CONCATENATE(Programme!C3344,Programme!D3344,Programme!E3344,Programme!F3344,Programme!G3344,Programme!H3344,Programme!I3344)</f>
        <v>&lt;cellule&gt;&lt;codeEdi&gt;7830&lt;/codeEdi&gt;&lt;/cellule&gt;</v>
      </c>
    </row>
    <row r="3344" spans="1:1" x14ac:dyDescent="0.2">
      <c r="A3344" s="1135" t="str">
        <f>CONCATENATE(Programme!C3345,Programme!D3345,Programme!E3345,Programme!F3345,Programme!G3345,Programme!H3345,Programme!I3345)</f>
        <v>&lt;valeur&gt;0&lt;/valeur&gt;</v>
      </c>
    </row>
    <row r="3345" spans="1:1" x14ac:dyDescent="0.2">
      <c r="A3345" s="1135" t="str">
        <f>CONCATENATE(Programme!C3346,Programme!D3346,Programme!E3346,Programme!F3346,Programme!G3346,Programme!H3346,Programme!I3346)</f>
        <v>&lt;numeroLigne&gt;3&lt;/numeroLigne&gt;</v>
      </c>
    </row>
    <row r="3346" spans="1:1" x14ac:dyDescent="0.2">
      <c r="A3346" s="1135" t="str">
        <f>CONCATENATE(Programme!C3347,Programme!D3347,Programme!E3347,Programme!F3347,Programme!G3347,Programme!H3347,Programme!I3347)</f>
        <v>&lt;/ValeurCellule&gt;</v>
      </c>
    </row>
    <row r="3347" spans="1:1" x14ac:dyDescent="0.2">
      <c r="A3347" s="1135" t="str">
        <f>CONCATENATE(Programme!C3348,Programme!D3348,Programme!E3348,Programme!F3348,Programme!G3348,Programme!H3348,Programme!I3348)</f>
        <v>&lt;ValeurCellule&gt;</v>
      </c>
    </row>
    <row r="3348" spans="1:1" x14ac:dyDescent="0.2">
      <c r="A3348" s="1135" t="str">
        <f>CONCATENATE(Programme!C3349,Programme!D3349,Programme!E3349,Programme!F3349,Programme!G3349,Programme!H3349,Programme!I3349)</f>
        <v>&lt;cellule&gt;&lt;codeEdi&gt;829&lt;/codeEdi&gt;&lt;/cellule&gt;</v>
      </c>
    </row>
    <row r="3349" spans="1:1" x14ac:dyDescent="0.2">
      <c r="A3349" s="1135" t="str">
        <f>CONCATENATE(Programme!C3350,Programme!D3350,Programme!E3350,Programme!F3350,Programme!G3350,Programme!H3350,Programme!I3350)</f>
        <v>&lt;valeur&gt;&lt;/valeur&gt;</v>
      </c>
    </row>
    <row r="3350" spans="1:1" x14ac:dyDescent="0.2">
      <c r="A3350" s="1135" t="str">
        <f>CONCATENATE(Programme!C3351,Programme!D3351,Programme!E3351,Programme!F3351,Programme!G3351,Programme!H3351,Programme!I3351)</f>
        <v>&lt;numeroLigne&gt;4&lt;/numeroLigne&gt;</v>
      </c>
    </row>
    <row r="3351" spans="1:1" x14ac:dyDescent="0.2">
      <c r="A3351" s="1135" t="str">
        <f>CONCATENATE(Programme!C3352,Programme!D3352,Programme!E3352,Programme!F3352,Programme!G3352,Programme!H3352,Programme!I3352)</f>
        <v>&lt;/ValeurCellule&gt;</v>
      </c>
    </row>
    <row r="3352" spans="1:1" x14ac:dyDescent="0.2">
      <c r="A3352" s="1135" t="str">
        <f>CONCATENATE(Programme!C3353,Programme!D3353,Programme!E3353,Programme!F3353,Programme!G3353,Programme!H3353,Programme!I3353)</f>
        <v>&lt;ValeurCellule&gt;</v>
      </c>
    </row>
    <row r="3353" spans="1:1" x14ac:dyDescent="0.2">
      <c r="A3353" s="1135" t="str">
        <f>CONCATENATE(Programme!C3354,Programme!D3354,Programme!E3354,Programme!F3354,Programme!G3354,Programme!H3354,Programme!I3354)</f>
        <v>&lt;cellule&gt;&lt;codeEdi&gt;831&lt;/codeEdi&gt;&lt;/cellule&gt;</v>
      </c>
    </row>
    <row r="3354" spans="1:1" x14ac:dyDescent="0.2">
      <c r="A3354" s="1135" t="str">
        <f>CONCATENATE(Programme!C3355,Programme!D3355,Programme!E3355,Programme!F3355,Programme!G3355,Programme!H3355,Programme!I3355)</f>
        <v>&lt;valeur&gt;0&lt;/valeur&gt;</v>
      </c>
    </row>
    <row r="3355" spans="1:1" x14ac:dyDescent="0.2">
      <c r="A3355" s="1135" t="str">
        <f>CONCATENATE(Programme!C3356,Programme!D3356,Programme!E3356,Programme!F3356,Programme!G3356,Programme!H3356,Programme!I3356)</f>
        <v>&lt;numeroLigne&gt;4&lt;/numeroLigne&gt;</v>
      </c>
    </row>
    <row r="3356" spans="1:1" x14ac:dyDescent="0.2">
      <c r="A3356" s="1135" t="str">
        <f>CONCATENATE(Programme!C3357,Programme!D3357,Programme!E3357,Programme!F3357,Programme!G3357,Programme!H3357,Programme!I3357)</f>
        <v>&lt;/ValeurCellule&gt;</v>
      </c>
    </row>
    <row r="3357" spans="1:1" x14ac:dyDescent="0.2">
      <c r="A3357" s="1135" t="str">
        <f>CONCATENATE(Programme!C3358,Programme!D3358,Programme!E3358,Programme!F3358,Programme!G3358,Programme!H3358,Programme!I3358)</f>
        <v>&lt;ValeurCellule&gt;</v>
      </c>
    </row>
    <row r="3358" spans="1:1" x14ac:dyDescent="0.2">
      <c r="A3358" s="1135" t="str">
        <f>CONCATENATE(Programme!C3359,Programme!D3359,Programme!E3359,Programme!F3359,Programme!G3359,Programme!H3359,Programme!I3359)</f>
        <v>&lt;cellule&gt;&lt;codeEdi&gt;7830&lt;/codeEdi&gt;&lt;/cellule&gt;</v>
      </c>
    </row>
    <row r="3359" spans="1:1" x14ac:dyDescent="0.2">
      <c r="A3359" s="1135" t="str">
        <f>CONCATENATE(Programme!C3360,Programme!D3360,Programme!E3360,Programme!F3360,Programme!G3360,Programme!H3360,Programme!I3360)</f>
        <v>&lt;valeur&gt;0&lt;/valeur&gt;</v>
      </c>
    </row>
    <row r="3360" spans="1:1" x14ac:dyDescent="0.2">
      <c r="A3360" s="1135" t="str">
        <f>CONCATENATE(Programme!C3361,Programme!D3361,Programme!E3361,Programme!F3361,Programme!G3361,Programme!H3361,Programme!I3361)</f>
        <v>&lt;numeroLigne&gt;4&lt;/numeroLigne&gt;</v>
      </c>
    </row>
    <row r="3361" spans="1:1" x14ac:dyDescent="0.2">
      <c r="A3361" s="1135" t="str">
        <f>CONCATENATE(Programme!C3362,Programme!D3362,Programme!E3362,Programme!F3362,Programme!G3362,Programme!H3362,Programme!I3362)</f>
        <v>&lt;/ValeurCellule&gt;</v>
      </c>
    </row>
    <row r="3362" spans="1:1" x14ac:dyDescent="0.2">
      <c r="A3362" s="1135" t="str">
        <f>CONCATENATE(Programme!C3363,Programme!D3363,Programme!E3363,Programme!F3363,Programme!G3363,Programme!H3363,Programme!I3363)</f>
        <v>&lt;ValeurCellule&gt;</v>
      </c>
    </row>
    <row r="3363" spans="1:1" x14ac:dyDescent="0.2">
      <c r="A3363" s="1135" t="str">
        <f>CONCATENATE(Programme!C3364,Programme!D3364,Programme!E3364,Programme!F3364,Programme!G3364,Programme!H3364,Programme!I3364)</f>
        <v>&lt;cellule&gt;&lt;codeEdi&gt;829&lt;/codeEdi&gt;&lt;/cellule&gt;</v>
      </c>
    </row>
    <row r="3364" spans="1:1" x14ac:dyDescent="0.2">
      <c r="A3364" s="1135" t="str">
        <f>CONCATENATE(Programme!C3365,Programme!D3365,Programme!E3365,Programme!F3365,Programme!G3365,Programme!H3365,Programme!I3365)</f>
        <v>&lt;valeur&gt;&lt;/valeur&gt;</v>
      </c>
    </row>
    <row r="3365" spans="1:1" x14ac:dyDescent="0.2">
      <c r="A3365" s="1135" t="str">
        <f>CONCATENATE(Programme!C3366,Programme!D3366,Programme!E3366,Programme!F3366,Programme!G3366,Programme!H3366,Programme!I3366)</f>
        <v>&lt;numeroLigne&gt;5&lt;/numeroLigne&gt;</v>
      </c>
    </row>
    <row r="3366" spans="1:1" x14ac:dyDescent="0.2">
      <c r="A3366" s="1135" t="str">
        <f>CONCATENATE(Programme!C3367,Programme!D3367,Programme!E3367,Programme!F3367,Programme!G3367,Programme!H3367,Programme!I3367)</f>
        <v>&lt;/ValeurCellule&gt;</v>
      </c>
    </row>
    <row r="3367" spans="1:1" x14ac:dyDescent="0.2">
      <c r="A3367" s="1135" t="str">
        <f>CONCATENATE(Programme!C3368,Programme!D3368,Programme!E3368,Programme!F3368,Programme!G3368,Programme!H3368,Programme!I3368)</f>
        <v>&lt;ValeurCellule&gt;</v>
      </c>
    </row>
    <row r="3368" spans="1:1" x14ac:dyDescent="0.2">
      <c r="A3368" s="1135" t="str">
        <f>CONCATENATE(Programme!C3369,Programme!D3369,Programme!E3369,Programme!F3369,Programme!G3369,Programme!H3369,Programme!I3369)</f>
        <v>&lt;cellule&gt;&lt;codeEdi&gt;831&lt;/codeEdi&gt;&lt;/cellule&gt;</v>
      </c>
    </row>
    <row r="3369" spans="1:1" x14ac:dyDescent="0.2">
      <c r="A3369" s="1135" t="str">
        <f>CONCATENATE(Programme!C3370,Programme!D3370,Programme!E3370,Programme!F3370,Programme!G3370,Programme!H3370,Programme!I3370)</f>
        <v>&lt;valeur&gt;0&lt;/valeur&gt;</v>
      </c>
    </row>
    <row r="3370" spans="1:1" x14ac:dyDescent="0.2">
      <c r="A3370" s="1135" t="str">
        <f>CONCATENATE(Programme!C3371,Programme!D3371,Programme!E3371,Programme!F3371,Programme!G3371,Programme!H3371,Programme!I3371)</f>
        <v>&lt;numeroLigne&gt;5&lt;/numeroLigne&gt;</v>
      </c>
    </row>
    <row r="3371" spans="1:1" x14ac:dyDescent="0.2">
      <c r="A3371" s="1135" t="str">
        <f>CONCATENATE(Programme!C3372,Programme!D3372,Programme!E3372,Programme!F3372,Programme!G3372,Programme!H3372,Programme!I3372)</f>
        <v>&lt;/ValeurCellule&gt;</v>
      </c>
    </row>
    <row r="3372" spans="1:1" x14ac:dyDescent="0.2">
      <c r="A3372" s="1135" t="str">
        <f>CONCATENATE(Programme!C3373,Programme!D3373,Programme!E3373,Programme!F3373,Programme!G3373,Programme!H3373,Programme!I3373)</f>
        <v>&lt;ValeurCellule&gt;</v>
      </c>
    </row>
    <row r="3373" spans="1:1" x14ac:dyDescent="0.2">
      <c r="A3373" s="1135" t="str">
        <f>CONCATENATE(Programme!C3374,Programme!D3374,Programme!E3374,Programme!F3374,Programme!G3374,Programme!H3374,Programme!I3374)</f>
        <v>&lt;cellule&gt;&lt;codeEdi&gt;7830&lt;/codeEdi&gt;&lt;/cellule&gt;</v>
      </c>
    </row>
    <row r="3374" spans="1:1" x14ac:dyDescent="0.2">
      <c r="A3374" s="1135" t="str">
        <f>CONCATENATE(Programme!C3375,Programme!D3375,Programme!E3375,Programme!F3375,Programme!G3375,Programme!H3375,Programme!I3375)</f>
        <v>&lt;valeur&gt;0&lt;/valeur&gt;</v>
      </c>
    </row>
    <row r="3375" spans="1:1" x14ac:dyDescent="0.2">
      <c r="A3375" s="1135" t="str">
        <f>CONCATENATE(Programme!C3376,Programme!D3376,Programme!E3376,Programme!F3376,Programme!G3376,Programme!H3376,Programme!I3376)</f>
        <v>&lt;numeroLigne&gt;5&lt;/numeroLigne&gt;</v>
      </c>
    </row>
    <row r="3376" spans="1:1" x14ac:dyDescent="0.2">
      <c r="A3376" s="1135" t="str">
        <f>CONCATENATE(Programme!C3377,Programme!D3377,Programme!E3377,Programme!F3377,Programme!G3377,Programme!H3377,Programme!I3377)</f>
        <v>&lt;/ValeurCellule&gt;</v>
      </c>
    </row>
    <row r="3377" spans="1:1" x14ac:dyDescent="0.2">
      <c r="A3377" s="1135" t="str">
        <f>CONCATENATE(Programme!C3378,Programme!D3378,Programme!E3378,Programme!F3378,Programme!G3378,Programme!H3378,Programme!I3378)</f>
        <v>&lt;ValeurCellule&gt;</v>
      </c>
    </row>
    <row r="3378" spans="1:1" x14ac:dyDescent="0.2">
      <c r="A3378" s="1135" t="str">
        <f>CONCATENATE(Programme!C3379,Programme!D3379,Programme!E3379,Programme!F3379,Programme!G3379,Programme!H3379,Programme!I3379)</f>
        <v>&lt;cellule&gt;&lt;codeEdi&gt;829&lt;/codeEdi&gt;&lt;/cellule&gt;</v>
      </c>
    </row>
    <row r="3379" spans="1:1" x14ac:dyDescent="0.2">
      <c r="A3379" s="1135" t="str">
        <f>CONCATENATE(Programme!C3380,Programme!D3380,Programme!E3380,Programme!F3380,Programme!G3380,Programme!H3380,Programme!I3380)</f>
        <v>&lt;valeur&gt;&lt;/valeur&gt;</v>
      </c>
    </row>
    <row r="3380" spans="1:1" x14ac:dyDescent="0.2">
      <c r="A3380" s="1135" t="str">
        <f>CONCATENATE(Programme!C3381,Programme!D3381,Programme!E3381,Programme!F3381,Programme!G3381,Programme!H3381,Programme!I3381)</f>
        <v>&lt;numeroLigne&gt;6&lt;/numeroLigne&gt;</v>
      </c>
    </row>
    <row r="3381" spans="1:1" x14ac:dyDescent="0.2">
      <c r="A3381" s="1135" t="str">
        <f>CONCATENATE(Programme!C3382,Programme!D3382,Programme!E3382,Programme!F3382,Programme!G3382,Programme!H3382,Programme!I3382)</f>
        <v>&lt;/ValeurCellule&gt;</v>
      </c>
    </row>
    <row r="3382" spans="1:1" x14ac:dyDescent="0.2">
      <c r="A3382" s="1135" t="str">
        <f>CONCATENATE(Programme!C3383,Programme!D3383,Programme!E3383,Programme!F3383,Programme!G3383,Programme!H3383,Programme!I3383)</f>
        <v>&lt;ValeurCellule&gt;</v>
      </c>
    </row>
    <row r="3383" spans="1:1" x14ac:dyDescent="0.2">
      <c r="A3383" s="1135" t="str">
        <f>CONCATENATE(Programme!C3384,Programme!D3384,Programme!E3384,Programme!F3384,Programme!G3384,Programme!H3384,Programme!I3384)</f>
        <v>&lt;cellule&gt;&lt;codeEdi&gt;831&lt;/codeEdi&gt;&lt;/cellule&gt;</v>
      </c>
    </row>
    <row r="3384" spans="1:1" x14ac:dyDescent="0.2">
      <c r="A3384" s="1135" t="str">
        <f>CONCATENATE(Programme!C3385,Programme!D3385,Programme!E3385,Programme!F3385,Programme!G3385,Programme!H3385,Programme!I3385)</f>
        <v>&lt;valeur&gt;0&lt;/valeur&gt;</v>
      </c>
    </row>
    <row r="3385" spans="1:1" x14ac:dyDescent="0.2">
      <c r="A3385" s="1135" t="str">
        <f>CONCATENATE(Programme!C3386,Programme!D3386,Programme!E3386,Programme!F3386,Programme!G3386,Programme!H3386,Programme!I3386)</f>
        <v>&lt;numeroLigne&gt;6&lt;/numeroLigne&gt;</v>
      </c>
    </row>
    <row r="3386" spans="1:1" x14ac:dyDescent="0.2">
      <c r="A3386" s="1135" t="str">
        <f>CONCATENATE(Programme!C3387,Programme!D3387,Programme!E3387,Programme!F3387,Programme!G3387,Programme!H3387,Programme!I3387)</f>
        <v>&lt;/ValeurCellule&gt;</v>
      </c>
    </row>
    <row r="3387" spans="1:1" x14ac:dyDescent="0.2">
      <c r="A3387" s="1135" t="str">
        <f>CONCATENATE(Programme!C3388,Programme!D3388,Programme!E3388,Programme!F3388,Programme!G3388,Programme!H3388,Programme!I3388)</f>
        <v>&lt;ValeurCellule&gt;</v>
      </c>
    </row>
    <row r="3388" spans="1:1" x14ac:dyDescent="0.2">
      <c r="A3388" s="1135" t="str">
        <f>CONCATENATE(Programme!C3389,Programme!D3389,Programme!E3389,Programme!F3389,Programme!G3389,Programme!H3389,Programme!I3389)</f>
        <v>&lt;cellule&gt;&lt;codeEdi&gt;7830&lt;/codeEdi&gt;&lt;/cellule&gt;</v>
      </c>
    </row>
    <row r="3389" spans="1:1" x14ac:dyDescent="0.2">
      <c r="A3389" s="1135" t="str">
        <f>CONCATENATE(Programme!C3390,Programme!D3390,Programme!E3390,Programme!F3390,Programme!G3390,Programme!H3390,Programme!I3390)</f>
        <v>&lt;valeur&gt;0&lt;/valeur&gt;</v>
      </c>
    </row>
    <row r="3390" spans="1:1" x14ac:dyDescent="0.2">
      <c r="A3390" s="1135" t="str">
        <f>CONCATENATE(Programme!C3391,Programme!D3391,Programme!E3391,Programme!F3391,Programme!G3391,Programme!H3391,Programme!I3391)</f>
        <v>&lt;numeroLigne&gt;6&lt;/numeroLigne&gt;</v>
      </c>
    </row>
    <row r="3391" spans="1:1" x14ac:dyDescent="0.2">
      <c r="A3391" s="1135" t="str">
        <f>CONCATENATE(Programme!C3392,Programme!D3392,Programme!E3392,Programme!F3392,Programme!G3392,Programme!H3392,Programme!I3392)</f>
        <v>&lt;/ValeurCellule&gt;</v>
      </c>
    </row>
    <row r="3392" spans="1:1" x14ac:dyDescent="0.2">
      <c r="A3392" s="1135" t="str">
        <f>CONCATENATE(Programme!C3393,Programme!D3393,Programme!E3393,Programme!F3393,Programme!G3393,Programme!H3393,Programme!I3393)</f>
        <v>&lt;ValeurCellule&gt;</v>
      </c>
    </row>
    <row r="3393" spans="1:1" x14ac:dyDescent="0.2">
      <c r="A3393" s="1135" t="str">
        <f>CONCATENATE(Programme!C3394,Programme!D3394,Programme!E3394,Programme!F3394,Programme!G3394,Programme!H3394,Programme!I3394)</f>
        <v>&lt;cellule&gt;</v>
      </c>
    </row>
    <row r="3394" spans="1:1" x14ac:dyDescent="0.2">
      <c r="A3394" s="1135" t="str">
        <f>CONCATENATE(Programme!C3395,Programme!D3395,Programme!E3395,Programme!F3395,Programme!G3395,Programme!H3395,Programme!I3395)</f>
        <v>&lt;codeEdi&gt;833&lt;/codeEdi&gt;</v>
      </c>
    </row>
    <row r="3395" spans="1:1" x14ac:dyDescent="0.2">
      <c r="A3395" s="1135" t="str">
        <f>CONCATENATE(Programme!C3396,Programme!D3396,Programme!E3396,Programme!F3396,Programme!G3396,Programme!H3396,Programme!I3396)</f>
        <v>&lt;/cellule&gt;</v>
      </c>
    </row>
    <row r="3396" spans="1:1" x14ac:dyDescent="0.2">
      <c r="A3396" s="1135" t="str">
        <f>CONCATENATE(Programme!C3397,Programme!D3397,Programme!E3397,Programme!F3397,Programme!G3397,Programme!H3397,Programme!I3397)</f>
        <v>&lt;valeur&gt;23836,44&lt;/valeur&gt;</v>
      </c>
    </row>
    <row r="3397" spans="1:1" x14ac:dyDescent="0.2">
      <c r="A3397" s="1135" t="str">
        <f>CONCATENATE(Programme!C3398,Programme!D3398,Programme!E3398,Programme!F3398,Programme!G3398,Programme!H3398,Programme!I3398)</f>
        <v>&lt;/ValeurCellule&gt;</v>
      </c>
    </row>
    <row r="3398" spans="1:1" x14ac:dyDescent="0.2">
      <c r="A3398" s="1135" t="str">
        <f>CONCATENATE(Programme!C3399,Programme!D3399,Programme!E3399,Programme!F3399,Programme!G3399,Programme!H3399,Programme!I3399)</f>
        <v>&lt;ValeurCellule&gt;</v>
      </c>
    </row>
    <row r="3399" spans="1:1" x14ac:dyDescent="0.2">
      <c r="A3399" s="1135" t="str">
        <f>CONCATENATE(Programme!C3400,Programme!D3400,Programme!E3400,Programme!F3400,Programme!G3400,Programme!H3400,Programme!I3400)</f>
        <v>&lt;cellule&gt;</v>
      </c>
    </row>
    <row r="3400" spans="1:1" x14ac:dyDescent="0.2">
      <c r="A3400" s="1135" t="str">
        <f>CONCATENATE(Programme!C3401,Programme!D3401,Programme!E3401,Programme!F3401,Programme!G3401,Programme!H3401,Programme!I3401)</f>
        <v>&lt;codeEdi&gt;834&lt;/codeEdi&gt;</v>
      </c>
    </row>
    <row r="3401" spans="1:1" x14ac:dyDescent="0.2">
      <c r="A3401" s="1135" t="str">
        <f>CONCATENATE(Programme!C3402,Programme!D3402,Programme!E3402,Programme!F3402,Programme!G3402,Programme!H3402,Programme!I3402)</f>
        <v>&lt;/cellule&gt;</v>
      </c>
    </row>
    <row r="3402" spans="1:1" x14ac:dyDescent="0.2">
      <c r="A3402" s="1135" t="str">
        <f>CONCATENATE(Programme!C3403,Programme!D3403,Programme!E3403,Programme!F3403,Programme!G3403,Programme!H3403,Programme!I3403)</f>
        <v>&lt;valeur&gt;0&lt;/valeur&gt;</v>
      </c>
    </row>
    <row r="3403" spans="1:1" x14ac:dyDescent="0.2">
      <c r="A3403" s="1135" t="str">
        <f>CONCATENATE(Programme!C3404,Programme!D3404,Programme!E3404,Programme!F3404,Programme!G3404,Programme!H3404,Programme!I3404)</f>
        <v>&lt;/ValeurCellule&gt;</v>
      </c>
    </row>
    <row r="3404" spans="1:1" x14ac:dyDescent="0.2">
      <c r="A3404" s="1135" t="str">
        <f>CONCATENATE(Programme!C3405,Programme!D3405,Programme!E3405,Programme!F3405,Programme!G3405,Programme!H3405,Programme!I3405)</f>
        <v>&lt;ValeurCellule&gt;</v>
      </c>
    </row>
    <row r="3405" spans="1:1" x14ac:dyDescent="0.2">
      <c r="A3405" s="1135" t="str">
        <f>CONCATENATE(Programme!C3406,Programme!D3406,Programme!E3406,Programme!F3406,Programme!G3406,Programme!H3406,Programme!I3406)</f>
        <v>&lt;cellule&gt;</v>
      </c>
    </row>
    <row r="3406" spans="1:1" x14ac:dyDescent="0.2">
      <c r="A3406" s="1135" t="str">
        <f>CONCATENATE(Programme!C3407,Programme!D3407,Programme!E3407,Programme!F3407,Programme!G3407,Programme!H3407,Programme!I3407)</f>
        <v>&lt;codeEdi&gt;837&lt;/codeEdi&gt;</v>
      </c>
    </row>
    <row r="3407" spans="1:1" x14ac:dyDescent="0.2">
      <c r="A3407" s="1135" t="str">
        <f>CONCATENATE(Programme!C3408,Programme!D3408,Programme!E3408,Programme!F3408,Programme!G3408,Programme!H3408,Programme!I3408)</f>
        <v>&lt;/cellule&gt;</v>
      </c>
    </row>
    <row r="3408" spans="1:1" x14ac:dyDescent="0.2">
      <c r="A3408" s="1135" t="str">
        <f>CONCATENATE(Programme!C3409,Programme!D3409,Programme!E3409,Programme!F3409,Programme!G3409,Programme!H3409,Programme!I3409)</f>
        <v>&lt;valeur&gt;23836,44&lt;/valeur&gt;</v>
      </c>
    </row>
    <row r="3409" spans="1:1" x14ac:dyDescent="0.2">
      <c r="A3409" s="1135" t="str">
        <f>CONCATENATE(Programme!C3410,Programme!D3410,Programme!E3410,Programme!F3410,Programme!G3410,Programme!H3410,Programme!I3410)</f>
        <v>&lt;/ValeurCellule&gt;</v>
      </c>
    </row>
    <row r="3410" spans="1:1" x14ac:dyDescent="0.2">
      <c r="A3410" s="1135" t="str">
        <f>CONCATENATE(Programme!C3411,Programme!D3411,Programme!E3411,Programme!F3411,Programme!G3411,Programme!H3411,Programme!I3411)</f>
        <v>&lt;ValeurCellule&gt;</v>
      </c>
    </row>
    <row r="3411" spans="1:1" x14ac:dyDescent="0.2">
      <c r="A3411" s="1135" t="str">
        <f>CONCATENATE(Programme!C3412,Programme!D3412,Programme!E3412,Programme!F3412,Programme!G3412,Programme!H3412,Programme!I3412)</f>
        <v>&lt;cellule&gt;</v>
      </c>
    </row>
    <row r="3412" spans="1:1" x14ac:dyDescent="0.2">
      <c r="A3412" s="1135" t="str">
        <f>CONCATENATE(Programme!C3413,Programme!D3413,Programme!E3413,Programme!F3413,Programme!G3413,Programme!H3413,Programme!I3413)</f>
        <v>&lt;codeEdi&gt;838&lt;/codeEdi&gt;</v>
      </c>
    </row>
    <row r="3413" spans="1:1" x14ac:dyDescent="0.2">
      <c r="A3413" s="1135" t="str">
        <f>CONCATENATE(Programme!C3414,Programme!D3414,Programme!E3414,Programme!F3414,Programme!G3414,Programme!H3414,Programme!I3414)</f>
        <v>&lt;/cellule&gt;</v>
      </c>
    </row>
    <row r="3414" spans="1:1" x14ac:dyDescent="0.2">
      <c r="A3414" s="1135" t="str">
        <f>CONCATENATE(Programme!C3415,Programme!D3415,Programme!E3415,Programme!F3415,Programme!G3415,Programme!H3415,Programme!I3415)</f>
        <v>&lt;valeur&gt;&lt;/valeur&gt;</v>
      </c>
    </row>
    <row r="3415" spans="1:1" x14ac:dyDescent="0.2">
      <c r="A3415" s="1135" t="str">
        <f>CONCATENATE(Programme!C3416,Programme!D3416,Programme!E3416,Programme!F3416,Programme!G3416,Programme!H3416,Programme!I3416)</f>
        <v>&lt;/ValeurCellule&gt;</v>
      </c>
    </row>
    <row r="3416" spans="1:1" x14ac:dyDescent="0.2">
      <c r="A3416" s="1135" t="str">
        <f>CONCATENATE(Programme!C3417,Programme!D3417,Programme!E3417,Programme!F3417,Programme!G3417,Programme!H3417,Programme!I3417)</f>
        <v>&lt;ValeurCellule&gt;</v>
      </c>
    </row>
    <row r="3417" spans="1:1" x14ac:dyDescent="0.2">
      <c r="A3417" s="1135" t="str">
        <f>CONCATENATE(Programme!C3418,Programme!D3418,Programme!E3418,Programme!F3418,Programme!G3418,Programme!H3418,Programme!I3418)</f>
        <v>&lt;cellule&gt;</v>
      </c>
    </row>
    <row r="3418" spans="1:1" x14ac:dyDescent="0.2">
      <c r="A3418" s="1135" t="str">
        <f>CONCATENATE(Programme!C3419,Programme!D3419,Programme!E3419,Programme!F3419,Programme!G3419,Programme!H3419,Programme!I3419)</f>
        <v>&lt;codeEdi&gt;839&lt;/codeEdi&gt;</v>
      </c>
    </row>
    <row r="3419" spans="1:1" x14ac:dyDescent="0.2">
      <c r="A3419" s="1135" t="str">
        <f>CONCATENATE(Programme!C3420,Programme!D3420,Programme!E3420,Programme!F3420,Programme!G3420,Programme!H3420,Programme!I3420)</f>
        <v>&lt;/cellule&gt;</v>
      </c>
    </row>
    <row r="3420" spans="1:1" x14ac:dyDescent="0.2">
      <c r="A3420" s="1135" t="str">
        <f>CONCATENATE(Programme!C3421,Programme!D3421,Programme!E3421,Programme!F3421,Programme!G3421,Programme!H3421,Programme!I3421)</f>
        <v>&lt;valeur&gt;&lt;/valeur&gt;</v>
      </c>
    </row>
    <row r="3421" spans="1:1" x14ac:dyDescent="0.2">
      <c r="A3421" s="1135" t="str">
        <f>CONCATENATE(Programme!C3422,Programme!D3422,Programme!E3422,Programme!F3422,Programme!G3422,Programme!H3422,Programme!I3422)</f>
        <v>&lt;/ValeurCellule&gt;</v>
      </c>
    </row>
    <row r="3422" spans="1:1" x14ac:dyDescent="0.2">
      <c r="A3422" s="1135" t="str">
        <f>CONCATENATE(Programme!C3423,Programme!D3423,Programme!E3423,Programme!F3423,Programme!G3423,Programme!H3423,Programme!I3423)</f>
        <v>&lt;ValeurCellule&gt;</v>
      </c>
    </row>
    <row r="3423" spans="1:1" x14ac:dyDescent="0.2">
      <c r="A3423" s="1135" t="str">
        <f>CONCATENATE(Programme!C3424,Programme!D3424,Programme!E3424,Programme!F3424,Programme!G3424,Programme!H3424,Programme!I3424)</f>
        <v>&lt;cellule&gt;</v>
      </c>
    </row>
    <row r="3424" spans="1:1" x14ac:dyDescent="0.2">
      <c r="A3424" s="1135" t="str">
        <f>CONCATENATE(Programme!C3425,Programme!D3425,Programme!E3425,Programme!F3425,Programme!G3425,Programme!H3425,Programme!I3425)</f>
        <v>&lt;codeEdi&gt;840&lt;/codeEdi&gt;</v>
      </c>
    </row>
    <row r="3425" spans="1:1" x14ac:dyDescent="0.2">
      <c r="A3425" s="1135" t="str">
        <f>CONCATENATE(Programme!C3426,Programme!D3426,Programme!E3426,Programme!F3426,Programme!G3426,Programme!H3426,Programme!I3426)</f>
        <v>&lt;/cellule&gt;</v>
      </c>
    </row>
    <row r="3426" spans="1:1" x14ac:dyDescent="0.2">
      <c r="A3426" s="1135" t="str">
        <f>CONCATENATE(Programme!C3427,Programme!D3427,Programme!E3427,Programme!F3427,Programme!G3427,Programme!H3427,Programme!I3427)</f>
        <v>&lt;valeur&gt;0&lt;/valeur&gt;</v>
      </c>
    </row>
    <row r="3427" spans="1:1" x14ac:dyDescent="0.2">
      <c r="A3427" s="1135" t="str">
        <f>CONCATENATE(Programme!C3428,Programme!D3428,Programme!E3428,Programme!F3428,Programme!G3428,Programme!H3428,Programme!I3428)</f>
        <v>&lt;/ValeurCellule&gt;</v>
      </c>
    </row>
    <row r="3428" spans="1:1" x14ac:dyDescent="0.2">
      <c r="A3428" s="1135" t="str">
        <f>CONCATENATE(Programme!C3429,Programme!D3429,Programme!E3429,Programme!F3429,Programme!G3429,Programme!H3429,Programme!I3429)</f>
        <v>&lt;ValeurCellule&gt;</v>
      </c>
    </row>
    <row r="3429" spans="1:1" x14ac:dyDescent="0.2">
      <c r="A3429" s="1135" t="str">
        <f>CONCATENATE(Programme!C3430,Programme!D3430,Programme!E3430,Programme!F3430,Programme!G3430,Programme!H3430,Programme!I3430)</f>
        <v>&lt;cellule&gt;</v>
      </c>
    </row>
    <row r="3430" spans="1:1" x14ac:dyDescent="0.2">
      <c r="A3430" s="1135" t="str">
        <f>CONCATENATE(Programme!C3431,Programme!D3431,Programme!E3431,Programme!F3431,Programme!G3431,Programme!H3431,Programme!I3431)</f>
        <v>&lt;codeEdi&gt;845&lt;/codeEdi&gt;</v>
      </c>
    </row>
    <row r="3431" spans="1:1" x14ac:dyDescent="0.2">
      <c r="A3431" s="1135" t="str">
        <f>CONCATENATE(Programme!C3432,Programme!D3432,Programme!E3432,Programme!F3432,Programme!G3432,Programme!H3432,Programme!I3432)</f>
        <v>&lt;/cellule&gt;</v>
      </c>
    </row>
    <row r="3432" spans="1:1" x14ac:dyDescent="0.2">
      <c r="A3432" s="1135" t="str">
        <f>CONCATENATE(Programme!C3433,Programme!D3433,Programme!E3433,Programme!F3433,Programme!G3433,Programme!H3433,Programme!I3433)</f>
        <v>&lt;valeur&gt;&lt;/valeur&gt;</v>
      </c>
    </row>
    <row r="3433" spans="1:1" x14ac:dyDescent="0.2">
      <c r="A3433" s="1135" t="str">
        <f>CONCATENATE(Programme!C3434,Programme!D3434,Programme!E3434,Programme!F3434,Programme!G3434,Programme!H3434,Programme!I3434)</f>
        <v>&lt;/ValeurCellule&gt;</v>
      </c>
    </row>
    <row r="3434" spans="1:1" x14ac:dyDescent="0.2">
      <c r="A3434" s="1135" t="str">
        <f>CONCATENATE(Programme!C3435,Programme!D3435,Programme!E3435,Programme!F3435,Programme!G3435,Programme!H3435,Programme!I3435)</f>
        <v>&lt;ValeurCellule&gt;</v>
      </c>
    </row>
    <row r="3435" spans="1:1" x14ac:dyDescent="0.2">
      <c r="A3435" s="1135" t="str">
        <f>CONCATENATE(Programme!C3436,Programme!D3436,Programme!E3436,Programme!F3436,Programme!G3436,Programme!H3436,Programme!I3436)</f>
        <v>&lt;cellule&gt;</v>
      </c>
    </row>
    <row r="3436" spans="1:1" x14ac:dyDescent="0.2">
      <c r="A3436" s="1135" t="str">
        <f>CONCATENATE(Programme!C3437,Programme!D3437,Programme!E3437,Programme!F3437,Programme!G3437,Programme!H3437,Programme!I3437)</f>
        <v>&lt;codeEdi&gt;846&lt;/codeEdi&gt;</v>
      </c>
    </row>
    <row r="3437" spans="1:1" x14ac:dyDescent="0.2">
      <c r="A3437" s="1135" t="str">
        <f>CONCATENATE(Programme!C3438,Programme!D3438,Programme!E3438,Programme!F3438,Programme!G3438,Programme!H3438,Programme!I3438)</f>
        <v>&lt;/cellule&gt;</v>
      </c>
    </row>
    <row r="3438" spans="1:1" x14ac:dyDescent="0.2">
      <c r="A3438" s="1135" t="str">
        <f>CONCATENATE(Programme!C3439,Programme!D3439,Programme!E3439,Programme!F3439,Programme!G3439,Programme!H3439,Programme!I3439)</f>
        <v>&lt;valeur&gt;&lt;/valeur&gt;</v>
      </c>
    </row>
    <row r="3439" spans="1:1" x14ac:dyDescent="0.2">
      <c r="A3439" s="1135" t="str">
        <f>CONCATENATE(Programme!C3440,Programme!D3440,Programme!E3440,Programme!F3440,Programme!G3440,Programme!H3440,Programme!I3440)</f>
        <v>&lt;/ValeurCellule&gt;</v>
      </c>
    </row>
    <row r="3440" spans="1:1" x14ac:dyDescent="0.2">
      <c r="A3440" s="1135" t="str">
        <f>CONCATENATE(Programme!C3441,Programme!D3441,Programme!E3441,Programme!F3441,Programme!G3441,Programme!H3441,Programme!I3441)</f>
        <v>&lt;ValeurCellule&gt;</v>
      </c>
    </row>
    <row r="3441" spans="1:1" x14ac:dyDescent="0.2">
      <c r="A3441" s="1135" t="str">
        <f>CONCATENATE(Programme!C3442,Programme!D3442,Programme!E3442,Programme!F3442,Programme!G3442,Programme!H3442,Programme!I3442)</f>
        <v>&lt;cellule&gt;</v>
      </c>
    </row>
    <row r="3442" spans="1:1" x14ac:dyDescent="0.2">
      <c r="A3442" s="1135" t="str">
        <f>CONCATENATE(Programme!C3443,Programme!D3443,Programme!E3443,Programme!F3443,Programme!G3443,Programme!H3443,Programme!I3443)</f>
        <v>&lt;codeEdi&gt;847&lt;/codeEdi&gt;</v>
      </c>
    </row>
    <row r="3443" spans="1:1" x14ac:dyDescent="0.2">
      <c r="A3443" s="1135" t="str">
        <f>CONCATENATE(Programme!C3444,Programme!D3444,Programme!E3444,Programme!F3444,Programme!G3444,Programme!H3444,Programme!I3444)</f>
        <v>&lt;/cellule&gt;</v>
      </c>
    </row>
    <row r="3444" spans="1:1" x14ac:dyDescent="0.2">
      <c r="A3444" s="1135" t="str">
        <f>CONCATENATE(Programme!C3445,Programme!D3445,Programme!E3445,Programme!F3445,Programme!G3445,Programme!H3445,Programme!I3445)</f>
        <v>&lt;valeur&gt;&lt;/valeur&gt;</v>
      </c>
    </row>
    <row r="3445" spans="1:1" x14ac:dyDescent="0.2">
      <c r="A3445" s="1135" t="str">
        <f>CONCATENATE(Programme!C3446,Programme!D3446,Programme!E3446,Programme!F3446,Programme!G3446,Programme!H3446,Programme!I3446)</f>
        <v>&lt;/ValeurCellule&gt;</v>
      </c>
    </row>
    <row r="3446" spans="1:1" x14ac:dyDescent="0.2">
      <c r="A3446" s="1135" t="str">
        <f>CONCATENATE(Programme!C3447,Programme!D3447,Programme!E3447,Programme!F3447,Programme!G3447,Programme!H3447,Programme!I3447)</f>
        <v>&lt;ValeurCellule&gt;</v>
      </c>
    </row>
    <row r="3447" spans="1:1" x14ac:dyDescent="0.2">
      <c r="A3447" s="1135" t="str">
        <f>CONCATENATE(Programme!C3448,Programme!D3448,Programme!E3448,Programme!F3448,Programme!G3448,Programme!H3448,Programme!I3448)</f>
        <v>&lt;cellule&gt;</v>
      </c>
    </row>
    <row r="3448" spans="1:1" x14ac:dyDescent="0.2">
      <c r="A3448" s="1135" t="str">
        <f>CONCATENATE(Programme!C3449,Programme!D3449,Programme!E3449,Programme!F3449,Programme!G3449,Programme!H3449,Programme!I3449)</f>
        <v>&lt;codeEdi&gt;848&lt;/codeEdi&gt;</v>
      </c>
    </row>
    <row r="3449" spans="1:1" x14ac:dyDescent="0.2">
      <c r="A3449" s="1135" t="str">
        <f>CONCATENATE(Programme!C3450,Programme!D3450,Programme!E3450,Programme!F3450,Programme!G3450,Programme!H3450,Programme!I3450)</f>
        <v>&lt;/cellule&gt;</v>
      </c>
    </row>
    <row r="3450" spans="1:1" x14ac:dyDescent="0.2">
      <c r="A3450" s="1135" t="str">
        <f>CONCATENATE(Programme!C3451,Programme!D3451,Programme!E3451,Programme!F3451,Programme!G3451,Programme!H3451,Programme!I3451)</f>
        <v>&lt;valeur&gt;&lt;/valeur&gt;</v>
      </c>
    </row>
    <row r="3451" spans="1:1" x14ac:dyDescent="0.2">
      <c r="A3451" s="1135" t="str">
        <f>CONCATENATE(Programme!C3452,Programme!D3452,Programme!E3452,Programme!F3452,Programme!G3452,Programme!H3452,Programme!I3452)</f>
        <v>&lt;/ValeurCellule&gt;</v>
      </c>
    </row>
    <row r="3452" spans="1:1" x14ac:dyDescent="0.2">
      <c r="A3452" s="1135" t="str">
        <f>CONCATENATE(Programme!C3453,Programme!D3453,Programme!E3453,Programme!F3453,Programme!G3453,Programme!H3453,Programme!I3453)</f>
        <v>&lt;ValeurCellule&gt;</v>
      </c>
    </row>
    <row r="3453" spans="1:1" x14ac:dyDescent="0.2">
      <c r="A3453" s="1135" t="str">
        <f>CONCATENATE(Programme!C3454,Programme!D3454,Programme!E3454,Programme!F3454,Programme!G3454,Programme!H3454,Programme!I3454)</f>
        <v>&lt;cellule&gt;</v>
      </c>
    </row>
    <row r="3454" spans="1:1" x14ac:dyDescent="0.2">
      <c r="A3454" s="1135" t="str">
        <f>CONCATENATE(Programme!C3455,Programme!D3455,Programme!E3455,Programme!F3455,Programme!G3455,Programme!H3455,Programme!I3455)</f>
        <v>&lt;codeEdi&gt;849&lt;/codeEdi&gt;</v>
      </c>
    </row>
    <row r="3455" spans="1:1" x14ac:dyDescent="0.2">
      <c r="A3455" s="1135" t="str">
        <f>CONCATENATE(Programme!C3456,Programme!D3456,Programme!E3456,Programme!F3456,Programme!G3456,Programme!H3456,Programme!I3456)</f>
        <v>&lt;/cellule&gt;</v>
      </c>
    </row>
    <row r="3456" spans="1:1" x14ac:dyDescent="0.2">
      <c r="A3456" s="1135" t="str">
        <f>CONCATENATE(Programme!C3457,Programme!D3457,Programme!E3457,Programme!F3457,Programme!G3457,Programme!H3457,Programme!I3457)</f>
        <v>&lt;valeur&gt;&lt;/valeur&gt;</v>
      </c>
    </row>
    <row r="3457" spans="1:1" x14ac:dyDescent="0.2">
      <c r="A3457" s="1135" t="str">
        <f>CONCATENATE(Programme!C3458,Programme!D3458,Programme!E3458,Programme!F3458,Programme!G3458,Programme!H3458,Programme!I3458)</f>
        <v>&lt;/ValeurCellule&gt;</v>
      </c>
    </row>
    <row r="3458" spans="1:1" x14ac:dyDescent="0.2">
      <c r="A3458" s="1135" t="str">
        <f>CONCATENATE(Programme!C3459,Programme!D3459,Programme!E3459,Programme!F3459,Programme!G3459,Programme!H3459,Programme!I3459)</f>
        <v>&lt;ValeurCellule&gt;</v>
      </c>
    </row>
    <row r="3459" spans="1:1" x14ac:dyDescent="0.2">
      <c r="A3459" s="1135" t="str">
        <f>CONCATENATE(Programme!C3460,Programme!D3460,Programme!E3460,Programme!F3460,Programme!G3460,Programme!H3460,Programme!I3460)</f>
        <v>&lt;cellule&gt;</v>
      </c>
    </row>
    <row r="3460" spans="1:1" x14ac:dyDescent="0.2">
      <c r="A3460" s="1135" t="str">
        <f>CONCATENATE(Programme!C3461,Programme!D3461,Programme!E3461,Programme!F3461,Programme!G3461,Programme!H3461,Programme!I3461)</f>
        <v>&lt;codeEdi&gt;850&lt;/codeEdi&gt;</v>
      </c>
    </row>
    <row r="3461" spans="1:1" x14ac:dyDescent="0.2">
      <c r="A3461" s="1135" t="str">
        <f>CONCATENATE(Programme!C3462,Programme!D3462,Programme!E3462,Programme!F3462,Programme!G3462,Programme!H3462,Programme!I3462)</f>
        <v>&lt;/cellule&gt;</v>
      </c>
    </row>
    <row r="3462" spans="1:1" x14ac:dyDescent="0.2">
      <c r="A3462" s="1135" t="str">
        <f>CONCATENATE(Programme!C3463,Programme!D3463,Programme!E3463,Programme!F3463,Programme!G3463,Programme!H3463,Programme!I3463)</f>
        <v>&lt;valeur&gt;&lt;/valeur&gt;</v>
      </c>
    </row>
    <row r="3463" spans="1:1" x14ac:dyDescent="0.2">
      <c r="A3463" s="1135" t="str">
        <f>CONCATENATE(Programme!C3464,Programme!D3464,Programme!E3464,Programme!F3464,Programme!G3464,Programme!H3464,Programme!I3464)</f>
        <v>&lt;/ValeurCellule&gt;</v>
      </c>
    </row>
    <row r="3464" spans="1:1" x14ac:dyDescent="0.2">
      <c r="A3464" s="1135" t="str">
        <f>CONCATENATE(Programme!C3465,Programme!D3465,Programme!E3465,Programme!F3465,Programme!G3465,Programme!H3465,Programme!I3465)</f>
        <v>&lt;ValeurCellule&gt;</v>
      </c>
    </row>
    <row r="3465" spans="1:1" x14ac:dyDescent="0.2">
      <c r="A3465" s="1135" t="str">
        <f>CONCATENATE(Programme!C3466,Programme!D3466,Programme!E3466,Programme!F3466,Programme!G3466,Programme!H3466,Programme!I3466)</f>
        <v>&lt;cellule&gt;</v>
      </c>
    </row>
    <row r="3466" spans="1:1" x14ac:dyDescent="0.2">
      <c r="A3466" s="1135" t="str">
        <f>CONCATENATE(Programme!C3467,Programme!D3467,Programme!E3467,Programme!F3467,Programme!G3467,Programme!H3467,Programme!I3467)</f>
        <v>&lt;codeEdi&gt;851&lt;/codeEdi&gt;</v>
      </c>
    </row>
    <row r="3467" spans="1:1" x14ac:dyDescent="0.2">
      <c r="A3467" s="1135" t="str">
        <f>CONCATENATE(Programme!C3468,Programme!D3468,Programme!E3468,Programme!F3468,Programme!G3468,Programme!H3468,Programme!I3468)</f>
        <v>&lt;/cellule&gt;</v>
      </c>
    </row>
    <row r="3468" spans="1:1" x14ac:dyDescent="0.2">
      <c r="A3468" s="1135" t="str">
        <f>CONCATENATE(Programme!C3469,Programme!D3469,Programme!E3469,Programme!F3469,Programme!G3469,Programme!H3469,Programme!I3469)</f>
        <v>&lt;valeur&gt;&lt;/valeur&gt;</v>
      </c>
    </row>
    <row r="3469" spans="1:1" x14ac:dyDescent="0.2">
      <c r="A3469" s="1135" t="str">
        <f>CONCATENATE(Programme!C3470,Programme!D3470,Programme!E3470,Programme!F3470,Programme!G3470,Programme!H3470,Programme!I3470)</f>
        <v>&lt;/ValeurCellule&gt;</v>
      </c>
    </row>
    <row r="3470" spans="1:1" x14ac:dyDescent="0.2">
      <c r="A3470" s="1135" t="str">
        <f>CONCATENATE(Programme!C3471,Programme!D3471,Programme!E3471,Programme!F3471,Programme!G3471,Programme!H3471,Programme!I3471)</f>
        <v>&lt;ValeurCellule&gt;</v>
      </c>
    </row>
    <row r="3471" spans="1:1" x14ac:dyDescent="0.2">
      <c r="A3471" s="1135" t="str">
        <f>CONCATENATE(Programme!C3472,Programme!D3472,Programme!E3472,Programme!F3472,Programme!G3472,Programme!H3472,Programme!I3472)</f>
        <v>&lt;cellule&gt;</v>
      </c>
    </row>
    <row r="3472" spans="1:1" x14ac:dyDescent="0.2">
      <c r="A3472" s="1135" t="str">
        <f>CONCATENATE(Programme!C3473,Programme!D3473,Programme!E3473,Programme!F3473,Programme!G3473,Programme!H3473,Programme!I3473)</f>
        <v>&lt;codeEdi&gt;852&lt;/codeEdi&gt;</v>
      </c>
    </row>
    <row r="3473" spans="1:1" x14ac:dyDescent="0.2">
      <c r="A3473" s="1135" t="str">
        <f>CONCATENATE(Programme!C3474,Programme!D3474,Programme!E3474,Programme!F3474,Programme!G3474,Programme!H3474,Programme!I3474)</f>
        <v>&lt;/cellule&gt;</v>
      </c>
    </row>
    <row r="3474" spans="1:1" x14ac:dyDescent="0.2">
      <c r="A3474" s="1135" t="str">
        <f>CONCATENATE(Programme!C3475,Programme!D3475,Programme!E3475,Programme!F3475,Programme!G3475,Programme!H3475,Programme!I3475)</f>
        <v>&lt;valeur&gt;&lt;/valeur&gt;</v>
      </c>
    </row>
    <row r="3475" spans="1:1" x14ac:dyDescent="0.2">
      <c r="A3475" s="1135" t="str">
        <f>CONCATENATE(Programme!C3476,Programme!D3476,Programme!E3476,Programme!F3476,Programme!G3476,Programme!H3476,Programme!I3476)</f>
        <v>&lt;/ValeurCellule&gt;</v>
      </c>
    </row>
    <row r="3476" spans="1:1" x14ac:dyDescent="0.2">
      <c r="A3476" s="1135" t="str">
        <f>CONCATENATE(Programme!C3477,Programme!D3477,Programme!E3477,Programme!F3477,Programme!G3477,Programme!H3477,Programme!I3477)</f>
        <v>&lt;ValeurCellule&gt;</v>
      </c>
    </row>
    <row r="3477" spans="1:1" x14ac:dyDescent="0.2">
      <c r="A3477" s="1135" t="str">
        <f>CONCATENATE(Programme!C3478,Programme!D3478,Programme!E3478,Programme!F3478,Programme!G3478,Programme!H3478,Programme!I3478)</f>
        <v>&lt;cellule&gt;</v>
      </c>
    </row>
    <row r="3478" spans="1:1" x14ac:dyDescent="0.2">
      <c r="A3478" s="1135" t="str">
        <f>CONCATENATE(Programme!C3479,Programme!D3479,Programme!E3479,Programme!F3479,Programme!G3479,Programme!H3479,Programme!I3479)</f>
        <v>&lt;codeEdi&gt;6872&lt;/codeEdi&gt;</v>
      </c>
    </row>
    <row r="3479" spans="1:1" x14ac:dyDescent="0.2">
      <c r="A3479" s="1135" t="str">
        <f>CONCATENATE(Programme!C3480,Programme!D3480,Programme!E3480,Programme!F3480,Programme!G3480,Programme!H3480,Programme!I3480)</f>
        <v>&lt;/cellule&gt;</v>
      </c>
    </row>
    <row r="3480" spans="1:1" x14ac:dyDescent="0.2">
      <c r="A3480" s="1135" t="str">
        <f>CONCATENATE(Programme!C3481,Programme!D3481,Programme!E3481,Programme!F3481,Programme!G3481,Programme!H3481,Programme!I3481)</f>
        <v>&lt;valeur&gt;23836,44&lt;/valeur&gt;</v>
      </c>
    </row>
    <row r="3481" spans="1:1" x14ac:dyDescent="0.2">
      <c r="A3481" s="1135" t="str">
        <f>CONCATENATE(Programme!C3482,Programme!D3482,Programme!E3482,Programme!F3482,Programme!G3482,Programme!H3482,Programme!I3482)</f>
        <v>&lt;/ValeurCellule&gt;</v>
      </c>
    </row>
    <row r="3482" spans="1:1" x14ac:dyDescent="0.2">
      <c r="A3482" s="1135" t="str">
        <f>CONCATENATE(Programme!C3483,Programme!D3483,Programme!E3483,Programme!F3483,Programme!G3483,Programme!H3483,Programme!I3483)</f>
        <v>&lt;ValeurCellule&gt;</v>
      </c>
    </row>
    <row r="3483" spans="1:1" x14ac:dyDescent="0.2">
      <c r="A3483" s="1135" t="str">
        <f>CONCATENATE(Programme!C3484,Programme!D3484,Programme!E3484,Programme!F3484,Programme!G3484,Programme!H3484,Programme!I3484)</f>
        <v>&lt;cellule&gt;</v>
      </c>
    </row>
    <row r="3484" spans="1:1" x14ac:dyDescent="0.2">
      <c r="A3484" s="1135" t="str">
        <f>CONCATENATE(Programme!C3485,Programme!D3485,Programme!E3485,Programme!F3485,Programme!G3485,Programme!H3485,Programme!I3485)</f>
        <v>&lt;codeEdi&gt;6873&lt;/codeEdi&gt;</v>
      </c>
    </row>
    <row r="3485" spans="1:1" x14ac:dyDescent="0.2">
      <c r="A3485" s="1135" t="str">
        <f>CONCATENATE(Programme!C3486,Programme!D3486,Programme!E3486,Programme!F3486,Programme!G3486,Programme!H3486,Programme!I3486)</f>
        <v>&lt;/cellule&gt;</v>
      </c>
    </row>
    <row r="3486" spans="1:1" x14ac:dyDescent="0.2">
      <c r="A3486" s="1135" t="str">
        <f>CONCATENATE(Programme!C3487,Programme!D3487,Programme!E3487,Programme!F3487,Programme!G3487,Programme!H3487,Programme!I3487)</f>
        <v>&lt;valeur&gt;&lt;/valeur&gt;</v>
      </c>
    </row>
    <row r="3487" spans="1:1" x14ac:dyDescent="0.2">
      <c r="A3487" s="1135" t="str">
        <f>CONCATENATE(Programme!C3488,Programme!D3488,Programme!E3488,Programme!F3488,Programme!G3488,Programme!H3488,Programme!I3488)</f>
        <v>&lt;/ValeurCellule&gt;</v>
      </c>
    </row>
    <row r="3488" spans="1:1" x14ac:dyDescent="0.2">
      <c r="A3488" s="1135" t="str">
        <f>CONCATENATE(Programme!C3489,Programme!D3489,Programme!E3489,Programme!F3489,Programme!G3489,Programme!H3489,Programme!I3489)</f>
        <v>&lt;ValeurCellule&gt;</v>
      </c>
    </row>
    <row r="3489" spans="1:1" x14ac:dyDescent="0.2">
      <c r="A3489" s="1135" t="str">
        <f>CONCATENATE(Programme!C3490,Programme!D3490,Programme!E3490,Programme!F3490,Programme!G3490,Programme!H3490,Programme!I3490)</f>
        <v>&lt;cellule&gt;</v>
      </c>
    </row>
    <row r="3490" spans="1:1" x14ac:dyDescent="0.2">
      <c r="A3490" s="1135" t="str">
        <f>CONCATENATE(Programme!C3491,Programme!D3491,Programme!E3491,Programme!F3491,Programme!G3491,Programme!H3491,Programme!I3491)</f>
        <v>&lt;codeEdi&gt;6874&lt;/codeEdi&gt;</v>
      </c>
    </row>
    <row r="3491" spans="1:1" x14ac:dyDescent="0.2">
      <c r="A3491" s="1135" t="str">
        <f>CONCATENATE(Programme!C3492,Programme!D3492,Programme!E3492,Programme!F3492,Programme!G3492,Programme!H3492,Programme!I3492)</f>
        <v>&lt;/cellule&gt;</v>
      </c>
    </row>
    <row r="3492" spans="1:1" x14ac:dyDescent="0.2">
      <c r="A3492" s="1135" t="str">
        <f>CONCATENATE(Programme!C3493,Programme!D3493,Programme!E3493,Programme!F3493,Programme!G3493,Programme!H3493,Programme!I3493)</f>
        <v>&lt;valeur&gt;&lt;/valeur&gt;</v>
      </c>
    </row>
    <row r="3493" spans="1:1" x14ac:dyDescent="0.2">
      <c r="A3493" s="1135" t="str">
        <f>CONCATENATE(Programme!C3494,Programme!D3494,Programme!E3494,Programme!F3494,Programme!G3494,Programme!H3494,Programme!I3494)</f>
        <v>&lt;/ValeurCellule&gt;</v>
      </c>
    </row>
    <row r="3494" spans="1:1" x14ac:dyDescent="0.2">
      <c r="A3494" s="1135" t="str">
        <f>CONCATENATE(Programme!C3495,Programme!D3495,Programme!E3495,Programme!F3495,Programme!G3495,Programme!H3495,Programme!I3495)</f>
        <v>&lt;ValeurCellule&gt;</v>
      </c>
    </row>
    <row r="3495" spans="1:1" x14ac:dyDescent="0.2">
      <c r="A3495" s="1135" t="str">
        <f>CONCATENATE(Programme!C3496,Programme!D3496,Programme!E3496,Programme!F3496,Programme!G3496,Programme!H3496,Programme!I3496)</f>
        <v>&lt;cellule&gt;</v>
      </c>
    </row>
    <row r="3496" spans="1:1" x14ac:dyDescent="0.2">
      <c r="A3496" s="1135" t="str">
        <f>CONCATENATE(Programme!C3497,Programme!D3497,Programme!E3497,Programme!F3497,Programme!G3497,Programme!H3497,Programme!I3497)</f>
        <v>&lt;codeEdi&gt;6875&lt;/codeEdi&gt;</v>
      </c>
    </row>
    <row r="3497" spans="1:1" x14ac:dyDescent="0.2">
      <c r="A3497" s="1135" t="str">
        <f>CONCATENATE(Programme!C3498,Programme!D3498,Programme!E3498,Programme!F3498,Programme!G3498,Programme!H3498,Programme!I3498)</f>
        <v>&lt;/cellule&gt;</v>
      </c>
    </row>
    <row r="3498" spans="1:1" x14ac:dyDescent="0.2">
      <c r="A3498" s="1135" t="str">
        <f>CONCATENATE(Programme!C3499,Programme!D3499,Programme!E3499,Programme!F3499,Programme!G3499,Programme!H3499,Programme!I3499)</f>
        <v>&lt;valeur&gt;&lt;/valeur&gt;</v>
      </c>
    </row>
    <row r="3499" spans="1:1" x14ac:dyDescent="0.2">
      <c r="A3499" s="1135" t="str">
        <f>CONCATENATE(Programme!C3500,Programme!D3500,Programme!E3500,Programme!F3500,Programme!G3500,Programme!H3500,Programme!I3500)</f>
        <v>&lt;/ValeurCellule&gt;</v>
      </c>
    </row>
    <row r="3500" spans="1:1" x14ac:dyDescent="0.2">
      <c r="A3500" s="1135" t="str">
        <f>CONCATENATE(Programme!C3501,Programme!D3501,Programme!E3501,Programme!F3501,Programme!G3501,Programme!H3501,Programme!I3501)</f>
        <v>&lt;ValeurCellule&gt;</v>
      </c>
    </row>
    <row r="3501" spans="1:1" x14ac:dyDescent="0.2">
      <c r="A3501" s="1135" t="str">
        <f>CONCATENATE(Programme!C3502,Programme!D3502,Programme!E3502,Programme!F3502,Programme!G3502,Programme!H3502,Programme!I3502)</f>
        <v>&lt;cellule&gt;</v>
      </c>
    </row>
    <row r="3502" spans="1:1" x14ac:dyDescent="0.2">
      <c r="A3502" s="1135" t="str">
        <f>CONCATENATE(Programme!C3503,Programme!D3503,Programme!E3503,Programme!F3503,Programme!G3503,Programme!H3503,Programme!I3503)</f>
        <v>&lt;codeEdi&gt;854&lt;/codeEdi&gt;</v>
      </c>
    </row>
    <row r="3503" spans="1:1" x14ac:dyDescent="0.2">
      <c r="A3503" s="1135" t="str">
        <f>CONCATENATE(Programme!C3504,Programme!D3504,Programme!E3504,Programme!F3504,Programme!G3504,Programme!H3504,Programme!I3504)</f>
        <v>&lt;/cellule&gt;</v>
      </c>
    </row>
    <row r="3504" spans="1:1" x14ac:dyDescent="0.2">
      <c r="A3504" s="1135" t="str">
        <f>CONCATENATE(Programme!C3505,Programme!D3505,Programme!E3505,Programme!F3505,Programme!G3505,Programme!H3505,Programme!I3505)</f>
        <v>&lt;valeur&gt;&lt;/valeur&gt;</v>
      </c>
    </row>
    <row r="3505" spans="1:1" x14ac:dyDescent="0.2">
      <c r="A3505" s="1135" t="str">
        <f>CONCATENATE(Programme!C3506,Programme!D3506,Programme!E3506,Programme!F3506,Programme!G3506,Programme!H3506,Programme!I3506)</f>
        <v>&lt;/ValeurCellule&gt;</v>
      </c>
    </row>
    <row r="3506" spans="1:1" x14ac:dyDescent="0.2">
      <c r="A3506" s="1135" t="str">
        <f>CONCATENATE(Programme!C3507,Programme!D3507,Programme!E3507,Programme!F3507,Programme!G3507,Programme!H3507,Programme!I3507)</f>
        <v>&lt;ValeurCellule&gt;</v>
      </c>
    </row>
    <row r="3507" spans="1:1" x14ac:dyDescent="0.2">
      <c r="A3507" s="1135" t="str">
        <f>CONCATENATE(Programme!C3508,Programme!D3508,Programme!E3508,Programme!F3508,Programme!G3508,Programme!H3508,Programme!I3508)</f>
        <v>&lt;cellule&gt;</v>
      </c>
    </row>
    <row r="3508" spans="1:1" x14ac:dyDescent="0.2">
      <c r="A3508" s="1135" t="str">
        <f>CONCATENATE(Programme!C3509,Programme!D3509,Programme!E3509,Programme!F3509,Programme!G3509,Programme!H3509,Programme!I3509)</f>
        <v>&lt;codeEdi&gt;855&lt;/codeEdi&gt;</v>
      </c>
    </row>
    <row r="3509" spans="1:1" x14ac:dyDescent="0.2">
      <c r="A3509" s="1135" t="str">
        <f>CONCATENATE(Programme!C3510,Programme!D3510,Programme!E3510,Programme!F3510,Programme!G3510,Programme!H3510,Programme!I3510)</f>
        <v>&lt;/cellule&gt;</v>
      </c>
    </row>
    <row r="3510" spans="1:1" x14ac:dyDescent="0.2">
      <c r="A3510" s="1135" t="str">
        <f>CONCATENATE(Programme!C3511,Programme!D3511,Programme!E3511,Programme!F3511,Programme!G3511,Programme!H3511,Programme!I3511)</f>
        <v>&lt;valeur&gt;&lt;/valeur&gt;</v>
      </c>
    </row>
    <row r="3511" spans="1:1" x14ac:dyDescent="0.2">
      <c r="A3511" s="1135" t="str">
        <f>CONCATENATE(Programme!C3512,Programme!D3512,Programme!E3512,Programme!F3512,Programme!G3512,Programme!H3512,Programme!I3512)</f>
        <v>&lt;/ValeurCellule&gt;</v>
      </c>
    </row>
    <row r="3512" spans="1:1" x14ac:dyDescent="0.2">
      <c r="A3512" s="1135" t="str">
        <f>CONCATENATE(Programme!C3513,Programme!D3513,Programme!E3513,Programme!F3513,Programme!G3513,Programme!H3513,Programme!I3513)</f>
        <v>&lt;ValeurCellule&gt;</v>
      </c>
    </row>
    <row r="3513" spans="1:1" x14ac:dyDescent="0.2">
      <c r="A3513" s="1135" t="str">
        <f>CONCATENATE(Programme!C3514,Programme!D3514,Programme!E3514,Programme!F3514,Programme!G3514,Programme!H3514,Programme!I3514)</f>
        <v>&lt;cellule&gt;</v>
      </c>
    </row>
    <row r="3514" spans="1:1" x14ac:dyDescent="0.2">
      <c r="A3514" s="1135" t="str">
        <f>CONCATENATE(Programme!C3515,Programme!D3515,Programme!E3515,Programme!F3515,Programme!G3515,Programme!H3515,Programme!I3515)</f>
        <v>&lt;codeEdi&gt;860&lt;/codeEdi&gt;</v>
      </c>
    </row>
    <row r="3515" spans="1:1" x14ac:dyDescent="0.2">
      <c r="A3515" s="1135" t="str">
        <f>CONCATENATE(Programme!C3516,Programme!D3516,Programme!E3516,Programme!F3516,Programme!G3516,Programme!H3516,Programme!I3516)</f>
        <v>&lt;/cellule&gt;</v>
      </c>
    </row>
    <row r="3516" spans="1:1" x14ac:dyDescent="0.2">
      <c r="A3516" s="1135" t="str">
        <f>CONCATENATE(Programme!C3517,Programme!D3517,Programme!E3517,Programme!F3517,Programme!G3517,Programme!H3517,Programme!I3517)</f>
        <v>&lt;valeur&gt;0&lt;/valeur&gt;</v>
      </c>
    </row>
    <row r="3517" spans="1:1" x14ac:dyDescent="0.2">
      <c r="A3517" s="1135" t="str">
        <f>CONCATENATE(Programme!C3518,Programme!D3518,Programme!E3518,Programme!F3518,Programme!G3518,Programme!H3518,Programme!I3518)</f>
        <v>&lt;/ValeurCellule&gt;</v>
      </c>
    </row>
    <row r="3518" spans="1:1" x14ac:dyDescent="0.2">
      <c r="A3518" s="1135" t="str">
        <f>CONCATENATE(Programme!C3519,Programme!D3519,Programme!E3519,Programme!F3519,Programme!G3519,Programme!H3519,Programme!I3519)</f>
        <v>&lt;ValeurCellule&gt;</v>
      </c>
    </row>
    <row r="3519" spans="1:1" x14ac:dyDescent="0.2">
      <c r="A3519" s="1135" t="str">
        <f>CONCATENATE(Programme!C3520,Programme!D3520,Programme!E3520,Programme!F3520,Programme!G3520,Programme!H3520,Programme!I3520)</f>
        <v>&lt;cellule&gt;</v>
      </c>
    </row>
    <row r="3520" spans="1:1" x14ac:dyDescent="0.2">
      <c r="A3520" s="1135" t="str">
        <f>CONCATENATE(Programme!C3521,Programme!D3521,Programme!E3521,Programme!F3521,Programme!G3521,Programme!H3521,Programme!I3521)</f>
        <v>&lt;codeEdi&gt;861&lt;/codeEdi&gt;</v>
      </c>
    </row>
    <row r="3521" spans="1:1" x14ac:dyDescent="0.2">
      <c r="A3521" s="1135" t="str">
        <f>CONCATENATE(Programme!C3522,Programme!D3522,Programme!E3522,Programme!F3522,Programme!G3522,Programme!H3522,Programme!I3522)</f>
        <v>&lt;/cellule&gt;</v>
      </c>
    </row>
    <row r="3522" spans="1:1" x14ac:dyDescent="0.2">
      <c r="A3522" s="1135" t="str">
        <f>CONCATENATE(Programme!C3523,Programme!D3523,Programme!E3523,Programme!F3523,Programme!G3523,Programme!H3523,Programme!I3523)</f>
        <v>&lt;valeur&gt;0&lt;/valeur&gt;</v>
      </c>
    </row>
    <row r="3523" spans="1:1" x14ac:dyDescent="0.2">
      <c r="A3523" s="1135" t="str">
        <f>CONCATENATE(Programme!C3524,Programme!D3524,Programme!E3524,Programme!F3524,Programme!G3524,Programme!H3524,Programme!I3524)</f>
        <v>&lt;/ValeurCellule&gt;</v>
      </c>
    </row>
    <row r="3524" spans="1:1" x14ac:dyDescent="0.2">
      <c r="A3524" s="1135" t="str">
        <f>CONCATENATE(Programme!C3525,Programme!D3525,Programme!E3525,Programme!F3525,Programme!G3525,Programme!H3525,Programme!I3525)</f>
        <v>&lt;ValeurCellule&gt;</v>
      </c>
    </row>
    <row r="3525" spans="1:1" x14ac:dyDescent="0.2">
      <c r="A3525" s="1135" t="str">
        <f>CONCATENATE(Programme!C3526,Programme!D3526,Programme!E3526,Programme!F3526,Programme!G3526,Programme!H3526,Programme!I3526)</f>
        <v>&lt;cellule&gt;</v>
      </c>
    </row>
    <row r="3526" spans="1:1" x14ac:dyDescent="0.2">
      <c r="A3526" s="1135" t="str">
        <f>CONCATENATE(Programme!C3527,Programme!D3527,Programme!E3527,Programme!F3527,Programme!G3527,Programme!H3527,Programme!I3527)</f>
        <v>&lt;codeEdi&gt;862&lt;/codeEdi&gt;</v>
      </c>
    </row>
    <row r="3527" spans="1:1" x14ac:dyDescent="0.2">
      <c r="A3527" s="1135" t="str">
        <f>CONCATENATE(Programme!C3528,Programme!D3528,Programme!E3528,Programme!F3528,Programme!G3528,Programme!H3528,Programme!I3528)</f>
        <v>&lt;/cellule&gt;</v>
      </c>
    </row>
    <row r="3528" spans="1:1" x14ac:dyDescent="0.2">
      <c r="A3528" s="1135" t="e">
        <f>CONCATENATE(Programme!C3529,Programme!D3529,Programme!E3529,Programme!F3529,Programme!G3529,Programme!H3529,Programme!I3529)</f>
        <v>#REF!</v>
      </c>
    </row>
    <row r="3529" spans="1:1" x14ac:dyDescent="0.2">
      <c r="A3529" s="1135" t="str">
        <f>CONCATENATE(Programme!C3530,Programme!D3530,Programme!E3530,Programme!F3530,Programme!G3530,Programme!H3530,Programme!I3530)</f>
        <v>&lt;/ValeurCellule&gt;</v>
      </c>
    </row>
    <row r="3530" spans="1:1" x14ac:dyDescent="0.2">
      <c r="A3530" s="1135" t="str">
        <f>CONCATENATE(Programme!C3531,Programme!D3531,Programme!E3531,Programme!F3531,Programme!G3531,Programme!H3531,Programme!I3531)</f>
        <v>&lt;ValeurCellule&gt;</v>
      </c>
    </row>
    <row r="3531" spans="1:1" x14ac:dyDescent="0.2">
      <c r="A3531" s="1135" t="str">
        <f>CONCATENATE(Programme!C3532,Programme!D3532,Programme!E3532,Programme!F3532,Programme!G3532,Programme!H3532,Programme!I3532)</f>
        <v>&lt;cellule&gt;</v>
      </c>
    </row>
    <row r="3532" spans="1:1" x14ac:dyDescent="0.2">
      <c r="A3532" s="1135" t="str">
        <f>CONCATENATE(Programme!C3533,Programme!D3533,Programme!E3533,Programme!F3533,Programme!G3533,Programme!H3533,Programme!I3533)</f>
        <v>&lt;codeEdi&gt;863&lt;/codeEdi&gt;</v>
      </c>
    </row>
    <row r="3533" spans="1:1" x14ac:dyDescent="0.2">
      <c r="A3533" s="1135" t="str">
        <f>CONCATENATE(Programme!C3534,Programme!D3534,Programme!E3534,Programme!F3534,Programme!G3534,Programme!H3534,Programme!I3534)</f>
        <v>&lt;/cellule&gt;</v>
      </c>
    </row>
    <row r="3534" spans="1:1" x14ac:dyDescent="0.2">
      <c r="A3534" s="1135" t="str">
        <f>CONCATENATE(Programme!C3535,Programme!D3535,Programme!E3535,Programme!F3535,Programme!G3535,Programme!H3535,Programme!I3535)</f>
        <v>&lt;valeur&gt;18918,67&lt;/valeur&gt;</v>
      </c>
    </row>
    <row r="3535" spans="1:1" x14ac:dyDescent="0.2">
      <c r="A3535" s="1135" t="str">
        <f>CONCATENATE(Programme!C3536,Programme!D3536,Programme!E3536,Programme!F3536,Programme!G3536,Programme!H3536,Programme!I3536)</f>
        <v>&lt;/ValeurCellule&gt;</v>
      </c>
    </row>
    <row r="3536" spans="1:1" x14ac:dyDescent="0.2">
      <c r="A3536" s="1135" t="str">
        <f>CONCATENATE(Programme!C3537,Programme!D3537,Programme!E3537,Programme!F3537,Programme!G3537,Programme!H3537,Programme!I3537)</f>
        <v>&lt;ValeurCellule&gt;</v>
      </c>
    </row>
    <row r="3537" spans="1:1" x14ac:dyDescent="0.2">
      <c r="A3537" s="1135" t="str">
        <f>CONCATENATE(Programme!C3538,Programme!D3538,Programme!E3538,Programme!F3538,Programme!G3538,Programme!H3538,Programme!I3538)</f>
        <v>&lt;cellule&gt;</v>
      </c>
    </row>
    <row r="3538" spans="1:1" x14ac:dyDescent="0.2">
      <c r="A3538" s="1135" t="str">
        <f>CONCATENATE(Programme!C3539,Programme!D3539,Programme!E3539,Programme!F3539,Programme!G3539,Programme!H3539,Programme!I3539)</f>
        <v>&lt;codeEdi&gt;864&lt;/codeEdi&gt;</v>
      </c>
    </row>
    <row r="3539" spans="1:1" x14ac:dyDescent="0.2">
      <c r="A3539" s="1135" t="str">
        <f>CONCATENATE(Programme!C3540,Programme!D3540,Programme!E3540,Programme!F3540,Programme!G3540,Programme!H3540,Programme!I3540)</f>
        <v>&lt;/cellule&gt;</v>
      </c>
    </row>
    <row r="3540" spans="1:1" x14ac:dyDescent="0.2">
      <c r="A3540" s="1135" t="str">
        <f>CONCATENATE(Programme!C3541,Programme!D3541,Programme!E3541,Programme!F3541,Programme!G3541,Programme!H3541,Programme!I3541)</f>
        <v>&lt;valeur&gt;&lt;/valeur&gt;</v>
      </c>
    </row>
    <row r="3541" spans="1:1" x14ac:dyDescent="0.2">
      <c r="A3541" s="1135" t="str">
        <f>CONCATENATE(Programme!C3542,Programme!D3542,Programme!E3542,Programme!F3542,Programme!G3542,Programme!H3542,Programme!I3542)</f>
        <v>&lt;/ValeurCellule&gt;</v>
      </c>
    </row>
    <row r="3542" spans="1:1" x14ac:dyDescent="0.2">
      <c r="A3542" s="1135" t="str">
        <f>CONCATENATE(Programme!C3543,Programme!D3543,Programme!E3543,Programme!F3543,Programme!G3543,Programme!H3543,Programme!I3543)</f>
        <v>&lt;ValeurCellule&gt;</v>
      </c>
    </row>
    <row r="3543" spans="1:1" x14ac:dyDescent="0.2">
      <c r="A3543" s="1135" t="str">
        <f>CONCATENATE(Programme!C3544,Programme!D3544,Programme!E3544,Programme!F3544,Programme!G3544,Programme!H3544,Programme!I3544)</f>
        <v>&lt;cellule&gt;</v>
      </c>
    </row>
    <row r="3544" spans="1:1" x14ac:dyDescent="0.2">
      <c r="A3544" s="1135" t="str">
        <f>CONCATENATE(Programme!C3545,Programme!D3545,Programme!E3545,Programme!F3545,Programme!G3545,Programme!H3545,Programme!I3545)</f>
        <v>&lt;codeEdi&gt;865&lt;/codeEdi&gt;</v>
      </c>
    </row>
    <row r="3545" spans="1:1" x14ac:dyDescent="0.2">
      <c r="A3545" s="1135" t="str">
        <f>CONCATENATE(Programme!C3546,Programme!D3546,Programme!E3546,Programme!F3546,Programme!G3546,Programme!H3546,Programme!I3546)</f>
        <v>&lt;/cellule&gt;</v>
      </c>
    </row>
    <row r="3546" spans="1:1" x14ac:dyDescent="0.2">
      <c r="A3546" s="1135" t="str">
        <f>CONCATENATE(Programme!C3547,Programme!D3547,Programme!E3547,Programme!F3547,Programme!G3547,Programme!H3547,Programme!I3547)</f>
        <v>&lt;valeur&gt;&lt;/valeur&gt;</v>
      </c>
    </row>
    <row r="3547" spans="1:1" x14ac:dyDescent="0.2">
      <c r="A3547" s="1135" t="str">
        <f>CONCATENATE(Programme!C3548,Programme!D3548,Programme!E3548,Programme!F3548,Programme!G3548,Programme!H3548,Programme!I3548)</f>
        <v>&lt;/ValeurCellule&gt;</v>
      </c>
    </row>
    <row r="3548" spans="1:1" x14ac:dyDescent="0.2">
      <c r="A3548" s="1135" t="str">
        <f>CONCATENATE(Programme!C3549,Programme!D3549,Programme!E3549,Programme!F3549,Programme!G3549,Programme!H3549,Programme!I3549)</f>
        <v>&lt;ValeurCellule&gt;</v>
      </c>
    </row>
    <row r="3549" spans="1:1" x14ac:dyDescent="0.2">
      <c r="A3549" s="1135" t="str">
        <f>CONCATENATE(Programme!C3550,Programme!D3550,Programme!E3550,Programme!F3550,Programme!G3550,Programme!H3550,Programme!I3550)</f>
        <v>&lt;cellule&gt;</v>
      </c>
    </row>
    <row r="3550" spans="1:1" x14ac:dyDescent="0.2">
      <c r="A3550" s="1135" t="str">
        <f>CONCATENATE(Programme!C3551,Programme!D3551,Programme!E3551,Programme!F3551,Programme!G3551,Programme!H3551,Programme!I3551)</f>
        <v>&lt;codeEdi&gt;866&lt;/codeEdi&gt;</v>
      </c>
    </row>
    <row r="3551" spans="1:1" x14ac:dyDescent="0.2">
      <c r="A3551" s="1135" t="str">
        <f>CONCATENATE(Programme!C3552,Programme!D3552,Programme!E3552,Programme!F3552,Programme!G3552,Programme!H3552,Programme!I3552)</f>
        <v>&lt;/cellule&gt;</v>
      </c>
    </row>
    <row r="3552" spans="1:1" x14ac:dyDescent="0.2">
      <c r="A3552" s="1135" t="str">
        <f>CONCATENATE(Programme!C3553,Programme!D3553,Programme!E3553,Programme!F3553,Programme!G3553,Programme!H3553,Programme!I3553)</f>
        <v>&lt;valeur&gt;&lt;/valeur&gt;</v>
      </c>
    </row>
    <row r="3553" spans="1:1" x14ac:dyDescent="0.2">
      <c r="A3553" s="1135" t="str">
        <f>CONCATENATE(Programme!C3554,Programme!D3554,Programme!E3554,Programme!F3554,Programme!G3554,Programme!H3554,Programme!I3554)</f>
        <v>&lt;/ValeurCellule&gt;</v>
      </c>
    </row>
    <row r="3554" spans="1:1" x14ac:dyDescent="0.2">
      <c r="A3554" s="1135" t="str">
        <f>CONCATENATE(Programme!C3555,Programme!D3555,Programme!E3555,Programme!F3555,Programme!G3555,Programme!H3555,Programme!I3555)</f>
        <v>&lt;ValeurCellule&gt;</v>
      </c>
    </row>
    <row r="3555" spans="1:1" x14ac:dyDescent="0.2">
      <c r="A3555" s="1135" t="str">
        <f>CONCATENATE(Programme!C3556,Programme!D3556,Programme!E3556,Programme!F3556,Programme!G3556,Programme!H3556,Programme!I3556)</f>
        <v>&lt;cellule&gt;</v>
      </c>
    </row>
    <row r="3556" spans="1:1" x14ac:dyDescent="0.2">
      <c r="A3556" s="1135" t="str">
        <f>CONCATENATE(Programme!C3557,Programme!D3557,Programme!E3557,Programme!F3557,Programme!G3557,Programme!H3557,Programme!I3557)</f>
        <v>&lt;codeEdi&gt;867&lt;/codeEdi&gt;</v>
      </c>
    </row>
    <row r="3557" spans="1:1" x14ac:dyDescent="0.2">
      <c r="A3557" s="1135" t="str">
        <f>CONCATENATE(Programme!C3558,Programme!D3558,Programme!E3558,Programme!F3558,Programme!G3558,Programme!H3558,Programme!I3558)</f>
        <v>&lt;/cellule&gt;</v>
      </c>
    </row>
    <row r="3558" spans="1:1" x14ac:dyDescent="0.2">
      <c r="A3558" s="1135" t="str">
        <f>CONCATENATE(Programme!C3559,Programme!D3559,Programme!E3559,Programme!F3559,Programme!G3559,Programme!H3559,Programme!I3559)</f>
        <v>&lt;valeur&gt;&lt;/valeur&gt;</v>
      </c>
    </row>
    <row r="3559" spans="1:1" x14ac:dyDescent="0.2">
      <c r="A3559" s="1135" t="str">
        <f>CONCATENATE(Programme!C3560,Programme!D3560,Programme!E3560,Programme!F3560,Programme!G3560,Programme!H3560,Programme!I3560)</f>
        <v>&lt;/ValeurCellule&gt;</v>
      </c>
    </row>
    <row r="3560" spans="1:1" x14ac:dyDescent="0.2">
      <c r="A3560" s="1135" t="str">
        <f>CONCATENATE(Programme!C3561,Programme!D3561,Programme!E3561,Programme!F3561,Programme!G3561,Programme!H3561,Programme!I3561)</f>
        <v>&lt;/groupeValeurs&gt;</v>
      </c>
    </row>
    <row r="3561" spans="1:1" x14ac:dyDescent="0.2">
      <c r="A3561" s="1135" t="str">
        <f>CONCATENATE(Programme!C3562,Programme!D3562,Programme!E3562,Programme!F3562,Programme!G3562,Programme!H3562,Programme!I3562)</f>
        <v>&lt;extraFieldvaleurs&gt;</v>
      </c>
    </row>
    <row r="3562" spans="1:1" x14ac:dyDescent="0.2">
      <c r="A3562" s="1135" t="str">
        <f>CONCATENATE(Programme!C3563,Programme!D3563,Programme!E3563,Programme!F3563,Programme!G3563,Programme!H3563,Programme!I3563)</f>
        <v>&lt;/extraFieldvaleurs&gt;</v>
      </c>
    </row>
    <row r="3563" spans="1:1" x14ac:dyDescent="0.2">
      <c r="A3563" s="1135" t="str">
        <f>CONCATENATE(Programme!C3564,Programme!D3564,Programme!E3564,Programme!F3564,Programme!G3564,Programme!H3564,Programme!I3564)</f>
        <v>&lt;/ValeursTableau&gt;</v>
      </c>
    </row>
    <row r="3564" spans="1:1" x14ac:dyDescent="0.2">
      <c r="A3564" s="1135" t="str">
        <f>CONCATENATE(Programme!C3565,Programme!D3565,Programme!E3565,Programme!F3565,Programme!G3565,Programme!H3565,Programme!I3565)</f>
        <v>&lt;ValeursTableau&gt;</v>
      </c>
    </row>
    <row r="3565" spans="1:1" x14ac:dyDescent="0.2">
      <c r="A3565" s="1135" t="str">
        <f>CONCATENATE(Programme!C3566,Programme!D3566,Programme!E3566,Programme!F3566,Programme!G3566,Programme!H3566,Programme!I3566)</f>
        <v>&lt;tableau&gt;&lt;id&gt;11&lt;/id&gt;&lt;/tableau&gt;</v>
      </c>
    </row>
    <row r="3566" spans="1:1" x14ac:dyDescent="0.2">
      <c r="A3566" s="1135" t="str">
        <f>CONCATENATE(Programme!C3567,Programme!D3567,Programme!E3567,Programme!F3567,Programme!G3567,Programme!H3567,Programme!I3567)</f>
        <v>&lt;groupeValeurs&gt;</v>
      </c>
    </row>
    <row r="3567" spans="1:1" x14ac:dyDescent="0.2">
      <c r="A3567" s="1135" t="str">
        <f>CONCATENATE(Programme!C3568,Programme!D3568,Programme!E3568,Programme!F3568,Programme!G3568,Programme!H3568,Programme!I3568)</f>
        <v>&lt;ValeurCellule&gt;</v>
      </c>
    </row>
    <row r="3568" spans="1:1" x14ac:dyDescent="0.2">
      <c r="A3568" s="1135" t="str">
        <f>CONCATENATE(Programme!C3569,Programme!D3569,Programme!E3569,Programme!F3569,Programme!G3569,Programme!H3569,Programme!I3569)</f>
        <v>&lt;cellule&gt;</v>
      </c>
    </row>
    <row r="3569" spans="1:1" x14ac:dyDescent="0.2">
      <c r="A3569" s="1135" t="str">
        <f>CONCATENATE(Programme!C3570,Programme!D3570,Programme!E3570,Programme!F3570,Programme!G3570,Programme!H3570,Programme!I3570)</f>
        <v>&lt;codeEdi&gt;966&lt;/codeEdi&gt;</v>
      </c>
    </row>
    <row r="3570" spans="1:1" x14ac:dyDescent="0.2">
      <c r="A3570" s="1135" t="str">
        <f>CONCATENATE(Programme!C3571,Programme!D3571,Programme!E3571,Programme!F3571,Programme!G3571,Programme!H3571,Programme!I3571)</f>
        <v>&lt;/cellule&gt;</v>
      </c>
    </row>
    <row r="3571" spans="1:1" x14ac:dyDescent="0.2">
      <c r="A3571" s="1135" t="str">
        <f>CONCATENATE(Programme!C3572,Programme!D3572,Programme!E3572,Programme!F3572,Programme!G3572,Programme!H3572,Programme!I3572)</f>
        <v>&lt;valeur&gt;5000&lt;/valeur&gt;</v>
      </c>
    </row>
    <row r="3572" spans="1:1" x14ac:dyDescent="0.2">
      <c r="A3572" s="1135" t="str">
        <f>CONCATENATE(Programme!C3573,Programme!D3573,Programme!E3573,Programme!F3573,Programme!G3573,Programme!H3573,Programme!I3573)</f>
        <v>&lt;/ValeurCellule&gt;</v>
      </c>
    </row>
    <row r="3573" spans="1:1" x14ac:dyDescent="0.2">
      <c r="A3573" s="1135" t="str">
        <f>CONCATENATE(Programme!C3574,Programme!D3574,Programme!E3574,Programme!F3574,Programme!G3574,Programme!H3574,Programme!I3574)</f>
        <v>&lt;ValeurCellule&gt;</v>
      </c>
    </row>
    <row r="3574" spans="1:1" x14ac:dyDescent="0.2">
      <c r="A3574" s="1135" t="str">
        <f>CONCATENATE(Programme!C3575,Programme!D3575,Programme!E3575,Programme!F3575,Programme!G3575,Programme!H3575,Programme!I3575)</f>
        <v>&lt;cellule&gt;</v>
      </c>
    </row>
    <row r="3575" spans="1:1" x14ac:dyDescent="0.2">
      <c r="A3575" s="1135" t="str">
        <f>CONCATENATE(Programme!C3576,Programme!D3576,Programme!E3576,Programme!F3576,Programme!G3576,Programme!H3576,Programme!I3576)</f>
        <v>&lt;codeEdi&gt;967&lt;/codeEdi&gt;</v>
      </c>
    </row>
    <row r="3576" spans="1:1" x14ac:dyDescent="0.2">
      <c r="A3576" s="1135" t="str">
        <f>CONCATENATE(Programme!C3577,Programme!D3577,Programme!E3577,Programme!F3577,Programme!G3577,Programme!H3577,Programme!I3577)</f>
        <v>&lt;/cellule&gt;</v>
      </c>
    </row>
    <row r="3577" spans="1:1" x14ac:dyDescent="0.2">
      <c r="A3577" s="1135" t="str">
        <f>CONCATENATE(Programme!C3578,Programme!D3578,Programme!E3578,Programme!F3578,Programme!G3578,Programme!H3578,Programme!I3578)</f>
        <v>&lt;valeur&gt;0&lt;/valeur&gt;</v>
      </c>
    </row>
    <row r="3578" spans="1:1" x14ac:dyDescent="0.2">
      <c r="A3578" s="1135" t="str">
        <f>CONCATENATE(Programme!C3579,Programme!D3579,Programme!E3579,Programme!F3579,Programme!G3579,Programme!H3579,Programme!I3579)</f>
        <v>&lt;/ValeurCellule&gt;</v>
      </c>
    </row>
    <row r="3579" spans="1:1" x14ac:dyDescent="0.2">
      <c r="A3579" s="1135" t="str">
        <f>CONCATENATE(Programme!C3580,Programme!D3580,Programme!E3580,Programme!F3580,Programme!G3580,Programme!H3580,Programme!I3580)</f>
        <v>&lt;ValeurCellule&gt;</v>
      </c>
    </row>
    <row r="3580" spans="1:1" x14ac:dyDescent="0.2">
      <c r="A3580" s="1135" t="str">
        <f>CONCATENATE(Programme!C3581,Programme!D3581,Programme!E3581,Programme!F3581,Programme!G3581,Programme!H3581,Programme!I3581)</f>
        <v>&lt;cellule&gt;</v>
      </c>
    </row>
    <row r="3581" spans="1:1" x14ac:dyDescent="0.2">
      <c r="A3581" s="1135" t="str">
        <f>CONCATENATE(Programme!C3582,Programme!D3582,Programme!E3582,Programme!F3582,Programme!G3582,Programme!H3582,Programme!I3582)</f>
        <v>&lt;codeEdi&gt;968&lt;/codeEdi&gt;</v>
      </c>
    </row>
    <row r="3582" spans="1:1" x14ac:dyDescent="0.2">
      <c r="A3582" s="1135" t="str">
        <f>CONCATENATE(Programme!C3583,Programme!D3583,Programme!E3583,Programme!F3583,Programme!G3583,Programme!H3583,Programme!I3583)</f>
        <v>&lt;/cellule&gt;</v>
      </c>
    </row>
    <row r="3583" spans="1:1" x14ac:dyDescent="0.2">
      <c r="A3583" s="1135" t="str">
        <f>CONCATENATE(Programme!C3584,Programme!D3584,Programme!E3584,Programme!F3584,Programme!G3584,Programme!H3584,Programme!I3584)</f>
        <v>&lt;valeur&gt;0&lt;/valeur&gt;</v>
      </c>
    </row>
    <row r="3584" spans="1:1" x14ac:dyDescent="0.2">
      <c r="A3584" s="1135" t="str">
        <f>CONCATENATE(Programme!C3585,Programme!D3585,Programme!E3585,Programme!F3585,Programme!G3585,Programme!H3585,Programme!I3585)</f>
        <v>&lt;/ValeurCellule&gt;</v>
      </c>
    </row>
    <row r="3585" spans="1:1" x14ac:dyDescent="0.2">
      <c r="A3585" s="1135" t="str">
        <f>CONCATENATE(Programme!C3586,Programme!D3586,Programme!E3586,Programme!F3586,Programme!G3586,Programme!H3586,Programme!I3586)</f>
        <v>&lt;ValeurCellule&gt;</v>
      </c>
    </row>
    <row r="3586" spans="1:1" x14ac:dyDescent="0.2">
      <c r="A3586" s="1135" t="str">
        <f>CONCATENATE(Programme!C3587,Programme!D3587,Programme!E3587,Programme!F3587,Programme!G3587,Programme!H3587,Programme!I3587)</f>
        <v>&lt;cellule&gt;</v>
      </c>
    </row>
    <row r="3587" spans="1:1" x14ac:dyDescent="0.2">
      <c r="A3587" s="1135" t="str">
        <f>CONCATENATE(Programme!C3588,Programme!D3588,Programme!E3588,Programme!F3588,Programme!G3588,Programme!H3588,Programme!I3588)</f>
        <v>&lt;codeEdi&gt;10064&lt;/codeEdi&gt;</v>
      </c>
    </row>
    <row r="3588" spans="1:1" x14ac:dyDescent="0.2">
      <c r="A3588" s="1135" t="str">
        <f>CONCATENATE(Programme!C3589,Programme!D3589,Programme!E3589,Programme!F3589,Programme!G3589,Programme!H3589,Programme!I3589)</f>
        <v>&lt;/cellule&gt;</v>
      </c>
    </row>
    <row r="3589" spans="1:1" x14ac:dyDescent="0.2">
      <c r="A3589" s="1135" t="str">
        <f>CONCATENATE(Programme!C3590,Programme!D3590,Programme!E3590,Programme!F3590,Programme!G3590,Programme!H3590,Programme!I3590)</f>
        <v>&lt;valeur&gt;5000&lt;/valeur&gt;</v>
      </c>
    </row>
    <row r="3590" spans="1:1" x14ac:dyDescent="0.2">
      <c r="A3590" s="1135" t="str">
        <f>CONCATENATE(Programme!C3591,Programme!D3591,Programme!E3591,Programme!F3591,Programme!G3591,Programme!H3591,Programme!I3591)</f>
        <v>&lt;/ValeurCellule&gt;</v>
      </c>
    </row>
    <row r="3591" spans="1:1" x14ac:dyDescent="0.2">
      <c r="A3591" s="1135" t="str">
        <f>CONCATENATE(Programme!C3592,Programme!D3592,Programme!E3592,Programme!F3592,Programme!G3592,Programme!H3592,Programme!I3592)</f>
        <v>&lt;ValeurCellule&gt;</v>
      </c>
    </row>
    <row r="3592" spans="1:1" x14ac:dyDescent="0.2">
      <c r="A3592" s="1135" t="str">
        <f>CONCATENATE(Programme!C3593,Programme!D3593,Programme!E3593,Programme!F3593,Programme!G3593,Programme!H3593,Programme!I3593)</f>
        <v>&lt;cellule&gt;</v>
      </c>
    </row>
    <row r="3593" spans="1:1" x14ac:dyDescent="0.2">
      <c r="A3593" s="1135" t="str">
        <f>CONCATENATE(Programme!C3594,Programme!D3594,Programme!E3594,Programme!F3594,Programme!G3594,Programme!H3594,Programme!I3594)</f>
        <v>&lt;codeEdi&gt;980&lt;/codeEdi&gt;</v>
      </c>
    </row>
    <row r="3594" spans="1:1" x14ac:dyDescent="0.2">
      <c r="A3594" s="1135" t="str">
        <f>CONCATENATE(Programme!C3595,Programme!D3595,Programme!E3595,Programme!F3595,Programme!G3595,Programme!H3595,Programme!I3595)</f>
        <v>&lt;/cellule&gt;</v>
      </c>
    </row>
    <row r="3595" spans="1:1" x14ac:dyDescent="0.2">
      <c r="A3595" s="1135" t="str">
        <f>CONCATENATE(Programme!C3596,Programme!D3596,Programme!E3596,Programme!F3596,Programme!G3596,Programme!H3596,Programme!I3596)</f>
        <v>&lt;valeur&gt;0&lt;/valeur&gt;</v>
      </c>
    </row>
    <row r="3596" spans="1:1" x14ac:dyDescent="0.2">
      <c r="A3596" s="1135" t="str">
        <f>CONCATENATE(Programme!C3597,Programme!D3597,Programme!E3597,Programme!F3597,Programme!G3597,Programme!H3597,Programme!I3597)</f>
        <v>&lt;/ValeurCellule&gt;</v>
      </c>
    </row>
    <row r="3597" spans="1:1" x14ac:dyDescent="0.2">
      <c r="A3597" s="1135" t="str">
        <f>CONCATENATE(Programme!C3598,Programme!D3598,Programme!E3598,Programme!F3598,Programme!G3598,Programme!H3598,Programme!I3598)</f>
        <v>&lt;ValeurCellule&gt;</v>
      </c>
    </row>
    <row r="3598" spans="1:1" x14ac:dyDescent="0.2">
      <c r="A3598" s="1135" t="str">
        <f>CONCATENATE(Programme!C3599,Programme!D3599,Programme!E3599,Programme!F3599,Programme!G3599,Programme!H3599,Programme!I3599)</f>
        <v>&lt;cellule&gt;</v>
      </c>
    </row>
    <row r="3599" spans="1:1" x14ac:dyDescent="0.2">
      <c r="A3599" s="1135" t="str">
        <f>CONCATENATE(Programme!C3600,Programme!D3600,Programme!E3600,Programme!F3600,Programme!G3600,Programme!H3600,Programme!I3600)</f>
        <v>&lt;codeEdi&gt;981&lt;/codeEdi&gt;</v>
      </c>
    </row>
    <row r="3600" spans="1:1" x14ac:dyDescent="0.2">
      <c r="A3600" s="1135" t="str">
        <f>CONCATENATE(Programme!C3601,Programme!D3601,Programme!E3601,Programme!F3601,Programme!G3601,Programme!H3601,Programme!I3601)</f>
        <v>&lt;/cellule&gt;</v>
      </c>
    </row>
    <row r="3601" spans="1:1" x14ac:dyDescent="0.2">
      <c r="A3601" s="1135" t="str">
        <f>CONCATENATE(Programme!C3602,Programme!D3602,Programme!E3602,Programme!F3602,Programme!G3602,Programme!H3602,Programme!I3602)</f>
        <v>&lt;valeur&gt;0&lt;/valeur&gt;</v>
      </c>
    </row>
    <row r="3602" spans="1:1" x14ac:dyDescent="0.2">
      <c r="A3602" s="1135" t="str">
        <f>CONCATENATE(Programme!C3603,Programme!D3603,Programme!E3603,Programme!F3603,Programme!G3603,Programme!H3603,Programme!I3603)</f>
        <v>&lt;/ValeurCellule&gt;</v>
      </c>
    </row>
    <row r="3603" spans="1:1" x14ac:dyDescent="0.2">
      <c r="A3603" s="1135" t="str">
        <f>CONCATENATE(Programme!C3604,Programme!D3604,Programme!E3604,Programme!F3604,Programme!G3604,Programme!H3604,Programme!I3604)</f>
        <v>&lt;ValeurCellule&gt;</v>
      </c>
    </row>
    <row r="3604" spans="1:1" x14ac:dyDescent="0.2">
      <c r="A3604" s="1135" t="str">
        <f>CONCATENATE(Programme!C3605,Programme!D3605,Programme!E3605,Programme!F3605,Programme!G3605,Programme!H3605,Programme!I3605)</f>
        <v>&lt;cellule&gt;</v>
      </c>
    </row>
    <row r="3605" spans="1:1" x14ac:dyDescent="0.2">
      <c r="A3605" s="1135" t="str">
        <f>CONCATENATE(Programme!C3606,Programme!D3606,Programme!E3606,Programme!F3606,Programme!G3606,Programme!H3606,Programme!I3606)</f>
        <v>&lt;codeEdi&gt;982&lt;/codeEdi&gt;</v>
      </c>
    </row>
    <row r="3606" spans="1:1" x14ac:dyDescent="0.2">
      <c r="A3606" s="1135" t="str">
        <f>CONCATENATE(Programme!C3607,Programme!D3607,Programme!E3607,Programme!F3607,Programme!G3607,Programme!H3607,Programme!I3607)</f>
        <v>&lt;/cellule&gt;</v>
      </c>
    </row>
    <row r="3607" spans="1:1" x14ac:dyDescent="0.2">
      <c r="A3607" s="1135" t="str">
        <f>CONCATENATE(Programme!C3608,Programme!D3608,Programme!E3608,Programme!F3608,Programme!G3608,Programme!H3608,Programme!I3608)</f>
        <v>&lt;valeur&gt;0&lt;/valeur&gt;</v>
      </c>
    </row>
    <row r="3608" spans="1:1" x14ac:dyDescent="0.2">
      <c r="A3608" s="1135" t="str">
        <f>CONCATENATE(Programme!C3609,Programme!D3609,Programme!E3609,Programme!F3609,Programme!G3609,Programme!H3609,Programme!I3609)</f>
        <v>&lt;/ValeurCellule&gt;</v>
      </c>
    </row>
    <row r="3609" spans="1:1" x14ac:dyDescent="0.2">
      <c r="A3609" s="1135" t="str">
        <f>CONCATENATE(Programme!C3610,Programme!D3610,Programme!E3610,Programme!F3610,Programme!G3610,Programme!H3610,Programme!I3610)</f>
        <v>&lt;ValeurCellule&gt;</v>
      </c>
    </row>
    <row r="3610" spans="1:1" x14ac:dyDescent="0.2">
      <c r="A3610" s="1135" t="str">
        <f>CONCATENATE(Programme!C3611,Programme!D3611,Programme!E3611,Programme!F3611,Programme!G3611,Programme!H3611,Programme!I3611)</f>
        <v>&lt;cellule&gt;</v>
      </c>
    </row>
    <row r="3611" spans="1:1" x14ac:dyDescent="0.2">
      <c r="A3611" s="1135" t="str">
        <f>CONCATENATE(Programme!C3612,Programme!D3612,Programme!E3612,Programme!F3612,Programme!G3612,Programme!H3612,Programme!I3612)</f>
        <v>&lt;codeEdi&gt;10065&lt;/codeEdi&gt;</v>
      </c>
    </row>
    <row r="3612" spans="1:1" x14ac:dyDescent="0.2">
      <c r="A3612" s="1135" t="str">
        <f>CONCATENATE(Programme!C3613,Programme!D3613,Programme!E3613,Programme!F3613,Programme!G3613,Programme!H3613,Programme!I3613)</f>
        <v>&lt;/cellule&gt;</v>
      </c>
    </row>
    <row r="3613" spans="1:1" x14ac:dyDescent="0.2">
      <c r="A3613" s="1135" t="str">
        <f>CONCATENATE(Programme!C3614,Programme!D3614,Programme!E3614,Programme!F3614,Programme!G3614,Programme!H3614,Programme!I3614)</f>
        <v>&lt;valeur&gt;0&lt;/valeur&gt;</v>
      </c>
    </row>
    <row r="3614" spans="1:1" x14ac:dyDescent="0.2">
      <c r="A3614" s="1135" t="str">
        <f>CONCATENATE(Programme!C3615,Programme!D3615,Programme!E3615,Programme!F3615,Programme!G3615,Programme!H3615,Programme!I3615)</f>
        <v>&lt;/ValeurCellule&gt;</v>
      </c>
    </row>
    <row r="3615" spans="1:1" x14ac:dyDescent="0.2">
      <c r="A3615" s="1135" t="str">
        <f>CONCATENATE(Programme!C3616,Programme!D3616,Programme!E3616,Programme!F3616,Programme!G3616,Programme!H3616,Programme!I3616)</f>
        <v>&lt;ValeurCellule&gt;</v>
      </c>
    </row>
    <row r="3616" spans="1:1" x14ac:dyDescent="0.2">
      <c r="A3616" s="1135" t="str">
        <f>CONCATENATE(Programme!C3617,Programme!D3617,Programme!E3617,Programme!F3617,Programme!G3617,Programme!H3617,Programme!I3617)</f>
        <v>&lt;cellule&gt;</v>
      </c>
    </row>
    <row r="3617" spans="1:1" x14ac:dyDescent="0.2">
      <c r="A3617" s="1135" t="str">
        <f>CONCATENATE(Programme!C3618,Programme!D3618,Programme!E3618,Programme!F3618,Programme!G3618,Programme!H3618,Programme!I3618)</f>
        <v>&lt;codeEdi&gt;994&lt;/codeEdi&gt;</v>
      </c>
    </row>
    <row r="3618" spans="1:1" x14ac:dyDescent="0.2">
      <c r="A3618" s="1135" t="str">
        <f>CONCATENATE(Programme!C3619,Programme!D3619,Programme!E3619,Programme!F3619,Programme!G3619,Programme!H3619,Programme!I3619)</f>
        <v>&lt;/cellule&gt;</v>
      </c>
    </row>
    <row r="3619" spans="1:1" x14ac:dyDescent="0.2">
      <c r="A3619" s="1135" t="str">
        <f>CONCATENATE(Programme!C3620,Programme!D3620,Programme!E3620,Programme!F3620,Programme!G3620,Programme!H3620,Programme!I3620)</f>
        <v>&lt;valeur&gt;0&lt;/valeur&gt;</v>
      </c>
    </row>
    <row r="3620" spans="1:1" x14ac:dyDescent="0.2">
      <c r="A3620" s="1135" t="str">
        <f>CONCATENATE(Programme!C3621,Programme!D3621,Programme!E3621,Programme!F3621,Programme!G3621,Programme!H3621,Programme!I3621)</f>
        <v>&lt;/ValeurCellule&gt;</v>
      </c>
    </row>
    <row r="3621" spans="1:1" x14ac:dyDescent="0.2">
      <c r="A3621" s="1135" t="str">
        <f>CONCATENATE(Programme!C3622,Programme!D3622,Programme!E3622,Programme!F3622,Programme!G3622,Programme!H3622,Programme!I3622)</f>
        <v>&lt;ValeurCellule&gt;</v>
      </c>
    </row>
    <row r="3622" spans="1:1" x14ac:dyDescent="0.2">
      <c r="A3622" s="1135" t="str">
        <f>CONCATENATE(Programme!C3623,Programme!D3623,Programme!E3623,Programme!F3623,Programme!G3623,Programme!H3623,Programme!I3623)</f>
        <v>&lt;cellule&gt;</v>
      </c>
    </row>
    <row r="3623" spans="1:1" x14ac:dyDescent="0.2">
      <c r="A3623" s="1135" t="str">
        <f>CONCATENATE(Programme!C3624,Programme!D3624,Programme!E3624,Programme!F3624,Programme!G3624,Programme!H3624,Programme!I3624)</f>
        <v>&lt;codeEdi&gt;995&lt;/codeEdi&gt;</v>
      </c>
    </row>
    <row r="3624" spans="1:1" x14ac:dyDescent="0.2">
      <c r="A3624" s="1135" t="str">
        <f>CONCATENATE(Programme!C3625,Programme!D3625,Programme!E3625,Programme!F3625,Programme!G3625,Programme!H3625,Programme!I3625)</f>
        <v>&lt;/cellule&gt;</v>
      </c>
    </row>
    <row r="3625" spans="1:1" x14ac:dyDescent="0.2">
      <c r="A3625" s="1135" t="str">
        <f>CONCATENATE(Programme!C3626,Programme!D3626,Programme!E3626,Programme!F3626,Programme!G3626,Programme!H3626,Programme!I3626)</f>
        <v>&lt;valeur&gt;0&lt;/valeur&gt;</v>
      </c>
    </row>
    <row r="3626" spans="1:1" x14ac:dyDescent="0.2">
      <c r="A3626" s="1135" t="str">
        <f>CONCATENATE(Programme!C3627,Programme!D3627,Programme!E3627,Programme!F3627,Programme!G3627,Programme!H3627,Programme!I3627)</f>
        <v>&lt;/ValeurCellule&gt;</v>
      </c>
    </row>
    <row r="3627" spans="1:1" x14ac:dyDescent="0.2">
      <c r="A3627" s="1135" t="str">
        <f>CONCATENATE(Programme!C3628,Programme!D3628,Programme!E3628,Programme!F3628,Programme!G3628,Programme!H3628,Programme!I3628)</f>
        <v>&lt;ValeurCellule&gt;</v>
      </c>
    </row>
    <row r="3628" spans="1:1" x14ac:dyDescent="0.2">
      <c r="A3628" s="1135" t="str">
        <f>CONCATENATE(Programme!C3629,Programme!D3629,Programme!E3629,Programme!F3629,Programme!G3629,Programme!H3629,Programme!I3629)</f>
        <v>&lt;cellule&gt;</v>
      </c>
    </row>
    <row r="3629" spans="1:1" x14ac:dyDescent="0.2">
      <c r="A3629" s="1135" t="str">
        <f>CONCATENATE(Programme!C3630,Programme!D3630,Programme!E3630,Programme!F3630,Programme!G3630,Programme!H3630,Programme!I3630)</f>
        <v>&lt;codeEdi&gt;996&lt;/codeEdi&gt;</v>
      </c>
    </row>
    <row r="3630" spans="1:1" x14ac:dyDescent="0.2">
      <c r="A3630" s="1135" t="str">
        <f>CONCATENATE(Programme!C3631,Programme!D3631,Programme!E3631,Programme!F3631,Programme!G3631,Programme!H3631,Programme!I3631)</f>
        <v>&lt;/cellule&gt;</v>
      </c>
    </row>
    <row r="3631" spans="1:1" x14ac:dyDescent="0.2">
      <c r="A3631" s="1135" t="str">
        <f>CONCATENATE(Programme!C3632,Programme!D3632,Programme!E3632,Programme!F3632,Programme!G3632,Programme!H3632,Programme!I3632)</f>
        <v>&lt;valeur&gt;0&lt;/valeur&gt;</v>
      </c>
    </row>
    <row r="3632" spans="1:1" x14ac:dyDescent="0.2">
      <c r="A3632" s="1135" t="str">
        <f>CONCATENATE(Programme!C3633,Programme!D3633,Programme!E3633,Programme!F3633,Programme!G3633,Programme!H3633,Programme!I3633)</f>
        <v>&lt;/ValeurCellule&gt;</v>
      </c>
    </row>
    <row r="3633" spans="1:1" x14ac:dyDescent="0.2">
      <c r="A3633" s="1135" t="str">
        <f>CONCATENATE(Programme!C3634,Programme!D3634,Programme!E3634,Programme!F3634,Programme!G3634,Programme!H3634,Programme!I3634)</f>
        <v>&lt;ValeurCellule&gt;</v>
      </c>
    </row>
    <row r="3634" spans="1:1" x14ac:dyDescent="0.2">
      <c r="A3634" s="1135" t="str">
        <f>CONCATENATE(Programme!C3635,Programme!D3635,Programme!E3635,Programme!F3635,Programme!G3635,Programme!H3635,Programme!I3635)</f>
        <v>&lt;cellule&gt;</v>
      </c>
    </row>
    <row r="3635" spans="1:1" x14ac:dyDescent="0.2">
      <c r="A3635" s="1135" t="str">
        <f>CONCATENATE(Programme!C3636,Programme!D3636,Programme!E3636,Programme!F3636,Programme!G3636,Programme!H3636,Programme!I3636)</f>
        <v>&lt;codeEdi&gt;10066&lt;/codeEdi&gt;</v>
      </c>
    </row>
    <row r="3636" spans="1:1" x14ac:dyDescent="0.2">
      <c r="A3636" s="1135" t="str">
        <f>CONCATENATE(Programme!C3637,Programme!D3637,Programme!E3637,Programme!F3637,Programme!G3637,Programme!H3637,Programme!I3637)</f>
        <v>&lt;/cellule&gt;</v>
      </c>
    </row>
    <row r="3637" spans="1:1" x14ac:dyDescent="0.2">
      <c r="A3637" s="1135" t="str">
        <f>CONCATENATE(Programme!C3638,Programme!D3638,Programme!E3638,Programme!F3638,Programme!G3638,Programme!H3638,Programme!I3638)</f>
        <v>&lt;valeur&gt;0&lt;/valeur&gt;</v>
      </c>
    </row>
    <row r="3638" spans="1:1" x14ac:dyDescent="0.2">
      <c r="A3638" s="1135" t="str">
        <f>CONCATENATE(Programme!C3639,Programme!D3639,Programme!E3639,Programme!F3639,Programme!G3639,Programme!H3639,Programme!I3639)</f>
        <v>&lt;/ValeurCellule&gt;</v>
      </c>
    </row>
    <row r="3639" spans="1:1" x14ac:dyDescent="0.2">
      <c r="A3639" s="1135" t="str">
        <f>CONCATENATE(Programme!C3640,Programme!D3640,Programme!E3640,Programme!F3640,Programme!G3640,Programme!H3640,Programme!I3640)</f>
        <v>&lt;ValeurCellule&gt;</v>
      </c>
    </row>
    <row r="3640" spans="1:1" x14ac:dyDescent="0.2">
      <c r="A3640" s="1135" t="str">
        <f>CONCATENATE(Programme!C3641,Programme!D3641,Programme!E3641,Programme!F3641,Programme!G3641,Programme!H3641,Programme!I3641)</f>
        <v>&lt;cellule&gt;</v>
      </c>
    </row>
    <row r="3641" spans="1:1" x14ac:dyDescent="0.2">
      <c r="A3641" s="1135" t="str">
        <f>CONCATENATE(Programme!C3642,Programme!D3642,Programme!E3642,Programme!F3642,Programme!G3642,Programme!H3642,Programme!I3642)</f>
        <v>&lt;codeEdi&gt;1008&lt;/codeEdi&gt;</v>
      </c>
    </row>
    <row r="3642" spans="1:1" x14ac:dyDescent="0.2">
      <c r="A3642" s="1135" t="str">
        <f>CONCATENATE(Programme!C3643,Programme!D3643,Programme!E3643,Programme!F3643,Programme!G3643,Programme!H3643,Programme!I3643)</f>
        <v>&lt;/cellule&gt;</v>
      </c>
    </row>
    <row r="3643" spans="1:1" x14ac:dyDescent="0.2">
      <c r="A3643" s="1135" t="str">
        <f>CONCATENATE(Programme!C3644,Programme!D3644,Programme!E3644,Programme!F3644,Programme!G3644,Programme!H3644,Programme!I3644)</f>
        <v>&lt;valeur&gt;0&lt;/valeur&gt;</v>
      </c>
    </row>
    <row r="3644" spans="1:1" x14ac:dyDescent="0.2">
      <c r="A3644" s="1135" t="str">
        <f>CONCATENATE(Programme!C3645,Programme!D3645,Programme!E3645,Programme!F3645,Programme!G3645,Programme!H3645,Programme!I3645)</f>
        <v>&lt;/ValeurCellule&gt;</v>
      </c>
    </row>
    <row r="3645" spans="1:1" x14ac:dyDescent="0.2">
      <c r="A3645" s="1135" t="str">
        <f>CONCATENATE(Programme!C3646,Programme!D3646,Programme!E3646,Programme!F3646,Programme!G3646,Programme!H3646,Programme!I3646)</f>
        <v>&lt;ValeurCellule&gt;</v>
      </c>
    </row>
    <row r="3646" spans="1:1" x14ac:dyDescent="0.2">
      <c r="A3646" s="1135" t="str">
        <f>CONCATENATE(Programme!C3647,Programme!D3647,Programme!E3647,Programme!F3647,Programme!G3647,Programme!H3647,Programme!I3647)</f>
        <v>&lt;cellule&gt;</v>
      </c>
    </row>
    <row r="3647" spans="1:1" x14ac:dyDescent="0.2">
      <c r="A3647" s="1135" t="str">
        <f>CONCATENATE(Programme!C3648,Programme!D3648,Programme!E3648,Programme!F3648,Programme!G3648,Programme!H3648,Programme!I3648)</f>
        <v>&lt;codeEdi&gt;1009&lt;/codeEdi&gt;</v>
      </c>
    </row>
    <row r="3648" spans="1:1" x14ac:dyDescent="0.2">
      <c r="A3648" s="1135" t="str">
        <f>CONCATENATE(Programme!C3649,Programme!D3649,Programme!E3649,Programme!F3649,Programme!G3649,Programme!H3649,Programme!I3649)</f>
        <v>&lt;/cellule&gt;</v>
      </c>
    </row>
    <row r="3649" spans="1:1" x14ac:dyDescent="0.2">
      <c r="A3649" s="1135" t="str">
        <f>CONCATENATE(Programme!C3650,Programme!D3650,Programme!E3650,Programme!F3650,Programme!G3650,Programme!H3650,Programme!I3650)</f>
        <v>&lt;valeur&gt;0&lt;/valeur&gt;</v>
      </c>
    </row>
    <row r="3650" spans="1:1" x14ac:dyDescent="0.2">
      <c r="A3650" s="1135" t="str">
        <f>CONCATENATE(Programme!C3651,Programme!D3651,Programme!E3651,Programme!F3651,Programme!G3651,Programme!H3651,Programme!I3651)</f>
        <v>&lt;/ValeurCellule&gt;</v>
      </c>
    </row>
    <row r="3651" spans="1:1" x14ac:dyDescent="0.2">
      <c r="A3651" s="1135" t="str">
        <f>CONCATENATE(Programme!C3652,Programme!D3652,Programme!E3652,Programme!F3652,Programme!G3652,Programme!H3652,Programme!I3652)</f>
        <v>&lt;ValeurCellule&gt;</v>
      </c>
    </row>
    <row r="3652" spans="1:1" x14ac:dyDescent="0.2">
      <c r="A3652" s="1135" t="str">
        <f>CONCATENATE(Programme!C3653,Programme!D3653,Programme!E3653,Programme!F3653,Programme!G3653,Programme!H3653,Programme!I3653)</f>
        <v>&lt;cellule&gt;</v>
      </c>
    </row>
    <row r="3653" spans="1:1" x14ac:dyDescent="0.2">
      <c r="A3653" s="1135" t="str">
        <f>CONCATENATE(Programme!C3654,Programme!D3654,Programme!E3654,Programme!F3654,Programme!G3654,Programme!H3654,Programme!I3654)</f>
        <v>&lt;codeEdi&gt;1010&lt;/codeEdi&gt;</v>
      </c>
    </row>
    <row r="3654" spans="1:1" x14ac:dyDescent="0.2">
      <c r="A3654" s="1135" t="str">
        <f>CONCATENATE(Programme!C3655,Programme!D3655,Programme!E3655,Programme!F3655,Programme!G3655,Programme!H3655,Programme!I3655)</f>
        <v>&lt;/cellule&gt;</v>
      </c>
    </row>
    <row r="3655" spans="1:1" x14ac:dyDescent="0.2">
      <c r="A3655" s="1135" t="str">
        <f>CONCATENATE(Programme!C3656,Programme!D3656,Programme!E3656,Programme!F3656,Programme!G3656,Programme!H3656,Programme!I3656)</f>
        <v>&lt;valeur&gt;0&lt;/valeur&gt;</v>
      </c>
    </row>
    <row r="3656" spans="1:1" x14ac:dyDescent="0.2">
      <c r="A3656" s="1135" t="str">
        <f>CONCATENATE(Programme!C3657,Programme!D3657,Programme!E3657,Programme!F3657,Programme!G3657,Programme!H3657,Programme!I3657)</f>
        <v>&lt;/ValeurCellule&gt;</v>
      </c>
    </row>
    <row r="3657" spans="1:1" x14ac:dyDescent="0.2">
      <c r="A3657" s="1135" t="str">
        <f>CONCATENATE(Programme!C3658,Programme!D3658,Programme!E3658,Programme!F3658,Programme!G3658,Programme!H3658,Programme!I3658)</f>
        <v>&lt;ValeurCellule&gt;</v>
      </c>
    </row>
    <row r="3658" spans="1:1" x14ac:dyDescent="0.2">
      <c r="A3658" s="1135" t="str">
        <f>CONCATENATE(Programme!C3659,Programme!D3659,Programme!E3659,Programme!F3659,Programme!G3659,Programme!H3659,Programme!I3659)</f>
        <v>&lt;cellule&gt;</v>
      </c>
    </row>
    <row r="3659" spans="1:1" x14ac:dyDescent="0.2">
      <c r="A3659" s="1135" t="str">
        <f>CONCATENATE(Programme!C3660,Programme!D3660,Programme!E3660,Programme!F3660,Programme!G3660,Programme!H3660,Programme!I3660)</f>
        <v>&lt;codeEdi&gt;10067&lt;/codeEdi&gt;</v>
      </c>
    </row>
    <row r="3660" spans="1:1" x14ac:dyDescent="0.2">
      <c r="A3660" s="1135" t="str">
        <f>CONCATENATE(Programme!C3661,Programme!D3661,Programme!E3661,Programme!F3661,Programme!G3661,Programme!H3661,Programme!I3661)</f>
        <v>&lt;/cellule&gt;</v>
      </c>
    </row>
    <row r="3661" spans="1:1" x14ac:dyDescent="0.2">
      <c r="A3661" s="1135" t="str">
        <f>CONCATENATE(Programme!C3662,Programme!D3662,Programme!E3662,Programme!F3662,Programme!G3662,Programme!H3662,Programme!I3662)</f>
        <v>&lt;valeur&gt;0&lt;/valeur&gt;</v>
      </c>
    </row>
    <row r="3662" spans="1:1" x14ac:dyDescent="0.2">
      <c r="A3662" s="1135" t="str">
        <f>CONCATENATE(Programme!C3663,Programme!D3663,Programme!E3663,Programme!F3663,Programme!G3663,Programme!H3663,Programme!I3663)</f>
        <v>&lt;/ValeurCellule&gt;</v>
      </c>
    </row>
    <row r="3663" spans="1:1" x14ac:dyDescent="0.2">
      <c r="A3663" s="1135" t="str">
        <f>CONCATENATE(Programme!C3664,Programme!D3664,Programme!E3664,Programme!F3664,Programme!G3664,Programme!H3664,Programme!I3664)</f>
        <v>&lt;ValeurCellule&gt;</v>
      </c>
    </row>
    <row r="3664" spans="1:1" x14ac:dyDescent="0.2">
      <c r="A3664" s="1135" t="str">
        <f>CONCATENATE(Programme!C3665,Programme!D3665,Programme!E3665,Programme!F3665,Programme!G3665,Programme!H3665,Programme!I3665)</f>
        <v>&lt;cellule&gt;</v>
      </c>
    </row>
    <row r="3665" spans="1:1" x14ac:dyDescent="0.2">
      <c r="A3665" s="1135" t="str">
        <f>CONCATENATE(Programme!C3666,Programme!D3666,Programme!E3666,Programme!F3666,Programme!G3666,Programme!H3666,Programme!I3666)</f>
        <v>&lt;codeEdi&gt;1022&lt;/codeEdi&gt;</v>
      </c>
    </row>
    <row r="3666" spans="1:1" x14ac:dyDescent="0.2">
      <c r="A3666" s="1135" t="str">
        <f>CONCATENATE(Programme!C3667,Programme!D3667,Programme!E3667,Programme!F3667,Programme!G3667,Programme!H3667,Programme!I3667)</f>
        <v>&lt;/cellule&gt;</v>
      </c>
    </row>
    <row r="3667" spans="1:1" x14ac:dyDescent="0.2">
      <c r="A3667" s="1135" t="str">
        <f>CONCATENATE(Programme!C3668,Programme!D3668,Programme!E3668,Programme!F3668,Programme!G3668,Programme!H3668,Programme!I3668)</f>
        <v>&lt;valeur&gt;0&lt;/valeur&gt;</v>
      </c>
    </row>
    <row r="3668" spans="1:1" x14ac:dyDescent="0.2">
      <c r="A3668" s="1135" t="str">
        <f>CONCATENATE(Programme!C3669,Programme!D3669,Programme!E3669,Programme!F3669,Programme!G3669,Programme!H3669,Programme!I3669)</f>
        <v>&lt;/ValeurCellule&gt;</v>
      </c>
    </row>
    <row r="3669" spans="1:1" x14ac:dyDescent="0.2">
      <c r="A3669" s="1135" t="str">
        <f>CONCATENATE(Programme!C3670,Programme!D3670,Programme!E3670,Programme!F3670,Programme!G3670,Programme!H3670,Programme!I3670)</f>
        <v>&lt;ValeurCellule&gt;</v>
      </c>
    </row>
    <row r="3670" spans="1:1" x14ac:dyDescent="0.2">
      <c r="A3670" s="1135" t="str">
        <f>CONCATENATE(Programme!C3671,Programme!D3671,Programme!E3671,Programme!F3671,Programme!G3671,Programme!H3671,Programme!I3671)</f>
        <v>&lt;cellule&gt;</v>
      </c>
    </row>
    <row r="3671" spans="1:1" x14ac:dyDescent="0.2">
      <c r="A3671" s="1135" t="str">
        <f>CONCATENATE(Programme!C3672,Programme!D3672,Programme!E3672,Programme!F3672,Programme!G3672,Programme!H3672,Programme!I3672)</f>
        <v>&lt;codeEdi&gt;1023&lt;/codeEdi&gt;</v>
      </c>
    </row>
    <row r="3672" spans="1:1" x14ac:dyDescent="0.2">
      <c r="A3672" s="1135" t="str">
        <f>CONCATENATE(Programme!C3673,Programme!D3673,Programme!E3673,Programme!F3673,Programme!G3673,Programme!H3673,Programme!I3673)</f>
        <v>&lt;/cellule&gt;</v>
      </c>
    </row>
    <row r="3673" spans="1:1" x14ac:dyDescent="0.2">
      <c r="A3673" s="1135" t="str">
        <f>CONCATENATE(Programme!C3674,Programme!D3674,Programme!E3674,Programme!F3674,Programme!G3674,Programme!H3674,Programme!I3674)</f>
        <v>&lt;valeur&gt;0&lt;/valeur&gt;</v>
      </c>
    </row>
    <row r="3674" spans="1:1" x14ac:dyDescent="0.2">
      <c r="A3674" s="1135" t="str">
        <f>CONCATENATE(Programme!C3675,Programme!D3675,Programme!E3675,Programme!F3675,Programme!G3675,Programme!H3675,Programme!I3675)</f>
        <v>&lt;/ValeurCellule&gt;</v>
      </c>
    </row>
    <row r="3675" spans="1:1" x14ac:dyDescent="0.2">
      <c r="A3675" s="1135" t="str">
        <f>CONCATENATE(Programme!C3676,Programme!D3676,Programme!E3676,Programme!F3676,Programme!G3676,Programme!H3676,Programme!I3676)</f>
        <v>&lt;ValeurCellule&gt;</v>
      </c>
    </row>
    <row r="3676" spans="1:1" x14ac:dyDescent="0.2">
      <c r="A3676" s="1135" t="str">
        <f>CONCATENATE(Programme!C3677,Programme!D3677,Programme!E3677,Programme!F3677,Programme!G3677,Programme!H3677,Programme!I3677)</f>
        <v>&lt;cellule&gt;</v>
      </c>
    </row>
    <row r="3677" spans="1:1" x14ac:dyDescent="0.2">
      <c r="A3677" s="1135" t="str">
        <f>CONCATENATE(Programme!C3678,Programme!D3678,Programme!E3678,Programme!F3678,Programme!G3678,Programme!H3678,Programme!I3678)</f>
        <v>&lt;codeEdi&gt;1024&lt;/codeEdi&gt;</v>
      </c>
    </row>
    <row r="3678" spans="1:1" x14ac:dyDescent="0.2">
      <c r="A3678" s="1135" t="str">
        <f>CONCATENATE(Programme!C3679,Programme!D3679,Programme!E3679,Programme!F3679,Programme!G3679,Programme!H3679,Programme!I3679)</f>
        <v>&lt;/cellule&gt;</v>
      </c>
    </row>
    <row r="3679" spans="1:1" x14ac:dyDescent="0.2">
      <c r="A3679" s="1135" t="str">
        <f>CONCATENATE(Programme!C3680,Programme!D3680,Programme!E3680,Programme!F3680,Programme!G3680,Programme!H3680,Programme!I3680)</f>
        <v>&lt;valeur&gt;0&lt;/valeur&gt;</v>
      </c>
    </row>
    <row r="3680" spans="1:1" x14ac:dyDescent="0.2">
      <c r="A3680" s="1135" t="str">
        <f>CONCATENATE(Programme!C3681,Programme!D3681,Programme!E3681,Programme!F3681,Programme!G3681,Programme!H3681,Programme!I3681)</f>
        <v>&lt;/ValeurCellule&gt;</v>
      </c>
    </row>
    <row r="3681" spans="1:1" x14ac:dyDescent="0.2">
      <c r="A3681" s="1135" t="str">
        <f>CONCATENATE(Programme!C3682,Programme!D3682,Programme!E3682,Programme!F3682,Programme!G3682,Programme!H3682,Programme!I3682)</f>
        <v>&lt;ValeurCellule&gt;</v>
      </c>
    </row>
    <row r="3682" spans="1:1" x14ac:dyDescent="0.2">
      <c r="A3682" s="1135" t="str">
        <f>CONCATENATE(Programme!C3683,Programme!D3683,Programme!E3683,Programme!F3683,Programme!G3683,Programme!H3683,Programme!I3683)</f>
        <v>&lt;cellule&gt;</v>
      </c>
    </row>
    <row r="3683" spans="1:1" x14ac:dyDescent="0.2">
      <c r="A3683" s="1135" t="str">
        <f>CONCATENATE(Programme!C3684,Programme!D3684,Programme!E3684,Programme!F3684,Programme!G3684,Programme!H3684,Programme!I3684)</f>
        <v>&lt;codeEdi&gt;10068&lt;/codeEdi&gt;</v>
      </c>
    </row>
    <row r="3684" spans="1:1" x14ac:dyDescent="0.2">
      <c r="A3684" s="1135" t="str">
        <f>CONCATENATE(Programme!C3685,Programme!D3685,Programme!E3685,Programme!F3685,Programme!G3685,Programme!H3685,Programme!I3685)</f>
        <v>&lt;/cellule&gt;</v>
      </c>
    </row>
    <row r="3685" spans="1:1" x14ac:dyDescent="0.2">
      <c r="A3685" s="1135" t="str">
        <f>CONCATENATE(Programme!C3686,Programme!D3686,Programme!E3686,Programme!F3686,Programme!G3686,Programme!H3686,Programme!I3686)</f>
        <v>&lt;valeur&gt;0&lt;/valeur&gt;</v>
      </c>
    </row>
    <row r="3686" spans="1:1" x14ac:dyDescent="0.2">
      <c r="A3686" s="1135" t="str">
        <f>CONCATENATE(Programme!C3687,Programme!D3687,Programme!E3687,Programme!F3687,Programme!G3687,Programme!H3687,Programme!I3687)</f>
        <v>&lt;/ValeurCellule&gt;</v>
      </c>
    </row>
    <row r="3687" spans="1:1" x14ac:dyDescent="0.2">
      <c r="A3687" s="1135" t="str">
        <f>CONCATENATE(Programme!C3688,Programme!D3688,Programme!E3688,Programme!F3688,Programme!G3688,Programme!H3688,Programme!I3688)</f>
        <v>&lt;ValeurCellule&gt;</v>
      </c>
    </row>
    <row r="3688" spans="1:1" x14ac:dyDescent="0.2">
      <c r="A3688" s="1135" t="str">
        <f>CONCATENATE(Programme!C3689,Programme!D3689,Programme!E3689,Programme!F3689,Programme!G3689,Programme!H3689,Programme!I3689)</f>
        <v>&lt;cellule&gt;</v>
      </c>
    </row>
    <row r="3689" spans="1:1" x14ac:dyDescent="0.2">
      <c r="A3689" s="1135" t="str">
        <f>CONCATENATE(Programme!C3690,Programme!D3690,Programme!E3690,Programme!F3690,Programme!G3690,Programme!H3690,Programme!I3690)</f>
        <v>&lt;codeEdi&gt;1036&lt;/codeEdi&gt;</v>
      </c>
    </row>
    <row r="3690" spans="1:1" x14ac:dyDescent="0.2">
      <c r="A3690" s="1135" t="str">
        <f>CONCATENATE(Programme!C3691,Programme!D3691,Programme!E3691,Programme!F3691,Programme!G3691,Programme!H3691,Programme!I3691)</f>
        <v>&lt;/cellule&gt;</v>
      </c>
    </row>
    <row r="3691" spans="1:1" x14ac:dyDescent="0.2">
      <c r="A3691" s="1135" t="str">
        <f>CONCATENATE(Programme!C3692,Programme!D3692,Programme!E3692,Programme!F3692,Programme!G3692,Programme!H3692,Programme!I3692)</f>
        <v>&lt;valeur&gt;0&lt;/valeur&gt;</v>
      </c>
    </row>
    <row r="3692" spans="1:1" x14ac:dyDescent="0.2">
      <c r="A3692" s="1135" t="str">
        <f>CONCATENATE(Programme!C3693,Programme!D3693,Programme!E3693,Programme!F3693,Programme!G3693,Programme!H3693,Programme!I3693)</f>
        <v>&lt;/ValeurCellule&gt;</v>
      </c>
    </row>
    <row r="3693" spans="1:1" x14ac:dyDescent="0.2">
      <c r="A3693" s="1135" t="str">
        <f>CONCATENATE(Programme!C3694,Programme!D3694,Programme!E3694,Programme!F3694,Programme!G3694,Programme!H3694,Programme!I3694)</f>
        <v>&lt;ValeurCellule&gt;</v>
      </c>
    </row>
    <row r="3694" spans="1:1" x14ac:dyDescent="0.2">
      <c r="A3694" s="1135" t="str">
        <f>CONCATENATE(Programme!C3695,Programme!D3695,Programme!E3695,Programme!F3695,Programme!G3695,Programme!H3695,Programme!I3695)</f>
        <v>&lt;cellule&gt;</v>
      </c>
    </row>
    <row r="3695" spans="1:1" x14ac:dyDescent="0.2">
      <c r="A3695" s="1135" t="str">
        <f>CONCATENATE(Programme!C3696,Programme!D3696,Programme!E3696,Programme!F3696,Programme!G3696,Programme!H3696,Programme!I3696)</f>
        <v>&lt;codeEdi&gt;1037&lt;/codeEdi&gt;</v>
      </c>
    </row>
    <row r="3696" spans="1:1" x14ac:dyDescent="0.2">
      <c r="A3696" s="1135" t="str">
        <f>CONCATENATE(Programme!C3697,Programme!D3697,Programme!E3697,Programme!F3697,Programme!G3697,Programme!H3697,Programme!I3697)</f>
        <v>&lt;/cellule&gt;</v>
      </c>
    </row>
    <row r="3697" spans="1:1" x14ac:dyDescent="0.2">
      <c r="A3697" s="1135" t="str">
        <f>CONCATENATE(Programme!C3698,Programme!D3698,Programme!E3698,Programme!F3698,Programme!G3698,Programme!H3698,Programme!I3698)</f>
        <v>&lt;valeur&gt;0&lt;/valeur&gt;</v>
      </c>
    </row>
    <row r="3698" spans="1:1" x14ac:dyDescent="0.2">
      <c r="A3698" s="1135" t="str">
        <f>CONCATENATE(Programme!C3699,Programme!D3699,Programme!E3699,Programme!F3699,Programme!G3699,Programme!H3699,Programme!I3699)</f>
        <v>&lt;/ValeurCellule&gt;</v>
      </c>
    </row>
    <row r="3699" spans="1:1" x14ac:dyDescent="0.2">
      <c r="A3699" s="1135" t="str">
        <f>CONCATENATE(Programme!C3700,Programme!D3700,Programme!E3700,Programme!F3700,Programme!G3700,Programme!H3700,Programme!I3700)</f>
        <v>&lt;ValeurCellule&gt;</v>
      </c>
    </row>
    <row r="3700" spans="1:1" x14ac:dyDescent="0.2">
      <c r="A3700" s="1135" t="str">
        <f>CONCATENATE(Programme!C3701,Programme!D3701,Programme!E3701,Programme!F3701,Programme!G3701,Programme!H3701,Programme!I3701)</f>
        <v>&lt;cellule&gt;</v>
      </c>
    </row>
    <row r="3701" spans="1:1" x14ac:dyDescent="0.2">
      <c r="A3701" s="1135" t="str">
        <f>CONCATENATE(Programme!C3702,Programme!D3702,Programme!E3702,Programme!F3702,Programme!G3702,Programme!H3702,Programme!I3702)</f>
        <v>&lt;codeEdi&gt;1038&lt;/codeEdi&gt;</v>
      </c>
    </row>
    <row r="3702" spans="1:1" x14ac:dyDescent="0.2">
      <c r="A3702" s="1135" t="str">
        <f>CONCATENATE(Programme!C3703,Programme!D3703,Programme!E3703,Programme!F3703,Programme!G3703,Programme!H3703,Programme!I3703)</f>
        <v>&lt;/cellule&gt;</v>
      </c>
    </row>
    <row r="3703" spans="1:1" x14ac:dyDescent="0.2">
      <c r="A3703" s="1135" t="str">
        <f>CONCATENATE(Programme!C3704,Programme!D3704,Programme!E3704,Programme!F3704,Programme!G3704,Programme!H3704,Programme!I3704)</f>
        <v>&lt;valeur&gt;0&lt;/valeur&gt;</v>
      </c>
    </row>
    <row r="3704" spans="1:1" x14ac:dyDescent="0.2">
      <c r="A3704" s="1135" t="str">
        <f>CONCATENATE(Programme!C3705,Programme!D3705,Programme!E3705,Programme!F3705,Programme!G3705,Programme!H3705,Programme!I3705)</f>
        <v>&lt;/ValeurCellule&gt;</v>
      </c>
    </row>
    <row r="3705" spans="1:1" x14ac:dyDescent="0.2">
      <c r="A3705" s="1135" t="str">
        <f>CONCATENATE(Programme!C3706,Programme!D3706,Programme!E3706,Programme!F3706,Programme!G3706,Programme!H3706,Programme!I3706)</f>
        <v>&lt;ValeurCellule&gt;</v>
      </c>
    </row>
    <row r="3706" spans="1:1" x14ac:dyDescent="0.2">
      <c r="A3706" s="1135" t="str">
        <f>CONCATENATE(Programme!C3707,Programme!D3707,Programme!E3707,Programme!F3707,Programme!G3707,Programme!H3707,Programme!I3707)</f>
        <v>&lt;cellule&gt;</v>
      </c>
    </row>
    <row r="3707" spans="1:1" x14ac:dyDescent="0.2">
      <c r="A3707" s="1135" t="str">
        <f>CONCATENATE(Programme!C3708,Programme!D3708,Programme!E3708,Programme!F3708,Programme!G3708,Programme!H3708,Programme!I3708)</f>
        <v>&lt;codeEdi&gt;10069&lt;/codeEdi&gt;</v>
      </c>
    </row>
    <row r="3708" spans="1:1" x14ac:dyDescent="0.2">
      <c r="A3708" s="1135" t="str">
        <f>CONCATENATE(Programme!C3709,Programme!D3709,Programme!E3709,Programme!F3709,Programme!G3709,Programme!H3709,Programme!I3709)</f>
        <v>&lt;/cellule&gt;</v>
      </c>
    </row>
    <row r="3709" spans="1:1" x14ac:dyDescent="0.2">
      <c r="A3709" s="1135" t="str">
        <f>CONCATENATE(Programme!C3710,Programme!D3710,Programme!E3710,Programme!F3710,Programme!G3710,Programme!H3710,Programme!I3710)</f>
        <v>&lt;valeur&gt;0&lt;/valeur&gt;</v>
      </c>
    </row>
    <row r="3710" spans="1:1" x14ac:dyDescent="0.2">
      <c r="A3710" s="1135" t="str">
        <f>CONCATENATE(Programme!C3711,Programme!D3711,Programme!E3711,Programme!F3711,Programme!G3711,Programme!H3711,Programme!I3711)</f>
        <v>&lt;/ValeurCellule&gt;</v>
      </c>
    </row>
    <row r="3711" spans="1:1" x14ac:dyDescent="0.2">
      <c r="A3711" s="1135" t="str">
        <f>CONCATENATE(Programme!C3712,Programme!D3712,Programme!E3712,Programme!F3712,Programme!G3712,Programme!H3712,Programme!I3712)</f>
        <v>&lt;ValeurCellule&gt;</v>
      </c>
    </row>
    <row r="3712" spans="1:1" x14ac:dyDescent="0.2">
      <c r="A3712" s="1135" t="str">
        <f>CONCATENATE(Programme!C3713,Programme!D3713,Programme!E3713,Programme!F3713,Programme!G3713,Programme!H3713,Programme!I3713)</f>
        <v>&lt;cellule&gt;</v>
      </c>
    </row>
    <row r="3713" spans="1:1" x14ac:dyDescent="0.2">
      <c r="A3713" s="1135" t="str">
        <f>CONCATENATE(Programme!C3714,Programme!D3714,Programme!E3714,Programme!F3714,Programme!G3714,Programme!H3714,Programme!I3714)</f>
        <v>&lt;codeEdi&gt;1050&lt;/codeEdi&gt;</v>
      </c>
    </row>
    <row r="3714" spans="1:1" x14ac:dyDescent="0.2">
      <c r="A3714" s="1135" t="str">
        <f>CONCATENATE(Programme!C3715,Programme!D3715,Programme!E3715,Programme!F3715,Programme!G3715,Programme!H3715,Programme!I3715)</f>
        <v>&lt;/cellule&gt;</v>
      </c>
    </row>
    <row r="3715" spans="1:1" x14ac:dyDescent="0.2">
      <c r="A3715" s="1135" t="str">
        <f>CONCATENATE(Programme!C3716,Programme!D3716,Programme!E3716,Programme!F3716,Programme!G3716,Programme!H3716,Programme!I3716)</f>
        <v>&lt;valeur&gt;0&lt;/valeur&gt;</v>
      </c>
    </row>
    <row r="3716" spans="1:1" x14ac:dyDescent="0.2">
      <c r="A3716" s="1135" t="str">
        <f>CONCATENATE(Programme!C3717,Programme!D3717,Programme!E3717,Programme!F3717,Programme!G3717,Programme!H3717,Programme!I3717)</f>
        <v>&lt;/ValeurCellule&gt;</v>
      </c>
    </row>
    <row r="3717" spans="1:1" x14ac:dyDescent="0.2">
      <c r="A3717" s="1135" t="str">
        <f>CONCATENATE(Programme!C3718,Programme!D3718,Programme!E3718,Programme!F3718,Programme!G3718,Programme!H3718,Programme!I3718)</f>
        <v>&lt;ValeurCellule&gt;</v>
      </c>
    </row>
    <row r="3718" spans="1:1" x14ac:dyDescent="0.2">
      <c r="A3718" s="1135" t="str">
        <f>CONCATENATE(Programme!C3719,Programme!D3719,Programme!E3719,Programme!F3719,Programme!G3719,Programme!H3719,Programme!I3719)</f>
        <v>&lt;cellule&gt;</v>
      </c>
    </row>
    <row r="3719" spans="1:1" x14ac:dyDescent="0.2">
      <c r="A3719" s="1135" t="str">
        <f>CONCATENATE(Programme!C3720,Programme!D3720,Programme!E3720,Programme!F3720,Programme!G3720,Programme!H3720,Programme!I3720)</f>
        <v>&lt;codeEdi&gt;1051&lt;/codeEdi&gt;</v>
      </c>
    </row>
    <row r="3720" spans="1:1" x14ac:dyDescent="0.2">
      <c r="A3720" s="1135" t="str">
        <f>CONCATENATE(Programme!C3721,Programme!D3721,Programme!E3721,Programme!F3721,Programme!G3721,Programme!H3721,Programme!I3721)</f>
        <v>&lt;/cellule&gt;</v>
      </c>
    </row>
    <row r="3721" spans="1:1" x14ac:dyDescent="0.2">
      <c r="A3721" s="1135" t="str">
        <f>CONCATENATE(Programme!C3722,Programme!D3722,Programme!E3722,Programme!F3722,Programme!G3722,Programme!H3722,Programme!I3722)</f>
        <v>&lt;valeur&gt;0&lt;/valeur&gt;</v>
      </c>
    </row>
    <row r="3722" spans="1:1" x14ac:dyDescent="0.2">
      <c r="A3722" s="1135" t="str">
        <f>CONCATENATE(Programme!C3723,Programme!D3723,Programme!E3723,Programme!F3723,Programme!G3723,Programme!H3723,Programme!I3723)</f>
        <v>&lt;/ValeurCellule&gt;</v>
      </c>
    </row>
    <row r="3723" spans="1:1" x14ac:dyDescent="0.2">
      <c r="A3723" s="1135" t="str">
        <f>CONCATENATE(Programme!C3724,Programme!D3724,Programme!E3724,Programme!F3724,Programme!G3724,Programme!H3724,Programme!I3724)</f>
        <v>&lt;ValeurCellule&gt;</v>
      </c>
    </row>
    <row r="3724" spans="1:1" x14ac:dyDescent="0.2">
      <c r="A3724" s="1135" t="str">
        <f>CONCATENATE(Programme!C3725,Programme!D3725,Programme!E3725,Programme!F3725,Programme!G3725,Programme!H3725,Programme!I3725)</f>
        <v>&lt;cellule&gt;</v>
      </c>
    </row>
    <row r="3725" spans="1:1" x14ac:dyDescent="0.2">
      <c r="A3725" s="1135" t="str">
        <f>CONCATENATE(Programme!C3726,Programme!D3726,Programme!E3726,Programme!F3726,Programme!G3726,Programme!H3726,Programme!I3726)</f>
        <v>&lt;codeEdi&gt;1052&lt;/codeEdi&gt;</v>
      </c>
    </row>
    <row r="3726" spans="1:1" x14ac:dyDescent="0.2">
      <c r="A3726" s="1135" t="str">
        <f>CONCATENATE(Programme!C3727,Programme!D3727,Programme!E3727,Programme!F3727,Programme!G3727,Programme!H3727,Programme!I3727)</f>
        <v>&lt;/cellule&gt;</v>
      </c>
    </row>
    <row r="3727" spans="1:1" x14ac:dyDescent="0.2">
      <c r="A3727" s="1135" t="str">
        <f>CONCATENATE(Programme!C3728,Programme!D3728,Programme!E3728,Programme!F3728,Programme!G3728,Programme!H3728,Programme!I3728)</f>
        <v>&lt;valeur&gt;0&lt;/valeur&gt;</v>
      </c>
    </row>
    <row r="3728" spans="1:1" x14ac:dyDescent="0.2">
      <c r="A3728" s="1135" t="str">
        <f>CONCATENATE(Programme!C3729,Programme!D3729,Programme!E3729,Programme!F3729,Programme!G3729,Programme!H3729,Programme!I3729)</f>
        <v>&lt;/ValeurCellule&gt;</v>
      </c>
    </row>
    <row r="3729" spans="1:1" x14ac:dyDescent="0.2">
      <c r="A3729" s="1135" t="str">
        <f>CONCATENATE(Programme!C3730,Programme!D3730,Programme!E3730,Programme!F3730,Programme!G3730,Programme!H3730,Programme!I3730)</f>
        <v>&lt;ValeurCellule&gt;</v>
      </c>
    </row>
    <row r="3730" spans="1:1" x14ac:dyDescent="0.2">
      <c r="A3730" s="1135" t="str">
        <f>CONCATENATE(Programme!C3731,Programme!D3731,Programme!E3731,Programme!F3731,Programme!G3731,Programme!H3731,Programme!I3731)</f>
        <v>&lt;cellule&gt;</v>
      </c>
    </row>
    <row r="3731" spans="1:1" x14ac:dyDescent="0.2">
      <c r="A3731" s="1135" t="str">
        <f>CONCATENATE(Programme!C3732,Programme!D3732,Programme!E3732,Programme!F3732,Programme!G3732,Programme!H3732,Programme!I3732)</f>
        <v>&lt;codeEdi&gt;10070&lt;/codeEdi&gt;</v>
      </c>
    </row>
    <row r="3732" spans="1:1" x14ac:dyDescent="0.2">
      <c r="A3732" s="1135" t="str">
        <f>CONCATENATE(Programme!C3733,Programme!D3733,Programme!E3733,Programme!F3733,Programme!G3733,Programme!H3733,Programme!I3733)</f>
        <v>&lt;/cellule&gt;</v>
      </c>
    </row>
    <row r="3733" spans="1:1" x14ac:dyDescent="0.2">
      <c r="A3733" s="1135" t="str">
        <f>CONCATENATE(Programme!C3734,Programme!D3734,Programme!E3734,Programme!F3734,Programme!G3734,Programme!H3734,Programme!I3734)</f>
        <v>&lt;valeur&gt;0&lt;/valeur&gt;</v>
      </c>
    </row>
    <row r="3734" spans="1:1" x14ac:dyDescent="0.2">
      <c r="A3734" s="1135" t="str">
        <f>CONCATENATE(Programme!C3735,Programme!D3735,Programme!E3735,Programme!F3735,Programme!G3735,Programme!H3735,Programme!I3735)</f>
        <v>&lt;/ValeurCellule&gt;</v>
      </c>
    </row>
    <row r="3735" spans="1:1" x14ac:dyDescent="0.2">
      <c r="A3735" s="1135" t="str">
        <f>CONCATENATE(Programme!C3736,Programme!D3736,Programme!E3736,Programme!F3736,Programme!G3736,Programme!H3736,Programme!I3736)</f>
        <v>&lt;ValeurCellule&gt;</v>
      </c>
    </row>
    <row r="3736" spans="1:1" x14ac:dyDescent="0.2">
      <c r="A3736" s="1135" t="str">
        <f>CONCATENATE(Programme!C3737,Programme!D3737,Programme!E3737,Programme!F3737,Programme!G3737,Programme!H3737,Programme!I3737)</f>
        <v>&lt;cellule&gt;</v>
      </c>
    </row>
    <row r="3737" spans="1:1" x14ac:dyDescent="0.2">
      <c r="A3737" s="1135" t="str">
        <f>CONCATENATE(Programme!C3738,Programme!D3738,Programme!E3738,Programme!F3738,Programme!G3738,Programme!H3738,Programme!I3738)</f>
        <v>&lt;codeEdi&gt;1064&lt;/codeEdi&gt;</v>
      </c>
    </row>
    <row r="3738" spans="1:1" x14ac:dyDescent="0.2">
      <c r="A3738" s="1135" t="str">
        <f>CONCATENATE(Programme!C3739,Programme!D3739,Programme!E3739,Programme!F3739,Programme!G3739,Programme!H3739,Programme!I3739)</f>
        <v>&lt;/cellule&gt;</v>
      </c>
    </row>
    <row r="3739" spans="1:1" x14ac:dyDescent="0.2">
      <c r="A3739" s="1135" t="str">
        <f>CONCATENATE(Programme!C3740,Programme!D3740,Programme!E3740,Programme!F3740,Programme!G3740,Programme!H3740,Programme!I3740)</f>
        <v>&lt;valeur&gt;5000&lt;/valeur&gt;</v>
      </c>
    </row>
    <row r="3740" spans="1:1" x14ac:dyDescent="0.2">
      <c r="A3740" s="1135" t="str">
        <f>CONCATENATE(Programme!C3741,Programme!D3741,Programme!E3741,Programme!F3741,Programme!G3741,Programme!H3741,Programme!I3741)</f>
        <v>&lt;/ValeurCellule&gt;</v>
      </c>
    </row>
    <row r="3741" spans="1:1" x14ac:dyDescent="0.2">
      <c r="A3741" s="1135" t="str">
        <f>CONCATENATE(Programme!C3742,Programme!D3742,Programme!E3742,Programme!F3742,Programme!G3742,Programme!H3742,Programme!I3742)</f>
        <v>&lt;ValeurCellule&gt;</v>
      </c>
    </row>
    <row r="3742" spans="1:1" x14ac:dyDescent="0.2">
      <c r="A3742" s="1135" t="str">
        <f>CONCATENATE(Programme!C3743,Programme!D3743,Programme!E3743,Programme!F3743,Programme!G3743,Programme!H3743,Programme!I3743)</f>
        <v>&lt;cellule&gt;</v>
      </c>
    </row>
    <row r="3743" spans="1:1" x14ac:dyDescent="0.2">
      <c r="A3743" s="1135" t="str">
        <f>CONCATENATE(Programme!C3744,Programme!D3744,Programme!E3744,Programme!F3744,Programme!G3744,Programme!H3744,Programme!I3744)</f>
        <v>&lt;codeEdi&gt;1065&lt;/codeEdi&gt;</v>
      </c>
    </row>
    <row r="3744" spans="1:1" x14ac:dyDescent="0.2">
      <c r="A3744" s="1135" t="str">
        <f>CONCATENATE(Programme!C3745,Programme!D3745,Programme!E3745,Programme!F3745,Programme!G3745,Programme!H3745,Programme!I3745)</f>
        <v>&lt;/cellule&gt;</v>
      </c>
    </row>
    <row r="3745" spans="1:1" x14ac:dyDescent="0.2">
      <c r="A3745" s="1135" t="str">
        <f>CONCATENATE(Programme!C3746,Programme!D3746,Programme!E3746,Programme!F3746,Programme!G3746,Programme!H3746,Programme!I3746)</f>
        <v>&lt;valeur&gt;0&lt;/valeur&gt;</v>
      </c>
    </row>
    <row r="3746" spans="1:1" x14ac:dyDescent="0.2">
      <c r="A3746" s="1135" t="str">
        <f>CONCATENATE(Programme!C3747,Programme!D3747,Programme!E3747,Programme!F3747,Programme!G3747,Programme!H3747,Programme!I3747)</f>
        <v>&lt;/ValeurCellule&gt;</v>
      </c>
    </row>
    <row r="3747" spans="1:1" x14ac:dyDescent="0.2">
      <c r="A3747" s="1135" t="str">
        <f>CONCATENATE(Programme!C3748,Programme!D3748,Programme!E3748,Programme!F3748,Programme!G3748,Programme!H3748,Programme!I3748)</f>
        <v>&lt;ValeurCellule&gt;</v>
      </c>
    </row>
    <row r="3748" spans="1:1" x14ac:dyDescent="0.2">
      <c r="A3748" s="1135" t="str">
        <f>CONCATENATE(Programme!C3749,Programme!D3749,Programme!E3749,Programme!F3749,Programme!G3749,Programme!H3749,Programme!I3749)</f>
        <v>&lt;cellule&gt;</v>
      </c>
    </row>
    <row r="3749" spans="1:1" x14ac:dyDescent="0.2">
      <c r="A3749" s="1135" t="str">
        <f>CONCATENATE(Programme!C3750,Programme!D3750,Programme!E3750,Programme!F3750,Programme!G3750,Programme!H3750,Programme!I3750)</f>
        <v>&lt;codeEdi&gt;1066&lt;/codeEdi&gt;</v>
      </c>
    </row>
    <row r="3750" spans="1:1" x14ac:dyDescent="0.2">
      <c r="A3750" s="1135" t="str">
        <f>CONCATENATE(Programme!C3751,Programme!D3751,Programme!E3751,Programme!F3751,Programme!G3751,Programme!H3751,Programme!I3751)</f>
        <v>&lt;/cellule&gt;</v>
      </c>
    </row>
    <row r="3751" spans="1:1" x14ac:dyDescent="0.2">
      <c r="A3751" s="1135" t="str">
        <f>CONCATENATE(Programme!C3752,Programme!D3752,Programme!E3752,Programme!F3752,Programme!G3752,Programme!H3752,Programme!I3752)</f>
        <v>&lt;valeur&gt;0&lt;/valeur&gt;</v>
      </c>
    </row>
    <row r="3752" spans="1:1" x14ac:dyDescent="0.2">
      <c r="A3752" s="1135" t="str">
        <f>CONCATENATE(Programme!C3753,Programme!D3753,Programme!E3753,Programme!F3753,Programme!G3753,Programme!H3753,Programme!I3753)</f>
        <v>&lt;/ValeurCellule&gt;</v>
      </c>
    </row>
    <row r="3753" spans="1:1" x14ac:dyDescent="0.2">
      <c r="A3753" s="1135" t="str">
        <f>CONCATENATE(Programme!C3754,Programme!D3754,Programme!E3754,Programme!F3754,Programme!G3754,Programme!H3754,Programme!I3754)</f>
        <v>&lt;ValeurCellule&gt;</v>
      </c>
    </row>
    <row r="3754" spans="1:1" x14ac:dyDescent="0.2">
      <c r="A3754" s="1135" t="str">
        <f>CONCATENATE(Programme!C3755,Programme!D3755,Programme!E3755,Programme!F3755,Programme!G3755,Programme!H3755,Programme!I3755)</f>
        <v>&lt;cellule&gt;</v>
      </c>
    </row>
    <row r="3755" spans="1:1" x14ac:dyDescent="0.2">
      <c r="A3755" s="1135" t="str">
        <f>CONCATENATE(Programme!C3756,Programme!D3756,Programme!E3756,Programme!F3756,Programme!G3756,Programme!H3756,Programme!I3756)</f>
        <v>&lt;codeEdi&gt;10071&lt;/codeEdi&gt;</v>
      </c>
    </row>
    <row r="3756" spans="1:1" x14ac:dyDescent="0.2">
      <c r="A3756" s="1135" t="str">
        <f>CONCATENATE(Programme!C3757,Programme!D3757,Programme!E3757,Programme!F3757,Programme!G3757,Programme!H3757,Programme!I3757)</f>
        <v>&lt;/cellule&gt;</v>
      </c>
    </row>
    <row r="3757" spans="1:1" x14ac:dyDescent="0.2">
      <c r="A3757" s="1135" t="str">
        <f>CONCATENATE(Programme!C3758,Programme!D3758,Programme!E3758,Programme!F3758,Programme!G3758,Programme!H3758,Programme!I3758)</f>
        <v>&lt;valeur&gt;5000&lt;/valeur&gt;</v>
      </c>
    </row>
    <row r="3758" spans="1:1" x14ac:dyDescent="0.2">
      <c r="A3758" s="1135" t="str">
        <f>CONCATENATE(Programme!C3759,Programme!D3759,Programme!E3759,Programme!F3759,Programme!G3759,Programme!H3759,Programme!I3759)</f>
        <v>&lt;/ValeurCellule&gt;</v>
      </c>
    </row>
    <row r="3759" spans="1:1" x14ac:dyDescent="0.2">
      <c r="A3759" s="1135" t="str">
        <f>CONCATENATE(Programme!C3760,Programme!D3760,Programme!E3760,Programme!F3760,Programme!G3760,Programme!H3760,Programme!I3760)</f>
        <v>&lt;ValeurCellule&gt;</v>
      </c>
    </row>
    <row r="3760" spans="1:1" x14ac:dyDescent="0.2">
      <c r="A3760" s="1135" t="str">
        <f>CONCATENATE(Programme!C3761,Programme!D3761,Programme!E3761,Programme!F3761,Programme!G3761,Programme!H3761,Programme!I3761)</f>
        <v>&lt;cellule&gt;&lt;codeEdi&gt;13506&lt;/codeEdi&gt;&lt;/cellule&gt;</v>
      </c>
    </row>
    <row r="3761" spans="1:1" x14ac:dyDescent="0.2">
      <c r="A3761" s="1135" t="str">
        <f>CONCATENATE(Programme!C3762,Programme!D3762,Programme!E3762,Programme!F3762,Programme!G3762,Programme!H3762,Programme!I3762)</f>
        <v>&lt;valeur&gt;0&lt;/valeur&gt;</v>
      </c>
    </row>
    <row r="3762" spans="1:1" x14ac:dyDescent="0.2">
      <c r="A3762" s="1135" t="str">
        <f>CONCATENATE(Programme!C3763,Programme!D3763,Programme!E3763,Programme!F3763,Programme!G3763,Programme!H3763,Programme!I3763)</f>
        <v>&lt;numeroLigne&gt;1&lt;/numeroLigne&gt;</v>
      </c>
    </row>
    <row r="3763" spans="1:1" x14ac:dyDescent="0.2">
      <c r="A3763" s="1135" t="str">
        <f>CONCATENATE(Programme!C3764,Programme!D3764,Programme!E3764,Programme!F3764,Programme!G3764,Programme!H3764,Programme!I3764)</f>
        <v>&lt;/ValeurCellule&gt;</v>
      </c>
    </row>
    <row r="3764" spans="1:1" x14ac:dyDescent="0.2">
      <c r="A3764" s="1135" t="str">
        <f>CONCATENATE(Programme!C3765,Programme!D3765,Programme!E3765,Programme!F3765,Programme!G3765,Programme!H3765,Programme!I3765)</f>
        <v>&lt;ValeurCellule&gt;</v>
      </c>
    </row>
    <row r="3765" spans="1:1" x14ac:dyDescent="0.2">
      <c r="A3765" s="1135" t="str">
        <f>CONCATENATE(Programme!C3766,Programme!D3766,Programme!E3766,Programme!F3766,Programme!G3766,Programme!H3766,Programme!I3766)</f>
        <v>&lt;cellule&gt;&lt;codeEdi&gt;13507&lt;/codeEdi&gt;&lt;/cellule&gt;</v>
      </c>
    </row>
    <row r="3766" spans="1:1" x14ac:dyDescent="0.2">
      <c r="A3766" s="1135" t="str">
        <f>CONCATENATE(Programme!C3767,Programme!D3767,Programme!E3767,Programme!F3767,Programme!G3767,Programme!H3767,Programme!I3767)</f>
        <v>&lt;valeur&gt;0&lt;/valeur&gt;</v>
      </c>
    </row>
    <row r="3767" spans="1:1" x14ac:dyDescent="0.2">
      <c r="A3767" s="1135" t="str">
        <f>CONCATENATE(Programme!C3768,Programme!D3768,Programme!E3768,Programme!F3768,Programme!G3768,Programme!H3768,Programme!I3768)</f>
        <v>&lt;numeroLigne&gt;1&lt;/numeroLigne&gt;</v>
      </c>
    </row>
    <row r="3768" spans="1:1" x14ac:dyDescent="0.2">
      <c r="A3768" s="1135" t="str">
        <f>CONCATENATE(Programme!C3769,Programme!D3769,Programme!E3769,Programme!F3769,Programme!G3769,Programme!H3769,Programme!I3769)</f>
        <v>&lt;/ValeurCellule&gt;</v>
      </c>
    </row>
    <row r="3769" spans="1:1" x14ac:dyDescent="0.2">
      <c r="A3769" s="1135" t="str">
        <f>CONCATENATE(Programme!C3770,Programme!D3770,Programme!E3770,Programme!F3770,Programme!G3770,Programme!H3770,Programme!I3770)</f>
        <v>&lt;ValeurCellule&gt;</v>
      </c>
    </row>
    <row r="3770" spans="1:1" x14ac:dyDescent="0.2">
      <c r="A3770" s="1135" t="str">
        <f>CONCATENATE(Programme!C3771,Programme!D3771,Programme!E3771,Programme!F3771,Programme!G3771,Programme!H3771,Programme!I3771)</f>
        <v>&lt;cellule&gt;&lt;codeEdi&gt;13508&lt;/codeEdi&gt;&lt;/cellule&gt;</v>
      </c>
    </row>
    <row r="3771" spans="1:1" x14ac:dyDescent="0.2">
      <c r="A3771" s="1135" t="str">
        <f>CONCATENATE(Programme!C3772,Programme!D3772,Programme!E3772,Programme!F3772,Programme!G3772,Programme!H3772,Programme!I3772)</f>
        <v>&lt;valeur&gt;0&lt;/valeur&gt;</v>
      </c>
    </row>
    <row r="3772" spans="1:1" x14ac:dyDescent="0.2">
      <c r="A3772" s="1135" t="str">
        <f>CONCATENATE(Programme!C3773,Programme!D3773,Programme!E3773,Programme!F3773,Programme!G3773,Programme!H3773,Programme!I3773)</f>
        <v>&lt;numeroLigne&gt;1&lt;/numeroLigne&gt;</v>
      </c>
    </row>
    <row r="3773" spans="1:1" x14ac:dyDescent="0.2">
      <c r="A3773" s="1135" t="str">
        <f>CONCATENATE(Programme!C3774,Programme!D3774,Programme!E3774,Programme!F3774,Programme!G3774,Programme!H3774,Programme!I3774)</f>
        <v>&lt;/ValeurCellule&gt;</v>
      </c>
    </row>
    <row r="3774" spans="1:1" x14ac:dyDescent="0.2">
      <c r="A3774" s="1135" t="str">
        <f>CONCATENATE(Programme!C3775,Programme!D3775,Programme!E3775,Programme!F3775,Programme!G3775,Programme!H3775,Programme!I3775)</f>
        <v>&lt;ValeurCellule&gt;</v>
      </c>
    </row>
    <row r="3775" spans="1:1" x14ac:dyDescent="0.2">
      <c r="A3775" s="1135" t="str">
        <f>CONCATENATE(Programme!C3776,Programme!D3776,Programme!E3776,Programme!F3776,Programme!G3776,Programme!H3776,Programme!I3776)</f>
        <v>&lt;cellule&gt;&lt;codeEdi&gt;13509&lt;/codeEdi&gt;&lt;/cellule&gt;</v>
      </c>
    </row>
    <row r="3776" spans="1:1" x14ac:dyDescent="0.2">
      <c r="A3776" s="1135" t="str">
        <f>CONCATENATE(Programme!C3777,Programme!D3777,Programme!E3777,Programme!F3777,Programme!G3777,Programme!H3777,Programme!I3777)</f>
        <v>&lt;valeur&gt;0&lt;/valeur&gt;</v>
      </c>
    </row>
    <row r="3777" spans="1:1" x14ac:dyDescent="0.2">
      <c r="A3777" s="1135" t="str">
        <f>CONCATENATE(Programme!C3778,Programme!D3778,Programme!E3778,Programme!F3778,Programme!G3778,Programme!H3778,Programme!I3778)</f>
        <v>&lt;numeroLigne&gt;1&lt;/numeroLigne&gt;</v>
      </c>
    </row>
    <row r="3778" spans="1:1" x14ac:dyDescent="0.2">
      <c r="A3778" s="1135" t="str">
        <f>CONCATENATE(Programme!C3779,Programme!D3779,Programme!E3779,Programme!F3779,Programme!G3779,Programme!H3779,Programme!I3779)</f>
        <v>&lt;/ValeurCellule&gt;</v>
      </c>
    </row>
    <row r="3779" spans="1:1" x14ac:dyDescent="0.2">
      <c r="A3779" s="1135" t="str">
        <f>CONCATENATE(Programme!C3780,Programme!D3780,Programme!E3780,Programme!F3780,Programme!G3780,Programme!H3780,Programme!I3780)</f>
        <v>&lt;ValeurCellule&gt;</v>
      </c>
    </row>
    <row r="3780" spans="1:1" x14ac:dyDescent="0.2">
      <c r="A3780" s="1135" t="str">
        <f>CONCATENATE(Programme!C3781,Programme!D3781,Programme!E3781,Programme!F3781,Programme!G3781,Programme!H3781,Programme!I3781)</f>
        <v>&lt;cellule&gt;&lt;codeEdi&gt;13510&lt;/codeEdi&gt;&lt;/cellule&gt;</v>
      </c>
    </row>
    <row r="3781" spans="1:1" x14ac:dyDescent="0.2">
      <c r="A3781" s="1135" t="str">
        <f>CONCATENATE(Programme!C3782,Programme!D3782,Programme!E3782,Programme!F3782,Programme!G3782,Programme!H3782,Programme!I3782)</f>
        <v>&lt;valeur&gt;0&lt;/valeur&gt;</v>
      </c>
    </row>
    <row r="3782" spans="1:1" x14ac:dyDescent="0.2">
      <c r="A3782" s="1135" t="str">
        <f>CONCATENATE(Programme!C3783,Programme!D3783,Programme!E3783,Programme!F3783,Programme!G3783,Programme!H3783,Programme!I3783)</f>
        <v>&lt;numeroLigne&gt;1&lt;/numeroLigne&gt;</v>
      </c>
    </row>
    <row r="3783" spans="1:1" x14ac:dyDescent="0.2">
      <c r="A3783" s="1135" t="str">
        <f>CONCATENATE(Programme!C3784,Programme!D3784,Programme!E3784,Programme!F3784,Programme!G3784,Programme!H3784,Programme!I3784)</f>
        <v>&lt;/ValeurCellule&gt;</v>
      </c>
    </row>
    <row r="3784" spans="1:1" x14ac:dyDescent="0.2">
      <c r="A3784" s="1135" t="str">
        <f>CONCATENATE(Programme!C3785,Programme!D3785,Programme!E3785,Programme!F3785,Programme!G3785,Programme!H3785,Programme!I3785)</f>
        <v>&lt;ValeurCellule&gt;</v>
      </c>
    </row>
    <row r="3785" spans="1:1" x14ac:dyDescent="0.2">
      <c r="A3785" s="1135" t="str">
        <f>CONCATENATE(Programme!C3786,Programme!D3786,Programme!E3786,Programme!F3786,Programme!G3786,Programme!H3786,Programme!I3786)</f>
        <v>&lt;cellule&gt;&lt;codeEdi&gt;13511&lt;/codeEdi&gt;&lt;/cellule&gt;</v>
      </c>
    </row>
    <row r="3786" spans="1:1" x14ac:dyDescent="0.2">
      <c r="A3786" s="1135" t="str">
        <f>CONCATENATE(Programme!C3787,Programme!D3787,Programme!E3787,Programme!F3787,Programme!G3787,Programme!H3787,Programme!I3787)</f>
        <v>&lt;valeur&gt;0&lt;/valeur&gt;</v>
      </c>
    </row>
    <row r="3787" spans="1:1" x14ac:dyDescent="0.2">
      <c r="A3787" s="1135" t="str">
        <f>CONCATENATE(Programme!C3788,Programme!D3788,Programme!E3788,Programme!F3788,Programme!G3788,Programme!H3788,Programme!I3788)</f>
        <v>&lt;numeroLigne&gt;1&lt;/numeroLigne&gt;</v>
      </c>
    </row>
    <row r="3788" spans="1:1" x14ac:dyDescent="0.2">
      <c r="A3788" s="1135" t="str">
        <f>CONCATENATE(Programme!C3789,Programme!D3789,Programme!E3789,Programme!F3789,Programme!G3789,Programme!H3789,Programme!I3789)</f>
        <v>&lt;/ValeurCellule&gt;</v>
      </c>
    </row>
    <row r="3789" spans="1:1" x14ac:dyDescent="0.2">
      <c r="A3789" s="1135" t="str">
        <f>CONCATENATE(Programme!C3790,Programme!D3790,Programme!E3790,Programme!F3790,Programme!G3790,Programme!H3790,Programme!I3790)</f>
        <v>&lt;ValeurCellule&gt;</v>
      </c>
    </row>
    <row r="3790" spans="1:1" x14ac:dyDescent="0.2">
      <c r="A3790" s="1135" t="str">
        <f>CONCATENATE(Programme!C3791,Programme!D3791,Programme!E3791,Programme!F3791,Programme!G3791,Programme!H3791,Programme!I3791)</f>
        <v>&lt;cellule&gt;&lt;codeEdi&gt;13512&lt;/codeEdi&gt;&lt;/cellule&gt;</v>
      </c>
    </row>
    <row r="3791" spans="1:1" x14ac:dyDescent="0.2">
      <c r="A3791" s="1135" t="str">
        <f>CONCATENATE(Programme!C3792,Programme!D3792,Programme!E3792,Programme!F3792,Programme!G3792,Programme!H3792,Programme!I3792)</f>
        <v>&lt;valeur&gt;0&lt;/valeur&gt;</v>
      </c>
    </row>
    <row r="3792" spans="1:1" x14ac:dyDescent="0.2">
      <c r="A3792" s="1135" t="str">
        <f>CONCATENATE(Programme!C3793,Programme!D3793,Programme!E3793,Programme!F3793,Programme!G3793,Programme!H3793,Programme!I3793)</f>
        <v>&lt;numeroLigne&gt;1&lt;/numeroLigne&gt;</v>
      </c>
    </row>
    <row r="3793" spans="1:1" x14ac:dyDescent="0.2">
      <c r="A3793" s="1135" t="str">
        <f>CONCATENATE(Programme!C3794,Programme!D3794,Programme!E3794,Programme!F3794,Programme!G3794,Programme!H3794,Programme!I3794)</f>
        <v>&lt;/ValeurCellule&gt;</v>
      </c>
    </row>
    <row r="3794" spans="1:1" x14ac:dyDescent="0.2">
      <c r="A3794" s="1135" t="str">
        <f>CONCATENATE(Programme!C3795,Programme!D3795,Programme!E3795,Programme!F3795,Programme!G3795,Programme!H3795,Programme!I3795)</f>
        <v>&lt;ValeurCellule&gt;</v>
      </c>
    </row>
    <row r="3795" spans="1:1" x14ac:dyDescent="0.2">
      <c r="A3795" s="1135" t="str">
        <f>CONCATENATE(Programme!C3796,Programme!D3796,Programme!E3796,Programme!F3796,Programme!G3796,Programme!H3796,Programme!I3796)</f>
        <v>&lt;cellule&gt;&lt;codeEdi&gt;13513&lt;/codeEdi&gt;&lt;/cellule&gt;</v>
      </c>
    </row>
    <row r="3796" spans="1:1" x14ac:dyDescent="0.2">
      <c r="A3796" s="1135" t="str">
        <f>CONCATENATE(Programme!C3797,Programme!D3797,Programme!E3797,Programme!F3797,Programme!G3797,Programme!H3797,Programme!I3797)</f>
        <v>&lt;valeur&gt;0&lt;/valeur&gt;</v>
      </c>
    </row>
    <row r="3797" spans="1:1" x14ac:dyDescent="0.2">
      <c r="A3797" s="1135" t="str">
        <f>CONCATENATE(Programme!C3798,Programme!D3798,Programme!E3798,Programme!F3798,Programme!G3798,Programme!H3798,Programme!I3798)</f>
        <v>&lt;numeroLigne&gt;1&lt;/numeroLigne&gt;</v>
      </c>
    </row>
    <row r="3798" spans="1:1" x14ac:dyDescent="0.2">
      <c r="A3798" s="1135" t="str">
        <f>CONCATENATE(Programme!C3799,Programme!D3799,Programme!E3799,Programme!F3799,Programme!G3799,Programme!H3799,Programme!I3799)</f>
        <v>&lt;/ValeurCellule&gt;</v>
      </c>
    </row>
    <row r="3799" spans="1:1" x14ac:dyDescent="0.2">
      <c r="A3799" s="1135" t="str">
        <f>CONCATENATE(Programme!C3800,Programme!D3800,Programme!E3800,Programme!F3800,Programme!G3800,Programme!H3800,Programme!I3800)</f>
        <v>&lt;ValeurCellule&gt;</v>
      </c>
    </row>
    <row r="3800" spans="1:1" x14ac:dyDescent="0.2">
      <c r="A3800" s="1135" t="str">
        <f>CONCATENATE(Programme!C3801,Programme!D3801,Programme!E3801,Programme!F3801,Programme!G3801,Programme!H3801,Programme!I3801)</f>
        <v>&lt;cellule&gt;</v>
      </c>
    </row>
    <row r="3801" spans="1:1" x14ac:dyDescent="0.2">
      <c r="A3801" s="1135" t="str">
        <f>CONCATENATE(Programme!C3802,Programme!D3802,Programme!E3802,Programme!F3802,Programme!G3802,Programme!H3802,Programme!I3802)</f>
        <v>&lt;codeEdi&gt;969&lt;/codeEdi&gt;</v>
      </c>
    </row>
    <row r="3802" spans="1:1" x14ac:dyDescent="0.2">
      <c r="A3802" s="1135" t="str">
        <f>CONCATENATE(Programme!C3803,Programme!D3803,Programme!E3803,Programme!F3803,Programme!G3803,Programme!H3803,Programme!I3803)</f>
        <v>&lt;/cellule&gt;</v>
      </c>
    </row>
    <row r="3803" spans="1:1" x14ac:dyDescent="0.2">
      <c r="A3803" s="1135" t="str">
        <f>CONCATENATE(Programme!C3804,Programme!D3804,Programme!E3804,Programme!F3804,Programme!G3804,Programme!H3804,Programme!I3804)</f>
        <v>&lt;valeur&gt;0&lt;/valeur&gt;</v>
      </c>
    </row>
    <row r="3804" spans="1:1" x14ac:dyDescent="0.2">
      <c r="A3804" s="1135" t="str">
        <f>CONCATENATE(Programme!C3805,Programme!D3805,Programme!E3805,Programme!F3805,Programme!G3805,Programme!H3805,Programme!I3805)</f>
        <v>&lt;/ValeurCellule&gt;</v>
      </c>
    </row>
    <row r="3805" spans="1:1" x14ac:dyDescent="0.2">
      <c r="A3805" s="1135" t="str">
        <f>CONCATENATE(Programme!C3806,Programme!D3806,Programme!E3806,Programme!F3806,Programme!G3806,Programme!H3806,Programme!I3806)</f>
        <v>&lt;ValeurCellule&gt;</v>
      </c>
    </row>
    <row r="3806" spans="1:1" x14ac:dyDescent="0.2">
      <c r="A3806" s="1135" t="str">
        <f>CONCATENATE(Programme!C3807,Programme!D3807,Programme!E3807,Programme!F3807,Programme!G3807,Programme!H3807,Programme!I3807)</f>
        <v>&lt;cellule&gt;</v>
      </c>
    </row>
    <row r="3807" spans="1:1" x14ac:dyDescent="0.2">
      <c r="A3807" s="1135" t="str">
        <f>CONCATENATE(Programme!C3808,Programme!D3808,Programme!E3808,Programme!F3808,Programme!G3808,Programme!H3808,Programme!I3808)</f>
        <v>&lt;codeEdi&gt;970&lt;/codeEdi&gt;</v>
      </c>
    </row>
    <row r="3808" spans="1:1" x14ac:dyDescent="0.2">
      <c r="A3808" s="1135" t="str">
        <f>CONCATENATE(Programme!C3809,Programme!D3809,Programme!E3809,Programme!F3809,Programme!G3809,Programme!H3809,Programme!I3809)</f>
        <v>&lt;/cellule&gt;</v>
      </c>
    </row>
    <row r="3809" spans="1:1" x14ac:dyDescent="0.2">
      <c r="A3809" s="1135" t="str">
        <f>CONCATENATE(Programme!C3810,Programme!D3810,Programme!E3810,Programme!F3810,Programme!G3810,Programme!H3810,Programme!I3810)</f>
        <v>&lt;valeur&gt;0&lt;/valeur&gt;</v>
      </c>
    </row>
    <row r="3810" spans="1:1" x14ac:dyDescent="0.2">
      <c r="A3810" s="1135" t="str">
        <f>CONCATENATE(Programme!C3811,Programme!D3811,Programme!E3811,Programme!F3811,Programme!G3811,Programme!H3811,Programme!I3811)</f>
        <v>&lt;/ValeurCellule&gt;</v>
      </c>
    </row>
    <row r="3811" spans="1:1" x14ac:dyDescent="0.2">
      <c r="A3811" s="1135" t="str">
        <f>CONCATENATE(Programme!C3812,Programme!D3812,Programme!E3812,Programme!F3812,Programme!G3812,Programme!H3812,Programme!I3812)</f>
        <v>&lt;ValeurCellule&gt;</v>
      </c>
    </row>
    <row r="3812" spans="1:1" x14ac:dyDescent="0.2">
      <c r="A3812" s="1135" t="str">
        <f>CONCATENATE(Programme!C3813,Programme!D3813,Programme!E3813,Programme!F3813,Programme!G3813,Programme!H3813,Programme!I3813)</f>
        <v>&lt;cellule&gt;</v>
      </c>
    </row>
    <row r="3813" spans="1:1" x14ac:dyDescent="0.2">
      <c r="A3813" s="1135" t="str">
        <f>CONCATENATE(Programme!C3814,Programme!D3814,Programme!E3814,Programme!F3814,Programme!G3814,Programme!H3814,Programme!I3814)</f>
        <v>&lt;codeEdi&gt;971&lt;/codeEdi&gt;</v>
      </c>
    </row>
    <row r="3814" spans="1:1" x14ac:dyDescent="0.2">
      <c r="A3814" s="1135" t="str">
        <f>CONCATENATE(Programme!C3815,Programme!D3815,Programme!E3815,Programme!F3815,Programme!G3815,Programme!H3815,Programme!I3815)</f>
        <v>&lt;/cellule&gt;</v>
      </c>
    </row>
    <row r="3815" spans="1:1" x14ac:dyDescent="0.2">
      <c r="A3815" s="1135" t="str">
        <f>CONCATENATE(Programme!C3816,Programme!D3816,Programme!E3816,Programme!F3816,Programme!G3816,Programme!H3816,Programme!I3816)</f>
        <v>&lt;valeur&gt;0&lt;/valeur&gt;</v>
      </c>
    </row>
    <row r="3816" spans="1:1" x14ac:dyDescent="0.2">
      <c r="A3816" s="1135" t="str">
        <f>CONCATENATE(Programme!C3817,Programme!D3817,Programme!E3817,Programme!F3817,Programme!G3817,Programme!H3817,Programme!I3817)</f>
        <v>&lt;/ValeurCellule&gt;</v>
      </c>
    </row>
    <row r="3817" spans="1:1" x14ac:dyDescent="0.2">
      <c r="A3817" s="1135" t="str">
        <f>CONCATENATE(Programme!C3818,Programme!D3818,Programme!E3818,Programme!F3818,Programme!G3818,Programme!H3818,Programme!I3818)</f>
        <v>&lt;ValeurCellule&gt;</v>
      </c>
    </row>
    <row r="3818" spans="1:1" x14ac:dyDescent="0.2">
      <c r="A3818" s="1135" t="str">
        <f>CONCATENATE(Programme!C3819,Programme!D3819,Programme!E3819,Programme!F3819,Programme!G3819,Programme!H3819,Programme!I3819)</f>
        <v>&lt;cellule&gt;</v>
      </c>
    </row>
    <row r="3819" spans="1:1" x14ac:dyDescent="0.2">
      <c r="A3819" s="1135" t="str">
        <f>CONCATENATE(Programme!C3820,Programme!D3820,Programme!E3820,Programme!F3820,Programme!G3820,Programme!H3820,Programme!I3820)</f>
        <v>&lt;codeEdi&gt;972&lt;/codeEdi&gt;</v>
      </c>
    </row>
    <row r="3820" spans="1:1" x14ac:dyDescent="0.2">
      <c r="A3820" s="1135" t="str">
        <f>CONCATENATE(Programme!C3821,Programme!D3821,Programme!E3821,Programme!F3821,Programme!G3821,Programme!H3821,Programme!I3821)</f>
        <v>&lt;/cellule&gt;</v>
      </c>
    </row>
    <row r="3821" spans="1:1" x14ac:dyDescent="0.2">
      <c r="A3821" s="1135" t="str">
        <f>CONCATENATE(Programme!C3822,Programme!D3822,Programme!E3822,Programme!F3822,Programme!G3822,Programme!H3822,Programme!I3822)</f>
        <v>&lt;valeur&gt;0&lt;/valeur&gt;</v>
      </c>
    </row>
    <row r="3822" spans="1:1" x14ac:dyDescent="0.2">
      <c r="A3822" s="1135" t="str">
        <f>CONCATENATE(Programme!C3823,Programme!D3823,Programme!E3823,Programme!F3823,Programme!G3823,Programme!H3823,Programme!I3823)</f>
        <v>&lt;/ValeurCellule&gt;</v>
      </c>
    </row>
    <row r="3823" spans="1:1" x14ac:dyDescent="0.2">
      <c r="A3823" s="1135" t="str">
        <f>CONCATENATE(Programme!C3824,Programme!D3824,Programme!E3824,Programme!F3824,Programme!G3824,Programme!H3824,Programme!I3824)</f>
        <v>&lt;ValeurCellule&gt;</v>
      </c>
    </row>
    <row r="3824" spans="1:1" x14ac:dyDescent="0.2">
      <c r="A3824" s="1135" t="str">
        <f>CONCATENATE(Programme!C3825,Programme!D3825,Programme!E3825,Programme!F3825,Programme!G3825,Programme!H3825,Programme!I3825)</f>
        <v>&lt;cellule&gt;</v>
      </c>
    </row>
    <row r="3825" spans="1:1" x14ac:dyDescent="0.2">
      <c r="A3825" s="1135" t="str">
        <f>CONCATENATE(Programme!C3826,Programme!D3826,Programme!E3826,Programme!F3826,Programme!G3826,Programme!H3826,Programme!I3826)</f>
        <v>&lt;codeEdi&gt;10073&lt;/codeEdi&gt;</v>
      </c>
    </row>
    <row r="3826" spans="1:1" x14ac:dyDescent="0.2">
      <c r="A3826" s="1135" t="str">
        <f>CONCATENATE(Programme!C3827,Programme!D3827,Programme!E3827,Programme!F3827,Programme!G3827,Programme!H3827,Programme!I3827)</f>
        <v>&lt;/cellule&gt;</v>
      </c>
    </row>
    <row r="3827" spans="1:1" x14ac:dyDescent="0.2">
      <c r="A3827" s="1135" t="str">
        <f>CONCATENATE(Programme!C3828,Programme!D3828,Programme!E3828,Programme!F3828,Programme!G3828,Programme!H3828,Programme!I3828)</f>
        <v>&lt;valeur&gt;0&lt;/valeur&gt;</v>
      </c>
    </row>
    <row r="3828" spans="1:1" x14ac:dyDescent="0.2">
      <c r="A3828" s="1135" t="str">
        <f>CONCATENATE(Programme!C3829,Programme!D3829,Programme!E3829,Programme!F3829,Programme!G3829,Programme!H3829,Programme!I3829)</f>
        <v>&lt;/ValeurCellule&gt;</v>
      </c>
    </row>
    <row r="3829" spans="1:1" x14ac:dyDescent="0.2">
      <c r="A3829" s="1135" t="str">
        <f>CONCATENATE(Programme!C3830,Programme!D3830,Programme!E3830,Programme!F3830,Programme!G3830,Programme!H3830,Programme!I3830)</f>
        <v>&lt;ValeurCellule&gt;</v>
      </c>
    </row>
    <row r="3830" spans="1:1" x14ac:dyDescent="0.2">
      <c r="A3830" s="1135" t="str">
        <f>CONCATENATE(Programme!C3831,Programme!D3831,Programme!E3831,Programme!F3831,Programme!G3831,Programme!H3831,Programme!I3831)</f>
        <v>&lt;cellule&gt;</v>
      </c>
    </row>
    <row r="3831" spans="1:1" x14ac:dyDescent="0.2">
      <c r="A3831" s="1135" t="str">
        <f>CONCATENATE(Programme!C3832,Programme!D3832,Programme!E3832,Programme!F3832,Programme!G3832,Programme!H3832,Programme!I3832)</f>
        <v>&lt;codeEdi&gt;983&lt;/codeEdi&gt;</v>
      </c>
    </row>
    <row r="3832" spans="1:1" x14ac:dyDescent="0.2">
      <c r="A3832" s="1135" t="str">
        <f>CONCATENATE(Programme!C3833,Programme!D3833,Programme!E3833,Programme!F3833,Programme!G3833,Programme!H3833,Programme!I3833)</f>
        <v>&lt;/cellule&gt;</v>
      </c>
    </row>
    <row r="3833" spans="1:1" x14ac:dyDescent="0.2">
      <c r="A3833" s="1135" t="str">
        <f>CONCATENATE(Programme!C3834,Programme!D3834,Programme!E3834,Programme!F3834,Programme!G3834,Programme!H3834,Programme!I3834)</f>
        <v>&lt;valeur&gt;0&lt;/valeur&gt;</v>
      </c>
    </row>
    <row r="3834" spans="1:1" x14ac:dyDescent="0.2">
      <c r="A3834" s="1135" t="str">
        <f>CONCATENATE(Programme!C3835,Programme!D3835,Programme!E3835,Programme!F3835,Programme!G3835,Programme!H3835,Programme!I3835)</f>
        <v>&lt;/ValeurCellule&gt;</v>
      </c>
    </row>
    <row r="3835" spans="1:1" x14ac:dyDescent="0.2">
      <c r="A3835" s="1135" t="str">
        <f>CONCATENATE(Programme!C3836,Programme!D3836,Programme!E3836,Programme!F3836,Programme!G3836,Programme!H3836,Programme!I3836)</f>
        <v>&lt;ValeurCellule&gt;</v>
      </c>
    </row>
    <row r="3836" spans="1:1" x14ac:dyDescent="0.2">
      <c r="A3836" s="1135" t="str">
        <f>CONCATENATE(Programme!C3837,Programme!D3837,Programme!E3837,Programme!F3837,Programme!G3837,Programme!H3837,Programme!I3837)</f>
        <v>&lt;cellule&gt;</v>
      </c>
    </row>
    <row r="3837" spans="1:1" x14ac:dyDescent="0.2">
      <c r="A3837" s="1135" t="str">
        <f>CONCATENATE(Programme!C3838,Programme!D3838,Programme!E3838,Programme!F3838,Programme!G3838,Programme!H3838,Programme!I3838)</f>
        <v>&lt;codeEdi&gt;984&lt;/codeEdi&gt;</v>
      </c>
    </row>
    <row r="3838" spans="1:1" x14ac:dyDescent="0.2">
      <c r="A3838" s="1135" t="str">
        <f>CONCATENATE(Programme!C3839,Programme!D3839,Programme!E3839,Programme!F3839,Programme!G3839,Programme!H3839,Programme!I3839)</f>
        <v>&lt;/cellule&gt;</v>
      </c>
    </row>
    <row r="3839" spans="1:1" x14ac:dyDescent="0.2">
      <c r="A3839" s="1135" t="str">
        <f>CONCATENATE(Programme!C3840,Programme!D3840,Programme!E3840,Programme!F3840,Programme!G3840,Programme!H3840,Programme!I3840)</f>
        <v>&lt;valeur&gt;0&lt;/valeur&gt;</v>
      </c>
    </row>
    <row r="3840" spans="1:1" x14ac:dyDescent="0.2">
      <c r="A3840" s="1135" t="str">
        <f>CONCATENATE(Programme!C3841,Programme!D3841,Programme!E3841,Programme!F3841,Programme!G3841,Programme!H3841,Programme!I3841)</f>
        <v>&lt;/ValeurCellule&gt;</v>
      </c>
    </row>
    <row r="3841" spans="1:1" x14ac:dyDescent="0.2">
      <c r="A3841" s="1135" t="str">
        <f>CONCATENATE(Programme!C3842,Programme!D3842,Programme!E3842,Programme!F3842,Programme!G3842,Programme!H3842,Programme!I3842)</f>
        <v>&lt;ValeurCellule&gt;</v>
      </c>
    </row>
    <row r="3842" spans="1:1" x14ac:dyDescent="0.2">
      <c r="A3842" s="1135" t="str">
        <f>CONCATENATE(Programme!C3843,Programme!D3843,Programme!E3843,Programme!F3843,Programme!G3843,Programme!H3843,Programme!I3843)</f>
        <v>&lt;cellule&gt;</v>
      </c>
    </row>
    <row r="3843" spans="1:1" x14ac:dyDescent="0.2">
      <c r="A3843" s="1135" t="str">
        <f>CONCATENATE(Programme!C3844,Programme!D3844,Programme!E3844,Programme!F3844,Programme!G3844,Programme!H3844,Programme!I3844)</f>
        <v>&lt;codeEdi&gt;985&lt;/codeEdi&gt;</v>
      </c>
    </row>
    <row r="3844" spans="1:1" x14ac:dyDescent="0.2">
      <c r="A3844" s="1135" t="str">
        <f>CONCATENATE(Programme!C3845,Programme!D3845,Programme!E3845,Programme!F3845,Programme!G3845,Programme!H3845,Programme!I3845)</f>
        <v>&lt;/cellule&gt;</v>
      </c>
    </row>
    <row r="3845" spans="1:1" x14ac:dyDescent="0.2">
      <c r="A3845" s="1135" t="str">
        <f>CONCATENATE(Programme!C3846,Programme!D3846,Programme!E3846,Programme!F3846,Programme!G3846,Programme!H3846,Programme!I3846)</f>
        <v>&lt;valeur&gt;0&lt;/valeur&gt;</v>
      </c>
    </row>
    <row r="3846" spans="1:1" x14ac:dyDescent="0.2">
      <c r="A3846" s="1135" t="str">
        <f>CONCATENATE(Programme!C3847,Programme!D3847,Programme!E3847,Programme!F3847,Programme!G3847,Programme!H3847,Programme!I3847)</f>
        <v>&lt;/ValeurCellule&gt;</v>
      </c>
    </row>
    <row r="3847" spans="1:1" x14ac:dyDescent="0.2">
      <c r="A3847" s="1135" t="str">
        <f>CONCATENATE(Programme!C3848,Programme!D3848,Programme!E3848,Programme!F3848,Programme!G3848,Programme!H3848,Programme!I3848)</f>
        <v>&lt;ValeurCellule&gt;</v>
      </c>
    </row>
    <row r="3848" spans="1:1" x14ac:dyDescent="0.2">
      <c r="A3848" s="1135" t="str">
        <f>CONCATENATE(Programme!C3849,Programme!D3849,Programme!E3849,Programme!F3849,Programme!G3849,Programme!H3849,Programme!I3849)</f>
        <v>&lt;cellule&gt;</v>
      </c>
    </row>
    <row r="3849" spans="1:1" x14ac:dyDescent="0.2">
      <c r="A3849" s="1135" t="str">
        <f>CONCATENATE(Programme!C3850,Programme!D3850,Programme!E3850,Programme!F3850,Programme!G3850,Programme!H3850,Programme!I3850)</f>
        <v>&lt;codeEdi&gt;986&lt;/codeEdi&gt;</v>
      </c>
    </row>
    <row r="3850" spans="1:1" x14ac:dyDescent="0.2">
      <c r="A3850" s="1135" t="str">
        <f>CONCATENATE(Programme!C3851,Programme!D3851,Programme!E3851,Programme!F3851,Programme!G3851,Programme!H3851,Programme!I3851)</f>
        <v>&lt;/cellule&gt;</v>
      </c>
    </row>
    <row r="3851" spans="1:1" x14ac:dyDescent="0.2">
      <c r="A3851" s="1135" t="str">
        <f>CONCATENATE(Programme!C3852,Programme!D3852,Programme!E3852,Programme!F3852,Programme!G3852,Programme!H3852,Programme!I3852)</f>
        <v>&lt;valeur&gt;0&lt;/valeur&gt;</v>
      </c>
    </row>
    <row r="3852" spans="1:1" x14ac:dyDescent="0.2">
      <c r="A3852" s="1135" t="str">
        <f>CONCATENATE(Programme!C3853,Programme!D3853,Programme!E3853,Programme!F3853,Programme!G3853,Programme!H3853,Programme!I3853)</f>
        <v>&lt;/ValeurCellule&gt;</v>
      </c>
    </row>
    <row r="3853" spans="1:1" x14ac:dyDescent="0.2">
      <c r="A3853" s="1135" t="str">
        <f>CONCATENATE(Programme!C3854,Programme!D3854,Programme!E3854,Programme!F3854,Programme!G3854,Programme!H3854,Programme!I3854)</f>
        <v>&lt;ValeurCellule&gt;</v>
      </c>
    </row>
    <row r="3854" spans="1:1" x14ac:dyDescent="0.2">
      <c r="A3854" s="1135" t="str">
        <f>CONCATENATE(Programme!C3855,Programme!D3855,Programme!E3855,Programme!F3855,Programme!G3855,Programme!H3855,Programme!I3855)</f>
        <v>&lt;cellule&gt;</v>
      </c>
    </row>
    <row r="3855" spans="1:1" x14ac:dyDescent="0.2">
      <c r="A3855" s="1135" t="str">
        <f>CONCATENATE(Programme!C3856,Programme!D3856,Programme!E3856,Programme!F3856,Programme!G3856,Programme!H3856,Programme!I3856)</f>
        <v>&lt;codeEdi&gt;10074&lt;/codeEdi&gt;</v>
      </c>
    </row>
    <row r="3856" spans="1:1" x14ac:dyDescent="0.2">
      <c r="A3856" s="1135" t="str">
        <f>CONCATENATE(Programme!C3857,Programme!D3857,Programme!E3857,Programme!F3857,Programme!G3857,Programme!H3857,Programme!I3857)</f>
        <v>&lt;/cellule&gt;</v>
      </c>
    </row>
    <row r="3857" spans="1:1" x14ac:dyDescent="0.2">
      <c r="A3857" s="1135" t="str">
        <f>CONCATENATE(Programme!C3858,Programme!D3858,Programme!E3858,Programme!F3858,Programme!G3858,Programme!H3858,Programme!I3858)</f>
        <v>&lt;valeur&gt;0&lt;/valeur&gt;</v>
      </c>
    </row>
    <row r="3858" spans="1:1" x14ac:dyDescent="0.2">
      <c r="A3858" s="1135" t="str">
        <f>CONCATENATE(Programme!C3859,Programme!D3859,Programme!E3859,Programme!F3859,Programme!G3859,Programme!H3859,Programme!I3859)</f>
        <v>&lt;/ValeurCellule&gt;</v>
      </c>
    </row>
    <row r="3859" spans="1:1" x14ac:dyDescent="0.2">
      <c r="A3859" s="1135" t="str">
        <f>CONCATENATE(Programme!C3860,Programme!D3860,Programme!E3860,Programme!F3860,Programme!G3860,Programme!H3860,Programme!I3860)</f>
        <v>&lt;ValeurCellule&gt;</v>
      </c>
    </row>
    <row r="3860" spans="1:1" x14ac:dyDescent="0.2">
      <c r="A3860" s="1135" t="str">
        <f>CONCATENATE(Programme!C3861,Programme!D3861,Programme!E3861,Programme!F3861,Programme!G3861,Programme!H3861,Programme!I3861)</f>
        <v>&lt;cellule&gt;</v>
      </c>
    </row>
    <row r="3861" spans="1:1" x14ac:dyDescent="0.2">
      <c r="A3861" s="1135" t="str">
        <f>CONCATENATE(Programme!C3862,Programme!D3862,Programme!E3862,Programme!F3862,Programme!G3862,Programme!H3862,Programme!I3862)</f>
        <v>&lt;codeEdi&gt;997&lt;/codeEdi&gt;</v>
      </c>
    </row>
    <row r="3862" spans="1:1" x14ac:dyDescent="0.2">
      <c r="A3862" s="1135" t="str">
        <f>CONCATENATE(Programme!C3863,Programme!D3863,Programme!E3863,Programme!F3863,Programme!G3863,Programme!H3863,Programme!I3863)</f>
        <v>&lt;/cellule&gt;</v>
      </c>
    </row>
    <row r="3863" spans="1:1" x14ac:dyDescent="0.2">
      <c r="A3863" s="1135" t="str">
        <f>CONCATENATE(Programme!C3864,Programme!D3864,Programme!E3864,Programme!F3864,Programme!G3864,Programme!H3864,Programme!I3864)</f>
        <v>&lt;valeur&gt;0&lt;/valeur&gt;</v>
      </c>
    </row>
    <row r="3864" spans="1:1" x14ac:dyDescent="0.2">
      <c r="A3864" s="1135" t="str">
        <f>CONCATENATE(Programme!C3865,Programme!D3865,Programme!E3865,Programme!F3865,Programme!G3865,Programme!H3865,Programme!I3865)</f>
        <v>&lt;/ValeurCellule&gt;</v>
      </c>
    </row>
    <row r="3865" spans="1:1" x14ac:dyDescent="0.2">
      <c r="A3865" s="1135" t="str">
        <f>CONCATENATE(Programme!C3866,Programme!D3866,Programme!E3866,Programme!F3866,Programme!G3866,Programme!H3866,Programme!I3866)</f>
        <v>&lt;ValeurCellule&gt;</v>
      </c>
    </row>
    <row r="3866" spans="1:1" x14ac:dyDescent="0.2">
      <c r="A3866" s="1135" t="str">
        <f>CONCATENATE(Programme!C3867,Programme!D3867,Programme!E3867,Programme!F3867,Programme!G3867,Programme!H3867,Programme!I3867)</f>
        <v>&lt;cellule&gt;</v>
      </c>
    </row>
    <row r="3867" spans="1:1" x14ac:dyDescent="0.2">
      <c r="A3867" s="1135" t="str">
        <f>CONCATENATE(Programme!C3868,Programme!D3868,Programme!E3868,Programme!F3868,Programme!G3868,Programme!H3868,Programme!I3868)</f>
        <v>&lt;codeEdi&gt;998&lt;/codeEdi&gt;</v>
      </c>
    </row>
    <row r="3868" spans="1:1" x14ac:dyDescent="0.2">
      <c r="A3868" s="1135" t="str">
        <f>CONCATENATE(Programme!C3869,Programme!D3869,Programme!E3869,Programme!F3869,Programme!G3869,Programme!H3869,Programme!I3869)</f>
        <v>&lt;/cellule&gt;</v>
      </c>
    </row>
    <row r="3869" spans="1:1" x14ac:dyDescent="0.2">
      <c r="A3869" s="1135" t="str">
        <f>CONCATENATE(Programme!C3870,Programme!D3870,Programme!E3870,Programme!F3870,Programme!G3870,Programme!H3870,Programme!I3870)</f>
        <v>&lt;valeur&gt;0&lt;/valeur&gt;</v>
      </c>
    </row>
    <row r="3870" spans="1:1" x14ac:dyDescent="0.2">
      <c r="A3870" s="1135" t="str">
        <f>CONCATENATE(Programme!C3871,Programme!D3871,Programme!E3871,Programme!F3871,Programme!G3871,Programme!H3871,Programme!I3871)</f>
        <v>&lt;/ValeurCellule&gt;</v>
      </c>
    </row>
    <row r="3871" spans="1:1" x14ac:dyDescent="0.2">
      <c r="A3871" s="1135" t="str">
        <f>CONCATENATE(Programme!C3872,Programme!D3872,Programme!E3872,Programme!F3872,Programme!G3872,Programme!H3872,Programme!I3872)</f>
        <v>&lt;ValeurCellule&gt;</v>
      </c>
    </row>
    <row r="3872" spans="1:1" x14ac:dyDescent="0.2">
      <c r="A3872" s="1135" t="str">
        <f>CONCATENATE(Programme!C3873,Programme!D3873,Programme!E3873,Programme!F3873,Programme!G3873,Programme!H3873,Programme!I3873)</f>
        <v>&lt;cellule&gt;</v>
      </c>
    </row>
    <row r="3873" spans="1:1" x14ac:dyDescent="0.2">
      <c r="A3873" s="1135" t="str">
        <f>CONCATENATE(Programme!C3874,Programme!D3874,Programme!E3874,Programme!F3874,Programme!G3874,Programme!H3874,Programme!I3874)</f>
        <v>&lt;codeEdi&gt;999&lt;/codeEdi&gt;</v>
      </c>
    </row>
    <row r="3874" spans="1:1" x14ac:dyDescent="0.2">
      <c r="A3874" s="1135" t="str">
        <f>CONCATENATE(Programme!C3875,Programme!D3875,Programme!E3875,Programme!F3875,Programme!G3875,Programme!H3875,Programme!I3875)</f>
        <v>&lt;/cellule&gt;</v>
      </c>
    </row>
    <row r="3875" spans="1:1" x14ac:dyDescent="0.2">
      <c r="A3875" s="1135" t="str">
        <f>CONCATENATE(Programme!C3876,Programme!D3876,Programme!E3876,Programme!F3876,Programme!G3876,Programme!H3876,Programme!I3876)</f>
        <v>&lt;valeur&gt;0&lt;/valeur&gt;</v>
      </c>
    </row>
    <row r="3876" spans="1:1" x14ac:dyDescent="0.2">
      <c r="A3876" s="1135" t="str">
        <f>CONCATENATE(Programme!C3877,Programme!D3877,Programme!E3877,Programme!F3877,Programme!G3877,Programme!H3877,Programme!I3877)</f>
        <v>&lt;/ValeurCellule&gt;</v>
      </c>
    </row>
    <row r="3877" spans="1:1" x14ac:dyDescent="0.2">
      <c r="A3877" s="1135" t="str">
        <f>CONCATENATE(Programme!C3878,Programme!D3878,Programme!E3878,Programme!F3878,Programme!G3878,Programme!H3878,Programme!I3878)</f>
        <v>&lt;ValeurCellule&gt;</v>
      </c>
    </row>
    <row r="3878" spans="1:1" x14ac:dyDescent="0.2">
      <c r="A3878" s="1135" t="str">
        <f>CONCATENATE(Programme!C3879,Programme!D3879,Programme!E3879,Programme!F3879,Programme!G3879,Programme!H3879,Programme!I3879)</f>
        <v>&lt;cellule&gt;</v>
      </c>
    </row>
    <row r="3879" spans="1:1" x14ac:dyDescent="0.2">
      <c r="A3879" s="1135" t="str">
        <f>CONCATENATE(Programme!C3880,Programme!D3880,Programme!E3880,Programme!F3880,Programme!G3880,Programme!H3880,Programme!I3880)</f>
        <v>&lt;codeEdi&gt;1000&lt;/codeEdi&gt;</v>
      </c>
    </row>
    <row r="3880" spans="1:1" x14ac:dyDescent="0.2">
      <c r="A3880" s="1135" t="str">
        <f>CONCATENATE(Programme!C3881,Programme!D3881,Programme!E3881,Programme!F3881,Programme!G3881,Programme!H3881,Programme!I3881)</f>
        <v>&lt;/cellule&gt;</v>
      </c>
    </row>
    <row r="3881" spans="1:1" x14ac:dyDescent="0.2">
      <c r="A3881" s="1135" t="str">
        <f>CONCATENATE(Programme!C3882,Programme!D3882,Programme!E3882,Programme!F3882,Programme!G3882,Programme!H3882,Programme!I3882)</f>
        <v>&lt;valeur&gt;0&lt;/valeur&gt;</v>
      </c>
    </row>
    <row r="3882" spans="1:1" x14ac:dyDescent="0.2">
      <c r="A3882" s="1135" t="str">
        <f>CONCATENATE(Programme!C3883,Programme!D3883,Programme!E3883,Programme!F3883,Programme!G3883,Programme!H3883,Programme!I3883)</f>
        <v>&lt;/ValeurCellule&gt;</v>
      </c>
    </row>
    <row r="3883" spans="1:1" x14ac:dyDescent="0.2">
      <c r="A3883" s="1135" t="str">
        <f>CONCATENATE(Programme!C3884,Programme!D3884,Programme!E3884,Programme!F3884,Programme!G3884,Programme!H3884,Programme!I3884)</f>
        <v>&lt;ValeurCellule&gt;</v>
      </c>
    </row>
    <row r="3884" spans="1:1" x14ac:dyDescent="0.2">
      <c r="A3884" s="1135" t="str">
        <f>CONCATENATE(Programme!C3885,Programme!D3885,Programme!E3885,Programme!F3885,Programme!G3885,Programme!H3885,Programme!I3885)</f>
        <v>&lt;cellule&gt;</v>
      </c>
    </row>
    <row r="3885" spans="1:1" x14ac:dyDescent="0.2">
      <c r="A3885" s="1135" t="str">
        <f>CONCATENATE(Programme!C3886,Programme!D3886,Programme!E3886,Programme!F3886,Programme!G3886,Programme!H3886,Programme!I3886)</f>
        <v>&lt;codeEdi&gt;10075&lt;/codeEdi&gt;</v>
      </c>
    </row>
    <row r="3886" spans="1:1" x14ac:dyDescent="0.2">
      <c r="A3886" s="1135" t="str">
        <f>CONCATENATE(Programme!C3887,Programme!D3887,Programme!E3887,Programme!F3887,Programme!G3887,Programme!H3887,Programme!I3887)</f>
        <v>&lt;/cellule&gt;</v>
      </c>
    </row>
    <row r="3887" spans="1:1" x14ac:dyDescent="0.2">
      <c r="A3887" s="1135" t="str">
        <f>CONCATENATE(Programme!C3888,Programme!D3888,Programme!E3888,Programme!F3888,Programme!G3888,Programme!H3888,Programme!I3888)</f>
        <v>&lt;valeur&gt;0&lt;/valeur&gt;</v>
      </c>
    </row>
    <row r="3888" spans="1:1" x14ac:dyDescent="0.2">
      <c r="A3888" s="1135" t="str">
        <f>CONCATENATE(Programme!C3889,Programme!D3889,Programme!E3889,Programme!F3889,Programme!G3889,Programme!H3889,Programme!I3889)</f>
        <v>&lt;/ValeurCellule&gt;</v>
      </c>
    </row>
    <row r="3889" spans="1:1" x14ac:dyDescent="0.2">
      <c r="A3889" s="1135" t="str">
        <f>CONCATENATE(Programme!C3890,Programme!D3890,Programme!E3890,Programme!F3890,Programme!G3890,Programme!H3890,Programme!I3890)</f>
        <v>&lt;ValeurCellule&gt;</v>
      </c>
    </row>
    <row r="3890" spans="1:1" x14ac:dyDescent="0.2">
      <c r="A3890" s="1135" t="str">
        <f>CONCATENATE(Programme!C3891,Programme!D3891,Programme!E3891,Programme!F3891,Programme!G3891,Programme!H3891,Programme!I3891)</f>
        <v>&lt;cellule&gt;</v>
      </c>
    </row>
    <row r="3891" spans="1:1" x14ac:dyDescent="0.2">
      <c r="A3891" s="1135" t="str">
        <f>CONCATENATE(Programme!C3892,Programme!D3892,Programme!E3892,Programme!F3892,Programme!G3892,Programme!H3892,Programme!I3892)</f>
        <v>&lt;codeEdi&gt;1011&lt;/codeEdi&gt;</v>
      </c>
    </row>
    <row r="3892" spans="1:1" x14ac:dyDescent="0.2">
      <c r="A3892" s="1135" t="str">
        <f>CONCATENATE(Programme!C3893,Programme!D3893,Programme!E3893,Programme!F3893,Programme!G3893,Programme!H3893,Programme!I3893)</f>
        <v>&lt;/cellule&gt;</v>
      </c>
    </row>
    <row r="3893" spans="1:1" x14ac:dyDescent="0.2">
      <c r="A3893" s="1135" t="str">
        <f>CONCATENATE(Programme!C3894,Programme!D3894,Programme!E3894,Programme!F3894,Programme!G3894,Programme!H3894,Programme!I3894)</f>
        <v>&lt;valeur&gt;0&lt;/valeur&gt;</v>
      </c>
    </row>
    <row r="3894" spans="1:1" x14ac:dyDescent="0.2">
      <c r="A3894" s="1135" t="str">
        <f>CONCATENATE(Programme!C3895,Programme!D3895,Programme!E3895,Programme!F3895,Programme!G3895,Programme!H3895,Programme!I3895)</f>
        <v>&lt;/ValeurCellule&gt;</v>
      </c>
    </row>
    <row r="3895" spans="1:1" x14ac:dyDescent="0.2">
      <c r="A3895" s="1135" t="str">
        <f>CONCATENATE(Programme!C3896,Programme!D3896,Programme!E3896,Programme!F3896,Programme!G3896,Programme!H3896,Programme!I3896)</f>
        <v>&lt;ValeurCellule&gt;</v>
      </c>
    </row>
    <row r="3896" spans="1:1" x14ac:dyDescent="0.2">
      <c r="A3896" s="1135" t="str">
        <f>CONCATENATE(Programme!C3897,Programme!D3897,Programme!E3897,Programme!F3897,Programme!G3897,Programme!H3897,Programme!I3897)</f>
        <v>&lt;cellule&gt;</v>
      </c>
    </row>
    <row r="3897" spans="1:1" x14ac:dyDescent="0.2">
      <c r="A3897" s="1135" t="str">
        <f>CONCATENATE(Programme!C3898,Programme!D3898,Programme!E3898,Programme!F3898,Programme!G3898,Programme!H3898,Programme!I3898)</f>
        <v>&lt;codeEdi&gt;1012&lt;/codeEdi&gt;</v>
      </c>
    </row>
    <row r="3898" spans="1:1" x14ac:dyDescent="0.2">
      <c r="A3898" s="1135" t="str">
        <f>CONCATENATE(Programme!C3899,Programme!D3899,Programme!E3899,Programme!F3899,Programme!G3899,Programme!H3899,Programme!I3899)</f>
        <v>&lt;/cellule&gt;</v>
      </c>
    </row>
    <row r="3899" spans="1:1" x14ac:dyDescent="0.2">
      <c r="A3899" s="1135" t="str">
        <f>CONCATENATE(Programme!C3900,Programme!D3900,Programme!E3900,Programme!F3900,Programme!G3900,Programme!H3900,Programme!I3900)</f>
        <v>&lt;valeur&gt;0&lt;/valeur&gt;</v>
      </c>
    </row>
    <row r="3900" spans="1:1" x14ac:dyDescent="0.2">
      <c r="A3900" s="1135" t="str">
        <f>CONCATENATE(Programme!C3901,Programme!D3901,Programme!E3901,Programme!F3901,Programme!G3901,Programme!H3901,Programme!I3901)</f>
        <v>&lt;/ValeurCellule&gt;</v>
      </c>
    </row>
    <row r="3901" spans="1:1" x14ac:dyDescent="0.2">
      <c r="A3901" s="1135" t="str">
        <f>CONCATENATE(Programme!C3902,Programme!D3902,Programme!E3902,Programme!F3902,Programme!G3902,Programme!H3902,Programme!I3902)</f>
        <v>&lt;ValeurCellule&gt;</v>
      </c>
    </row>
    <row r="3902" spans="1:1" x14ac:dyDescent="0.2">
      <c r="A3902" s="1135" t="str">
        <f>CONCATENATE(Programme!C3903,Programme!D3903,Programme!E3903,Programme!F3903,Programme!G3903,Programme!H3903,Programme!I3903)</f>
        <v>&lt;cellule&gt;</v>
      </c>
    </row>
    <row r="3903" spans="1:1" x14ac:dyDescent="0.2">
      <c r="A3903" s="1135" t="str">
        <f>CONCATENATE(Programme!C3904,Programme!D3904,Programme!E3904,Programme!F3904,Programme!G3904,Programme!H3904,Programme!I3904)</f>
        <v>&lt;codeEdi&gt;1013&lt;/codeEdi&gt;</v>
      </c>
    </row>
    <row r="3904" spans="1:1" x14ac:dyDescent="0.2">
      <c r="A3904" s="1135" t="str">
        <f>CONCATENATE(Programme!C3905,Programme!D3905,Programme!E3905,Programme!F3905,Programme!G3905,Programme!H3905,Programme!I3905)</f>
        <v>&lt;/cellule&gt;</v>
      </c>
    </row>
    <row r="3905" spans="1:1" x14ac:dyDescent="0.2">
      <c r="A3905" s="1135" t="str">
        <f>CONCATENATE(Programme!C3906,Programme!D3906,Programme!E3906,Programme!F3906,Programme!G3906,Programme!H3906,Programme!I3906)</f>
        <v>&lt;valeur&gt;0&lt;/valeur&gt;</v>
      </c>
    </row>
    <row r="3906" spans="1:1" x14ac:dyDescent="0.2">
      <c r="A3906" s="1135" t="str">
        <f>CONCATENATE(Programme!C3907,Programme!D3907,Programme!E3907,Programme!F3907,Programme!G3907,Programme!H3907,Programme!I3907)</f>
        <v>&lt;/ValeurCellule&gt;</v>
      </c>
    </row>
    <row r="3907" spans="1:1" x14ac:dyDescent="0.2">
      <c r="A3907" s="1135" t="str">
        <f>CONCATENATE(Programme!C3908,Programme!D3908,Programme!E3908,Programme!F3908,Programme!G3908,Programme!H3908,Programme!I3908)</f>
        <v>&lt;ValeurCellule&gt;</v>
      </c>
    </row>
    <row r="3908" spans="1:1" x14ac:dyDescent="0.2">
      <c r="A3908" s="1135" t="str">
        <f>CONCATENATE(Programme!C3909,Programme!D3909,Programme!E3909,Programme!F3909,Programme!G3909,Programme!H3909,Programme!I3909)</f>
        <v>&lt;cellule&gt;</v>
      </c>
    </row>
    <row r="3909" spans="1:1" x14ac:dyDescent="0.2">
      <c r="A3909" s="1135" t="str">
        <f>CONCATENATE(Programme!C3910,Programme!D3910,Programme!E3910,Programme!F3910,Programme!G3910,Programme!H3910,Programme!I3910)</f>
        <v>&lt;codeEdi&gt;1014&lt;/codeEdi&gt;</v>
      </c>
    </row>
    <row r="3910" spans="1:1" x14ac:dyDescent="0.2">
      <c r="A3910" s="1135" t="str">
        <f>CONCATENATE(Programme!C3911,Programme!D3911,Programme!E3911,Programme!F3911,Programme!G3911,Programme!H3911,Programme!I3911)</f>
        <v>&lt;/cellule&gt;</v>
      </c>
    </row>
    <row r="3911" spans="1:1" x14ac:dyDescent="0.2">
      <c r="A3911" s="1135" t="str">
        <f>CONCATENATE(Programme!C3912,Programme!D3912,Programme!E3912,Programme!F3912,Programme!G3912,Programme!H3912,Programme!I3912)</f>
        <v>&lt;valeur&gt;0&lt;/valeur&gt;</v>
      </c>
    </row>
    <row r="3912" spans="1:1" x14ac:dyDescent="0.2">
      <c r="A3912" s="1135" t="str">
        <f>CONCATENATE(Programme!C3913,Programme!D3913,Programme!E3913,Programme!F3913,Programme!G3913,Programme!H3913,Programme!I3913)</f>
        <v>&lt;/ValeurCellule&gt;</v>
      </c>
    </row>
    <row r="3913" spans="1:1" x14ac:dyDescent="0.2">
      <c r="A3913" s="1135" t="str">
        <f>CONCATENATE(Programme!C3914,Programme!D3914,Programme!E3914,Programme!F3914,Programme!G3914,Programme!H3914,Programme!I3914)</f>
        <v>&lt;ValeurCellule&gt;</v>
      </c>
    </row>
    <row r="3914" spans="1:1" x14ac:dyDescent="0.2">
      <c r="A3914" s="1135" t="str">
        <f>CONCATENATE(Programme!C3915,Programme!D3915,Programme!E3915,Programme!F3915,Programme!G3915,Programme!H3915,Programme!I3915)</f>
        <v>&lt;cellule&gt;</v>
      </c>
    </row>
    <row r="3915" spans="1:1" x14ac:dyDescent="0.2">
      <c r="A3915" s="1135" t="str">
        <f>CONCATENATE(Programme!C3916,Programme!D3916,Programme!E3916,Programme!F3916,Programme!G3916,Programme!H3916,Programme!I3916)</f>
        <v>&lt;codeEdi&gt;10076&lt;/codeEdi&gt;</v>
      </c>
    </row>
    <row r="3916" spans="1:1" x14ac:dyDescent="0.2">
      <c r="A3916" s="1135" t="str">
        <f>CONCATENATE(Programme!C3917,Programme!D3917,Programme!E3917,Programme!F3917,Programme!G3917,Programme!H3917,Programme!I3917)</f>
        <v>&lt;/cellule&gt;</v>
      </c>
    </row>
    <row r="3917" spans="1:1" x14ac:dyDescent="0.2">
      <c r="A3917" s="1135" t="str">
        <f>CONCATENATE(Programme!C3918,Programme!D3918,Programme!E3918,Programme!F3918,Programme!G3918,Programme!H3918,Programme!I3918)</f>
        <v>&lt;valeur&gt;0&lt;/valeur&gt;</v>
      </c>
    </row>
    <row r="3918" spans="1:1" x14ac:dyDescent="0.2">
      <c r="A3918" s="1135" t="str">
        <f>CONCATENATE(Programme!C3919,Programme!D3919,Programme!E3919,Programme!F3919,Programme!G3919,Programme!H3919,Programme!I3919)</f>
        <v>&lt;/ValeurCellule&gt;</v>
      </c>
    </row>
    <row r="3919" spans="1:1" x14ac:dyDescent="0.2">
      <c r="A3919" s="1135" t="str">
        <f>CONCATENATE(Programme!C3920,Programme!D3920,Programme!E3920,Programme!F3920,Programme!G3920,Programme!H3920,Programme!I3920)</f>
        <v>&lt;ValeurCellule&gt;</v>
      </c>
    </row>
    <row r="3920" spans="1:1" x14ac:dyDescent="0.2">
      <c r="A3920" s="1135" t="str">
        <f>CONCATENATE(Programme!C3921,Programme!D3921,Programme!E3921,Programme!F3921,Programme!G3921,Programme!H3921,Programme!I3921)</f>
        <v>&lt;cellule&gt;</v>
      </c>
    </row>
    <row r="3921" spans="1:1" x14ac:dyDescent="0.2">
      <c r="A3921" s="1135" t="str">
        <f>CONCATENATE(Programme!C3922,Programme!D3922,Programme!E3922,Programme!F3922,Programme!G3922,Programme!H3922,Programme!I3922)</f>
        <v>&lt;codeEdi&gt;1025&lt;/codeEdi&gt;</v>
      </c>
    </row>
    <row r="3922" spans="1:1" x14ac:dyDescent="0.2">
      <c r="A3922" s="1135" t="str">
        <f>CONCATENATE(Programme!C3923,Programme!D3923,Programme!E3923,Programme!F3923,Programme!G3923,Programme!H3923,Programme!I3923)</f>
        <v>&lt;/cellule&gt;</v>
      </c>
    </row>
    <row r="3923" spans="1:1" x14ac:dyDescent="0.2">
      <c r="A3923" s="1135" t="str">
        <f>CONCATENATE(Programme!C3924,Programme!D3924,Programme!E3924,Programme!F3924,Programme!G3924,Programme!H3924,Programme!I3924)</f>
        <v>&lt;valeur&gt;0&lt;/valeur&gt;</v>
      </c>
    </row>
    <row r="3924" spans="1:1" x14ac:dyDescent="0.2">
      <c r="A3924" s="1135" t="str">
        <f>CONCATENATE(Programme!C3925,Programme!D3925,Programme!E3925,Programme!F3925,Programme!G3925,Programme!H3925,Programme!I3925)</f>
        <v>&lt;/ValeurCellule&gt;</v>
      </c>
    </row>
    <row r="3925" spans="1:1" x14ac:dyDescent="0.2">
      <c r="A3925" s="1135" t="str">
        <f>CONCATENATE(Programme!C3926,Programme!D3926,Programme!E3926,Programme!F3926,Programme!G3926,Programme!H3926,Programme!I3926)</f>
        <v>&lt;ValeurCellule&gt;</v>
      </c>
    </row>
    <row r="3926" spans="1:1" x14ac:dyDescent="0.2">
      <c r="A3926" s="1135" t="str">
        <f>CONCATENATE(Programme!C3927,Programme!D3927,Programme!E3927,Programme!F3927,Programme!G3927,Programme!H3927,Programme!I3927)</f>
        <v>&lt;cellule&gt;</v>
      </c>
    </row>
    <row r="3927" spans="1:1" x14ac:dyDescent="0.2">
      <c r="A3927" s="1135" t="str">
        <f>CONCATENATE(Programme!C3928,Programme!D3928,Programme!E3928,Programme!F3928,Programme!G3928,Programme!H3928,Programme!I3928)</f>
        <v>&lt;codeEdi&gt;1026&lt;/codeEdi&gt;</v>
      </c>
    </row>
    <row r="3928" spans="1:1" x14ac:dyDescent="0.2">
      <c r="A3928" s="1135" t="str">
        <f>CONCATENATE(Programme!C3929,Programme!D3929,Programme!E3929,Programme!F3929,Programme!G3929,Programme!H3929,Programme!I3929)</f>
        <v>&lt;/cellule&gt;</v>
      </c>
    </row>
    <row r="3929" spans="1:1" x14ac:dyDescent="0.2">
      <c r="A3929" s="1135" t="str">
        <f>CONCATENATE(Programme!C3930,Programme!D3930,Programme!E3930,Programme!F3930,Programme!G3930,Programme!H3930,Programme!I3930)</f>
        <v>&lt;valeur&gt;0&lt;/valeur&gt;</v>
      </c>
    </row>
    <row r="3930" spans="1:1" x14ac:dyDescent="0.2">
      <c r="A3930" s="1135" t="str">
        <f>CONCATENATE(Programme!C3931,Programme!D3931,Programme!E3931,Programme!F3931,Programme!G3931,Programme!H3931,Programme!I3931)</f>
        <v>&lt;/ValeurCellule&gt;</v>
      </c>
    </row>
    <row r="3931" spans="1:1" x14ac:dyDescent="0.2">
      <c r="A3931" s="1135" t="str">
        <f>CONCATENATE(Programme!C3932,Programme!D3932,Programme!E3932,Programme!F3932,Programme!G3932,Programme!H3932,Programme!I3932)</f>
        <v>&lt;ValeurCellule&gt;</v>
      </c>
    </row>
    <row r="3932" spans="1:1" x14ac:dyDescent="0.2">
      <c r="A3932" s="1135" t="str">
        <f>CONCATENATE(Programme!C3933,Programme!D3933,Programme!E3933,Programme!F3933,Programme!G3933,Programme!H3933,Programme!I3933)</f>
        <v>&lt;cellule&gt;</v>
      </c>
    </row>
    <row r="3933" spans="1:1" x14ac:dyDescent="0.2">
      <c r="A3933" s="1135" t="str">
        <f>CONCATENATE(Programme!C3934,Programme!D3934,Programme!E3934,Programme!F3934,Programme!G3934,Programme!H3934,Programme!I3934)</f>
        <v>&lt;codeEdi&gt;1027&lt;/codeEdi&gt;</v>
      </c>
    </row>
    <row r="3934" spans="1:1" x14ac:dyDescent="0.2">
      <c r="A3934" s="1135" t="str">
        <f>CONCATENATE(Programme!C3935,Programme!D3935,Programme!E3935,Programme!F3935,Programme!G3935,Programme!H3935,Programme!I3935)</f>
        <v>&lt;/cellule&gt;</v>
      </c>
    </row>
    <row r="3935" spans="1:1" x14ac:dyDescent="0.2">
      <c r="A3935" s="1135" t="str">
        <f>CONCATENATE(Programme!C3936,Programme!D3936,Programme!E3936,Programme!F3936,Programme!G3936,Programme!H3936,Programme!I3936)</f>
        <v>&lt;valeur&gt;0&lt;/valeur&gt;</v>
      </c>
    </row>
    <row r="3936" spans="1:1" x14ac:dyDescent="0.2">
      <c r="A3936" s="1135" t="str">
        <f>CONCATENATE(Programme!C3937,Programme!D3937,Programme!E3937,Programme!F3937,Programme!G3937,Programme!H3937,Programme!I3937)</f>
        <v>&lt;/ValeurCellule&gt;</v>
      </c>
    </row>
    <row r="3937" spans="1:1" x14ac:dyDescent="0.2">
      <c r="A3937" s="1135" t="str">
        <f>CONCATENATE(Programme!C3938,Programme!D3938,Programme!E3938,Programme!F3938,Programme!G3938,Programme!H3938,Programme!I3938)</f>
        <v>&lt;ValeurCellule&gt;</v>
      </c>
    </row>
    <row r="3938" spans="1:1" x14ac:dyDescent="0.2">
      <c r="A3938" s="1135" t="str">
        <f>CONCATENATE(Programme!C3939,Programme!D3939,Programme!E3939,Programme!F3939,Programme!G3939,Programme!H3939,Programme!I3939)</f>
        <v>&lt;cellule&gt;</v>
      </c>
    </row>
    <row r="3939" spans="1:1" x14ac:dyDescent="0.2">
      <c r="A3939" s="1135" t="str">
        <f>CONCATENATE(Programme!C3940,Programme!D3940,Programme!E3940,Programme!F3940,Programme!G3940,Programme!H3940,Programme!I3940)</f>
        <v>&lt;codeEdi&gt;1028&lt;/codeEdi&gt;</v>
      </c>
    </row>
    <row r="3940" spans="1:1" x14ac:dyDescent="0.2">
      <c r="A3940" s="1135" t="str">
        <f>CONCATENATE(Programme!C3941,Programme!D3941,Programme!E3941,Programme!F3941,Programme!G3941,Programme!H3941,Programme!I3941)</f>
        <v>&lt;/cellule&gt;</v>
      </c>
    </row>
    <row r="3941" spans="1:1" x14ac:dyDescent="0.2">
      <c r="A3941" s="1135" t="str">
        <f>CONCATENATE(Programme!C3942,Programme!D3942,Programme!E3942,Programme!F3942,Programme!G3942,Programme!H3942,Programme!I3942)</f>
        <v>&lt;valeur&gt;0&lt;/valeur&gt;</v>
      </c>
    </row>
    <row r="3942" spans="1:1" x14ac:dyDescent="0.2">
      <c r="A3942" s="1135" t="str">
        <f>CONCATENATE(Programme!C3943,Programme!D3943,Programme!E3943,Programme!F3943,Programme!G3943,Programme!H3943,Programme!I3943)</f>
        <v>&lt;/ValeurCellule&gt;</v>
      </c>
    </row>
    <row r="3943" spans="1:1" x14ac:dyDescent="0.2">
      <c r="A3943" s="1135" t="str">
        <f>CONCATENATE(Programme!C3944,Programme!D3944,Programme!E3944,Programme!F3944,Programme!G3944,Programme!H3944,Programme!I3944)</f>
        <v>&lt;ValeurCellule&gt;</v>
      </c>
    </row>
    <row r="3944" spans="1:1" x14ac:dyDescent="0.2">
      <c r="A3944" s="1135" t="str">
        <f>CONCATENATE(Programme!C3945,Programme!D3945,Programme!E3945,Programme!F3945,Programme!G3945,Programme!H3945,Programme!I3945)</f>
        <v>&lt;cellule&gt;</v>
      </c>
    </row>
    <row r="3945" spans="1:1" x14ac:dyDescent="0.2">
      <c r="A3945" s="1135" t="str">
        <f>CONCATENATE(Programme!C3946,Programme!D3946,Programme!E3946,Programme!F3946,Programme!G3946,Programme!H3946,Programme!I3946)</f>
        <v>&lt;codeEdi&gt;10077&lt;/codeEdi&gt;</v>
      </c>
    </row>
    <row r="3946" spans="1:1" x14ac:dyDescent="0.2">
      <c r="A3946" s="1135" t="str">
        <f>CONCATENATE(Programme!C3947,Programme!D3947,Programme!E3947,Programme!F3947,Programme!G3947,Programme!H3947,Programme!I3947)</f>
        <v>&lt;/cellule&gt;</v>
      </c>
    </row>
    <row r="3947" spans="1:1" x14ac:dyDescent="0.2">
      <c r="A3947" s="1135" t="str">
        <f>CONCATENATE(Programme!C3948,Programme!D3948,Programme!E3948,Programme!F3948,Programme!G3948,Programme!H3948,Programme!I3948)</f>
        <v>&lt;valeur&gt;0&lt;/valeur&gt;</v>
      </c>
    </row>
    <row r="3948" spans="1:1" x14ac:dyDescent="0.2">
      <c r="A3948" s="1135" t="str">
        <f>CONCATENATE(Programme!C3949,Programme!D3949,Programme!E3949,Programme!F3949,Programme!G3949,Programme!H3949,Programme!I3949)</f>
        <v>&lt;/ValeurCellule&gt;</v>
      </c>
    </row>
    <row r="3949" spans="1:1" x14ac:dyDescent="0.2">
      <c r="A3949" s="1135" t="str">
        <f>CONCATENATE(Programme!C3950,Programme!D3950,Programme!E3950,Programme!F3950,Programme!G3950,Programme!H3950,Programme!I3950)</f>
        <v>&lt;ValeurCellule&gt;</v>
      </c>
    </row>
    <row r="3950" spans="1:1" x14ac:dyDescent="0.2">
      <c r="A3950" s="1135" t="str">
        <f>CONCATENATE(Programme!C3951,Programme!D3951,Programme!E3951,Programme!F3951,Programme!G3951,Programme!H3951,Programme!I3951)</f>
        <v>&lt;cellule&gt;</v>
      </c>
    </row>
    <row r="3951" spans="1:1" x14ac:dyDescent="0.2">
      <c r="A3951" s="1135" t="str">
        <f>CONCATENATE(Programme!C3952,Programme!D3952,Programme!E3952,Programme!F3952,Programme!G3952,Programme!H3952,Programme!I3952)</f>
        <v>&lt;codeEdi&gt;1039&lt;/codeEdi&gt;</v>
      </c>
    </row>
    <row r="3952" spans="1:1" x14ac:dyDescent="0.2">
      <c r="A3952" s="1135" t="str">
        <f>CONCATENATE(Programme!C3953,Programme!D3953,Programme!E3953,Programme!F3953,Programme!G3953,Programme!H3953,Programme!I3953)</f>
        <v>&lt;/cellule&gt;</v>
      </c>
    </row>
    <row r="3953" spans="1:1" x14ac:dyDescent="0.2">
      <c r="A3953" s="1135" t="str">
        <f>CONCATENATE(Programme!C3954,Programme!D3954,Programme!E3954,Programme!F3954,Programme!G3954,Programme!H3954,Programme!I3954)</f>
        <v>&lt;valeur&gt;0&lt;/valeur&gt;</v>
      </c>
    </row>
    <row r="3954" spans="1:1" x14ac:dyDescent="0.2">
      <c r="A3954" s="1135" t="str">
        <f>CONCATENATE(Programme!C3955,Programme!D3955,Programme!E3955,Programme!F3955,Programme!G3955,Programme!H3955,Programme!I3955)</f>
        <v>&lt;/ValeurCellule&gt;</v>
      </c>
    </row>
    <row r="3955" spans="1:1" x14ac:dyDescent="0.2">
      <c r="A3955" s="1135" t="str">
        <f>CONCATENATE(Programme!C3956,Programme!D3956,Programme!E3956,Programme!F3956,Programme!G3956,Programme!H3956,Programme!I3956)</f>
        <v>&lt;ValeurCellule&gt;</v>
      </c>
    </row>
    <row r="3956" spans="1:1" x14ac:dyDescent="0.2">
      <c r="A3956" s="1135" t="str">
        <f>CONCATENATE(Programme!C3957,Programme!D3957,Programme!E3957,Programme!F3957,Programme!G3957,Programme!H3957,Programme!I3957)</f>
        <v>&lt;cellule&gt;</v>
      </c>
    </row>
    <row r="3957" spans="1:1" x14ac:dyDescent="0.2">
      <c r="A3957" s="1135" t="str">
        <f>CONCATENATE(Programme!C3958,Programme!D3958,Programme!E3958,Programme!F3958,Programme!G3958,Programme!H3958,Programme!I3958)</f>
        <v>&lt;codeEdi&gt;1040&lt;/codeEdi&gt;</v>
      </c>
    </row>
    <row r="3958" spans="1:1" x14ac:dyDescent="0.2">
      <c r="A3958" s="1135" t="str">
        <f>CONCATENATE(Programme!C3959,Programme!D3959,Programme!E3959,Programme!F3959,Programme!G3959,Programme!H3959,Programme!I3959)</f>
        <v>&lt;/cellule&gt;</v>
      </c>
    </row>
    <row r="3959" spans="1:1" x14ac:dyDescent="0.2">
      <c r="A3959" s="1135" t="str">
        <f>CONCATENATE(Programme!C3960,Programme!D3960,Programme!E3960,Programme!F3960,Programme!G3960,Programme!H3960,Programme!I3960)</f>
        <v>&lt;valeur&gt;0&lt;/valeur&gt;</v>
      </c>
    </row>
    <row r="3960" spans="1:1" x14ac:dyDescent="0.2">
      <c r="A3960" s="1135" t="str">
        <f>CONCATENATE(Programme!C3961,Programme!D3961,Programme!E3961,Programme!F3961,Programme!G3961,Programme!H3961,Programme!I3961)</f>
        <v>&lt;/ValeurCellule&gt;</v>
      </c>
    </row>
    <row r="3961" spans="1:1" x14ac:dyDescent="0.2">
      <c r="A3961" s="1135" t="str">
        <f>CONCATENATE(Programme!C3962,Programme!D3962,Programme!E3962,Programme!F3962,Programme!G3962,Programme!H3962,Programme!I3962)</f>
        <v>&lt;ValeurCellule&gt;</v>
      </c>
    </row>
    <row r="3962" spans="1:1" x14ac:dyDescent="0.2">
      <c r="A3962" s="1135" t="str">
        <f>CONCATENATE(Programme!C3963,Programme!D3963,Programme!E3963,Programme!F3963,Programme!G3963,Programme!H3963,Programme!I3963)</f>
        <v>&lt;cellule&gt;</v>
      </c>
    </row>
    <row r="3963" spans="1:1" x14ac:dyDescent="0.2">
      <c r="A3963" s="1135" t="str">
        <f>CONCATENATE(Programme!C3964,Programme!D3964,Programme!E3964,Programme!F3964,Programme!G3964,Programme!H3964,Programme!I3964)</f>
        <v>&lt;codeEdi&gt;1041&lt;/codeEdi&gt;</v>
      </c>
    </row>
    <row r="3964" spans="1:1" x14ac:dyDescent="0.2">
      <c r="A3964" s="1135" t="str">
        <f>CONCATENATE(Programme!C3965,Programme!D3965,Programme!E3965,Programme!F3965,Programme!G3965,Programme!H3965,Programme!I3965)</f>
        <v>&lt;/cellule&gt;</v>
      </c>
    </row>
    <row r="3965" spans="1:1" x14ac:dyDescent="0.2">
      <c r="A3965" s="1135" t="str">
        <f>CONCATENATE(Programme!C3966,Programme!D3966,Programme!E3966,Programme!F3966,Programme!G3966,Programme!H3966,Programme!I3966)</f>
        <v>&lt;valeur&gt;0&lt;/valeur&gt;</v>
      </c>
    </row>
    <row r="3966" spans="1:1" x14ac:dyDescent="0.2">
      <c r="A3966" s="1135" t="str">
        <f>CONCATENATE(Programme!C3967,Programme!D3967,Programme!E3967,Programme!F3967,Programme!G3967,Programme!H3967,Programme!I3967)</f>
        <v>&lt;/ValeurCellule&gt;</v>
      </c>
    </row>
    <row r="3967" spans="1:1" x14ac:dyDescent="0.2">
      <c r="A3967" s="1135" t="str">
        <f>CONCATENATE(Programme!C3968,Programme!D3968,Programme!E3968,Programme!F3968,Programme!G3968,Programme!H3968,Programme!I3968)</f>
        <v>&lt;ValeurCellule&gt;</v>
      </c>
    </row>
    <row r="3968" spans="1:1" x14ac:dyDescent="0.2">
      <c r="A3968" s="1135" t="str">
        <f>CONCATENATE(Programme!C3969,Programme!D3969,Programme!E3969,Programme!F3969,Programme!G3969,Programme!H3969,Programme!I3969)</f>
        <v>&lt;cellule&gt;</v>
      </c>
    </row>
    <row r="3969" spans="1:1" x14ac:dyDescent="0.2">
      <c r="A3969" s="1135" t="str">
        <f>CONCATENATE(Programme!C3970,Programme!D3970,Programme!E3970,Programme!F3970,Programme!G3970,Programme!H3970,Programme!I3970)</f>
        <v>&lt;codeEdi&gt;1042&lt;/codeEdi&gt;</v>
      </c>
    </row>
    <row r="3970" spans="1:1" x14ac:dyDescent="0.2">
      <c r="A3970" s="1135" t="str">
        <f>CONCATENATE(Programme!C3971,Programme!D3971,Programme!E3971,Programme!F3971,Programme!G3971,Programme!H3971,Programme!I3971)</f>
        <v>&lt;/cellule&gt;</v>
      </c>
    </row>
    <row r="3971" spans="1:1" x14ac:dyDescent="0.2">
      <c r="A3971" s="1135" t="str">
        <f>CONCATENATE(Programme!C3972,Programme!D3972,Programme!E3972,Programme!F3972,Programme!G3972,Programme!H3972,Programme!I3972)</f>
        <v>&lt;valeur&gt;0&lt;/valeur&gt;</v>
      </c>
    </row>
    <row r="3972" spans="1:1" x14ac:dyDescent="0.2">
      <c r="A3972" s="1135" t="str">
        <f>CONCATENATE(Programme!C3973,Programme!D3973,Programme!E3973,Programme!F3973,Programme!G3973,Programme!H3973,Programme!I3973)</f>
        <v>&lt;/ValeurCellule&gt;</v>
      </c>
    </row>
    <row r="3973" spans="1:1" x14ac:dyDescent="0.2">
      <c r="A3973" s="1135" t="str">
        <f>CONCATENATE(Programme!C3974,Programme!D3974,Programme!E3974,Programme!F3974,Programme!G3974,Programme!H3974,Programme!I3974)</f>
        <v>&lt;ValeurCellule&gt;</v>
      </c>
    </row>
    <row r="3974" spans="1:1" x14ac:dyDescent="0.2">
      <c r="A3974" s="1135" t="str">
        <f>CONCATENATE(Programme!C3975,Programme!D3975,Programme!E3975,Programme!F3975,Programme!G3975,Programme!H3975,Programme!I3975)</f>
        <v>&lt;cellule&gt;</v>
      </c>
    </row>
    <row r="3975" spans="1:1" x14ac:dyDescent="0.2">
      <c r="A3975" s="1135" t="str">
        <f>CONCATENATE(Programme!C3976,Programme!D3976,Programme!E3976,Programme!F3976,Programme!G3976,Programme!H3976,Programme!I3976)</f>
        <v>&lt;codeEdi&gt;10078&lt;/codeEdi&gt;</v>
      </c>
    </row>
    <row r="3976" spans="1:1" x14ac:dyDescent="0.2">
      <c r="A3976" s="1135" t="str">
        <f>CONCATENATE(Programme!C3977,Programme!D3977,Programme!E3977,Programme!F3977,Programme!G3977,Programme!H3977,Programme!I3977)</f>
        <v>&lt;/cellule&gt;</v>
      </c>
    </row>
    <row r="3977" spans="1:1" x14ac:dyDescent="0.2">
      <c r="A3977" s="1135" t="str">
        <f>CONCATENATE(Programme!C3978,Programme!D3978,Programme!E3978,Programme!F3978,Programme!G3978,Programme!H3978,Programme!I3978)</f>
        <v>&lt;valeur&gt;0&lt;/valeur&gt;</v>
      </c>
    </row>
    <row r="3978" spans="1:1" x14ac:dyDescent="0.2">
      <c r="A3978" s="1135" t="str">
        <f>CONCATENATE(Programme!C3979,Programme!D3979,Programme!E3979,Programme!F3979,Programme!G3979,Programme!H3979,Programme!I3979)</f>
        <v>&lt;/ValeurCellule&gt;</v>
      </c>
    </row>
    <row r="3979" spans="1:1" x14ac:dyDescent="0.2">
      <c r="A3979" s="1135" t="str">
        <f>CONCATENATE(Programme!C3980,Programme!D3980,Programme!E3980,Programme!F3980,Programme!G3980,Programme!H3980,Programme!I3980)</f>
        <v>&lt;ValeurCellule&gt;</v>
      </c>
    </row>
    <row r="3980" spans="1:1" x14ac:dyDescent="0.2">
      <c r="A3980" s="1135" t="str">
        <f>CONCATENATE(Programme!C3981,Programme!D3981,Programme!E3981,Programme!F3981,Programme!G3981,Programme!H3981,Programme!I3981)</f>
        <v>&lt;cellule&gt;</v>
      </c>
    </row>
    <row r="3981" spans="1:1" x14ac:dyDescent="0.2">
      <c r="A3981" s="1135" t="str">
        <f>CONCATENATE(Programme!C3982,Programme!D3982,Programme!E3982,Programme!F3982,Programme!G3982,Programme!H3982,Programme!I3982)</f>
        <v>&lt;codeEdi&gt;1053&lt;/codeEdi&gt;</v>
      </c>
    </row>
    <row r="3982" spans="1:1" x14ac:dyDescent="0.2">
      <c r="A3982" s="1135" t="str">
        <f>CONCATENATE(Programme!C3983,Programme!D3983,Programme!E3983,Programme!F3983,Programme!G3983,Programme!H3983,Programme!I3983)</f>
        <v>&lt;/cellule&gt;</v>
      </c>
    </row>
    <row r="3983" spans="1:1" x14ac:dyDescent="0.2">
      <c r="A3983" s="1135" t="str">
        <f>CONCATENATE(Programme!C3984,Programme!D3984,Programme!E3984,Programme!F3984,Programme!G3984,Programme!H3984,Programme!I3984)</f>
        <v>&lt;valeur&gt;0&lt;/valeur&gt;</v>
      </c>
    </row>
    <row r="3984" spans="1:1" x14ac:dyDescent="0.2">
      <c r="A3984" s="1135" t="str">
        <f>CONCATENATE(Programme!C3985,Programme!D3985,Programme!E3985,Programme!F3985,Programme!G3985,Programme!H3985,Programme!I3985)</f>
        <v>&lt;/ValeurCellule&gt;</v>
      </c>
    </row>
    <row r="3985" spans="1:1" x14ac:dyDescent="0.2">
      <c r="A3985" s="1135" t="str">
        <f>CONCATENATE(Programme!C3986,Programme!D3986,Programme!E3986,Programme!F3986,Programme!G3986,Programme!H3986,Programme!I3986)</f>
        <v>&lt;ValeurCellule&gt;</v>
      </c>
    </row>
    <row r="3986" spans="1:1" x14ac:dyDescent="0.2">
      <c r="A3986" s="1135" t="str">
        <f>CONCATENATE(Programme!C3987,Programme!D3987,Programme!E3987,Programme!F3987,Programme!G3987,Programme!H3987,Programme!I3987)</f>
        <v>&lt;cellule&gt;</v>
      </c>
    </row>
    <row r="3987" spans="1:1" x14ac:dyDescent="0.2">
      <c r="A3987" s="1135" t="str">
        <f>CONCATENATE(Programme!C3988,Programme!D3988,Programme!E3988,Programme!F3988,Programme!G3988,Programme!H3988,Programme!I3988)</f>
        <v>&lt;codeEdi&gt;1054&lt;/codeEdi&gt;</v>
      </c>
    </row>
    <row r="3988" spans="1:1" x14ac:dyDescent="0.2">
      <c r="A3988" s="1135" t="str">
        <f>CONCATENATE(Programme!C3989,Programme!D3989,Programme!E3989,Programme!F3989,Programme!G3989,Programme!H3989,Programme!I3989)</f>
        <v>&lt;/cellule&gt;</v>
      </c>
    </row>
    <row r="3989" spans="1:1" x14ac:dyDescent="0.2">
      <c r="A3989" s="1135" t="str">
        <f>CONCATENATE(Programme!C3990,Programme!D3990,Programme!E3990,Programme!F3990,Programme!G3990,Programme!H3990,Programme!I3990)</f>
        <v>&lt;valeur&gt;0&lt;/valeur&gt;</v>
      </c>
    </row>
    <row r="3990" spans="1:1" x14ac:dyDescent="0.2">
      <c r="A3990" s="1135" t="str">
        <f>CONCATENATE(Programme!C3991,Programme!D3991,Programme!E3991,Programme!F3991,Programme!G3991,Programme!H3991,Programme!I3991)</f>
        <v>&lt;/ValeurCellule&gt;</v>
      </c>
    </row>
    <row r="3991" spans="1:1" x14ac:dyDescent="0.2">
      <c r="A3991" s="1135" t="str">
        <f>CONCATENATE(Programme!C3992,Programme!D3992,Programme!E3992,Programme!F3992,Programme!G3992,Programme!H3992,Programme!I3992)</f>
        <v>&lt;ValeurCellule&gt;</v>
      </c>
    </row>
    <row r="3992" spans="1:1" x14ac:dyDescent="0.2">
      <c r="A3992" s="1135" t="str">
        <f>CONCATENATE(Programme!C3993,Programme!D3993,Programme!E3993,Programme!F3993,Programme!G3993,Programme!H3993,Programme!I3993)</f>
        <v>&lt;cellule&gt;</v>
      </c>
    </row>
    <row r="3993" spans="1:1" x14ac:dyDescent="0.2">
      <c r="A3993" s="1135" t="str">
        <f>CONCATENATE(Programme!C3994,Programme!D3994,Programme!E3994,Programme!F3994,Programme!G3994,Programme!H3994,Programme!I3994)</f>
        <v>&lt;codeEdi&gt;1055&lt;/codeEdi&gt;</v>
      </c>
    </row>
    <row r="3994" spans="1:1" x14ac:dyDescent="0.2">
      <c r="A3994" s="1135" t="str">
        <f>CONCATENATE(Programme!C3995,Programme!D3995,Programme!E3995,Programme!F3995,Programme!G3995,Programme!H3995,Programme!I3995)</f>
        <v>&lt;/cellule&gt;</v>
      </c>
    </row>
    <row r="3995" spans="1:1" x14ac:dyDescent="0.2">
      <c r="A3995" s="1135" t="str">
        <f>CONCATENATE(Programme!C3996,Programme!D3996,Programme!E3996,Programme!F3996,Programme!G3996,Programme!H3996,Programme!I3996)</f>
        <v>&lt;valeur&gt;0&lt;/valeur&gt;</v>
      </c>
    </row>
    <row r="3996" spans="1:1" x14ac:dyDescent="0.2">
      <c r="A3996" s="1135" t="str">
        <f>CONCATENATE(Programme!C3997,Programme!D3997,Programme!E3997,Programme!F3997,Programme!G3997,Programme!H3997,Programme!I3997)</f>
        <v>&lt;/ValeurCellule&gt;</v>
      </c>
    </row>
    <row r="3997" spans="1:1" x14ac:dyDescent="0.2">
      <c r="A3997" s="1135" t="str">
        <f>CONCATENATE(Programme!C3998,Programme!D3998,Programme!E3998,Programme!F3998,Programme!G3998,Programme!H3998,Programme!I3998)</f>
        <v>&lt;ValeurCellule&gt;</v>
      </c>
    </row>
    <row r="3998" spans="1:1" x14ac:dyDescent="0.2">
      <c r="A3998" s="1135" t="str">
        <f>CONCATENATE(Programme!C3999,Programme!D3999,Programme!E3999,Programme!F3999,Programme!G3999,Programme!H3999,Programme!I3999)</f>
        <v>&lt;cellule&gt;</v>
      </c>
    </row>
    <row r="3999" spans="1:1" x14ac:dyDescent="0.2">
      <c r="A3999" s="1135" t="str">
        <f>CONCATENATE(Programme!C4000,Programme!D4000,Programme!E4000,Programme!F4000,Programme!G4000,Programme!H4000,Programme!I4000)</f>
        <v>&lt;codeEdi&gt;1056&lt;/codeEdi&gt;</v>
      </c>
    </row>
    <row r="4000" spans="1:1" x14ac:dyDescent="0.2">
      <c r="A4000" s="1135" t="str">
        <f>CONCATENATE(Programme!C4001,Programme!D4001,Programme!E4001,Programme!F4001,Programme!G4001,Programme!H4001,Programme!I4001)</f>
        <v>&lt;/cellule&gt;</v>
      </c>
    </row>
    <row r="4001" spans="1:1" x14ac:dyDescent="0.2">
      <c r="A4001" s="1135" t="str">
        <f>CONCATENATE(Programme!C4002,Programme!D4002,Programme!E4002,Programme!F4002,Programme!G4002,Programme!H4002,Programme!I4002)</f>
        <v>&lt;valeur&gt;0&lt;/valeur&gt;</v>
      </c>
    </row>
    <row r="4002" spans="1:1" x14ac:dyDescent="0.2">
      <c r="A4002" s="1135" t="str">
        <f>CONCATENATE(Programme!C4003,Programme!D4003,Programme!E4003,Programme!F4003,Programme!G4003,Programme!H4003,Programme!I4003)</f>
        <v>&lt;/ValeurCellule&gt;</v>
      </c>
    </row>
    <row r="4003" spans="1:1" x14ac:dyDescent="0.2">
      <c r="A4003" s="1135" t="str">
        <f>CONCATENATE(Programme!C4004,Programme!D4004,Programme!E4004,Programme!F4004,Programme!G4004,Programme!H4004,Programme!I4004)</f>
        <v>&lt;ValeurCellule&gt;</v>
      </c>
    </row>
    <row r="4004" spans="1:1" x14ac:dyDescent="0.2">
      <c r="A4004" s="1135" t="str">
        <f>CONCATENATE(Programme!C4005,Programme!D4005,Programme!E4005,Programme!F4005,Programme!G4005,Programme!H4005,Programme!I4005)</f>
        <v>&lt;cellule&gt;</v>
      </c>
    </row>
    <row r="4005" spans="1:1" x14ac:dyDescent="0.2">
      <c r="A4005" s="1135" t="str">
        <f>CONCATENATE(Programme!C4006,Programme!D4006,Programme!E4006,Programme!F4006,Programme!G4006,Programme!H4006,Programme!I4006)</f>
        <v>&lt;codeEdi&gt;10079&lt;/codeEdi&gt;</v>
      </c>
    </row>
    <row r="4006" spans="1:1" x14ac:dyDescent="0.2">
      <c r="A4006" s="1135" t="str">
        <f>CONCATENATE(Programme!C4007,Programme!D4007,Programme!E4007,Programme!F4007,Programme!G4007,Programme!H4007,Programme!I4007)</f>
        <v>&lt;/cellule&gt;</v>
      </c>
    </row>
    <row r="4007" spans="1:1" x14ac:dyDescent="0.2">
      <c r="A4007" s="1135" t="str">
        <f>CONCATENATE(Programme!C4008,Programme!D4008,Programme!E4008,Programme!F4008,Programme!G4008,Programme!H4008,Programme!I4008)</f>
        <v>&lt;valeur&gt;0&lt;/valeur&gt;</v>
      </c>
    </row>
    <row r="4008" spans="1:1" x14ac:dyDescent="0.2">
      <c r="A4008" s="1135" t="str">
        <f>CONCATENATE(Programme!C4009,Programme!D4009,Programme!E4009,Programme!F4009,Programme!G4009,Programme!H4009,Programme!I4009)</f>
        <v>&lt;/ValeurCellule&gt;</v>
      </c>
    </row>
    <row r="4009" spans="1:1" x14ac:dyDescent="0.2">
      <c r="A4009" s="1135" t="str">
        <f>CONCATENATE(Programme!C4010,Programme!D4010,Programme!E4010,Programme!F4010,Programme!G4010,Programme!H4010,Programme!I4010)</f>
        <v>&lt;ValeurCellule&gt;</v>
      </c>
    </row>
    <row r="4010" spans="1:1" x14ac:dyDescent="0.2">
      <c r="A4010" s="1135" t="str">
        <f>CONCATENATE(Programme!C4011,Programme!D4011,Programme!E4011,Programme!F4011,Programme!G4011,Programme!H4011,Programme!I4011)</f>
        <v>&lt;cellule&gt;</v>
      </c>
    </row>
    <row r="4011" spans="1:1" x14ac:dyDescent="0.2">
      <c r="A4011" s="1135" t="str">
        <f>CONCATENATE(Programme!C4012,Programme!D4012,Programme!E4012,Programme!F4012,Programme!G4012,Programme!H4012,Programme!I4012)</f>
        <v>&lt;codeEdi&gt;1067&lt;/codeEdi&gt;</v>
      </c>
    </row>
    <row r="4012" spans="1:1" x14ac:dyDescent="0.2">
      <c r="A4012" s="1135" t="str">
        <f>CONCATENATE(Programme!C4013,Programme!D4013,Programme!E4013,Programme!F4013,Programme!G4013,Programme!H4013,Programme!I4013)</f>
        <v>&lt;/cellule&gt;</v>
      </c>
    </row>
    <row r="4013" spans="1:1" x14ac:dyDescent="0.2">
      <c r="A4013" s="1135" t="str">
        <f>CONCATENATE(Programme!C4014,Programme!D4014,Programme!E4014,Programme!F4014,Programme!G4014,Programme!H4014,Programme!I4014)</f>
        <v>&lt;valeur&gt;0&lt;/valeur&gt;</v>
      </c>
    </row>
    <row r="4014" spans="1:1" x14ac:dyDescent="0.2">
      <c r="A4014" s="1135" t="str">
        <f>CONCATENATE(Programme!C4015,Programme!D4015,Programme!E4015,Programme!F4015,Programme!G4015,Programme!H4015,Programme!I4015)</f>
        <v>&lt;/ValeurCellule&gt;</v>
      </c>
    </row>
    <row r="4015" spans="1:1" x14ac:dyDescent="0.2">
      <c r="A4015" s="1135" t="str">
        <f>CONCATENATE(Programme!C4016,Programme!D4016,Programme!E4016,Programme!F4016,Programme!G4016,Programme!H4016,Programme!I4016)</f>
        <v>&lt;ValeurCellule&gt;</v>
      </c>
    </row>
    <row r="4016" spans="1:1" x14ac:dyDescent="0.2">
      <c r="A4016" s="1135" t="str">
        <f>CONCATENATE(Programme!C4017,Programme!D4017,Programme!E4017,Programme!F4017,Programme!G4017,Programme!H4017,Programme!I4017)</f>
        <v>&lt;cellule&gt;</v>
      </c>
    </row>
    <row r="4017" spans="1:1" x14ac:dyDescent="0.2">
      <c r="A4017" s="1135" t="str">
        <f>CONCATENATE(Programme!C4018,Programme!D4018,Programme!E4018,Programme!F4018,Programme!G4018,Programme!H4018,Programme!I4018)</f>
        <v>&lt;codeEdi&gt;1068&lt;/codeEdi&gt;</v>
      </c>
    </row>
    <row r="4018" spans="1:1" x14ac:dyDescent="0.2">
      <c r="A4018" s="1135" t="str">
        <f>CONCATENATE(Programme!C4019,Programme!D4019,Programme!E4019,Programme!F4019,Programme!G4019,Programme!H4019,Programme!I4019)</f>
        <v>&lt;/cellule&gt;</v>
      </c>
    </row>
    <row r="4019" spans="1:1" x14ac:dyDescent="0.2">
      <c r="A4019" s="1135" t="str">
        <f>CONCATENATE(Programme!C4020,Programme!D4020,Programme!E4020,Programme!F4020,Programme!G4020,Programme!H4020,Programme!I4020)</f>
        <v>&lt;valeur&gt;0&lt;/valeur&gt;</v>
      </c>
    </row>
    <row r="4020" spans="1:1" x14ac:dyDescent="0.2">
      <c r="A4020" s="1135" t="str">
        <f>CONCATENATE(Programme!C4021,Programme!D4021,Programme!E4021,Programme!F4021,Programme!G4021,Programme!H4021,Programme!I4021)</f>
        <v>&lt;/ValeurCellule&gt;</v>
      </c>
    </row>
    <row r="4021" spans="1:1" x14ac:dyDescent="0.2">
      <c r="A4021" s="1135" t="str">
        <f>CONCATENATE(Programme!C4022,Programme!D4022,Programme!E4022,Programme!F4022,Programme!G4022,Programme!H4022,Programme!I4022)</f>
        <v>&lt;ValeurCellule&gt;</v>
      </c>
    </row>
    <row r="4022" spans="1:1" x14ac:dyDescent="0.2">
      <c r="A4022" s="1135" t="str">
        <f>CONCATENATE(Programme!C4023,Programme!D4023,Programme!E4023,Programme!F4023,Programme!G4023,Programme!H4023,Programme!I4023)</f>
        <v>&lt;cellule&gt;</v>
      </c>
    </row>
    <row r="4023" spans="1:1" x14ac:dyDescent="0.2">
      <c r="A4023" s="1135" t="str">
        <f>CONCATENATE(Programme!C4024,Programme!D4024,Programme!E4024,Programme!F4024,Programme!G4024,Programme!H4024,Programme!I4024)</f>
        <v>&lt;codeEdi&gt;1069&lt;/codeEdi&gt;</v>
      </c>
    </row>
    <row r="4024" spans="1:1" x14ac:dyDescent="0.2">
      <c r="A4024" s="1135" t="str">
        <f>CONCATENATE(Programme!C4025,Programme!D4025,Programme!E4025,Programme!F4025,Programme!G4025,Programme!H4025,Programme!I4025)</f>
        <v>&lt;/cellule&gt;</v>
      </c>
    </row>
    <row r="4025" spans="1:1" x14ac:dyDescent="0.2">
      <c r="A4025" s="1135" t="str">
        <f>CONCATENATE(Programme!C4026,Programme!D4026,Programme!E4026,Programme!F4026,Programme!G4026,Programme!H4026,Programme!I4026)</f>
        <v>&lt;valeur&gt;0&lt;/valeur&gt;</v>
      </c>
    </row>
    <row r="4026" spans="1:1" x14ac:dyDescent="0.2">
      <c r="A4026" s="1135" t="str">
        <f>CONCATENATE(Programme!C4027,Programme!D4027,Programme!E4027,Programme!F4027,Programme!G4027,Programme!H4027,Programme!I4027)</f>
        <v>&lt;/ValeurCellule&gt;</v>
      </c>
    </row>
    <row r="4027" spans="1:1" x14ac:dyDescent="0.2">
      <c r="A4027" s="1135" t="str">
        <f>CONCATENATE(Programme!C4028,Programme!D4028,Programme!E4028,Programme!F4028,Programme!G4028,Programme!H4028,Programme!I4028)</f>
        <v>&lt;ValeurCellule&gt;</v>
      </c>
    </row>
    <row r="4028" spans="1:1" x14ac:dyDescent="0.2">
      <c r="A4028" s="1135" t="str">
        <f>CONCATENATE(Programme!C4029,Programme!D4029,Programme!E4029,Programme!F4029,Programme!G4029,Programme!H4029,Programme!I4029)</f>
        <v>&lt;cellule&gt;</v>
      </c>
    </row>
    <row r="4029" spans="1:1" x14ac:dyDescent="0.2">
      <c r="A4029" s="1135" t="str">
        <f>CONCATENATE(Programme!C4030,Programme!D4030,Programme!E4030,Programme!F4030,Programme!G4030,Programme!H4030,Programme!I4030)</f>
        <v>&lt;codeEdi&gt;1070&lt;/codeEdi&gt;</v>
      </c>
    </row>
    <row r="4030" spans="1:1" x14ac:dyDescent="0.2">
      <c r="A4030" s="1135" t="str">
        <f>CONCATENATE(Programme!C4031,Programme!D4031,Programme!E4031,Programme!F4031,Programme!G4031,Programme!H4031,Programme!I4031)</f>
        <v>&lt;/cellule&gt;</v>
      </c>
    </row>
    <row r="4031" spans="1:1" x14ac:dyDescent="0.2">
      <c r="A4031" s="1135" t="str">
        <f>CONCATENATE(Programme!C4032,Programme!D4032,Programme!E4032,Programme!F4032,Programme!G4032,Programme!H4032,Programme!I4032)</f>
        <v>&lt;valeur&gt;0&lt;/valeur&gt;</v>
      </c>
    </row>
    <row r="4032" spans="1:1" x14ac:dyDescent="0.2">
      <c r="A4032" s="1135" t="str">
        <f>CONCATENATE(Programme!C4033,Programme!D4033,Programme!E4033,Programme!F4033,Programme!G4033,Programme!H4033,Programme!I4033)</f>
        <v>&lt;/ValeurCellule&gt;</v>
      </c>
    </row>
    <row r="4033" spans="1:1" x14ac:dyDescent="0.2">
      <c r="A4033" s="1135" t="str">
        <f>CONCATENATE(Programme!C4034,Programme!D4034,Programme!E4034,Programme!F4034,Programme!G4034,Programme!H4034,Programme!I4034)</f>
        <v>&lt;ValeurCellule&gt;</v>
      </c>
    </row>
    <row r="4034" spans="1:1" x14ac:dyDescent="0.2">
      <c r="A4034" s="1135" t="str">
        <f>CONCATENATE(Programme!C4035,Programme!D4035,Programme!E4035,Programme!F4035,Programme!G4035,Programme!H4035,Programme!I4035)</f>
        <v>&lt;cellule&gt;</v>
      </c>
    </row>
    <row r="4035" spans="1:1" x14ac:dyDescent="0.2">
      <c r="A4035" s="1135" t="str">
        <f>CONCATENATE(Programme!C4036,Programme!D4036,Programme!E4036,Programme!F4036,Programme!G4036,Programme!H4036,Programme!I4036)</f>
        <v>&lt;codeEdi&gt;10080&lt;/codeEdi&gt;</v>
      </c>
    </row>
    <row r="4036" spans="1:1" x14ac:dyDescent="0.2">
      <c r="A4036" s="1135" t="str">
        <f>CONCATENATE(Programme!C4037,Programme!D4037,Programme!E4037,Programme!F4037,Programme!G4037,Programme!H4037,Programme!I4037)</f>
        <v>&lt;/cellule&gt;</v>
      </c>
    </row>
    <row r="4037" spans="1:1" x14ac:dyDescent="0.2">
      <c r="A4037" s="1135" t="str">
        <f>CONCATENATE(Programme!C4038,Programme!D4038,Programme!E4038,Programme!F4038,Programme!G4038,Programme!H4038,Programme!I4038)</f>
        <v>&lt;valeur&gt;0&lt;/valeur&gt;</v>
      </c>
    </row>
    <row r="4038" spans="1:1" x14ac:dyDescent="0.2">
      <c r="A4038" s="1135" t="str">
        <f>CONCATENATE(Programme!C4039,Programme!D4039,Programme!E4039,Programme!F4039,Programme!G4039,Programme!H4039,Programme!I4039)</f>
        <v>&lt;/ValeurCellule&gt;</v>
      </c>
    </row>
    <row r="4039" spans="1:1" x14ac:dyDescent="0.2">
      <c r="A4039" s="1135" t="str">
        <f>CONCATENATE(Programme!C4040,Programme!D4040,Programme!E4040,Programme!F4040,Programme!G4040,Programme!H4040,Programme!I4040)</f>
        <v>&lt;ValeurCellule&gt;</v>
      </c>
    </row>
    <row r="4040" spans="1:1" x14ac:dyDescent="0.2">
      <c r="A4040" s="1135" t="str">
        <f>CONCATENATE(Programme!C4041,Programme!D4041,Programme!E4041,Programme!F4041,Programme!G4041,Programme!H4041,Programme!I4041)</f>
        <v>&lt;cellule&gt;</v>
      </c>
    </row>
    <row r="4041" spans="1:1" x14ac:dyDescent="0.2">
      <c r="A4041" s="1135" t="str">
        <f>CONCATENATE(Programme!C4042,Programme!D4042,Programme!E4042,Programme!F4042,Programme!G4042,Programme!H4042,Programme!I4042)</f>
        <v>&lt;codeEdi&gt;973&lt;/codeEdi&gt;</v>
      </c>
    </row>
    <row r="4042" spans="1:1" x14ac:dyDescent="0.2">
      <c r="A4042" s="1135" t="str">
        <f>CONCATENATE(Programme!C4043,Programme!D4043,Programme!E4043,Programme!F4043,Programme!G4043,Programme!H4043,Programme!I4043)</f>
        <v>&lt;/cellule&gt;</v>
      </c>
    </row>
    <row r="4043" spans="1:1" x14ac:dyDescent="0.2">
      <c r="A4043" s="1135" t="str">
        <f>CONCATENATE(Programme!C4044,Programme!D4044,Programme!E4044,Programme!F4044,Programme!G4044,Programme!H4044,Programme!I4044)</f>
        <v>&lt;valeur&gt;0&lt;/valeur&gt;</v>
      </c>
    </row>
    <row r="4044" spans="1:1" x14ac:dyDescent="0.2">
      <c r="A4044" s="1135" t="str">
        <f>CONCATENATE(Programme!C4045,Programme!D4045,Programme!E4045,Programme!F4045,Programme!G4045,Programme!H4045,Programme!I4045)</f>
        <v>&lt;/ValeurCellule&gt;</v>
      </c>
    </row>
    <row r="4045" spans="1:1" x14ac:dyDescent="0.2">
      <c r="A4045" s="1135" t="str">
        <f>CONCATENATE(Programme!C4046,Programme!D4046,Programme!E4046,Programme!F4046,Programme!G4046,Programme!H4046,Programme!I4046)</f>
        <v>&lt;ValeurCellule&gt;</v>
      </c>
    </row>
    <row r="4046" spans="1:1" x14ac:dyDescent="0.2">
      <c r="A4046" s="1135" t="str">
        <f>CONCATENATE(Programme!C4047,Programme!D4047,Programme!E4047,Programme!F4047,Programme!G4047,Programme!H4047,Programme!I4047)</f>
        <v>&lt;cellule&gt;</v>
      </c>
    </row>
    <row r="4047" spans="1:1" x14ac:dyDescent="0.2">
      <c r="A4047" s="1135" t="str">
        <f>CONCATENATE(Programme!C4048,Programme!D4048,Programme!E4048,Programme!F4048,Programme!G4048,Programme!H4048,Programme!I4048)</f>
        <v>&lt;codeEdi&gt;974&lt;/codeEdi&gt;</v>
      </c>
    </row>
    <row r="4048" spans="1:1" x14ac:dyDescent="0.2">
      <c r="A4048" s="1135" t="str">
        <f>CONCATENATE(Programme!C4049,Programme!D4049,Programme!E4049,Programme!F4049,Programme!G4049,Programme!H4049,Programme!I4049)</f>
        <v>&lt;/cellule&gt;</v>
      </c>
    </row>
    <row r="4049" spans="1:1" x14ac:dyDescent="0.2">
      <c r="A4049" s="1135" t="str">
        <f>CONCATENATE(Programme!C4050,Programme!D4050,Programme!E4050,Programme!F4050,Programme!G4050,Programme!H4050,Programme!I4050)</f>
        <v>&lt;valeur&gt;0&lt;/valeur&gt;</v>
      </c>
    </row>
    <row r="4050" spans="1:1" x14ac:dyDescent="0.2">
      <c r="A4050" s="1135" t="str">
        <f>CONCATENATE(Programme!C4051,Programme!D4051,Programme!E4051,Programme!F4051,Programme!G4051,Programme!H4051,Programme!I4051)</f>
        <v>&lt;/ValeurCellule&gt;</v>
      </c>
    </row>
    <row r="4051" spans="1:1" x14ac:dyDescent="0.2">
      <c r="A4051" s="1135" t="str">
        <f>CONCATENATE(Programme!C4052,Programme!D4052,Programme!E4052,Programme!F4052,Programme!G4052,Programme!H4052,Programme!I4052)</f>
        <v>&lt;ValeurCellule&gt;</v>
      </c>
    </row>
    <row r="4052" spans="1:1" x14ac:dyDescent="0.2">
      <c r="A4052" s="1135" t="str">
        <f>CONCATENATE(Programme!C4053,Programme!D4053,Programme!E4053,Programme!F4053,Programme!G4053,Programme!H4053,Programme!I4053)</f>
        <v>&lt;cellule&gt;</v>
      </c>
    </row>
    <row r="4053" spans="1:1" x14ac:dyDescent="0.2">
      <c r="A4053" s="1135" t="str">
        <f>CONCATENATE(Programme!C4054,Programme!D4054,Programme!E4054,Programme!F4054,Programme!G4054,Programme!H4054,Programme!I4054)</f>
        <v>&lt;codeEdi&gt;975&lt;/codeEdi&gt;</v>
      </c>
    </row>
    <row r="4054" spans="1:1" x14ac:dyDescent="0.2">
      <c r="A4054" s="1135" t="str">
        <f>CONCATENATE(Programme!C4055,Programme!D4055,Programme!E4055,Programme!F4055,Programme!G4055,Programme!H4055,Programme!I4055)</f>
        <v>&lt;/cellule&gt;</v>
      </c>
    </row>
    <row r="4055" spans="1:1" x14ac:dyDescent="0.2">
      <c r="A4055" s="1135" t="str">
        <f>CONCATENATE(Programme!C4056,Programme!D4056,Programme!E4056,Programme!F4056,Programme!G4056,Programme!H4056,Programme!I4056)</f>
        <v>&lt;valeur&gt;0&lt;/valeur&gt;</v>
      </c>
    </row>
    <row r="4056" spans="1:1" x14ac:dyDescent="0.2">
      <c r="A4056" s="1135" t="str">
        <f>CONCATENATE(Programme!C4057,Programme!D4057,Programme!E4057,Programme!F4057,Programme!G4057,Programme!H4057,Programme!I4057)</f>
        <v>&lt;/ValeurCellule&gt;</v>
      </c>
    </row>
    <row r="4057" spans="1:1" x14ac:dyDescent="0.2">
      <c r="A4057" s="1135" t="str">
        <f>CONCATENATE(Programme!C4058,Programme!D4058,Programme!E4058,Programme!F4058,Programme!G4058,Programme!H4058,Programme!I4058)</f>
        <v>&lt;ValeurCellule&gt;</v>
      </c>
    </row>
    <row r="4058" spans="1:1" x14ac:dyDescent="0.2">
      <c r="A4058" s="1135" t="str">
        <f>CONCATENATE(Programme!C4059,Programme!D4059,Programme!E4059,Programme!F4059,Programme!G4059,Programme!H4059,Programme!I4059)</f>
        <v>&lt;cellule&gt;</v>
      </c>
    </row>
    <row r="4059" spans="1:1" x14ac:dyDescent="0.2">
      <c r="A4059" s="1135" t="str">
        <f>CONCATENATE(Programme!C4060,Programme!D4060,Programme!E4060,Programme!F4060,Programme!G4060,Programme!H4060,Programme!I4060)</f>
        <v>&lt;codeEdi&gt;976&lt;/codeEdi&gt;</v>
      </c>
    </row>
    <row r="4060" spans="1:1" x14ac:dyDescent="0.2">
      <c r="A4060" s="1135" t="str">
        <f>CONCATENATE(Programme!C4061,Programme!D4061,Programme!E4061,Programme!F4061,Programme!G4061,Programme!H4061,Programme!I4061)</f>
        <v>&lt;/cellule&gt;</v>
      </c>
    </row>
    <row r="4061" spans="1:1" x14ac:dyDescent="0.2">
      <c r="A4061" s="1135" t="str">
        <f>CONCATENATE(Programme!C4062,Programme!D4062,Programme!E4062,Programme!F4062,Programme!G4062,Programme!H4062,Programme!I4062)</f>
        <v>&lt;valeur&gt;0&lt;/valeur&gt;</v>
      </c>
    </row>
    <row r="4062" spans="1:1" x14ac:dyDescent="0.2">
      <c r="A4062" s="1135" t="str">
        <f>CONCATENATE(Programme!C4063,Programme!D4063,Programme!E4063,Programme!F4063,Programme!G4063,Programme!H4063,Programme!I4063)</f>
        <v>&lt;/ValeurCellule&gt;</v>
      </c>
    </row>
    <row r="4063" spans="1:1" x14ac:dyDescent="0.2">
      <c r="A4063" s="1135" t="str">
        <f>CONCATENATE(Programme!C4064,Programme!D4064,Programme!E4064,Programme!F4064,Programme!G4064,Programme!H4064,Programme!I4064)</f>
        <v>&lt;ValeurCellule&gt;</v>
      </c>
    </row>
    <row r="4064" spans="1:1" x14ac:dyDescent="0.2">
      <c r="A4064" s="1135" t="str">
        <f>CONCATENATE(Programme!C4065,Programme!D4065,Programme!E4065,Programme!F4065,Programme!G4065,Programme!H4065,Programme!I4065)</f>
        <v>&lt;cellule&gt;</v>
      </c>
    </row>
    <row r="4065" spans="1:1" x14ac:dyDescent="0.2">
      <c r="A4065" s="1135" t="str">
        <f>CONCATENATE(Programme!C4066,Programme!D4066,Programme!E4066,Programme!F4066,Programme!G4066,Programme!H4066,Programme!I4066)</f>
        <v>&lt;codeEdi&gt;977&lt;/codeEdi&gt;</v>
      </c>
    </row>
    <row r="4066" spans="1:1" x14ac:dyDescent="0.2">
      <c r="A4066" s="1135" t="str">
        <f>CONCATENATE(Programme!C4067,Programme!D4067,Programme!E4067,Programme!F4067,Programme!G4067,Programme!H4067,Programme!I4067)</f>
        <v>&lt;/cellule&gt;</v>
      </c>
    </row>
    <row r="4067" spans="1:1" x14ac:dyDescent="0.2">
      <c r="A4067" s="1135" t="str">
        <f>CONCATENATE(Programme!C4068,Programme!D4068,Programme!E4068,Programme!F4068,Programme!G4068,Programme!H4068,Programme!I4068)</f>
        <v>&lt;valeur&gt;0&lt;/valeur&gt;</v>
      </c>
    </row>
    <row r="4068" spans="1:1" x14ac:dyDescent="0.2">
      <c r="A4068" s="1135" t="str">
        <f>CONCATENATE(Programme!C4069,Programme!D4069,Programme!E4069,Programme!F4069,Programme!G4069,Programme!H4069,Programme!I4069)</f>
        <v>&lt;/ValeurCellule&gt;</v>
      </c>
    </row>
    <row r="4069" spans="1:1" x14ac:dyDescent="0.2">
      <c r="A4069" s="1135" t="str">
        <f>CONCATENATE(Programme!C4070,Programme!D4070,Programme!E4070,Programme!F4070,Programme!G4070,Programme!H4070,Programme!I4070)</f>
        <v>&lt;ValeurCellule&gt;</v>
      </c>
    </row>
    <row r="4070" spans="1:1" x14ac:dyDescent="0.2">
      <c r="A4070" s="1135" t="str">
        <f>CONCATENATE(Programme!C4071,Programme!D4071,Programme!E4071,Programme!F4071,Programme!G4071,Programme!H4071,Programme!I4071)</f>
        <v>&lt;cellule&gt;</v>
      </c>
    </row>
    <row r="4071" spans="1:1" x14ac:dyDescent="0.2">
      <c r="A4071" s="1135" t="str">
        <f>CONCATENATE(Programme!C4072,Programme!D4072,Programme!E4072,Programme!F4072,Programme!G4072,Programme!H4072,Programme!I4072)</f>
        <v>&lt;codeEdi&gt;978&lt;/codeEdi&gt;</v>
      </c>
    </row>
    <row r="4072" spans="1:1" x14ac:dyDescent="0.2">
      <c r="A4072" s="1135" t="str">
        <f>CONCATENATE(Programme!C4073,Programme!D4073,Programme!E4073,Programme!F4073,Programme!G4073,Programme!H4073,Programme!I4073)</f>
        <v>&lt;/cellule&gt;</v>
      </c>
    </row>
    <row r="4073" spans="1:1" x14ac:dyDescent="0.2">
      <c r="A4073" s="1135" t="str">
        <f>CONCATENATE(Programme!C4074,Programme!D4074,Programme!E4074,Programme!F4074,Programme!G4074,Programme!H4074,Programme!I4074)</f>
        <v>&lt;valeur&gt;0&lt;/valeur&gt;</v>
      </c>
    </row>
    <row r="4074" spans="1:1" x14ac:dyDescent="0.2">
      <c r="A4074" s="1135" t="str">
        <f>CONCATENATE(Programme!C4075,Programme!D4075,Programme!E4075,Programme!F4075,Programme!G4075,Programme!H4075,Programme!I4075)</f>
        <v>&lt;/ValeurCellule&gt;</v>
      </c>
    </row>
    <row r="4075" spans="1:1" x14ac:dyDescent="0.2">
      <c r="A4075" s="1135" t="str">
        <f>CONCATENATE(Programme!C4076,Programme!D4076,Programme!E4076,Programme!F4076,Programme!G4076,Programme!H4076,Programme!I4076)</f>
        <v>&lt;ValeurCellule&gt;</v>
      </c>
    </row>
    <row r="4076" spans="1:1" x14ac:dyDescent="0.2">
      <c r="A4076" s="1135" t="str">
        <f>CONCATENATE(Programme!C4077,Programme!D4077,Programme!E4077,Programme!F4077,Programme!G4077,Programme!H4077,Programme!I4077)</f>
        <v>&lt;cellule&gt;</v>
      </c>
    </row>
    <row r="4077" spans="1:1" x14ac:dyDescent="0.2">
      <c r="A4077" s="1135" t="str">
        <f>CONCATENATE(Programme!C4078,Programme!D4078,Programme!E4078,Programme!F4078,Programme!G4078,Programme!H4078,Programme!I4078)</f>
        <v>&lt;codeEdi&gt;979&lt;/codeEdi&gt;</v>
      </c>
    </row>
    <row r="4078" spans="1:1" x14ac:dyDescent="0.2">
      <c r="A4078" s="1135" t="str">
        <f>CONCATENATE(Programme!C4079,Programme!D4079,Programme!E4079,Programme!F4079,Programme!G4079,Programme!H4079,Programme!I4079)</f>
        <v>&lt;/cellule&gt;</v>
      </c>
    </row>
    <row r="4079" spans="1:1" x14ac:dyDescent="0.2">
      <c r="A4079" s="1135" t="str">
        <f>CONCATENATE(Programme!C4080,Programme!D4080,Programme!E4080,Programme!F4080,Programme!G4080,Programme!H4080,Programme!I4080)</f>
        <v>&lt;valeur&gt;0&lt;/valeur&gt;</v>
      </c>
    </row>
    <row r="4080" spans="1:1" x14ac:dyDescent="0.2">
      <c r="A4080" s="1135" t="str">
        <f>CONCATENATE(Programme!C4081,Programme!D4081,Programme!E4081,Programme!F4081,Programme!G4081,Programme!H4081,Programme!I4081)</f>
        <v>&lt;/ValeurCellule&gt;</v>
      </c>
    </row>
    <row r="4081" spans="1:1" x14ac:dyDescent="0.2">
      <c r="A4081" s="1135" t="str">
        <f>CONCATENATE(Programme!C4082,Programme!D4082,Programme!E4082,Programme!F4082,Programme!G4082,Programme!H4082,Programme!I4082)</f>
        <v>&lt;ValeurCellule&gt;</v>
      </c>
    </row>
    <row r="4082" spans="1:1" x14ac:dyDescent="0.2">
      <c r="A4082" s="1135" t="str">
        <f>CONCATENATE(Programme!C4083,Programme!D4083,Programme!E4083,Programme!F4083,Programme!G4083,Programme!H4083,Programme!I4083)</f>
        <v>&lt;cellule&gt;</v>
      </c>
    </row>
    <row r="4083" spans="1:1" x14ac:dyDescent="0.2">
      <c r="A4083" s="1135" t="str">
        <f>CONCATENATE(Programme!C4084,Programme!D4084,Programme!E4084,Programme!F4084,Programme!G4084,Programme!H4084,Programme!I4084)</f>
        <v>&lt;codeEdi&gt;10082&lt;/codeEdi&gt;</v>
      </c>
    </row>
    <row r="4084" spans="1:1" x14ac:dyDescent="0.2">
      <c r="A4084" s="1135" t="str">
        <f>CONCATENATE(Programme!C4085,Programme!D4085,Programme!E4085,Programme!F4085,Programme!G4085,Programme!H4085,Programme!I4085)</f>
        <v>&lt;/cellule&gt;</v>
      </c>
    </row>
    <row r="4085" spans="1:1" x14ac:dyDescent="0.2">
      <c r="A4085" s="1135" t="str">
        <f>CONCATENATE(Programme!C4086,Programme!D4086,Programme!E4086,Programme!F4086,Programme!G4086,Programme!H4086,Programme!I4086)</f>
        <v>&lt;valeur&gt;0&lt;/valeur&gt;</v>
      </c>
    </row>
    <row r="4086" spans="1:1" x14ac:dyDescent="0.2">
      <c r="A4086" s="1135" t="str">
        <f>CONCATENATE(Programme!C4087,Programme!D4087,Programme!E4087,Programme!F4087,Programme!G4087,Programme!H4087,Programme!I4087)</f>
        <v>&lt;/ValeurCellule&gt;</v>
      </c>
    </row>
    <row r="4087" spans="1:1" x14ac:dyDescent="0.2">
      <c r="A4087" s="1135" t="str">
        <f>CONCATENATE(Programme!C4088,Programme!D4088,Programme!E4088,Programme!F4088,Programme!G4088,Programme!H4088,Programme!I4088)</f>
        <v>&lt;ValeurCellule&gt;</v>
      </c>
    </row>
    <row r="4088" spans="1:1" x14ac:dyDescent="0.2">
      <c r="A4088" s="1135" t="str">
        <f>CONCATENATE(Programme!C4089,Programme!D4089,Programme!E4089,Programme!F4089,Programme!G4089,Programme!H4089,Programme!I4089)</f>
        <v>&lt;cellule&gt;</v>
      </c>
    </row>
    <row r="4089" spans="1:1" x14ac:dyDescent="0.2">
      <c r="A4089" s="1135" t="str">
        <f>CONCATENATE(Programme!C4090,Programme!D4090,Programme!E4090,Programme!F4090,Programme!G4090,Programme!H4090,Programme!I4090)</f>
        <v>&lt;codeEdi&gt;12597&lt;/codeEdi&gt;</v>
      </c>
    </row>
    <row r="4090" spans="1:1" x14ac:dyDescent="0.2">
      <c r="A4090" s="1135" t="str">
        <f>CONCATENATE(Programme!C4091,Programme!D4091,Programme!E4091,Programme!F4091,Programme!G4091,Programme!H4091,Programme!I4091)</f>
        <v>&lt;/cellule&gt;</v>
      </c>
    </row>
    <row r="4091" spans="1:1" x14ac:dyDescent="0.2">
      <c r="A4091" s="1135" t="str">
        <f>CONCATENATE(Programme!C4092,Programme!D4092,Programme!E4092,Programme!F4092,Programme!G4092,Programme!H4092,Programme!I4092)</f>
        <v>&lt;valeur&gt;&lt;/valeur&gt;</v>
      </c>
    </row>
    <row r="4092" spans="1:1" x14ac:dyDescent="0.2">
      <c r="A4092" s="1135" t="str">
        <f>CONCATENATE(Programme!C4093,Programme!D4093,Programme!E4093,Programme!F4093,Programme!G4093,Programme!H4093,Programme!I4093)</f>
        <v>&lt;/ValeurCellule&gt;</v>
      </c>
    </row>
    <row r="4093" spans="1:1" x14ac:dyDescent="0.2">
      <c r="A4093" s="1135" t="str">
        <f>CONCATENATE(Programme!C4094,Programme!D4094,Programme!E4094,Programme!F4094,Programme!G4094,Programme!H4094,Programme!I4094)</f>
        <v>&lt;ValeurCellule&gt;</v>
      </c>
    </row>
    <row r="4094" spans="1:1" x14ac:dyDescent="0.2">
      <c r="A4094" s="1135" t="str">
        <f>CONCATENATE(Programme!C4095,Programme!D4095,Programme!E4095,Programme!F4095,Programme!G4095,Programme!H4095,Programme!I4095)</f>
        <v>&lt;cellule&gt;</v>
      </c>
    </row>
    <row r="4095" spans="1:1" x14ac:dyDescent="0.2">
      <c r="A4095" s="1135" t="str">
        <f>CONCATENATE(Programme!C4096,Programme!D4096,Programme!E4096,Programme!F4096,Programme!G4096,Programme!H4096,Programme!I4096)</f>
        <v>&lt;codeEdi&gt;987&lt;/codeEdi&gt;</v>
      </c>
    </row>
    <row r="4096" spans="1:1" x14ac:dyDescent="0.2">
      <c r="A4096" s="1135" t="str">
        <f>CONCATENATE(Programme!C4097,Programme!D4097,Programme!E4097,Programme!F4097,Programme!G4097,Programme!H4097,Programme!I4097)</f>
        <v>&lt;/cellule&gt;</v>
      </c>
    </row>
    <row r="4097" spans="1:1" x14ac:dyDescent="0.2">
      <c r="A4097" s="1135" t="str">
        <f>CONCATENATE(Programme!C4098,Programme!D4098,Programme!E4098,Programme!F4098,Programme!G4098,Programme!H4098,Programme!I4098)</f>
        <v>&lt;valeur&gt;0&lt;/valeur&gt;</v>
      </c>
    </row>
    <row r="4098" spans="1:1" x14ac:dyDescent="0.2">
      <c r="A4098" s="1135" t="str">
        <f>CONCATENATE(Programme!C4099,Programme!D4099,Programme!E4099,Programme!F4099,Programme!G4099,Programme!H4099,Programme!I4099)</f>
        <v>&lt;/ValeurCellule&gt;</v>
      </c>
    </row>
    <row r="4099" spans="1:1" x14ac:dyDescent="0.2">
      <c r="A4099" s="1135" t="str">
        <f>CONCATENATE(Programme!C4100,Programme!D4100,Programme!E4100,Programme!F4100,Programme!G4100,Programme!H4100,Programme!I4100)</f>
        <v>&lt;ValeurCellule&gt;</v>
      </c>
    </row>
    <row r="4100" spans="1:1" x14ac:dyDescent="0.2">
      <c r="A4100" s="1135" t="str">
        <f>CONCATENATE(Programme!C4101,Programme!D4101,Programme!E4101,Programme!F4101,Programme!G4101,Programme!H4101,Programme!I4101)</f>
        <v>&lt;cellule&gt;</v>
      </c>
    </row>
    <row r="4101" spans="1:1" x14ac:dyDescent="0.2">
      <c r="A4101" s="1135" t="str">
        <f>CONCATENATE(Programme!C4102,Programme!D4102,Programme!E4102,Programme!F4102,Programme!G4102,Programme!H4102,Programme!I4102)</f>
        <v>&lt;codeEdi&gt;988&lt;/codeEdi&gt;</v>
      </c>
    </row>
    <row r="4102" spans="1:1" x14ac:dyDescent="0.2">
      <c r="A4102" s="1135" t="str">
        <f>CONCATENATE(Programme!C4103,Programme!D4103,Programme!E4103,Programme!F4103,Programme!G4103,Programme!H4103,Programme!I4103)</f>
        <v>&lt;/cellule&gt;</v>
      </c>
    </row>
    <row r="4103" spans="1:1" x14ac:dyDescent="0.2">
      <c r="A4103" s="1135" t="str">
        <f>CONCATENATE(Programme!C4104,Programme!D4104,Programme!E4104,Programme!F4104,Programme!G4104,Programme!H4104,Programme!I4104)</f>
        <v>&lt;valeur&gt;9700&lt;/valeur&gt;</v>
      </c>
    </row>
    <row r="4104" spans="1:1" x14ac:dyDescent="0.2">
      <c r="A4104" s="1135" t="str">
        <f>CONCATENATE(Programme!C4105,Programme!D4105,Programme!E4105,Programme!F4105,Programme!G4105,Programme!H4105,Programme!I4105)</f>
        <v>&lt;/ValeurCellule&gt;</v>
      </c>
    </row>
    <row r="4105" spans="1:1" x14ac:dyDescent="0.2">
      <c r="A4105" s="1135" t="str">
        <f>CONCATENATE(Programme!C4106,Programme!D4106,Programme!E4106,Programme!F4106,Programme!G4106,Programme!H4106,Programme!I4106)</f>
        <v>&lt;ValeurCellule&gt;</v>
      </c>
    </row>
    <row r="4106" spans="1:1" x14ac:dyDescent="0.2">
      <c r="A4106" s="1135" t="str">
        <f>CONCATENATE(Programme!C4107,Programme!D4107,Programme!E4107,Programme!F4107,Programme!G4107,Programme!H4107,Programme!I4107)</f>
        <v>&lt;cellule&gt;</v>
      </c>
    </row>
    <row r="4107" spans="1:1" x14ac:dyDescent="0.2">
      <c r="A4107" s="1135" t="str">
        <f>CONCATENATE(Programme!C4108,Programme!D4108,Programme!E4108,Programme!F4108,Programme!G4108,Programme!H4108,Programme!I4108)</f>
        <v>&lt;codeEdi&gt;989&lt;/codeEdi&gt;</v>
      </c>
    </row>
    <row r="4108" spans="1:1" x14ac:dyDescent="0.2">
      <c r="A4108" s="1135" t="str">
        <f>CONCATENATE(Programme!C4109,Programme!D4109,Programme!E4109,Programme!F4109,Programme!G4109,Programme!H4109,Programme!I4109)</f>
        <v>&lt;/cellule&gt;</v>
      </c>
    </row>
    <row r="4109" spans="1:1" x14ac:dyDescent="0.2">
      <c r="A4109" s="1135" t="str">
        <f>CONCATENATE(Programme!C4110,Programme!D4110,Programme!E4110,Programme!F4110,Programme!G4110,Programme!H4110,Programme!I4110)</f>
        <v>&lt;valeur&gt;0&lt;/valeur&gt;</v>
      </c>
    </row>
    <row r="4110" spans="1:1" x14ac:dyDescent="0.2">
      <c r="A4110" s="1135" t="str">
        <f>CONCATENATE(Programme!C4111,Programme!D4111,Programme!E4111,Programme!F4111,Programme!G4111,Programme!H4111,Programme!I4111)</f>
        <v>&lt;/ValeurCellule&gt;</v>
      </c>
    </row>
    <row r="4111" spans="1:1" x14ac:dyDescent="0.2">
      <c r="A4111" s="1135" t="str">
        <f>CONCATENATE(Programme!C4112,Programme!D4112,Programme!E4112,Programme!F4112,Programme!G4112,Programme!H4112,Programme!I4112)</f>
        <v>&lt;ValeurCellule&gt;</v>
      </c>
    </row>
    <row r="4112" spans="1:1" x14ac:dyDescent="0.2">
      <c r="A4112" s="1135" t="str">
        <f>CONCATENATE(Programme!C4113,Programme!D4113,Programme!E4113,Programme!F4113,Programme!G4113,Programme!H4113,Programme!I4113)</f>
        <v>&lt;cellule&gt;</v>
      </c>
    </row>
    <row r="4113" spans="1:1" x14ac:dyDescent="0.2">
      <c r="A4113" s="1135" t="str">
        <f>CONCATENATE(Programme!C4114,Programme!D4114,Programme!E4114,Programme!F4114,Programme!G4114,Programme!H4114,Programme!I4114)</f>
        <v>&lt;codeEdi&gt;990&lt;/codeEdi&gt;</v>
      </c>
    </row>
    <row r="4114" spans="1:1" x14ac:dyDescent="0.2">
      <c r="A4114" s="1135" t="str">
        <f>CONCATENATE(Programme!C4115,Programme!D4115,Programme!E4115,Programme!F4115,Programme!G4115,Programme!H4115,Programme!I4115)</f>
        <v>&lt;/cellule&gt;</v>
      </c>
    </row>
    <row r="4115" spans="1:1" x14ac:dyDescent="0.2">
      <c r="A4115" s="1135" t="str">
        <f>CONCATENATE(Programme!C4116,Programme!D4116,Programme!E4116,Programme!F4116,Programme!G4116,Programme!H4116,Programme!I4116)</f>
        <v>&lt;valeur&gt;1578827,58&lt;/valeur&gt;</v>
      </c>
    </row>
    <row r="4116" spans="1:1" x14ac:dyDescent="0.2">
      <c r="A4116" s="1135" t="str">
        <f>CONCATENATE(Programme!C4117,Programme!D4117,Programme!E4117,Programme!F4117,Programme!G4117,Programme!H4117,Programme!I4117)</f>
        <v>&lt;/ValeurCellule&gt;</v>
      </c>
    </row>
    <row r="4117" spans="1:1" x14ac:dyDescent="0.2">
      <c r="A4117" s="1135" t="str">
        <f>CONCATENATE(Programme!C4118,Programme!D4118,Programme!E4118,Programme!F4118,Programme!G4118,Programme!H4118,Programme!I4118)</f>
        <v>&lt;ValeurCellule&gt;</v>
      </c>
    </row>
    <row r="4118" spans="1:1" x14ac:dyDescent="0.2">
      <c r="A4118" s="1135" t="str">
        <f>CONCATENATE(Programme!C4119,Programme!D4119,Programme!E4119,Programme!F4119,Programme!G4119,Programme!H4119,Programme!I4119)</f>
        <v>&lt;cellule&gt;</v>
      </c>
    </row>
    <row r="4119" spans="1:1" x14ac:dyDescent="0.2">
      <c r="A4119" s="1135" t="str">
        <f>CONCATENATE(Programme!C4120,Programme!D4120,Programme!E4120,Programme!F4120,Programme!G4120,Programme!H4120,Programme!I4120)</f>
        <v>&lt;codeEdi&gt;991&lt;/codeEdi&gt;</v>
      </c>
    </row>
    <row r="4120" spans="1:1" x14ac:dyDescent="0.2">
      <c r="A4120" s="1135" t="str">
        <f>CONCATENATE(Programme!C4121,Programme!D4121,Programme!E4121,Programme!F4121,Programme!G4121,Programme!H4121,Programme!I4121)</f>
        <v>&lt;/cellule&gt;</v>
      </c>
    </row>
    <row r="4121" spans="1:1" x14ac:dyDescent="0.2">
      <c r="A4121" s="1135" t="str">
        <f>CONCATENATE(Programme!C4122,Programme!D4122,Programme!E4122,Programme!F4122,Programme!G4122,Programme!H4122,Programme!I4122)</f>
        <v>&lt;valeur&gt;0&lt;/valeur&gt;</v>
      </c>
    </row>
    <row r="4122" spans="1:1" x14ac:dyDescent="0.2">
      <c r="A4122" s="1135" t="str">
        <f>CONCATENATE(Programme!C4123,Programme!D4123,Programme!E4123,Programme!F4123,Programme!G4123,Programme!H4123,Programme!I4123)</f>
        <v>&lt;/ValeurCellule&gt;</v>
      </c>
    </row>
    <row r="4123" spans="1:1" x14ac:dyDescent="0.2">
      <c r="A4123" s="1135" t="str">
        <f>CONCATENATE(Programme!C4124,Programme!D4124,Programme!E4124,Programme!F4124,Programme!G4124,Programme!H4124,Programme!I4124)</f>
        <v>&lt;ValeurCellule&gt;</v>
      </c>
    </row>
    <row r="4124" spans="1:1" x14ac:dyDescent="0.2">
      <c r="A4124" s="1135" t="str">
        <f>CONCATENATE(Programme!C4125,Programme!D4125,Programme!E4125,Programme!F4125,Programme!G4125,Programme!H4125,Programme!I4125)</f>
        <v>&lt;cellule&gt;</v>
      </c>
    </row>
    <row r="4125" spans="1:1" x14ac:dyDescent="0.2">
      <c r="A4125" s="1135" t="str">
        <f>CONCATENATE(Programme!C4126,Programme!D4126,Programme!E4126,Programme!F4126,Programme!G4126,Programme!H4126,Programme!I4126)</f>
        <v>&lt;codeEdi&gt;992&lt;/codeEdi&gt;</v>
      </c>
    </row>
    <row r="4126" spans="1:1" x14ac:dyDescent="0.2">
      <c r="A4126" s="1135" t="str">
        <f>CONCATENATE(Programme!C4127,Programme!D4127,Programme!E4127,Programme!F4127,Programme!G4127,Programme!H4127,Programme!I4127)</f>
        <v>&lt;/cellule&gt;</v>
      </c>
    </row>
    <row r="4127" spans="1:1" x14ac:dyDescent="0.2">
      <c r="A4127" s="1135" t="str">
        <f>CONCATENATE(Programme!C4128,Programme!D4128,Programme!E4128,Programme!F4128,Programme!G4128,Programme!H4128,Programme!I4128)</f>
        <v>&lt;valeur&gt;0&lt;/valeur&gt;</v>
      </c>
    </row>
    <row r="4128" spans="1:1" x14ac:dyDescent="0.2">
      <c r="A4128" s="1135" t="str">
        <f>CONCATENATE(Programme!C4129,Programme!D4129,Programme!E4129,Programme!F4129,Programme!G4129,Programme!H4129,Programme!I4129)</f>
        <v>&lt;/ValeurCellule&gt;</v>
      </c>
    </row>
    <row r="4129" spans="1:1" x14ac:dyDescent="0.2">
      <c r="A4129" s="1135" t="str">
        <f>CONCATENATE(Programme!C4130,Programme!D4130,Programme!E4130,Programme!F4130,Programme!G4130,Programme!H4130,Programme!I4130)</f>
        <v>&lt;ValeurCellule&gt;</v>
      </c>
    </row>
    <row r="4130" spans="1:1" x14ac:dyDescent="0.2">
      <c r="A4130" s="1135" t="str">
        <f>CONCATENATE(Programme!C4131,Programme!D4131,Programme!E4131,Programme!F4131,Programme!G4131,Programme!H4131,Programme!I4131)</f>
        <v>&lt;cellule&gt;</v>
      </c>
    </row>
    <row r="4131" spans="1:1" x14ac:dyDescent="0.2">
      <c r="A4131" s="1135" t="str">
        <f>CONCATENATE(Programme!C4132,Programme!D4132,Programme!E4132,Programme!F4132,Programme!G4132,Programme!H4132,Programme!I4132)</f>
        <v>&lt;codeEdi&gt;993&lt;/codeEdi&gt;</v>
      </c>
    </row>
    <row r="4132" spans="1:1" x14ac:dyDescent="0.2">
      <c r="A4132" s="1135" t="str">
        <f>CONCATENATE(Programme!C4133,Programme!D4133,Programme!E4133,Programme!F4133,Programme!G4133,Programme!H4133,Programme!I4133)</f>
        <v>&lt;/cellule&gt;</v>
      </c>
    </row>
    <row r="4133" spans="1:1" x14ac:dyDescent="0.2">
      <c r="A4133" s="1135" t="str">
        <f>CONCATENATE(Programme!C4134,Programme!D4134,Programme!E4134,Programme!F4134,Programme!G4134,Programme!H4134,Programme!I4134)</f>
        <v>&lt;valeur&gt;0&lt;/valeur&gt;</v>
      </c>
    </row>
    <row r="4134" spans="1:1" x14ac:dyDescent="0.2">
      <c r="A4134" s="1135" t="str">
        <f>CONCATENATE(Programme!C4135,Programme!D4135,Programme!E4135,Programme!F4135,Programme!G4135,Programme!H4135,Programme!I4135)</f>
        <v>&lt;/ValeurCellule&gt;</v>
      </c>
    </row>
    <row r="4135" spans="1:1" x14ac:dyDescent="0.2">
      <c r="A4135" s="1135" t="str">
        <f>CONCATENATE(Programme!C4136,Programme!D4136,Programme!E4136,Programme!F4136,Programme!G4136,Programme!H4136,Programme!I4136)</f>
        <v>&lt;ValeurCellule&gt;</v>
      </c>
    </row>
    <row r="4136" spans="1:1" x14ac:dyDescent="0.2">
      <c r="A4136" s="1135" t="str">
        <f>CONCATENATE(Programme!C4137,Programme!D4137,Programme!E4137,Programme!F4137,Programme!G4137,Programme!H4137,Programme!I4137)</f>
        <v>&lt;cellule&gt;</v>
      </c>
    </row>
    <row r="4137" spans="1:1" x14ac:dyDescent="0.2">
      <c r="A4137" s="1135" t="str">
        <f>CONCATENATE(Programme!C4138,Programme!D4138,Programme!E4138,Programme!F4138,Programme!G4138,Programme!H4138,Programme!I4138)</f>
        <v>&lt;codeEdi&gt;10083&lt;/codeEdi&gt;</v>
      </c>
    </row>
    <row r="4138" spans="1:1" x14ac:dyDescent="0.2">
      <c r="A4138" s="1135" t="str">
        <f>CONCATENATE(Programme!C4139,Programme!D4139,Programme!E4139,Programme!F4139,Programme!G4139,Programme!H4139,Programme!I4139)</f>
        <v>&lt;/cellule&gt;</v>
      </c>
    </row>
    <row r="4139" spans="1:1" x14ac:dyDescent="0.2">
      <c r="A4139" s="1135" t="str">
        <f>CONCATENATE(Programme!C4140,Programme!D4140,Programme!E4140,Programme!F4140,Programme!G4140,Programme!H4140,Programme!I4140)</f>
        <v>&lt;valeur&gt;1588527,58&lt;/valeur&gt;</v>
      </c>
    </row>
    <row r="4140" spans="1:1" x14ac:dyDescent="0.2">
      <c r="A4140" s="1135" t="str">
        <f>CONCATENATE(Programme!C4141,Programme!D4141,Programme!E4141,Programme!F4141,Programme!G4141,Programme!H4141,Programme!I4141)</f>
        <v>&lt;/ValeurCellule&gt;</v>
      </c>
    </row>
    <row r="4141" spans="1:1" x14ac:dyDescent="0.2">
      <c r="A4141" s="1135" t="str">
        <f>CONCATENATE(Programme!C4142,Programme!D4142,Programme!E4142,Programme!F4142,Programme!G4142,Programme!H4142,Programme!I4142)</f>
        <v>&lt;ValeurCellule&gt;</v>
      </c>
    </row>
    <row r="4142" spans="1:1" x14ac:dyDescent="0.2">
      <c r="A4142" s="1135" t="str">
        <f>CONCATENATE(Programme!C4143,Programme!D4143,Programme!E4143,Programme!F4143,Programme!G4143,Programme!H4143,Programme!I4143)</f>
        <v>&lt;cellule&gt;</v>
      </c>
    </row>
    <row r="4143" spans="1:1" x14ac:dyDescent="0.2">
      <c r="A4143" s="1135" t="str">
        <f>CONCATENATE(Programme!C4144,Programme!D4144,Programme!E4144,Programme!F4144,Programme!G4144,Programme!H4144,Programme!I4144)</f>
        <v>&lt;codeEdi&gt;12598&lt;/codeEdi&gt;</v>
      </c>
    </row>
    <row r="4144" spans="1:1" x14ac:dyDescent="0.2">
      <c r="A4144" s="1135" t="str">
        <f>CONCATENATE(Programme!C4145,Programme!D4145,Programme!E4145,Programme!F4145,Programme!G4145,Programme!H4145,Programme!I4145)</f>
        <v>&lt;/cellule&gt;</v>
      </c>
    </row>
    <row r="4145" spans="1:1" x14ac:dyDescent="0.2">
      <c r="A4145" s="1135" t="str">
        <f>CONCATENATE(Programme!C4146,Programme!D4146,Programme!E4146,Programme!F4146,Programme!G4146,Programme!H4146,Programme!I4146)</f>
        <v>&lt;valeur&gt;&lt;/valeur&gt;</v>
      </c>
    </row>
    <row r="4146" spans="1:1" x14ac:dyDescent="0.2">
      <c r="A4146" s="1135" t="str">
        <f>CONCATENATE(Programme!C4147,Programme!D4147,Programme!E4147,Programme!F4147,Programme!G4147,Programme!H4147,Programme!I4147)</f>
        <v>&lt;/ValeurCellule&gt;</v>
      </c>
    </row>
    <row r="4147" spans="1:1" x14ac:dyDescent="0.2">
      <c r="A4147" s="1135" t="str">
        <f>CONCATENATE(Programme!C4148,Programme!D4148,Programme!E4148,Programme!F4148,Programme!G4148,Programme!H4148,Programme!I4148)</f>
        <v>&lt;ValeurCellule&gt;</v>
      </c>
    </row>
    <row r="4148" spans="1:1" x14ac:dyDescent="0.2">
      <c r="A4148" s="1135" t="str">
        <f>CONCATENATE(Programme!C4149,Programme!D4149,Programme!E4149,Programme!F4149,Programme!G4149,Programme!H4149,Programme!I4149)</f>
        <v>&lt;cellule&gt;</v>
      </c>
    </row>
    <row r="4149" spans="1:1" x14ac:dyDescent="0.2">
      <c r="A4149" s="1135" t="str">
        <f>CONCATENATE(Programme!C4150,Programme!D4150,Programme!E4150,Programme!F4150,Programme!G4150,Programme!H4150,Programme!I4150)</f>
        <v>&lt;codeEdi&gt;1001&lt;/codeEdi&gt;</v>
      </c>
    </row>
    <row r="4150" spans="1:1" x14ac:dyDescent="0.2">
      <c r="A4150" s="1135" t="str">
        <f>CONCATENATE(Programme!C4151,Programme!D4151,Programme!E4151,Programme!F4151,Programme!G4151,Programme!H4151,Programme!I4151)</f>
        <v>&lt;/cellule&gt;</v>
      </c>
    </row>
    <row r="4151" spans="1:1" x14ac:dyDescent="0.2">
      <c r="A4151" s="1135" t="str">
        <f>CONCATENATE(Programme!C4152,Programme!D4152,Programme!E4152,Programme!F4152,Programme!G4152,Programme!H4152,Programme!I4152)</f>
        <v>&lt;valeur&gt;0&lt;/valeur&gt;</v>
      </c>
    </row>
    <row r="4152" spans="1:1" x14ac:dyDescent="0.2">
      <c r="A4152" s="1135" t="str">
        <f>CONCATENATE(Programme!C4153,Programme!D4153,Programme!E4153,Programme!F4153,Programme!G4153,Programme!H4153,Programme!I4153)</f>
        <v>&lt;/ValeurCellule&gt;</v>
      </c>
    </row>
    <row r="4153" spans="1:1" x14ac:dyDescent="0.2">
      <c r="A4153" s="1135" t="str">
        <f>CONCATENATE(Programme!C4154,Programme!D4154,Programme!E4154,Programme!F4154,Programme!G4154,Programme!H4154,Programme!I4154)</f>
        <v>&lt;ValeurCellule&gt;</v>
      </c>
    </row>
    <row r="4154" spans="1:1" x14ac:dyDescent="0.2">
      <c r="A4154" s="1135" t="str">
        <f>CONCATENATE(Programme!C4155,Programme!D4155,Programme!E4155,Programme!F4155,Programme!G4155,Programme!H4155,Programme!I4155)</f>
        <v>&lt;cellule&gt;</v>
      </c>
    </row>
    <row r="4155" spans="1:1" x14ac:dyDescent="0.2">
      <c r="A4155" s="1135" t="str">
        <f>CONCATENATE(Programme!C4156,Programme!D4156,Programme!E4156,Programme!F4156,Programme!G4156,Programme!H4156,Programme!I4156)</f>
        <v>&lt;codeEdi&gt;1002&lt;/codeEdi&gt;</v>
      </c>
    </row>
    <row r="4156" spans="1:1" x14ac:dyDescent="0.2">
      <c r="A4156" s="1135" t="str">
        <f>CONCATENATE(Programme!C4157,Programme!D4157,Programme!E4157,Programme!F4157,Programme!G4157,Programme!H4157,Programme!I4157)</f>
        <v>&lt;/cellule&gt;</v>
      </c>
    </row>
    <row r="4157" spans="1:1" x14ac:dyDescent="0.2">
      <c r="A4157" s="1135" t="str">
        <f>CONCATENATE(Programme!C4158,Programme!D4158,Programme!E4158,Programme!F4158,Programme!G4158,Programme!H4158,Programme!I4158)</f>
        <v>&lt;valeur&gt;0&lt;/valeur&gt;</v>
      </c>
    </row>
    <row r="4158" spans="1:1" x14ac:dyDescent="0.2">
      <c r="A4158" s="1135" t="str">
        <f>CONCATENATE(Programme!C4159,Programme!D4159,Programme!E4159,Programme!F4159,Programme!G4159,Programme!H4159,Programme!I4159)</f>
        <v>&lt;/ValeurCellule&gt;</v>
      </c>
    </row>
    <row r="4159" spans="1:1" x14ac:dyDescent="0.2">
      <c r="A4159" s="1135" t="str">
        <f>CONCATENATE(Programme!C4160,Programme!D4160,Programme!E4160,Programme!F4160,Programme!G4160,Programme!H4160,Programme!I4160)</f>
        <v>&lt;ValeurCellule&gt;</v>
      </c>
    </row>
    <row r="4160" spans="1:1" x14ac:dyDescent="0.2">
      <c r="A4160" s="1135" t="str">
        <f>CONCATENATE(Programme!C4161,Programme!D4161,Programme!E4161,Programme!F4161,Programme!G4161,Programme!H4161,Programme!I4161)</f>
        <v>&lt;cellule&gt;</v>
      </c>
    </row>
    <row r="4161" spans="1:1" x14ac:dyDescent="0.2">
      <c r="A4161" s="1135" t="str">
        <f>CONCATENATE(Programme!C4162,Programme!D4162,Programme!E4162,Programme!F4162,Programme!G4162,Programme!H4162,Programme!I4162)</f>
        <v>&lt;codeEdi&gt;1003&lt;/codeEdi&gt;</v>
      </c>
    </row>
    <row r="4162" spans="1:1" x14ac:dyDescent="0.2">
      <c r="A4162" s="1135" t="str">
        <f>CONCATENATE(Programme!C4163,Programme!D4163,Programme!E4163,Programme!F4163,Programme!G4163,Programme!H4163,Programme!I4163)</f>
        <v>&lt;/cellule&gt;</v>
      </c>
    </row>
    <row r="4163" spans="1:1" x14ac:dyDescent="0.2">
      <c r="A4163" s="1135" t="str">
        <f>CONCATENATE(Programme!C4164,Programme!D4164,Programme!E4164,Programme!F4164,Programme!G4164,Programme!H4164,Programme!I4164)</f>
        <v>&lt;valeur&gt;0&lt;/valeur&gt;</v>
      </c>
    </row>
    <row r="4164" spans="1:1" x14ac:dyDescent="0.2">
      <c r="A4164" s="1135" t="str">
        <f>CONCATENATE(Programme!C4165,Programme!D4165,Programme!E4165,Programme!F4165,Programme!G4165,Programme!H4165,Programme!I4165)</f>
        <v>&lt;/ValeurCellule&gt;</v>
      </c>
    </row>
    <row r="4165" spans="1:1" x14ac:dyDescent="0.2">
      <c r="A4165" s="1135" t="str">
        <f>CONCATENATE(Programme!C4166,Programme!D4166,Programme!E4166,Programme!F4166,Programme!G4166,Programme!H4166,Programme!I4166)</f>
        <v>&lt;ValeurCellule&gt;</v>
      </c>
    </row>
    <row r="4166" spans="1:1" x14ac:dyDescent="0.2">
      <c r="A4166" s="1135" t="str">
        <f>CONCATENATE(Programme!C4167,Programme!D4167,Programme!E4167,Programme!F4167,Programme!G4167,Programme!H4167,Programme!I4167)</f>
        <v>&lt;cellule&gt;</v>
      </c>
    </row>
    <row r="4167" spans="1:1" x14ac:dyDescent="0.2">
      <c r="A4167" s="1135" t="str">
        <f>CONCATENATE(Programme!C4168,Programme!D4168,Programme!E4168,Programme!F4168,Programme!G4168,Programme!H4168,Programme!I4168)</f>
        <v>&lt;codeEdi&gt;1004&lt;/codeEdi&gt;</v>
      </c>
    </row>
    <row r="4168" spans="1:1" x14ac:dyDescent="0.2">
      <c r="A4168" s="1135" t="str">
        <f>CONCATENATE(Programme!C4169,Programme!D4169,Programme!E4169,Programme!F4169,Programme!G4169,Programme!H4169,Programme!I4169)</f>
        <v>&lt;/cellule&gt;</v>
      </c>
    </row>
    <row r="4169" spans="1:1" x14ac:dyDescent="0.2">
      <c r="A4169" s="1135" t="str">
        <f>CONCATENATE(Programme!C4170,Programme!D4170,Programme!E4170,Programme!F4170,Programme!G4170,Programme!H4170,Programme!I4170)</f>
        <v>&lt;valeur&gt;0&lt;/valeur&gt;</v>
      </c>
    </row>
    <row r="4170" spans="1:1" x14ac:dyDescent="0.2">
      <c r="A4170" s="1135" t="str">
        <f>CONCATENATE(Programme!C4171,Programme!D4171,Programme!E4171,Programme!F4171,Programme!G4171,Programme!H4171,Programme!I4171)</f>
        <v>&lt;/ValeurCellule&gt;</v>
      </c>
    </row>
    <row r="4171" spans="1:1" x14ac:dyDescent="0.2">
      <c r="A4171" s="1135" t="str">
        <f>CONCATENATE(Programme!C4172,Programme!D4172,Programme!E4172,Programme!F4172,Programme!G4172,Programme!H4172,Programme!I4172)</f>
        <v>&lt;ValeurCellule&gt;</v>
      </c>
    </row>
    <row r="4172" spans="1:1" x14ac:dyDescent="0.2">
      <c r="A4172" s="1135" t="str">
        <f>CONCATENATE(Programme!C4173,Programme!D4173,Programme!E4173,Programme!F4173,Programme!G4173,Programme!H4173,Programme!I4173)</f>
        <v>&lt;cellule&gt;</v>
      </c>
    </row>
    <row r="4173" spans="1:1" x14ac:dyDescent="0.2">
      <c r="A4173" s="1135" t="str">
        <f>CONCATENATE(Programme!C4174,Programme!D4174,Programme!E4174,Programme!F4174,Programme!G4174,Programme!H4174,Programme!I4174)</f>
        <v>&lt;codeEdi&gt;1005&lt;/codeEdi&gt;</v>
      </c>
    </row>
    <row r="4174" spans="1:1" x14ac:dyDescent="0.2">
      <c r="A4174" s="1135" t="str">
        <f>CONCATENATE(Programme!C4175,Programme!D4175,Programme!E4175,Programme!F4175,Programme!G4175,Programme!H4175,Programme!I4175)</f>
        <v>&lt;/cellule&gt;</v>
      </c>
    </row>
    <row r="4175" spans="1:1" x14ac:dyDescent="0.2">
      <c r="A4175" s="1135" t="str">
        <f>CONCATENATE(Programme!C4176,Programme!D4176,Programme!E4176,Programme!F4176,Programme!G4176,Programme!H4176,Programme!I4176)</f>
        <v>&lt;valeur&gt;0&lt;/valeur&gt;</v>
      </c>
    </row>
    <row r="4176" spans="1:1" x14ac:dyDescent="0.2">
      <c r="A4176" s="1135" t="str">
        <f>CONCATENATE(Programme!C4177,Programme!D4177,Programme!E4177,Programme!F4177,Programme!G4177,Programme!H4177,Programme!I4177)</f>
        <v>&lt;/ValeurCellule&gt;</v>
      </c>
    </row>
    <row r="4177" spans="1:1" x14ac:dyDescent="0.2">
      <c r="A4177" s="1135" t="str">
        <f>CONCATENATE(Programme!C4178,Programme!D4178,Programme!E4178,Programme!F4178,Programme!G4178,Programme!H4178,Programme!I4178)</f>
        <v>&lt;ValeurCellule&gt;</v>
      </c>
    </row>
    <row r="4178" spans="1:1" x14ac:dyDescent="0.2">
      <c r="A4178" s="1135" t="str">
        <f>CONCATENATE(Programme!C4179,Programme!D4179,Programme!E4179,Programme!F4179,Programme!G4179,Programme!H4179,Programme!I4179)</f>
        <v>&lt;cellule&gt;</v>
      </c>
    </row>
    <row r="4179" spans="1:1" x14ac:dyDescent="0.2">
      <c r="A4179" s="1135" t="str">
        <f>CONCATENATE(Programme!C4180,Programme!D4180,Programme!E4180,Programme!F4180,Programme!G4180,Programme!H4180,Programme!I4180)</f>
        <v>&lt;codeEdi&gt;1006&lt;/codeEdi&gt;</v>
      </c>
    </row>
    <row r="4180" spans="1:1" x14ac:dyDescent="0.2">
      <c r="A4180" s="1135" t="str">
        <f>CONCATENATE(Programme!C4181,Programme!D4181,Programme!E4181,Programme!F4181,Programme!G4181,Programme!H4181,Programme!I4181)</f>
        <v>&lt;/cellule&gt;</v>
      </c>
    </row>
    <row r="4181" spans="1:1" x14ac:dyDescent="0.2">
      <c r="A4181" s="1135" t="str">
        <f>CONCATENATE(Programme!C4182,Programme!D4182,Programme!E4182,Programme!F4182,Programme!G4182,Programme!H4182,Programme!I4182)</f>
        <v>&lt;valeur&gt;0&lt;/valeur&gt;</v>
      </c>
    </row>
    <row r="4182" spans="1:1" x14ac:dyDescent="0.2">
      <c r="A4182" s="1135" t="str">
        <f>CONCATENATE(Programme!C4183,Programme!D4183,Programme!E4183,Programme!F4183,Programme!G4183,Programme!H4183,Programme!I4183)</f>
        <v>&lt;/ValeurCellule&gt;</v>
      </c>
    </row>
    <row r="4183" spans="1:1" x14ac:dyDescent="0.2">
      <c r="A4183" s="1135" t="str">
        <f>CONCATENATE(Programme!C4184,Programme!D4184,Programme!E4184,Programme!F4184,Programme!G4184,Programme!H4184,Programme!I4184)</f>
        <v>&lt;ValeurCellule&gt;</v>
      </c>
    </row>
    <row r="4184" spans="1:1" x14ac:dyDescent="0.2">
      <c r="A4184" s="1135" t="str">
        <f>CONCATENATE(Programme!C4185,Programme!D4185,Programme!E4185,Programme!F4185,Programme!G4185,Programme!H4185,Programme!I4185)</f>
        <v>&lt;cellule&gt;</v>
      </c>
    </row>
    <row r="4185" spans="1:1" x14ac:dyDescent="0.2">
      <c r="A4185" s="1135" t="str">
        <f>CONCATENATE(Programme!C4186,Programme!D4186,Programme!E4186,Programme!F4186,Programme!G4186,Programme!H4186,Programme!I4186)</f>
        <v>&lt;codeEdi&gt;1007&lt;/codeEdi&gt;</v>
      </c>
    </row>
    <row r="4186" spans="1:1" x14ac:dyDescent="0.2">
      <c r="A4186" s="1135" t="str">
        <f>CONCATENATE(Programme!C4187,Programme!D4187,Programme!E4187,Programme!F4187,Programme!G4187,Programme!H4187,Programme!I4187)</f>
        <v>&lt;/cellule&gt;</v>
      </c>
    </row>
    <row r="4187" spans="1:1" x14ac:dyDescent="0.2">
      <c r="A4187" s="1135" t="str">
        <f>CONCATENATE(Programme!C4188,Programme!D4188,Programme!E4188,Programme!F4188,Programme!G4188,Programme!H4188,Programme!I4188)</f>
        <v>&lt;valeur&gt;0&lt;/valeur&gt;</v>
      </c>
    </row>
    <row r="4188" spans="1:1" x14ac:dyDescent="0.2">
      <c r="A4188" s="1135" t="str">
        <f>CONCATENATE(Programme!C4189,Programme!D4189,Programme!E4189,Programme!F4189,Programme!G4189,Programme!H4189,Programme!I4189)</f>
        <v>&lt;/ValeurCellule&gt;</v>
      </c>
    </row>
    <row r="4189" spans="1:1" x14ac:dyDescent="0.2">
      <c r="A4189" s="1135" t="str">
        <f>CONCATENATE(Programme!C4190,Programme!D4190,Programme!E4190,Programme!F4190,Programme!G4190,Programme!H4190,Programme!I4190)</f>
        <v>&lt;ValeurCellule&gt;</v>
      </c>
    </row>
    <row r="4190" spans="1:1" x14ac:dyDescent="0.2">
      <c r="A4190" s="1135" t="str">
        <f>CONCATENATE(Programme!C4191,Programme!D4191,Programme!E4191,Programme!F4191,Programme!G4191,Programme!H4191,Programme!I4191)</f>
        <v>&lt;cellule&gt;</v>
      </c>
    </row>
    <row r="4191" spans="1:1" x14ac:dyDescent="0.2">
      <c r="A4191" s="1135" t="str">
        <f>CONCATENATE(Programme!C4192,Programme!D4192,Programme!E4192,Programme!F4192,Programme!G4192,Programme!H4192,Programme!I4192)</f>
        <v>&lt;codeEdi&gt;10084&lt;/codeEdi&gt;</v>
      </c>
    </row>
    <row r="4192" spans="1:1" x14ac:dyDescent="0.2">
      <c r="A4192" s="1135" t="str">
        <f>CONCATENATE(Programme!C4193,Programme!D4193,Programme!E4193,Programme!F4193,Programme!G4193,Programme!H4193,Programme!I4193)</f>
        <v>&lt;/cellule&gt;</v>
      </c>
    </row>
    <row r="4193" spans="1:1" x14ac:dyDescent="0.2">
      <c r="A4193" s="1135" t="str">
        <f>CONCATENATE(Programme!C4194,Programme!D4194,Programme!E4194,Programme!F4194,Programme!G4194,Programme!H4194,Programme!I4194)</f>
        <v>&lt;valeur&gt;0&lt;/valeur&gt;</v>
      </c>
    </row>
    <row r="4194" spans="1:1" x14ac:dyDescent="0.2">
      <c r="A4194" s="1135" t="str">
        <f>CONCATENATE(Programme!C4195,Programme!D4195,Programme!E4195,Programme!F4195,Programme!G4195,Programme!H4195,Programme!I4195)</f>
        <v>&lt;/ValeurCellule&gt;</v>
      </c>
    </row>
    <row r="4195" spans="1:1" x14ac:dyDescent="0.2">
      <c r="A4195" s="1135" t="str">
        <f>CONCATENATE(Programme!C4196,Programme!D4196,Programme!E4196,Programme!F4196,Programme!G4196,Programme!H4196,Programme!I4196)</f>
        <v>&lt;ValeurCellule&gt;</v>
      </c>
    </row>
    <row r="4196" spans="1:1" x14ac:dyDescent="0.2">
      <c r="A4196" s="1135" t="str">
        <f>CONCATENATE(Programme!C4197,Programme!D4197,Programme!E4197,Programme!F4197,Programme!G4197,Programme!H4197,Programme!I4197)</f>
        <v>&lt;cellule&gt;</v>
      </c>
    </row>
    <row r="4197" spans="1:1" x14ac:dyDescent="0.2">
      <c r="A4197" s="1135" t="str">
        <f>CONCATENATE(Programme!C4198,Programme!D4198,Programme!E4198,Programme!F4198,Programme!G4198,Programme!H4198,Programme!I4198)</f>
        <v>&lt;codeEdi&gt;12599&lt;/codeEdi&gt;</v>
      </c>
    </row>
    <row r="4198" spans="1:1" x14ac:dyDescent="0.2">
      <c r="A4198" s="1135" t="str">
        <f>CONCATENATE(Programme!C4199,Programme!D4199,Programme!E4199,Programme!F4199,Programme!G4199,Programme!H4199,Programme!I4199)</f>
        <v>&lt;/cellule&gt;</v>
      </c>
    </row>
    <row r="4199" spans="1:1" x14ac:dyDescent="0.2">
      <c r="A4199" s="1135" t="str">
        <f>CONCATENATE(Programme!C4200,Programme!D4200,Programme!E4200,Programme!F4200,Programme!G4200,Programme!H4200,Programme!I4200)</f>
        <v>&lt;valeur&gt;0&lt;/valeur&gt;</v>
      </c>
    </row>
    <row r="4200" spans="1:1" x14ac:dyDescent="0.2">
      <c r="A4200" s="1135" t="str">
        <f>CONCATENATE(Programme!C4201,Programme!D4201,Programme!E4201,Programme!F4201,Programme!G4201,Programme!H4201,Programme!I4201)</f>
        <v>&lt;/ValeurCellule&gt;</v>
      </c>
    </row>
    <row r="4201" spans="1:1" x14ac:dyDescent="0.2">
      <c r="A4201" s="1135" t="str">
        <f>CONCATENATE(Programme!C4202,Programme!D4202,Programme!E4202,Programme!F4202,Programme!G4202,Programme!H4202,Programme!I4202)</f>
        <v>&lt;ValeurCellule&gt;</v>
      </c>
    </row>
    <row r="4202" spans="1:1" x14ac:dyDescent="0.2">
      <c r="A4202" s="1135" t="str">
        <f>CONCATENATE(Programme!C4203,Programme!D4203,Programme!E4203,Programme!F4203,Programme!G4203,Programme!H4203,Programme!I4203)</f>
        <v>&lt;cellule&gt;</v>
      </c>
    </row>
    <row r="4203" spans="1:1" x14ac:dyDescent="0.2">
      <c r="A4203" s="1135" t="str">
        <f>CONCATENATE(Programme!C4204,Programme!D4204,Programme!E4204,Programme!F4204,Programme!G4204,Programme!H4204,Programme!I4204)</f>
        <v>&lt;codeEdi&gt;1015&lt;/codeEdi&gt;</v>
      </c>
    </row>
    <row r="4204" spans="1:1" x14ac:dyDescent="0.2">
      <c r="A4204" s="1135" t="str">
        <f>CONCATENATE(Programme!C4205,Programme!D4205,Programme!E4205,Programme!F4205,Programme!G4205,Programme!H4205,Programme!I4205)</f>
        <v>&lt;/cellule&gt;</v>
      </c>
    </row>
    <row r="4205" spans="1:1" x14ac:dyDescent="0.2">
      <c r="A4205" s="1135" t="str">
        <f>CONCATENATE(Programme!C4206,Programme!D4206,Programme!E4206,Programme!F4206,Programme!G4206,Programme!H4206,Programme!I4206)</f>
        <v>&lt;valeur&gt;0&lt;/valeur&gt;</v>
      </c>
    </row>
    <row r="4206" spans="1:1" x14ac:dyDescent="0.2">
      <c r="A4206" s="1135" t="str">
        <f>CONCATENATE(Programme!C4207,Programme!D4207,Programme!E4207,Programme!F4207,Programme!G4207,Programme!H4207,Programme!I4207)</f>
        <v>&lt;/ValeurCellule&gt;</v>
      </c>
    </row>
    <row r="4207" spans="1:1" x14ac:dyDescent="0.2">
      <c r="A4207" s="1135" t="str">
        <f>CONCATENATE(Programme!C4208,Programme!D4208,Programme!E4208,Programme!F4208,Programme!G4208,Programme!H4208,Programme!I4208)</f>
        <v>&lt;ValeurCellule&gt;</v>
      </c>
    </row>
    <row r="4208" spans="1:1" x14ac:dyDescent="0.2">
      <c r="A4208" s="1135" t="str">
        <f>CONCATENATE(Programme!C4209,Programme!D4209,Programme!E4209,Programme!F4209,Programme!G4209,Programme!H4209,Programme!I4209)</f>
        <v>&lt;cellule&gt;</v>
      </c>
    </row>
    <row r="4209" spans="1:1" x14ac:dyDescent="0.2">
      <c r="A4209" s="1135" t="str">
        <f>CONCATENATE(Programme!C4210,Programme!D4210,Programme!E4210,Programme!F4210,Programme!G4210,Programme!H4210,Programme!I4210)</f>
        <v>&lt;codeEdi&gt;1016&lt;/codeEdi&gt;</v>
      </c>
    </row>
    <row r="4210" spans="1:1" x14ac:dyDescent="0.2">
      <c r="A4210" s="1135" t="str">
        <f>CONCATENATE(Programme!C4211,Programme!D4211,Programme!E4211,Programme!F4211,Programme!G4211,Programme!H4211,Programme!I4211)</f>
        <v>&lt;/cellule&gt;</v>
      </c>
    </row>
    <row r="4211" spans="1:1" x14ac:dyDescent="0.2">
      <c r="A4211" s="1135" t="str">
        <f>CONCATENATE(Programme!C4212,Programme!D4212,Programme!E4212,Programme!F4212,Programme!G4212,Programme!H4212,Programme!I4212)</f>
        <v>&lt;valeur&gt;0&lt;/valeur&gt;</v>
      </c>
    </row>
    <row r="4212" spans="1:1" x14ac:dyDescent="0.2">
      <c r="A4212" s="1135" t="str">
        <f>CONCATENATE(Programme!C4213,Programme!D4213,Programme!E4213,Programme!F4213,Programme!G4213,Programme!H4213,Programme!I4213)</f>
        <v>&lt;/ValeurCellule&gt;</v>
      </c>
    </row>
    <row r="4213" spans="1:1" x14ac:dyDescent="0.2">
      <c r="A4213" s="1135" t="str">
        <f>CONCATENATE(Programme!C4214,Programme!D4214,Programme!E4214,Programme!F4214,Programme!G4214,Programme!H4214,Programme!I4214)</f>
        <v>&lt;ValeurCellule&gt;</v>
      </c>
    </row>
    <row r="4214" spans="1:1" x14ac:dyDescent="0.2">
      <c r="A4214" s="1135" t="str">
        <f>CONCATENATE(Programme!C4215,Programme!D4215,Programme!E4215,Programme!F4215,Programme!G4215,Programme!H4215,Programme!I4215)</f>
        <v>&lt;cellule&gt;</v>
      </c>
    </row>
    <row r="4215" spans="1:1" x14ac:dyDescent="0.2">
      <c r="A4215" s="1135" t="str">
        <f>CONCATENATE(Programme!C4216,Programme!D4216,Programme!E4216,Programme!F4216,Programme!G4216,Programme!H4216,Programme!I4216)</f>
        <v>&lt;codeEdi&gt;1017&lt;/codeEdi&gt;</v>
      </c>
    </row>
    <row r="4216" spans="1:1" x14ac:dyDescent="0.2">
      <c r="A4216" s="1135" t="str">
        <f>CONCATENATE(Programme!C4217,Programme!D4217,Programme!E4217,Programme!F4217,Programme!G4217,Programme!H4217,Programme!I4217)</f>
        <v>&lt;/cellule&gt;</v>
      </c>
    </row>
    <row r="4217" spans="1:1" x14ac:dyDescent="0.2">
      <c r="A4217" s="1135" t="str">
        <f>CONCATENATE(Programme!C4218,Programme!D4218,Programme!E4218,Programme!F4218,Programme!G4218,Programme!H4218,Programme!I4218)</f>
        <v>&lt;valeur&gt;0&lt;/valeur&gt;</v>
      </c>
    </row>
    <row r="4218" spans="1:1" x14ac:dyDescent="0.2">
      <c r="A4218" s="1135" t="str">
        <f>CONCATENATE(Programme!C4219,Programme!D4219,Programme!E4219,Programme!F4219,Programme!G4219,Programme!H4219,Programme!I4219)</f>
        <v>&lt;/ValeurCellule&gt;</v>
      </c>
    </row>
    <row r="4219" spans="1:1" x14ac:dyDescent="0.2">
      <c r="A4219" s="1135" t="str">
        <f>CONCATENATE(Programme!C4220,Programme!D4220,Programme!E4220,Programme!F4220,Programme!G4220,Programme!H4220,Programme!I4220)</f>
        <v>&lt;ValeurCellule&gt;</v>
      </c>
    </row>
    <row r="4220" spans="1:1" x14ac:dyDescent="0.2">
      <c r="A4220" s="1135" t="str">
        <f>CONCATENATE(Programme!C4221,Programme!D4221,Programme!E4221,Programme!F4221,Programme!G4221,Programme!H4221,Programme!I4221)</f>
        <v>&lt;cellule&gt;</v>
      </c>
    </row>
    <row r="4221" spans="1:1" x14ac:dyDescent="0.2">
      <c r="A4221" s="1135" t="str">
        <f>CONCATENATE(Programme!C4222,Programme!D4222,Programme!E4222,Programme!F4222,Programme!G4222,Programme!H4222,Programme!I4222)</f>
        <v>&lt;codeEdi&gt;1018&lt;/codeEdi&gt;</v>
      </c>
    </row>
    <row r="4222" spans="1:1" x14ac:dyDescent="0.2">
      <c r="A4222" s="1135" t="str">
        <f>CONCATENATE(Programme!C4223,Programme!D4223,Programme!E4223,Programme!F4223,Programme!G4223,Programme!H4223,Programme!I4223)</f>
        <v>&lt;/cellule&gt;</v>
      </c>
    </row>
    <row r="4223" spans="1:1" x14ac:dyDescent="0.2">
      <c r="A4223" s="1135" t="str">
        <f>CONCATENATE(Programme!C4224,Programme!D4224,Programme!E4224,Programme!F4224,Programme!G4224,Programme!H4224,Programme!I4224)</f>
        <v>&lt;valeur&gt;0&lt;/valeur&gt;</v>
      </c>
    </row>
    <row r="4224" spans="1:1" x14ac:dyDescent="0.2">
      <c r="A4224" s="1135" t="str">
        <f>CONCATENATE(Programme!C4225,Programme!D4225,Programme!E4225,Programme!F4225,Programme!G4225,Programme!H4225,Programme!I4225)</f>
        <v>&lt;/ValeurCellule&gt;</v>
      </c>
    </row>
    <row r="4225" spans="1:1" x14ac:dyDescent="0.2">
      <c r="A4225" s="1135" t="str">
        <f>CONCATENATE(Programme!C4226,Programme!D4226,Programme!E4226,Programme!F4226,Programme!G4226,Programme!H4226,Programme!I4226)</f>
        <v>&lt;ValeurCellule&gt;</v>
      </c>
    </row>
    <row r="4226" spans="1:1" x14ac:dyDescent="0.2">
      <c r="A4226" s="1135" t="str">
        <f>CONCATENATE(Programme!C4227,Programme!D4227,Programme!E4227,Programme!F4227,Programme!G4227,Programme!H4227,Programme!I4227)</f>
        <v>&lt;cellule&gt;</v>
      </c>
    </row>
    <row r="4227" spans="1:1" x14ac:dyDescent="0.2">
      <c r="A4227" s="1135" t="str">
        <f>CONCATENATE(Programme!C4228,Programme!D4228,Programme!E4228,Programme!F4228,Programme!G4228,Programme!H4228,Programme!I4228)</f>
        <v>&lt;codeEdi&gt;1019&lt;/codeEdi&gt;</v>
      </c>
    </row>
    <row r="4228" spans="1:1" x14ac:dyDescent="0.2">
      <c r="A4228" s="1135" t="str">
        <f>CONCATENATE(Programme!C4229,Programme!D4229,Programme!E4229,Programme!F4229,Programme!G4229,Programme!H4229,Programme!I4229)</f>
        <v>&lt;/cellule&gt;</v>
      </c>
    </row>
    <row r="4229" spans="1:1" x14ac:dyDescent="0.2">
      <c r="A4229" s="1135" t="str">
        <f>CONCATENATE(Programme!C4230,Programme!D4230,Programme!E4230,Programme!F4230,Programme!G4230,Programme!H4230,Programme!I4230)</f>
        <v>&lt;valeur&gt;0&lt;/valeur&gt;</v>
      </c>
    </row>
    <row r="4230" spans="1:1" x14ac:dyDescent="0.2">
      <c r="A4230" s="1135" t="str">
        <f>CONCATENATE(Programme!C4231,Programme!D4231,Programme!E4231,Programme!F4231,Programme!G4231,Programme!H4231,Programme!I4231)</f>
        <v>&lt;/ValeurCellule&gt;</v>
      </c>
    </row>
    <row r="4231" spans="1:1" x14ac:dyDescent="0.2">
      <c r="A4231" s="1135" t="str">
        <f>CONCATENATE(Programme!C4232,Programme!D4232,Programme!E4232,Programme!F4232,Programme!G4232,Programme!H4232,Programme!I4232)</f>
        <v>&lt;ValeurCellule&gt;</v>
      </c>
    </row>
    <row r="4232" spans="1:1" x14ac:dyDescent="0.2">
      <c r="A4232" s="1135" t="str">
        <f>CONCATENATE(Programme!C4233,Programme!D4233,Programme!E4233,Programme!F4233,Programme!G4233,Programme!H4233,Programme!I4233)</f>
        <v>&lt;cellule&gt;</v>
      </c>
    </row>
    <row r="4233" spans="1:1" x14ac:dyDescent="0.2">
      <c r="A4233" s="1135" t="str">
        <f>CONCATENATE(Programme!C4234,Programme!D4234,Programme!E4234,Programme!F4234,Programme!G4234,Programme!H4234,Programme!I4234)</f>
        <v>&lt;codeEdi&gt;1020&lt;/codeEdi&gt;</v>
      </c>
    </row>
    <row r="4234" spans="1:1" x14ac:dyDescent="0.2">
      <c r="A4234" s="1135" t="str">
        <f>CONCATENATE(Programme!C4235,Programme!D4235,Programme!E4235,Programme!F4235,Programme!G4235,Programme!H4235,Programme!I4235)</f>
        <v>&lt;/cellule&gt;</v>
      </c>
    </row>
    <row r="4235" spans="1:1" x14ac:dyDescent="0.2">
      <c r="A4235" s="1135" t="str">
        <f>CONCATENATE(Programme!C4236,Programme!D4236,Programme!E4236,Programme!F4236,Programme!G4236,Programme!H4236,Programme!I4236)</f>
        <v>&lt;valeur&gt;0&lt;/valeur&gt;</v>
      </c>
    </row>
    <row r="4236" spans="1:1" x14ac:dyDescent="0.2">
      <c r="A4236" s="1135" t="str">
        <f>CONCATENATE(Programme!C4237,Programme!D4237,Programme!E4237,Programme!F4237,Programme!G4237,Programme!H4237,Programme!I4237)</f>
        <v>&lt;/ValeurCellule&gt;</v>
      </c>
    </row>
    <row r="4237" spans="1:1" x14ac:dyDescent="0.2">
      <c r="A4237" s="1135" t="str">
        <f>CONCATENATE(Programme!C4238,Programme!D4238,Programme!E4238,Programme!F4238,Programme!G4238,Programme!H4238,Programme!I4238)</f>
        <v>&lt;ValeurCellule&gt;</v>
      </c>
    </row>
    <row r="4238" spans="1:1" x14ac:dyDescent="0.2">
      <c r="A4238" s="1135" t="str">
        <f>CONCATENATE(Programme!C4239,Programme!D4239,Programme!E4239,Programme!F4239,Programme!G4239,Programme!H4239,Programme!I4239)</f>
        <v>&lt;cellule&gt;</v>
      </c>
    </row>
    <row r="4239" spans="1:1" x14ac:dyDescent="0.2">
      <c r="A4239" s="1135" t="str">
        <f>CONCATENATE(Programme!C4240,Programme!D4240,Programme!E4240,Programme!F4240,Programme!G4240,Programme!H4240,Programme!I4240)</f>
        <v>&lt;codeEdi&gt;1021&lt;/codeEdi&gt;</v>
      </c>
    </row>
    <row r="4240" spans="1:1" x14ac:dyDescent="0.2">
      <c r="A4240" s="1135" t="str">
        <f>CONCATENATE(Programme!C4241,Programme!D4241,Programme!E4241,Programme!F4241,Programme!G4241,Programme!H4241,Programme!I4241)</f>
        <v>&lt;/cellule&gt;</v>
      </c>
    </row>
    <row r="4241" spans="1:1" x14ac:dyDescent="0.2">
      <c r="A4241" s="1135" t="str">
        <f>CONCATENATE(Programme!C4242,Programme!D4242,Programme!E4242,Programme!F4242,Programme!G4242,Programme!H4242,Programme!I4242)</f>
        <v>&lt;valeur&gt;0&lt;/valeur&gt;</v>
      </c>
    </row>
    <row r="4242" spans="1:1" x14ac:dyDescent="0.2">
      <c r="A4242" s="1135" t="str">
        <f>CONCATENATE(Programme!C4243,Programme!D4243,Programme!E4243,Programme!F4243,Programme!G4243,Programme!H4243,Programme!I4243)</f>
        <v>&lt;/ValeurCellule&gt;</v>
      </c>
    </row>
    <row r="4243" spans="1:1" x14ac:dyDescent="0.2">
      <c r="A4243" s="1135" t="str">
        <f>CONCATENATE(Programme!C4244,Programme!D4244,Programme!E4244,Programme!F4244,Programme!G4244,Programme!H4244,Programme!I4244)</f>
        <v>&lt;ValeurCellule&gt;</v>
      </c>
    </row>
    <row r="4244" spans="1:1" x14ac:dyDescent="0.2">
      <c r="A4244" s="1135" t="str">
        <f>CONCATENATE(Programme!C4245,Programme!D4245,Programme!E4245,Programme!F4245,Programme!G4245,Programme!H4245,Programme!I4245)</f>
        <v>&lt;cellule&gt;</v>
      </c>
    </row>
    <row r="4245" spans="1:1" x14ac:dyDescent="0.2">
      <c r="A4245" s="1135" t="str">
        <f>CONCATENATE(Programme!C4246,Programme!D4246,Programme!E4246,Programme!F4246,Programme!G4246,Programme!H4246,Programme!I4246)</f>
        <v>&lt;codeEdi&gt;10085&lt;/codeEdi&gt;</v>
      </c>
    </row>
    <row r="4246" spans="1:1" x14ac:dyDescent="0.2">
      <c r="A4246" s="1135" t="str">
        <f>CONCATENATE(Programme!C4247,Programme!D4247,Programme!E4247,Programme!F4247,Programme!G4247,Programme!H4247,Programme!I4247)</f>
        <v>&lt;/cellule&gt;</v>
      </c>
    </row>
    <row r="4247" spans="1:1" x14ac:dyDescent="0.2">
      <c r="A4247" s="1135" t="str">
        <f>CONCATENATE(Programme!C4248,Programme!D4248,Programme!E4248,Programme!F4248,Programme!G4248,Programme!H4248,Programme!I4248)</f>
        <v>&lt;valeur&gt;0&lt;/valeur&gt;</v>
      </c>
    </row>
    <row r="4248" spans="1:1" x14ac:dyDescent="0.2">
      <c r="A4248" s="1135" t="str">
        <f>CONCATENATE(Programme!C4249,Programme!D4249,Programme!E4249,Programme!F4249,Programme!G4249,Programme!H4249,Programme!I4249)</f>
        <v>&lt;/ValeurCellule&gt;</v>
      </c>
    </row>
    <row r="4249" spans="1:1" x14ac:dyDescent="0.2">
      <c r="A4249" s="1135" t="str">
        <f>CONCATENATE(Programme!C4250,Programme!D4250,Programme!E4250,Programme!F4250,Programme!G4250,Programme!H4250,Programme!I4250)</f>
        <v>&lt;ValeurCellule&gt;</v>
      </c>
    </row>
    <row r="4250" spans="1:1" x14ac:dyDescent="0.2">
      <c r="A4250" s="1135" t="str">
        <f>CONCATENATE(Programme!C4251,Programme!D4251,Programme!E4251,Programme!F4251,Programme!G4251,Programme!H4251,Programme!I4251)</f>
        <v>&lt;cellule&gt;</v>
      </c>
    </row>
    <row r="4251" spans="1:1" x14ac:dyDescent="0.2">
      <c r="A4251" s="1135" t="str">
        <f>CONCATENATE(Programme!C4252,Programme!D4252,Programme!E4252,Programme!F4252,Programme!G4252,Programme!H4252,Programme!I4252)</f>
        <v>&lt;codeEdi&gt;12600&lt;/codeEdi&gt;</v>
      </c>
    </row>
    <row r="4252" spans="1:1" x14ac:dyDescent="0.2">
      <c r="A4252" s="1135" t="str">
        <f>CONCATENATE(Programme!C4253,Programme!D4253,Programme!E4253,Programme!F4253,Programme!G4253,Programme!H4253,Programme!I4253)</f>
        <v>&lt;/cellule&gt;</v>
      </c>
    </row>
    <row r="4253" spans="1:1" x14ac:dyDescent="0.2">
      <c r="A4253" s="1135" t="str">
        <f>CONCATENATE(Programme!C4254,Programme!D4254,Programme!E4254,Programme!F4254,Programme!G4254,Programme!H4254,Programme!I4254)</f>
        <v>&lt;valeur&gt;0&lt;/valeur&gt;</v>
      </c>
    </row>
    <row r="4254" spans="1:1" x14ac:dyDescent="0.2">
      <c r="A4254" s="1135" t="str">
        <f>CONCATENATE(Programme!C4255,Programme!D4255,Programme!E4255,Programme!F4255,Programme!G4255,Programme!H4255,Programme!I4255)</f>
        <v>&lt;/ValeurCellule&gt;</v>
      </c>
    </row>
    <row r="4255" spans="1:1" x14ac:dyDescent="0.2">
      <c r="A4255" s="1135" t="str">
        <f>CONCATENATE(Programme!C4256,Programme!D4256,Programme!E4256,Programme!F4256,Programme!G4256,Programme!H4256,Programme!I4256)</f>
        <v>&lt;ValeurCellule&gt;</v>
      </c>
    </row>
    <row r="4256" spans="1:1" x14ac:dyDescent="0.2">
      <c r="A4256" s="1135" t="str">
        <f>CONCATENATE(Programme!C4257,Programme!D4257,Programme!E4257,Programme!F4257,Programme!G4257,Programme!H4257,Programme!I4257)</f>
        <v>&lt;cellule&gt;</v>
      </c>
    </row>
    <row r="4257" spans="1:1" x14ac:dyDescent="0.2">
      <c r="A4257" s="1135" t="str">
        <f>CONCATENATE(Programme!C4258,Programme!D4258,Programme!E4258,Programme!F4258,Programme!G4258,Programme!H4258,Programme!I4258)</f>
        <v>&lt;codeEdi&gt;1029&lt;/codeEdi&gt;</v>
      </c>
    </row>
    <row r="4258" spans="1:1" x14ac:dyDescent="0.2">
      <c r="A4258" s="1135" t="str">
        <f>CONCATENATE(Programme!C4259,Programme!D4259,Programme!E4259,Programme!F4259,Programme!G4259,Programme!H4259,Programme!I4259)</f>
        <v>&lt;/cellule&gt;</v>
      </c>
    </row>
    <row r="4259" spans="1:1" x14ac:dyDescent="0.2">
      <c r="A4259" s="1135" t="str">
        <f>CONCATENATE(Programme!C4260,Programme!D4260,Programme!E4260,Programme!F4260,Programme!G4260,Programme!H4260,Programme!I4260)</f>
        <v>&lt;valeur&gt;0&lt;/valeur&gt;</v>
      </c>
    </row>
    <row r="4260" spans="1:1" x14ac:dyDescent="0.2">
      <c r="A4260" s="1135" t="str">
        <f>CONCATENATE(Programme!C4261,Programme!D4261,Programme!E4261,Programme!F4261,Programme!G4261,Programme!H4261,Programme!I4261)</f>
        <v>&lt;/ValeurCellule&gt;</v>
      </c>
    </row>
    <row r="4261" spans="1:1" x14ac:dyDescent="0.2">
      <c r="A4261" s="1135" t="str">
        <f>CONCATENATE(Programme!C4262,Programme!D4262,Programme!E4262,Programme!F4262,Programme!G4262,Programme!H4262,Programme!I4262)</f>
        <v>&lt;ValeurCellule&gt;</v>
      </c>
    </row>
    <row r="4262" spans="1:1" x14ac:dyDescent="0.2">
      <c r="A4262" s="1135" t="str">
        <f>CONCATENATE(Programme!C4263,Programme!D4263,Programme!E4263,Programme!F4263,Programme!G4263,Programme!H4263,Programme!I4263)</f>
        <v>&lt;cellule&gt;</v>
      </c>
    </row>
    <row r="4263" spans="1:1" x14ac:dyDescent="0.2">
      <c r="A4263" s="1135" t="str">
        <f>CONCATENATE(Programme!C4264,Programme!D4264,Programme!E4264,Programme!F4264,Programme!G4264,Programme!H4264,Programme!I4264)</f>
        <v>&lt;codeEdi&gt;1030&lt;/codeEdi&gt;</v>
      </c>
    </row>
    <row r="4264" spans="1:1" x14ac:dyDescent="0.2">
      <c r="A4264" s="1135" t="str">
        <f>CONCATENATE(Programme!C4265,Programme!D4265,Programme!E4265,Programme!F4265,Programme!G4265,Programme!H4265,Programme!I4265)</f>
        <v>&lt;/cellule&gt;</v>
      </c>
    </row>
    <row r="4265" spans="1:1" x14ac:dyDescent="0.2">
      <c r="A4265" s="1135" t="str">
        <f>CONCATENATE(Programme!C4266,Programme!D4266,Programme!E4266,Programme!F4266,Programme!G4266,Programme!H4266,Programme!I4266)</f>
        <v>&lt;valeur&gt;0&lt;/valeur&gt;</v>
      </c>
    </row>
    <row r="4266" spans="1:1" x14ac:dyDescent="0.2">
      <c r="A4266" s="1135" t="str">
        <f>CONCATENATE(Programme!C4267,Programme!D4267,Programme!E4267,Programme!F4267,Programme!G4267,Programme!H4267,Programme!I4267)</f>
        <v>&lt;/ValeurCellule&gt;</v>
      </c>
    </row>
    <row r="4267" spans="1:1" x14ac:dyDescent="0.2">
      <c r="A4267" s="1135" t="str">
        <f>CONCATENATE(Programme!C4268,Programme!D4268,Programme!E4268,Programme!F4268,Programme!G4268,Programme!H4268,Programme!I4268)</f>
        <v>&lt;ValeurCellule&gt;</v>
      </c>
    </row>
    <row r="4268" spans="1:1" x14ac:dyDescent="0.2">
      <c r="A4268" s="1135" t="str">
        <f>CONCATENATE(Programme!C4269,Programme!D4269,Programme!E4269,Programme!F4269,Programme!G4269,Programme!H4269,Programme!I4269)</f>
        <v>&lt;cellule&gt;</v>
      </c>
    </row>
    <row r="4269" spans="1:1" x14ac:dyDescent="0.2">
      <c r="A4269" s="1135" t="str">
        <f>CONCATENATE(Programme!C4270,Programme!D4270,Programme!E4270,Programme!F4270,Programme!G4270,Programme!H4270,Programme!I4270)</f>
        <v>&lt;codeEdi&gt;1031&lt;/codeEdi&gt;</v>
      </c>
    </row>
    <row r="4270" spans="1:1" x14ac:dyDescent="0.2">
      <c r="A4270" s="1135" t="str">
        <f>CONCATENATE(Programme!C4271,Programme!D4271,Programme!E4271,Programme!F4271,Programme!G4271,Programme!H4271,Programme!I4271)</f>
        <v>&lt;/cellule&gt;</v>
      </c>
    </row>
    <row r="4271" spans="1:1" x14ac:dyDescent="0.2">
      <c r="A4271" s="1135" t="str">
        <f>CONCATENATE(Programme!C4272,Programme!D4272,Programme!E4272,Programme!F4272,Programme!G4272,Programme!H4272,Programme!I4272)</f>
        <v>&lt;valeur&gt;0&lt;/valeur&gt;</v>
      </c>
    </row>
    <row r="4272" spans="1:1" x14ac:dyDescent="0.2">
      <c r="A4272" s="1135" t="str">
        <f>CONCATENATE(Programme!C4273,Programme!D4273,Programme!E4273,Programme!F4273,Programme!G4273,Programme!H4273,Programme!I4273)</f>
        <v>&lt;/ValeurCellule&gt;</v>
      </c>
    </row>
    <row r="4273" spans="1:1" x14ac:dyDescent="0.2">
      <c r="A4273" s="1135" t="str">
        <f>CONCATENATE(Programme!C4274,Programme!D4274,Programme!E4274,Programme!F4274,Programme!G4274,Programme!H4274,Programme!I4274)</f>
        <v>&lt;ValeurCellule&gt;</v>
      </c>
    </row>
    <row r="4274" spans="1:1" x14ac:dyDescent="0.2">
      <c r="A4274" s="1135" t="str">
        <f>CONCATENATE(Programme!C4275,Programme!D4275,Programme!E4275,Programme!F4275,Programme!G4275,Programme!H4275,Programme!I4275)</f>
        <v>&lt;cellule&gt;</v>
      </c>
    </row>
    <row r="4275" spans="1:1" x14ac:dyDescent="0.2">
      <c r="A4275" s="1135" t="str">
        <f>CONCATENATE(Programme!C4276,Programme!D4276,Programme!E4276,Programme!F4276,Programme!G4276,Programme!H4276,Programme!I4276)</f>
        <v>&lt;codeEdi&gt;1032&lt;/codeEdi&gt;</v>
      </c>
    </row>
    <row r="4276" spans="1:1" x14ac:dyDescent="0.2">
      <c r="A4276" s="1135" t="str">
        <f>CONCATENATE(Programme!C4277,Programme!D4277,Programme!E4277,Programme!F4277,Programme!G4277,Programme!H4277,Programme!I4277)</f>
        <v>&lt;/cellule&gt;</v>
      </c>
    </row>
    <row r="4277" spans="1:1" x14ac:dyDescent="0.2">
      <c r="A4277" s="1135" t="str">
        <f>CONCATENATE(Programme!C4278,Programme!D4278,Programme!E4278,Programme!F4278,Programme!G4278,Programme!H4278,Programme!I4278)</f>
        <v>&lt;valeur&gt;0&lt;/valeur&gt;</v>
      </c>
    </row>
    <row r="4278" spans="1:1" x14ac:dyDescent="0.2">
      <c r="A4278" s="1135" t="str">
        <f>CONCATENATE(Programme!C4279,Programme!D4279,Programme!E4279,Programme!F4279,Programme!G4279,Programme!H4279,Programme!I4279)</f>
        <v>&lt;/ValeurCellule&gt;</v>
      </c>
    </row>
    <row r="4279" spans="1:1" x14ac:dyDescent="0.2">
      <c r="A4279" s="1135" t="str">
        <f>CONCATENATE(Programme!C4280,Programme!D4280,Programme!E4280,Programme!F4280,Programme!G4280,Programme!H4280,Programme!I4280)</f>
        <v>&lt;ValeurCellule&gt;</v>
      </c>
    </row>
    <row r="4280" spans="1:1" x14ac:dyDescent="0.2">
      <c r="A4280" s="1135" t="str">
        <f>CONCATENATE(Programme!C4281,Programme!D4281,Programme!E4281,Programme!F4281,Programme!G4281,Programme!H4281,Programme!I4281)</f>
        <v>&lt;cellule&gt;</v>
      </c>
    </row>
    <row r="4281" spans="1:1" x14ac:dyDescent="0.2">
      <c r="A4281" s="1135" t="str">
        <f>CONCATENATE(Programme!C4282,Programme!D4282,Programme!E4282,Programme!F4282,Programme!G4282,Programme!H4282,Programme!I4282)</f>
        <v>&lt;codeEdi&gt;1033&lt;/codeEdi&gt;</v>
      </c>
    </row>
    <row r="4282" spans="1:1" x14ac:dyDescent="0.2">
      <c r="A4282" s="1135" t="str">
        <f>CONCATENATE(Programme!C4283,Programme!D4283,Programme!E4283,Programme!F4283,Programme!G4283,Programme!H4283,Programme!I4283)</f>
        <v>&lt;/cellule&gt;</v>
      </c>
    </row>
    <row r="4283" spans="1:1" x14ac:dyDescent="0.2">
      <c r="A4283" s="1135" t="str">
        <f>CONCATENATE(Programme!C4284,Programme!D4284,Programme!E4284,Programme!F4284,Programme!G4284,Programme!H4284,Programme!I4284)</f>
        <v>&lt;valeur&gt;0&lt;/valeur&gt;</v>
      </c>
    </row>
    <row r="4284" spans="1:1" x14ac:dyDescent="0.2">
      <c r="A4284" s="1135" t="str">
        <f>CONCATENATE(Programme!C4285,Programme!D4285,Programme!E4285,Programme!F4285,Programme!G4285,Programme!H4285,Programme!I4285)</f>
        <v>&lt;/ValeurCellule&gt;</v>
      </c>
    </row>
    <row r="4285" spans="1:1" x14ac:dyDescent="0.2">
      <c r="A4285" s="1135" t="str">
        <f>CONCATENATE(Programme!C4286,Programme!D4286,Programme!E4286,Programme!F4286,Programme!G4286,Programme!H4286,Programme!I4286)</f>
        <v>&lt;ValeurCellule&gt;</v>
      </c>
    </row>
    <row r="4286" spans="1:1" x14ac:dyDescent="0.2">
      <c r="A4286" s="1135" t="str">
        <f>CONCATENATE(Programme!C4287,Programme!D4287,Programme!E4287,Programme!F4287,Programme!G4287,Programme!H4287,Programme!I4287)</f>
        <v>&lt;cellule&gt;</v>
      </c>
    </row>
    <row r="4287" spans="1:1" x14ac:dyDescent="0.2">
      <c r="A4287" s="1135" t="str">
        <f>CONCATENATE(Programme!C4288,Programme!D4288,Programme!E4288,Programme!F4288,Programme!G4288,Programme!H4288,Programme!I4288)</f>
        <v>&lt;codeEdi&gt;1034&lt;/codeEdi&gt;</v>
      </c>
    </row>
    <row r="4288" spans="1:1" x14ac:dyDescent="0.2">
      <c r="A4288" s="1135" t="str">
        <f>CONCATENATE(Programme!C4289,Programme!D4289,Programme!E4289,Programme!F4289,Programme!G4289,Programme!H4289,Programme!I4289)</f>
        <v>&lt;/cellule&gt;</v>
      </c>
    </row>
    <row r="4289" spans="1:1" x14ac:dyDescent="0.2">
      <c r="A4289" s="1135" t="str">
        <f>CONCATENATE(Programme!C4290,Programme!D4290,Programme!E4290,Programme!F4290,Programme!G4290,Programme!H4290,Programme!I4290)</f>
        <v>&lt;valeur&gt;0&lt;/valeur&gt;</v>
      </c>
    </row>
    <row r="4290" spans="1:1" x14ac:dyDescent="0.2">
      <c r="A4290" s="1135" t="str">
        <f>CONCATENATE(Programme!C4291,Programme!D4291,Programme!E4291,Programme!F4291,Programme!G4291,Programme!H4291,Programme!I4291)</f>
        <v>&lt;/ValeurCellule&gt;</v>
      </c>
    </row>
    <row r="4291" spans="1:1" x14ac:dyDescent="0.2">
      <c r="A4291" s="1135" t="str">
        <f>CONCATENATE(Programme!C4292,Programme!D4292,Programme!E4292,Programme!F4292,Programme!G4292,Programme!H4292,Programme!I4292)</f>
        <v>&lt;ValeurCellule&gt;</v>
      </c>
    </row>
    <row r="4292" spans="1:1" x14ac:dyDescent="0.2">
      <c r="A4292" s="1135" t="str">
        <f>CONCATENATE(Programme!C4293,Programme!D4293,Programme!E4293,Programme!F4293,Programme!G4293,Programme!H4293,Programme!I4293)</f>
        <v>&lt;cellule&gt;</v>
      </c>
    </row>
    <row r="4293" spans="1:1" x14ac:dyDescent="0.2">
      <c r="A4293" s="1135" t="str">
        <f>CONCATENATE(Programme!C4294,Programme!D4294,Programme!E4294,Programme!F4294,Programme!G4294,Programme!H4294,Programme!I4294)</f>
        <v>&lt;codeEdi&gt;1035&lt;/codeEdi&gt;</v>
      </c>
    </row>
    <row r="4294" spans="1:1" x14ac:dyDescent="0.2">
      <c r="A4294" s="1135" t="str">
        <f>CONCATENATE(Programme!C4295,Programme!D4295,Programme!E4295,Programme!F4295,Programme!G4295,Programme!H4295,Programme!I4295)</f>
        <v>&lt;/cellule&gt;</v>
      </c>
    </row>
    <row r="4295" spans="1:1" x14ac:dyDescent="0.2">
      <c r="A4295" s="1135" t="str">
        <f>CONCATENATE(Programme!C4296,Programme!D4296,Programme!E4296,Programme!F4296,Programme!G4296,Programme!H4296,Programme!I4296)</f>
        <v>&lt;valeur&gt;0&lt;/valeur&gt;</v>
      </c>
    </row>
    <row r="4296" spans="1:1" x14ac:dyDescent="0.2">
      <c r="A4296" s="1135" t="str">
        <f>CONCATENATE(Programme!C4297,Programme!D4297,Programme!E4297,Programme!F4297,Programme!G4297,Programme!H4297,Programme!I4297)</f>
        <v>&lt;/ValeurCellule&gt;</v>
      </c>
    </row>
    <row r="4297" spans="1:1" x14ac:dyDescent="0.2">
      <c r="A4297" s="1135" t="str">
        <f>CONCATENATE(Programme!C4298,Programme!D4298,Programme!E4298,Programme!F4298,Programme!G4298,Programme!H4298,Programme!I4298)</f>
        <v>&lt;ValeurCellule&gt;</v>
      </c>
    </row>
    <row r="4298" spans="1:1" x14ac:dyDescent="0.2">
      <c r="A4298" s="1135" t="str">
        <f>CONCATENATE(Programme!C4299,Programme!D4299,Programme!E4299,Programme!F4299,Programme!G4299,Programme!H4299,Programme!I4299)</f>
        <v>&lt;cellule&gt;</v>
      </c>
    </row>
    <row r="4299" spans="1:1" x14ac:dyDescent="0.2">
      <c r="A4299" s="1135" t="str">
        <f>CONCATENATE(Programme!C4300,Programme!D4300,Programme!E4300,Programme!F4300,Programme!G4300,Programme!H4300,Programme!I4300)</f>
        <v>&lt;codeEdi&gt;10086&lt;/codeEdi&gt;</v>
      </c>
    </row>
    <row r="4300" spans="1:1" x14ac:dyDescent="0.2">
      <c r="A4300" s="1135" t="str">
        <f>CONCATENATE(Programme!C4301,Programme!D4301,Programme!E4301,Programme!F4301,Programme!G4301,Programme!H4301,Programme!I4301)</f>
        <v>&lt;/cellule&gt;</v>
      </c>
    </row>
    <row r="4301" spans="1:1" x14ac:dyDescent="0.2">
      <c r="A4301" s="1135" t="str">
        <f>CONCATENATE(Programme!C4302,Programme!D4302,Programme!E4302,Programme!F4302,Programme!G4302,Programme!H4302,Programme!I4302)</f>
        <v>&lt;valeur&gt;0&lt;/valeur&gt;</v>
      </c>
    </row>
    <row r="4302" spans="1:1" x14ac:dyDescent="0.2">
      <c r="A4302" s="1135" t="str">
        <f>CONCATENATE(Programme!C4303,Programme!D4303,Programme!E4303,Programme!F4303,Programme!G4303,Programme!H4303,Programme!I4303)</f>
        <v>&lt;/ValeurCellule&gt;</v>
      </c>
    </row>
    <row r="4303" spans="1:1" x14ac:dyDescent="0.2">
      <c r="A4303" s="1135" t="str">
        <f>CONCATENATE(Programme!C4304,Programme!D4304,Programme!E4304,Programme!F4304,Programme!G4304,Programme!H4304,Programme!I4304)</f>
        <v>&lt;ValeurCellule&gt;</v>
      </c>
    </row>
    <row r="4304" spans="1:1" x14ac:dyDescent="0.2">
      <c r="A4304" s="1135" t="str">
        <f>CONCATENATE(Programme!C4305,Programme!D4305,Programme!E4305,Programme!F4305,Programme!G4305,Programme!H4305,Programme!I4305)</f>
        <v>&lt;cellule&gt;</v>
      </c>
    </row>
    <row r="4305" spans="1:1" x14ac:dyDescent="0.2">
      <c r="A4305" s="1135" t="str">
        <f>CONCATENATE(Programme!C4306,Programme!D4306,Programme!E4306,Programme!F4306,Programme!G4306,Programme!H4306,Programme!I4306)</f>
        <v>&lt;codeEdi&gt;12601&lt;/codeEdi&gt;</v>
      </c>
    </row>
    <row r="4306" spans="1:1" x14ac:dyDescent="0.2">
      <c r="A4306" s="1135" t="str">
        <f>CONCATENATE(Programme!C4307,Programme!D4307,Programme!E4307,Programme!F4307,Programme!G4307,Programme!H4307,Programme!I4307)</f>
        <v>&lt;/cellule&gt;</v>
      </c>
    </row>
    <row r="4307" spans="1:1" x14ac:dyDescent="0.2">
      <c r="A4307" s="1135" t="str">
        <f>CONCATENATE(Programme!C4308,Programme!D4308,Programme!E4308,Programme!F4308,Programme!G4308,Programme!H4308,Programme!I4308)</f>
        <v>&lt;valeur&gt;0&lt;/valeur&gt;</v>
      </c>
    </row>
    <row r="4308" spans="1:1" x14ac:dyDescent="0.2">
      <c r="A4308" s="1135" t="str">
        <f>CONCATENATE(Programme!C4309,Programme!D4309,Programme!E4309,Programme!F4309,Programme!G4309,Programme!H4309,Programme!I4309)</f>
        <v>&lt;/ValeurCellule&gt;</v>
      </c>
    </row>
    <row r="4309" spans="1:1" x14ac:dyDescent="0.2">
      <c r="A4309" s="1135" t="str">
        <f>CONCATENATE(Programme!C4310,Programme!D4310,Programme!E4310,Programme!F4310,Programme!G4310,Programme!H4310,Programme!I4310)</f>
        <v>&lt;ValeurCellule&gt;</v>
      </c>
    </row>
    <row r="4310" spans="1:1" x14ac:dyDescent="0.2">
      <c r="A4310" s="1135" t="str">
        <f>CONCATENATE(Programme!C4311,Programme!D4311,Programme!E4311,Programme!F4311,Programme!G4311,Programme!H4311,Programme!I4311)</f>
        <v>&lt;cellule&gt;</v>
      </c>
    </row>
    <row r="4311" spans="1:1" x14ac:dyDescent="0.2">
      <c r="A4311" s="1135" t="str">
        <f>CONCATENATE(Programme!C4312,Programme!D4312,Programme!E4312,Programme!F4312,Programme!G4312,Programme!H4312,Programme!I4312)</f>
        <v>&lt;codeEdi&gt;1043&lt;/codeEdi&gt;</v>
      </c>
    </row>
    <row r="4312" spans="1:1" x14ac:dyDescent="0.2">
      <c r="A4312" s="1135" t="str">
        <f>CONCATENATE(Programme!C4313,Programme!D4313,Programme!E4313,Programme!F4313,Programme!G4313,Programme!H4313,Programme!I4313)</f>
        <v>&lt;/cellule&gt;</v>
      </c>
    </row>
    <row r="4313" spans="1:1" x14ac:dyDescent="0.2">
      <c r="A4313" s="1135" t="str">
        <f>CONCATENATE(Programme!C4314,Programme!D4314,Programme!E4314,Programme!F4314,Programme!G4314,Programme!H4314,Programme!I4314)</f>
        <v>&lt;valeur&gt;0&lt;/valeur&gt;</v>
      </c>
    </row>
    <row r="4314" spans="1:1" x14ac:dyDescent="0.2">
      <c r="A4314" s="1135" t="str">
        <f>CONCATENATE(Programme!C4315,Programme!D4315,Programme!E4315,Programme!F4315,Programme!G4315,Programme!H4315,Programme!I4315)</f>
        <v>&lt;/ValeurCellule&gt;</v>
      </c>
    </row>
    <row r="4315" spans="1:1" x14ac:dyDescent="0.2">
      <c r="A4315" s="1135" t="str">
        <f>CONCATENATE(Programme!C4316,Programme!D4316,Programme!E4316,Programme!F4316,Programme!G4316,Programme!H4316,Programme!I4316)</f>
        <v>&lt;ValeurCellule&gt;</v>
      </c>
    </row>
    <row r="4316" spans="1:1" x14ac:dyDescent="0.2">
      <c r="A4316" s="1135" t="str">
        <f>CONCATENATE(Programme!C4317,Programme!D4317,Programme!E4317,Programme!F4317,Programme!G4317,Programme!H4317,Programme!I4317)</f>
        <v>&lt;cellule&gt;</v>
      </c>
    </row>
    <row r="4317" spans="1:1" x14ac:dyDescent="0.2">
      <c r="A4317" s="1135" t="str">
        <f>CONCATENATE(Programme!C4318,Programme!D4318,Programme!E4318,Programme!F4318,Programme!G4318,Programme!H4318,Programme!I4318)</f>
        <v>&lt;codeEdi&gt;1044&lt;/codeEdi&gt;</v>
      </c>
    </row>
    <row r="4318" spans="1:1" x14ac:dyDescent="0.2">
      <c r="A4318" s="1135" t="str">
        <f>CONCATENATE(Programme!C4319,Programme!D4319,Programme!E4319,Programme!F4319,Programme!G4319,Programme!H4319,Programme!I4319)</f>
        <v>&lt;/cellule&gt;</v>
      </c>
    </row>
    <row r="4319" spans="1:1" x14ac:dyDescent="0.2">
      <c r="A4319" s="1135" t="str">
        <f>CONCATENATE(Programme!C4320,Programme!D4320,Programme!E4320,Programme!F4320,Programme!G4320,Programme!H4320,Programme!I4320)</f>
        <v>&lt;valeur&gt;0&lt;/valeur&gt;</v>
      </c>
    </row>
    <row r="4320" spans="1:1" x14ac:dyDescent="0.2">
      <c r="A4320" s="1135" t="str">
        <f>CONCATENATE(Programme!C4321,Programme!D4321,Programme!E4321,Programme!F4321,Programme!G4321,Programme!H4321,Programme!I4321)</f>
        <v>&lt;/ValeurCellule&gt;</v>
      </c>
    </row>
    <row r="4321" spans="1:1" x14ac:dyDescent="0.2">
      <c r="A4321" s="1135" t="str">
        <f>CONCATENATE(Programme!C4322,Programme!D4322,Programme!E4322,Programme!F4322,Programme!G4322,Programme!H4322,Programme!I4322)</f>
        <v>&lt;ValeurCellule&gt;</v>
      </c>
    </row>
    <row r="4322" spans="1:1" x14ac:dyDescent="0.2">
      <c r="A4322" s="1135" t="str">
        <f>CONCATENATE(Programme!C4323,Programme!D4323,Programme!E4323,Programme!F4323,Programme!G4323,Programme!H4323,Programme!I4323)</f>
        <v>&lt;cellule&gt;</v>
      </c>
    </row>
    <row r="4323" spans="1:1" x14ac:dyDescent="0.2">
      <c r="A4323" s="1135" t="str">
        <f>CONCATENATE(Programme!C4324,Programme!D4324,Programme!E4324,Programme!F4324,Programme!G4324,Programme!H4324,Programme!I4324)</f>
        <v>&lt;codeEdi&gt;1045&lt;/codeEdi&gt;</v>
      </c>
    </row>
    <row r="4324" spans="1:1" x14ac:dyDescent="0.2">
      <c r="A4324" s="1135" t="str">
        <f>CONCATENATE(Programme!C4325,Programme!D4325,Programme!E4325,Programme!F4325,Programme!G4325,Programme!H4325,Programme!I4325)</f>
        <v>&lt;/cellule&gt;</v>
      </c>
    </row>
    <row r="4325" spans="1:1" x14ac:dyDescent="0.2">
      <c r="A4325" s="1135" t="str">
        <f>CONCATENATE(Programme!C4326,Programme!D4326,Programme!E4326,Programme!F4326,Programme!G4326,Programme!H4326,Programme!I4326)</f>
        <v>&lt;valeur&gt;0&lt;/valeur&gt;</v>
      </c>
    </row>
    <row r="4326" spans="1:1" x14ac:dyDescent="0.2">
      <c r="A4326" s="1135" t="str">
        <f>CONCATENATE(Programme!C4327,Programme!D4327,Programme!E4327,Programme!F4327,Programme!G4327,Programme!H4327,Programme!I4327)</f>
        <v>&lt;/ValeurCellule&gt;</v>
      </c>
    </row>
    <row r="4327" spans="1:1" x14ac:dyDescent="0.2">
      <c r="A4327" s="1135" t="str">
        <f>CONCATENATE(Programme!C4328,Programme!D4328,Programme!E4328,Programme!F4328,Programme!G4328,Programme!H4328,Programme!I4328)</f>
        <v>&lt;ValeurCellule&gt;</v>
      </c>
    </row>
    <row r="4328" spans="1:1" x14ac:dyDescent="0.2">
      <c r="A4328" s="1135" t="str">
        <f>CONCATENATE(Programme!C4329,Programme!D4329,Programme!E4329,Programme!F4329,Programme!G4329,Programme!H4329,Programme!I4329)</f>
        <v>&lt;cellule&gt;</v>
      </c>
    </row>
    <row r="4329" spans="1:1" x14ac:dyDescent="0.2">
      <c r="A4329" s="1135" t="str">
        <f>CONCATENATE(Programme!C4330,Programme!D4330,Programme!E4330,Programme!F4330,Programme!G4330,Programme!H4330,Programme!I4330)</f>
        <v>&lt;codeEdi&gt;1046&lt;/codeEdi&gt;</v>
      </c>
    </row>
    <row r="4330" spans="1:1" x14ac:dyDescent="0.2">
      <c r="A4330" s="1135" t="str">
        <f>CONCATENATE(Programme!C4331,Programme!D4331,Programme!E4331,Programme!F4331,Programme!G4331,Programme!H4331,Programme!I4331)</f>
        <v>&lt;/cellule&gt;</v>
      </c>
    </row>
    <row r="4331" spans="1:1" x14ac:dyDescent="0.2">
      <c r="A4331" s="1135" t="str">
        <f>CONCATENATE(Programme!C4332,Programme!D4332,Programme!E4332,Programme!F4332,Programme!G4332,Programme!H4332,Programme!I4332)</f>
        <v>&lt;valeur&gt;0&lt;/valeur&gt;</v>
      </c>
    </row>
    <row r="4332" spans="1:1" x14ac:dyDescent="0.2">
      <c r="A4332" s="1135" t="str">
        <f>CONCATENATE(Programme!C4333,Programme!D4333,Programme!E4333,Programme!F4333,Programme!G4333,Programme!H4333,Programme!I4333)</f>
        <v>&lt;/ValeurCellule&gt;</v>
      </c>
    </row>
    <row r="4333" spans="1:1" x14ac:dyDescent="0.2">
      <c r="A4333" s="1135" t="str">
        <f>CONCATENATE(Programme!C4334,Programme!D4334,Programme!E4334,Programme!F4334,Programme!G4334,Programme!H4334,Programme!I4334)</f>
        <v>&lt;ValeurCellule&gt;</v>
      </c>
    </row>
    <row r="4334" spans="1:1" x14ac:dyDescent="0.2">
      <c r="A4334" s="1135" t="str">
        <f>CONCATENATE(Programme!C4335,Programme!D4335,Programme!E4335,Programme!F4335,Programme!G4335,Programme!H4335,Programme!I4335)</f>
        <v>&lt;cellule&gt;</v>
      </c>
    </row>
    <row r="4335" spans="1:1" x14ac:dyDescent="0.2">
      <c r="A4335" s="1135" t="str">
        <f>CONCATENATE(Programme!C4336,Programme!D4336,Programme!E4336,Programme!F4336,Programme!G4336,Programme!H4336,Programme!I4336)</f>
        <v>&lt;codeEdi&gt;1047&lt;/codeEdi&gt;</v>
      </c>
    </row>
    <row r="4336" spans="1:1" x14ac:dyDescent="0.2">
      <c r="A4336" s="1135" t="str">
        <f>CONCATENATE(Programme!C4337,Programme!D4337,Programme!E4337,Programme!F4337,Programme!G4337,Programme!H4337,Programme!I4337)</f>
        <v>&lt;/cellule&gt;</v>
      </c>
    </row>
    <row r="4337" spans="1:1" x14ac:dyDescent="0.2">
      <c r="A4337" s="1135" t="str">
        <f>CONCATENATE(Programme!C4338,Programme!D4338,Programme!E4338,Programme!F4338,Programme!G4338,Programme!H4338,Programme!I4338)</f>
        <v>&lt;valeur&gt;0&lt;/valeur&gt;</v>
      </c>
    </row>
    <row r="4338" spans="1:1" x14ac:dyDescent="0.2">
      <c r="A4338" s="1135" t="str">
        <f>CONCATENATE(Programme!C4339,Programme!D4339,Programme!E4339,Programme!F4339,Programme!G4339,Programme!H4339,Programme!I4339)</f>
        <v>&lt;/ValeurCellule&gt;</v>
      </c>
    </row>
    <row r="4339" spans="1:1" x14ac:dyDescent="0.2">
      <c r="A4339" s="1135" t="str">
        <f>CONCATENATE(Programme!C4340,Programme!D4340,Programme!E4340,Programme!F4340,Programme!G4340,Programme!H4340,Programme!I4340)</f>
        <v>&lt;ValeurCellule&gt;</v>
      </c>
    </row>
    <row r="4340" spans="1:1" x14ac:dyDescent="0.2">
      <c r="A4340" s="1135" t="str">
        <f>CONCATENATE(Programme!C4341,Programme!D4341,Programme!E4341,Programme!F4341,Programme!G4341,Programme!H4341,Programme!I4341)</f>
        <v>&lt;cellule&gt;</v>
      </c>
    </row>
    <row r="4341" spans="1:1" x14ac:dyDescent="0.2">
      <c r="A4341" s="1135" t="str">
        <f>CONCATENATE(Programme!C4342,Programme!D4342,Programme!E4342,Programme!F4342,Programme!G4342,Programme!H4342,Programme!I4342)</f>
        <v>&lt;codeEdi&gt;1048&lt;/codeEdi&gt;</v>
      </c>
    </row>
    <row r="4342" spans="1:1" x14ac:dyDescent="0.2">
      <c r="A4342" s="1135" t="str">
        <f>CONCATENATE(Programme!C4343,Programme!D4343,Programme!E4343,Programme!F4343,Programme!G4343,Programme!H4343,Programme!I4343)</f>
        <v>&lt;/cellule&gt;</v>
      </c>
    </row>
    <row r="4343" spans="1:1" x14ac:dyDescent="0.2">
      <c r="A4343" s="1135" t="str">
        <f>CONCATENATE(Programme!C4344,Programme!D4344,Programme!E4344,Programme!F4344,Programme!G4344,Programme!H4344,Programme!I4344)</f>
        <v>&lt;valeur&gt;0&lt;/valeur&gt;</v>
      </c>
    </row>
    <row r="4344" spans="1:1" x14ac:dyDescent="0.2">
      <c r="A4344" s="1135" t="str">
        <f>CONCATENATE(Programme!C4345,Programme!D4345,Programme!E4345,Programme!F4345,Programme!G4345,Programme!H4345,Programme!I4345)</f>
        <v>&lt;/ValeurCellule&gt;</v>
      </c>
    </row>
    <row r="4345" spans="1:1" x14ac:dyDescent="0.2">
      <c r="A4345" s="1135" t="str">
        <f>CONCATENATE(Programme!C4346,Programme!D4346,Programme!E4346,Programme!F4346,Programme!G4346,Programme!H4346,Programme!I4346)</f>
        <v>&lt;ValeurCellule&gt;</v>
      </c>
    </row>
    <row r="4346" spans="1:1" x14ac:dyDescent="0.2">
      <c r="A4346" s="1135" t="str">
        <f>CONCATENATE(Programme!C4347,Programme!D4347,Programme!E4347,Programme!F4347,Programme!G4347,Programme!H4347,Programme!I4347)</f>
        <v>&lt;cellule&gt;</v>
      </c>
    </row>
    <row r="4347" spans="1:1" x14ac:dyDescent="0.2">
      <c r="A4347" s="1135" t="str">
        <f>CONCATENATE(Programme!C4348,Programme!D4348,Programme!E4348,Programme!F4348,Programme!G4348,Programme!H4348,Programme!I4348)</f>
        <v>&lt;codeEdi&gt;1049&lt;/codeEdi&gt;</v>
      </c>
    </row>
    <row r="4348" spans="1:1" x14ac:dyDescent="0.2">
      <c r="A4348" s="1135" t="str">
        <f>CONCATENATE(Programme!C4349,Programme!D4349,Programme!E4349,Programme!F4349,Programme!G4349,Programme!H4349,Programme!I4349)</f>
        <v>&lt;/cellule&gt;</v>
      </c>
    </row>
    <row r="4349" spans="1:1" x14ac:dyDescent="0.2">
      <c r="A4349" s="1135" t="str">
        <f>CONCATENATE(Programme!C4350,Programme!D4350,Programme!E4350,Programme!F4350,Programme!G4350,Programme!H4350,Programme!I4350)</f>
        <v>&lt;valeur&gt;0&lt;/valeur&gt;</v>
      </c>
    </row>
    <row r="4350" spans="1:1" x14ac:dyDescent="0.2">
      <c r="A4350" s="1135" t="str">
        <f>CONCATENATE(Programme!C4351,Programme!D4351,Programme!E4351,Programme!F4351,Programme!G4351,Programme!H4351,Programme!I4351)</f>
        <v>&lt;/ValeurCellule&gt;</v>
      </c>
    </row>
    <row r="4351" spans="1:1" x14ac:dyDescent="0.2">
      <c r="A4351" s="1135" t="str">
        <f>CONCATENATE(Programme!C4352,Programme!D4352,Programme!E4352,Programme!F4352,Programme!G4352,Programme!H4352,Programme!I4352)</f>
        <v>&lt;ValeurCellule&gt;</v>
      </c>
    </row>
    <row r="4352" spans="1:1" x14ac:dyDescent="0.2">
      <c r="A4352" s="1135" t="str">
        <f>CONCATENATE(Programme!C4353,Programme!D4353,Programme!E4353,Programme!F4353,Programme!G4353,Programme!H4353,Programme!I4353)</f>
        <v>&lt;cellule&gt;</v>
      </c>
    </row>
    <row r="4353" spans="1:1" x14ac:dyDescent="0.2">
      <c r="A4353" s="1135" t="str">
        <f>CONCATENATE(Programme!C4354,Programme!D4354,Programme!E4354,Programme!F4354,Programme!G4354,Programme!H4354,Programme!I4354)</f>
        <v>&lt;codeEdi&gt;10087&lt;/codeEdi&gt;</v>
      </c>
    </row>
    <row r="4354" spans="1:1" x14ac:dyDescent="0.2">
      <c r="A4354" s="1135" t="str">
        <f>CONCATENATE(Programme!C4355,Programme!D4355,Programme!E4355,Programme!F4355,Programme!G4355,Programme!H4355,Programme!I4355)</f>
        <v>&lt;/cellule&gt;</v>
      </c>
    </row>
    <row r="4355" spans="1:1" x14ac:dyDescent="0.2">
      <c r="A4355" s="1135" t="str">
        <f>CONCATENATE(Programme!C4356,Programme!D4356,Programme!E4356,Programme!F4356,Programme!G4356,Programme!H4356,Programme!I4356)</f>
        <v>&lt;valeur&gt;0&lt;/valeur&gt;</v>
      </c>
    </row>
    <row r="4356" spans="1:1" x14ac:dyDescent="0.2">
      <c r="A4356" s="1135" t="str">
        <f>CONCATENATE(Programme!C4357,Programme!D4357,Programme!E4357,Programme!F4357,Programme!G4357,Programme!H4357,Programme!I4357)</f>
        <v>&lt;/ValeurCellule&gt;</v>
      </c>
    </row>
    <row r="4357" spans="1:1" x14ac:dyDescent="0.2">
      <c r="A4357" s="1135" t="str">
        <f>CONCATENATE(Programme!C4358,Programme!D4358,Programme!E4358,Programme!F4358,Programme!G4358,Programme!H4358,Programme!I4358)</f>
        <v>&lt;ValeurCellule&gt;</v>
      </c>
    </row>
    <row r="4358" spans="1:1" x14ac:dyDescent="0.2">
      <c r="A4358" s="1135" t="str">
        <f>CONCATENATE(Programme!C4359,Programme!D4359,Programme!E4359,Programme!F4359,Programme!G4359,Programme!H4359,Programme!I4359)</f>
        <v>&lt;cellule&gt;</v>
      </c>
    </row>
    <row r="4359" spans="1:1" x14ac:dyDescent="0.2">
      <c r="A4359" s="1135" t="str">
        <f>CONCATENATE(Programme!C4360,Programme!D4360,Programme!E4360,Programme!F4360,Programme!G4360,Programme!H4360,Programme!I4360)</f>
        <v>&lt;codeEdi&gt;12602&lt;/codeEdi&gt;</v>
      </c>
    </row>
    <row r="4360" spans="1:1" x14ac:dyDescent="0.2">
      <c r="A4360" s="1135" t="str">
        <f>CONCATENATE(Programme!C4361,Programme!D4361,Programme!E4361,Programme!F4361,Programme!G4361,Programme!H4361,Programme!I4361)</f>
        <v>&lt;/cellule&gt;</v>
      </c>
    </row>
    <row r="4361" spans="1:1" x14ac:dyDescent="0.2">
      <c r="A4361" s="1135" t="str">
        <f>CONCATENATE(Programme!C4362,Programme!D4362,Programme!E4362,Programme!F4362,Programme!G4362,Programme!H4362,Programme!I4362)</f>
        <v>&lt;valeur&gt;0&lt;/valeur&gt;</v>
      </c>
    </row>
    <row r="4362" spans="1:1" x14ac:dyDescent="0.2">
      <c r="A4362" s="1135" t="str">
        <f>CONCATENATE(Programme!C4363,Programme!D4363,Programme!E4363,Programme!F4363,Programme!G4363,Programme!H4363,Programme!I4363)</f>
        <v>&lt;/ValeurCellule&gt;</v>
      </c>
    </row>
    <row r="4363" spans="1:1" x14ac:dyDescent="0.2">
      <c r="A4363" s="1135" t="str">
        <f>CONCATENATE(Programme!C4364,Programme!D4364,Programme!E4364,Programme!F4364,Programme!G4364,Programme!H4364,Programme!I4364)</f>
        <v>&lt;ValeurCellule&gt;</v>
      </c>
    </row>
    <row r="4364" spans="1:1" x14ac:dyDescent="0.2">
      <c r="A4364" s="1135" t="str">
        <f>CONCATENATE(Programme!C4365,Programme!D4365,Programme!E4365,Programme!F4365,Programme!G4365,Programme!H4365,Programme!I4365)</f>
        <v>&lt;cellule&gt;</v>
      </c>
    </row>
    <row r="4365" spans="1:1" x14ac:dyDescent="0.2">
      <c r="A4365" s="1135" t="str">
        <f>CONCATENATE(Programme!C4366,Programme!D4366,Programme!E4366,Programme!F4366,Programme!G4366,Programme!H4366,Programme!I4366)</f>
        <v>&lt;codeEdi&gt;1057&lt;/codeEdi&gt;</v>
      </c>
    </row>
    <row r="4366" spans="1:1" x14ac:dyDescent="0.2">
      <c r="A4366" s="1135" t="str">
        <f>CONCATENATE(Programme!C4367,Programme!D4367,Programme!E4367,Programme!F4367,Programme!G4367,Programme!H4367,Programme!I4367)</f>
        <v>&lt;/cellule&gt;</v>
      </c>
    </row>
    <row r="4367" spans="1:1" x14ac:dyDescent="0.2">
      <c r="A4367" s="1135" t="str">
        <f>CONCATENATE(Programme!C4368,Programme!D4368,Programme!E4368,Programme!F4368,Programme!G4368,Programme!H4368,Programme!I4368)</f>
        <v>&lt;valeur&gt;0&lt;/valeur&gt;</v>
      </c>
    </row>
    <row r="4368" spans="1:1" x14ac:dyDescent="0.2">
      <c r="A4368" s="1135" t="str">
        <f>CONCATENATE(Programme!C4369,Programme!D4369,Programme!E4369,Programme!F4369,Programme!G4369,Programme!H4369,Programme!I4369)</f>
        <v>&lt;/ValeurCellule&gt;</v>
      </c>
    </row>
    <row r="4369" spans="1:1" x14ac:dyDescent="0.2">
      <c r="A4369" s="1135" t="str">
        <f>CONCATENATE(Programme!C4370,Programme!D4370,Programme!E4370,Programme!F4370,Programme!G4370,Programme!H4370,Programme!I4370)</f>
        <v>&lt;ValeurCellule&gt;</v>
      </c>
    </row>
    <row r="4370" spans="1:1" x14ac:dyDescent="0.2">
      <c r="A4370" s="1135" t="str">
        <f>CONCATENATE(Programme!C4371,Programme!D4371,Programme!E4371,Programme!F4371,Programme!G4371,Programme!H4371,Programme!I4371)</f>
        <v>&lt;cellule&gt;</v>
      </c>
    </row>
    <row r="4371" spans="1:1" x14ac:dyDescent="0.2">
      <c r="A4371" s="1135" t="str">
        <f>CONCATENATE(Programme!C4372,Programme!D4372,Programme!E4372,Programme!F4372,Programme!G4372,Programme!H4372,Programme!I4372)</f>
        <v>&lt;codeEdi&gt;1058&lt;/codeEdi&gt;</v>
      </c>
    </row>
    <row r="4372" spans="1:1" x14ac:dyDescent="0.2">
      <c r="A4372" s="1135" t="str">
        <f>CONCATENATE(Programme!C4373,Programme!D4373,Programme!E4373,Programme!F4373,Programme!G4373,Programme!H4373,Programme!I4373)</f>
        <v>&lt;/cellule&gt;</v>
      </c>
    </row>
    <row r="4373" spans="1:1" x14ac:dyDescent="0.2">
      <c r="A4373" s="1135" t="str">
        <f>CONCATENATE(Programme!C4374,Programme!D4374,Programme!E4374,Programme!F4374,Programme!G4374,Programme!H4374,Programme!I4374)</f>
        <v>&lt;valeur&gt;0&lt;/valeur&gt;</v>
      </c>
    </row>
    <row r="4374" spans="1:1" x14ac:dyDescent="0.2">
      <c r="A4374" s="1135" t="str">
        <f>CONCATENATE(Programme!C4375,Programme!D4375,Programme!E4375,Programme!F4375,Programme!G4375,Programme!H4375,Programme!I4375)</f>
        <v>&lt;/ValeurCellule&gt;</v>
      </c>
    </row>
    <row r="4375" spans="1:1" x14ac:dyDescent="0.2">
      <c r="A4375" s="1135" t="str">
        <f>CONCATENATE(Programme!C4376,Programme!D4376,Programme!E4376,Programme!F4376,Programme!G4376,Programme!H4376,Programme!I4376)</f>
        <v>&lt;ValeurCellule&gt;</v>
      </c>
    </row>
    <row r="4376" spans="1:1" x14ac:dyDescent="0.2">
      <c r="A4376" s="1135" t="str">
        <f>CONCATENATE(Programme!C4377,Programme!D4377,Programme!E4377,Programme!F4377,Programme!G4377,Programme!H4377,Programme!I4377)</f>
        <v>&lt;cellule&gt;</v>
      </c>
    </row>
    <row r="4377" spans="1:1" x14ac:dyDescent="0.2">
      <c r="A4377" s="1135" t="str">
        <f>CONCATENATE(Programme!C4378,Programme!D4378,Programme!E4378,Programme!F4378,Programme!G4378,Programme!H4378,Programme!I4378)</f>
        <v>&lt;codeEdi&gt;1059&lt;/codeEdi&gt;</v>
      </c>
    </row>
    <row r="4378" spans="1:1" x14ac:dyDescent="0.2">
      <c r="A4378" s="1135" t="str">
        <f>CONCATENATE(Programme!C4379,Programme!D4379,Programme!E4379,Programme!F4379,Programme!G4379,Programme!H4379,Programme!I4379)</f>
        <v>&lt;/cellule&gt;</v>
      </c>
    </row>
    <row r="4379" spans="1:1" x14ac:dyDescent="0.2">
      <c r="A4379" s="1135" t="str">
        <f>CONCATENATE(Programme!C4380,Programme!D4380,Programme!E4380,Programme!F4380,Programme!G4380,Programme!H4380,Programme!I4380)</f>
        <v>&lt;valeur&gt;0&lt;/valeur&gt;</v>
      </c>
    </row>
    <row r="4380" spans="1:1" x14ac:dyDescent="0.2">
      <c r="A4380" s="1135" t="str">
        <f>CONCATENATE(Programme!C4381,Programme!D4381,Programme!E4381,Programme!F4381,Programme!G4381,Programme!H4381,Programme!I4381)</f>
        <v>&lt;/ValeurCellule&gt;</v>
      </c>
    </row>
    <row r="4381" spans="1:1" x14ac:dyDescent="0.2">
      <c r="A4381" s="1135" t="str">
        <f>CONCATENATE(Programme!C4382,Programme!D4382,Programme!E4382,Programme!F4382,Programme!G4382,Programme!H4382,Programme!I4382)</f>
        <v>&lt;ValeurCellule&gt;</v>
      </c>
    </row>
    <row r="4382" spans="1:1" x14ac:dyDescent="0.2">
      <c r="A4382" s="1135" t="str">
        <f>CONCATENATE(Programme!C4383,Programme!D4383,Programme!E4383,Programme!F4383,Programme!G4383,Programme!H4383,Programme!I4383)</f>
        <v>&lt;cellule&gt;</v>
      </c>
    </row>
    <row r="4383" spans="1:1" x14ac:dyDescent="0.2">
      <c r="A4383" s="1135" t="str">
        <f>CONCATENATE(Programme!C4384,Programme!D4384,Programme!E4384,Programme!F4384,Programme!G4384,Programme!H4384,Programme!I4384)</f>
        <v>&lt;codeEdi&gt;1060&lt;/codeEdi&gt;</v>
      </c>
    </row>
    <row r="4384" spans="1:1" x14ac:dyDescent="0.2">
      <c r="A4384" s="1135" t="str">
        <f>CONCATENATE(Programme!C4385,Programme!D4385,Programme!E4385,Programme!F4385,Programme!G4385,Programme!H4385,Programme!I4385)</f>
        <v>&lt;/cellule&gt;</v>
      </c>
    </row>
    <row r="4385" spans="1:1" x14ac:dyDescent="0.2">
      <c r="A4385" s="1135" t="str">
        <f>CONCATENATE(Programme!C4386,Programme!D4386,Programme!E4386,Programme!F4386,Programme!G4386,Programme!H4386,Programme!I4386)</f>
        <v>&lt;valeur&gt;0&lt;/valeur&gt;</v>
      </c>
    </row>
    <row r="4386" spans="1:1" x14ac:dyDescent="0.2">
      <c r="A4386" s="1135" t="str">
        <f>CONCATENATE(Programme!C4387,Programme!D4387,Programme!E4387,Programme!F4387,Programme!G4387,Programme!H4387,Programme!I4387)</f>
        <v>&lt;/ValeurCellule&gt;</v>
      </c>
    </row>
    <row r="4387" spans="1:1" x14ac:dyDescent="0.2">
      <c r="A4387" s="1135" t="str">
        <f>CONCATENATE(Programme!C4388,Programme!D4388,Programme!E4388,Programme!F4388,Programme!G4388,Programme!H4388,Programme!I4388)</f>
        <v>&lt;ValeurCellule&gt;</v>
      </c>
    </row>
    <row r="4388" spans="1:1" x14ac:dyDescent="0.2">
      <c r="A4388" s="1135" t="str">
        <f>CONCATENATE(Programme!C4389,Programme!D4389,Programme!E4389,Programme!F4389,Programme!G4389,Programme!H4389,Programme!I4389)</f>
        <v>&lt;cellule&gt;</v>
      </c>
    </row>
    <row r="4389" spans="1:1" x14ac:dyDescent="0.2">
      <c r="A4389" s="1135" t="str">
        <f>CONCATENATE(Programme!C4390,Programme!D4390,Programme!E4390,Programme!F4390,Programme!G4390,Programme!H4390,Programme!I4390)</f>
        <v>&lt;codeEdi&gt;1061&lt;/codeEdi&gt;</v>
      </c>
    </row>
    <row r="4390" spans="1:1" x14ac:dyDescent="0.2">
      <c r="A4390" s="1135" t="str">
        <f>CONCATENATE(Programme!C4391,Programme!D4391,Programme!E4391,Programme!F4391,Programme!G4391,Programme!H4391,Programme!I4391)</f>
        <v>&lt;/cellule&gt;</v>
      </c>
    </row>
    <row r="4391" spans="1:1" x14ac:dyDescent="0.2">
      <c r="A4391" s="1135" t="str">
        <f>CONCATENATE(Programme!C4392,Programme!D4392,Programme!E4392,Programme!F4392,Programme!G4392,Programme!H4392,Programme!I4392)</f>
        <v>&lt;valeur&gt;0&lt;/valeur&gt;</v>
      </c>
    </row>
    <row r="4392" spans="1:1" x14ac:dyDescent="0.2">
      <c r="A4392" s="1135" t="str">
        <f>CONCATENATE(Programme!C4393,Programme!D4393,Programme!E4393,Programme!F4393,Programme!G4393,Programme!H4393,Programme!I4393)</f>
        <v>&lt;/ValeurCellule&gt;</v>
      </c>
    </row>
    <row r="4393" spans="1:1" x14ac:dyDescent="0.2">
      <c r="A4393" s="1135" t="str">
        <f>CONCATENATE(Programme!C4394,Programme!D4394,Programme!E4394,Programme!F4394,Programme!G4394,Programme!H4394,Programme!I4394)</f>
        <v>&lt;ValeurCellule&gt;</v>
      </c>
    </row>
    <row r="4394" spans="1:1" x14ac:dyDescent="0.2">
      <c r="A4394" s="1135" t="str">
        <f>CONCATENATE(Programme!C4395,Programme!D4395,Programme!E4395,Programme!F4395,Programme!G4395,Programme!H4395,Programme!I4395)</f>
        <v>&lt;cellule&gt;</v>
      </c>
    </row>
    <row r="4395" spans="1:1" x14ac:dyDescent="0.2">
      <c r="A4395" s="1135" t="str">
        <f>CONCATENATE(Programme!C4396,Programme!D4396,Programme!E4396,Programme!F4396,Programme!G4396,Programme!H4396,Programme!I4396)</f>
        <v>&lt;codeEdi&gt;1062&lt;/codeEdi&gt;</v>
      </c>
    </row>
    <row r="4396" spans="1:1" x14ac:dyDescent="0.2">
      <c r="A4396" s="1135" t="str">
        <f>CONCATENATE(Programme!C4397,Programme!D4397,Programme!E4397,Programme!F4397,Programme!G4397,Programme!H4397,Programme!I4397)</f>
        <v>&lt;/cellule&gt;</v>
      </c>
    </row>
    <row r="4397" spans="1:1" x14ac:dyDescent="0.2">
      <c r="A4397" s="1135" t="str">
        <f>CONCATENATE(Programme!C4398,Programme!D4398,Programme!E4398,Programme!F4398,Programme!G4398,Programme!H4398,Programme!I4398)</f>
        <v>&lt;valeur&gt;0&lt;/valeur&gt;</v>
      </c>
    </row>
    <row r="4398" spans="1:1" x14ac:dyDescent="0.2">
      <c r="A4398" s="1135" t="str">
        <f>CONCATENATE(Programme!C4399,Programme!D4399,Programme!E4399,Programme!F4399,Programme!G4399,Programme!H4399,Programme!I4399)</f>
        <v>&lt;/ValeurCellule&gt;</v>
      </c>
    </row>
    <row r="4399" spans="1:1" x14ac:dyDescent="0.2">
      <c r="A4399" s="1135" t="str">
        <f>CONCATENATE(Programme!C4400,Programme!D4400,Programme!E4400,Programme!F4400,Programme!G4400,Programme!H4400,Programme!I4400)</f>
        <v>&lt;ValeurCellule&gt;</v>
      </c>
    </row>
    <row r="4400" spans="1:1" x14ac:dyDescent="0.2">
      <c r="A4400" s="1135" t="str">
        <f>CONCATENATE(Programme!C4401,Programme!D4401,Programme!E4401,Programme!F4401,Programme!G4401,Programme!H4401,Programme!I4401)</f>
        <v>&lt;cellule&gt;</v>
      </c>
    </row>
    <row r="4401" spans="1:1" x14ac:dyDescent="0.2">
      <c r="A4401" s="1135" t="str">
        <f>CONCATENATE(Programme!C4402,Programme!D4402,Programme!E4402,Programme!F4402,Programme!G4402,Programme!H4402,Programme!I4402)</f>
        <v>&lt;codeEdi&gt;1063&lt;/codeEdi&gt;</v>
      </c>
    </row>
    <row r="4402" spans="1:1" x14ac:dyDescent="0.2">
      <c r="A4402" s="1135" t="str">
        <f>CONCATENATE(Programme!C4403,Programme!D4403,Programme!E4403,Programme!F4403,Programme!G4403,Programme!H4403,Programme!I4403)</f>
        <v>&lt;/cellule&gt;</v>
      </c>
    </row>
    <row r="4403" spans="1:1" x14ac:dyDescent="0.2">
      <c r="A4403" s="1135" t="str">
        <f>CONCATENATE(Programme!C4404,Programme!D4404,Programme!E4404,Programme!F4404,Programme!G4404,Programme!H4404,Programme!I4404)</f>
        <v>&lt;valeur&gt;0&lt;/valeur&gt;</v>
      </c>
    </row>
    <row r="4404" spans="1:1" x14ac:dyDescent="0.2">
      <c r="A4404" s="1135" t="str">
        <f>CONCATENATE(Programme!C4405,Programme!D4405,Programme!E4405,Programme!F4405,Programme!G4405,Programme!H4405,Programme!I4405)</f>
        <v>&lt;/ValeurCellule&gt;</v>
      </c>
    </row>
    <row r="4405" spans="1:1" x14ac:dyDescent="0.2">
      <c r="A4405" s="1135" t="str">
        <f>CONCATENATE(Programme!C4406,Programme!D4406,Programme!E4406,Programme!F4406,Programme!G4406,Programme!H4406,Programme!I4406)</f>
        <v>&lt;ValeurCellule&gt;</v>
      </c>
    </row>
    <row r="4406" spans="1:1" x14ac:dyDescent="0.2">
      <c r="A4406" s="1135" t="str">
        <f>CONCATENATE(Programme!C4407,Programme!D4407,Programme!E4407,Programme!F4407,Programme!G4407,Programme!H4407,Programme!I4407)</f>
        <v>&lt;cellule&gt;</v>
      </c>
    </row>
    <row r="4407" spans="1:1" x14ac:dyDescent="0.2">
      <c r="A4407" s="1135" t="str">
        <f>CONCATENATE(Programme!C4408,Programme!D4408,Programme!E4408,Programme!F4408,Programme!G4408,Programme!H4408,Programme!I4408)</f>
        <v>&lt;codeEdi&gt;10088&lt;/codeEdi&gt;</v>
      </c>
    </row>
    <row r="4408" spans="1:1" x14ac:dyDescent="0.2">
      <c r="A4408" s="1135" t="str">
        <f>CONCATENATE(Programme!C4409,Programme!D4409,Programme!E4409,Programme!F4409,Programme!G4409,Programme!H4409,Programme!I4409)</f>
        <v>&lt;/cellule&gt;</v>
      </c>
    </row>
    <row r="4409" spans="1:1" x14ac:dyDescent="0.2">
      <c r="A4409" s="1135" t="str">
        <f>CONCATENATE(Programme!C4410,Programme!D4410,Programme!E4410,Programme!F4410,Programme!G4410,Programme!H4410,Programme!I4410)</f>
        <v>&lt;valeur&gt;0&lt;/valeur&gt;</v>
      </c>
    </row>
    <row r="4410" spans="1:1" x14ac:dyDescent="0.2">
      <c r="A4410" s="1135" t="str">
        <f>CONCATENATE(Programme!C4411,Programme!D4411,Programme!E4411,Programme!F4411,Programme!G4411,Programme!H4411,Programme!I4411)</f>
        <v>&lt;/ValeurCellule&gt;</v>
      </c>
    </row>
    <row r="4411" spans="1:1" x14ac:dyDescent="0.2">
      <c r="A4411" s="1135" t="str">
        <f>CONCATENATE(Programme!C4412,Programme!D4412,Programme!E4412,Programme!F4412,Programme!G4412,Programme!H4412,Programme!I4412)</f>
        <v>&lt;ValeurCellule&gt;</v>
      </c>
    </row>
    <row r="4412" spans="1:1" x14ac:dyDescent="0.2">
      <c r="A4412" s="1135" t="str">
        <f>CONCATENATE(Programme!C4413,Programme!D4413,Programme!E4413,Programme!F4413,Programme!G4413,Programme!H4413,Programme!I4413)</f>
        <v>&lt;cellule&gt;</v>
      </c>
    </row>
    <row r="4413" spans="1:1" x14ac:dyDescent="0.2">
      <c r="A4413" s="1135" t="str">
        <f>CONCATENATE(Programme!C4414,Programme!D4414,Programme!E4414,Programme!F4414,Programme!G4414,Programme!H4414,Programme!I4414)</f>
        <v>&lt;codeEdi&gt;12603&lt;/codeEdi&gt;</v>
      </c>
    </row>
    <row r="4414" spans="1:1" x14ac:dyDescent="0.2">
      <c r="A4414" s="1135" t="str">
        <f>CONCATENATE(Programme!C4415,Programme!D4415,Programme!E4415,Programme!F4415,Programme!G4415,Programme!H4415,Programme!I4415)</f>
        <v>&lt;/cellule&gt;</v>
      </c>
    </row>
    <row r="4415" spans="1:1" x14ac:dyDescent="0.2">
      <c r="A4415" s="1135" t="str">
        <f>CONCATENATE(Programme!C4416,Programme!D4416,Programme!E4416,Programme!F4416,Programme!G4416,Programme!H4416,Programme!I4416)</f>
        <v>&lt;valeur&gt;0&lt;/valeur&gt;</v>
      </c>
    </row>
    <row r="4416" spans="1:1" x14ac:dyDescent="0.2">
      <c r="A4416" s="1135" t="str">
        <f>CONCATENATE(Programme!C4417,Programme!D4417,Programme!E4417,Programme!F4417,Programme!G4417,Programme!H4417,Programme!I4417)</f>
        <v>&lt;/ValeurCellule&gt;</v>
      </c>
    </row>
    <row r="4417" spans="1:1" x14ac:dyDescent="0.2">
      <c r="A4417" s="1135" t="str">
        <f>CONCATENATE(Programme!C4418,Programme!D4418,Programme!E4418,Programme!F4418,Programme!G4418,Programme!H4418,Programme!I4418)</f>
        <v>&lt;ValeurCellule&gt;</v>
      </c>
    </row>
    <row r="4418" spans="1:1" x14ac:dyDescent="0.2">
      <c r="A4418" s="1135" t="str">
        <f>CONCATENATE(Programme!C4419,Programme!D4419,Programme!E4419,Programme!F4419,Programme!G4419,Programme!H4419,Programme!I4419)</f>
        <v>&lt;cellule&gt;</v>
      </c>
    </row>
    <row r="4419" spans="1:1" x14ac:dyDescent="0.2">
      <c r="A4419" s="1135" t="str">
        <f>CONCATENATE(Programme!C4420,Programme!D4420,Programme!E4420,Programme!F4420,Programme!G4420,Programme!H4420,Programme!I4420)</f>
        <v>&lt;codeEdi&gt;1071&lt;/codeEdi&gt;</v>
      </c>
    </row>
    <row r="4420" spans="1:1" x14ac:dyDescent="0.2">
      <c r="A4420" s="1135" t="str">
        <f>CONCATENATE(Programme!C4421,Programme!D4421,Programme!E4421,Programme!F4421,Programme!G4421,Programme!H4421,Programme!I4421)</f>
        <v>&lt;/cellule&gt;</v>
      </c>
    </row>
    <row r="4421" spans="1:1" x14ac:dyDescent="0.2">
      <c r="A4421" s="1135" t="str">
        <f>CONCATENATE(Programme!C4422,Programme!D4422,Programme!E4422,Programme!F4422,Programme!G4422,Programme!H4422,Programme!I4422)</f>
        <v>&lt;valeur&gt;0&lt;/valeur&gt;</v>
      </c>
    </row>
    <row r="4422" spans="1:1" x14ac:dyDescent="0.2">
      <c r="A4422" s="1135" t="str">
        <f>CONCATENATE(Programme!C4423,Programme!D4423,Programme!E4423,Programme!F4423,Programme!G4423,Programme!H4423,Programme!I4423)</f>
        <v>&lt;/ValeurCellule&gt;</v>
      </c>
    </row>
    <row r="4423" spans="1:1" x14ac:dyDescent="0.2">
      <c r="A4423" s="1135" t="str">
        <f>CONCATENATE(Programme!C4424,Programme!D4424,Programme!E4424,Programme!F4424,Programme!G4424,Programme!H4424,Programme!I4424)</f>
        <v>&lt;ValeurCellule&gt;</v>
      </c>
    </row>
    <row r="4424" spans="1:1" x14ac:dyDescent="0.2">
      <c r="A4424" s="1135" t="str">
        <f>CONCATENATE(Programme!C4425,Programme!D4425,Programme!E4425,Programme!F4425,Programme!G4425,Programme!H4425,Programme!I4425)</f>
        <v>&lt;cellule&gt;</v>
      </c>
    </row>
    <row r="4425" spans="1:1" x14ac:dyDescent="0.2">
      <c r="A4425" s="1135" t="str">
        <f>CONCATENATE(Programme!C4426,Programme!D4426,Programme!E4426,Programme!F4426,Programme!G4426,Programme!H4426,Programme!I4426)</f>
        <v>&lt;codeEdi&gt;1072&lt;/codeEdi&gt;</v>
      </c>
    </row>
    <row r="4426" spans="1:1" x14ac:dyDescent="0.2">
      <c r="A4426" s="1135" t="str">
        <f>CONCATENATE(Programme!C4427,Programme!D4427,Programme!E4427,Programme!F4427,Programme!G4427,Programme!H4427,Programme!I4427)</f>
        <v>&lt;/cellule&gt;</v>
      </c>
    </row>
    <row r="4427" spans="1:1" x14ac:dyDescent="0.2">
      <c r="A4427" s="1135" t="str">
        <f>CONCATENATE(Programme!C4428,Programme!D4428,Programme!E4428,Programme!F4428,Programme!G4428,Programme!H4428,Programme!I4428)</f>
        <v>&lt;valeur&gt;9700&lt;/valeur&gt;</v>
      </c>
    </row>
    <row r="4428" spans="1:1" x14ac:dyDescent="0.2">
      <c r="A4428" s="1135" t="str">
        <f>CONCATENATE(Programme!C4429,Programme!D4429,Programme!E4429,Programme!F4429,Programme!G4429,Programme!H4429,Programme!I4429)</f>
        <v>&lt;/ValeurCellule&gt;</v>
      </c>
    </row>
    <row r="4429" spans="1:1" x14ac:dyDescent="0.2">
      <c r="A4429" s="1135" t="str">
        <f>CONCATENATE(Programme!C4430,Programme!D4430,Programme!E4430,Programme!F4430,Programme!G4430,Programme!H4430,Programme!I4430)</f>
        <v>&lt;ValeurCellule&gt;</v>
      </c>
    </row>
    <row r="4430" spans="1:1" x14ac:dyDescent="0.2">
      <c r="A4430" s="1135" t="str">
        <f>CONCATENATE(Programme!C4431,Programme!D4431,Programme!E4431,Programme!F4431,Programme!G4431,Programme!H4431,Programme!I4431)</f>
        <v>&lt;cellule&gt;</v>
      </c>
    </row>
    <row r="4431" spans="1:1" x14ac:dyDescent="0.2">
      <c r="A4431" s="1135" t="str">
        <f>CONCATENATE(Programme!C4432,Programme!D4432,Programme!E4432,Programme!F4432,Programme!G4432,Programme!H4432,Programme!I4432)</f>
        <v>&lt;codeEdi&gt;1073&lt;/codeEdi&gt;</v>
      </c>
    </row>
    <row r="4432" spans="1:1" x14ac:dyDescent="0.2">
      <c r="A4432" s="1135" t="str">
        <f>CONCATENATE(Programme!C4433,Programme!D4433,Programme!E4433,Programme!F4433,Programme!G4433,Programme!H4433,Programme!I4433)</f>
        <v>&lt;/cellule&gt;</v>
      </c>
    </row>
    <row r="4433" spans="1:1" x14ac:dyDescent="0.2">
      <c r="A4433" s="1135" t="str">
        <f>CONCATENATE(Programme!C4434,Programme!D4434,Programme!E4434,Programme!F4434,Programme!G4434,Programme!H4434,Programme!I4434)</f>
        <v>&lt;valeur&gt;0&lt;/valeur&gt;</v>
      </c>
    </row>
    <row r="4434" spans="1:1" x14ac:dyDescent="0.2">
      <c r="A4434" s="1135" t="str">
        <f>CONCATENATE(Programme!C4435,Programme!D4435,Programme!E4435,Programme!F4435,Programme!G4435,Programme!H4435,Programme!I4435)</f>
        <v>&lt;/ValeurCellule&gt;</v>
      </c>
    </row>
    <row r="4435" spans="1:1" x14ac:dyDescent="0.2">
      <c r="A4435" s="1135" t="str">
        <f>CONCATENATE(Programme!C4436,Programme!D4436,Programme!E4436,Programme!F4436,Programme!G4436,Programme!H4436,Programme!I4436)</f>
        <v>&lt;ValeurCellule&gt;</v>
      </c>
    </row>
    <row r="4436" spans="1:1" x14ac:dyDescent="0.2">
      <c r="A4436" s="1135" t="str">
        <f>CONCATENATE(Programme!C4437,Programme!D4437,Programme!E4437,Programme!F4437,Programme!G4437,Programme!H4437,Programme!I4437)</f>
        <v>&lt;cellule&gt;</v>
      </c>
    </row>
    <row r="4437" spans="1:1" x14ac:dyDescent="0.2">
      <c r="A4437" s="1135" t="str">
        <f>CONCATENATE(Programme!C4438,Programme!D4438,Programme!E4438,Programme!F4438,Programme!G4438,Programme!H4438,Programme!I4438)</f>
        <v>&lt;codeEdi&gt;1074&lt;/codeEdi&gt;</v>
      </c>
    </row>
    <row r="4438" spans="1:1" x14ac:dyDescent="0.2">
      <c r="A4438" s="1135" t="str">
        <f>CONCATENATE(Programme!C4439,Programme!D4439,Programme!E4439,Programme!F4439,Programme!G4439,Programme!H4439,Programme!I4439)</f>
        <v>&lt;/cellule&gt;</v>
      </c>
    </row>
    <row r="4439" spans="1:1" x14ac:dyDescent="0.2">
      <c r="A4439" s="1135" t="str">
        <f>CONCATENATE(Programme!C4440,Programme!D4440,Programme!E4440,Programme!F4440,Programme!G4440,Programme!H4440,Programme!I4440)</f>
        <v>&lt;valeur&gt;1578827,58&lt;/valeur&gt;</v>
      </c>
    </row>
    <row r="4440" spans="1:1" x14ac:dyDescent="0.2">
      <c r="A4440" s="1135" t="str">
        <f>CONCATENATE(Programme!C4441,Programme!D4441,Programme!E4441,Programme!F4441,Programme!G4441,Programme!H4441,Programme!I4441)</f>
        <v>&lt;/ValeurCellule&gt;</v>
      </c>
    </row>
    <row r="4441" spans="1:1" x14ac:dyDescent="0.2">
      <c r="A4441" s="1135" t="str">
        <f>CONCATENATE(Programme!C4442,Programme!D4442,Programme!E4442,Programme!F4442,Programme!G4442,Programme!H4442,Programme!I4442)</f>
        <v>&lt;ValeurCellule&gt;</v>
      </c>
    </row>
    <row r="4442" spans="1:1" x14ac:dyDescent="0.2">
      <c r="A4442" s="1135" t="str">
        <f>CONCATENATE(Programme!C4443,Programme!D4443,Programme!E4443,Programme!F4443,Programme!G4443,Programme!H4443,Programme!I4443)</f>
        <v>&lt;cellule&gt;</v>
      </c>
    </row>
    <row r="4443" spans="1:1" x14ac:dyDescent="0.2">
      <c r="A4443" s="1135" t="str">
        <f>CONCATENATE(Programme!C4444,Programme!D4444,Programme!E4444,Programme!F4444,Programme!G4444,Programme!H4444,Programme!I4444)</f>
        <v>&lt;codeEdi&gt;1075&lt;/codeEdi&gt;</v>
      </c>
    </row>
    <row r="4444" spans="1:1" x14ac:dyDescent="0.2">
      <c r="A4444" s="1135" t="str">
        <f>CONCATENATE(Programme!C4445,Programme!D4445,Programme!E4445,Programme!F4445,Programme!G4445,Programme!H4445,Programme!I4445)</f>
        <v>&lt;/cellule&gt;</v>
      </c>
    </row>
    <row r="4445" spans="1:1" x14ac:dyDescent="0.2">
      <c r="A4445" s="1135" t="str">
        <f>CONCATENATE(Programme!C4446,Programme!D4446,Programme!E4446,Programme!F4446,Programme!G4446,Programme!H4446,Programme!I4446)</f>
        <v>&lt;valeur&gt;0&lt;/valeur&gt;</v>
      </c>
    </row>
    <row r="4446" spans="1:1" x14ac:dyDescent="0.2">
      <c r="A4446" s="1135" t="str">
        <f>CONCATENATE(Programme!C4447,Programme!D4447,Programme!E4447,Programme!F4447,Programme!G4447,Programme!H4447,Programme!I4447)</f>
        <v>&lt;/ValeurCellule&gt;</v>
      </c>
    </row>
    <row r="4447" spans="1:1" x14ac:dyDescent="0.2">
      <c r="A4447" s="1135" t="str">
        <f>CONCATENATE(Programme!C4448,Programme!D4448,Programme!E4448,Programme!F4448,Programme!G4448,Programme!H4448,Programme!I4448)</f>
        <v>&lt;ValeurCellule&gt;</v>
      </c>
    </row>
    <row r="4448" spans="1:1" x14ac:dyDescent="0.2">
      <c r="A4448" s="1135" t="str">
        <f>CONCATENATE(Programme!C4449,Programme!D4449,Programme!E4449,Programme!F4449,Programme!G4449,Programme!H4449,Programme!I4449)</f>
        <v>&lt;cellule&gt;</v>
      </c>
    </row>
    <row r="4449" spans="1:1" x14ac:dyDescent="0.2">
      <c r="A4449" s="1135" t="str">
        <f>CONCATENATE(Programme!C4450,Programme!D4450,Programme!E4450,Programme!F4450,Programme!G4450,Programme!H4450,Programme!I4450)</f>
        <v>&lt;codeEdi&gt;1076&lt;/codeEdi&gt;</v>
      </c>
    </row>
    <row r="4450" spans="1:1" x14ac:dyDescent="0.2">
      <c r="A4450" s="1135" t="str">
        <f>CONCATENATE(Programme!C4451,Programme!D4451,Programme!E4451,Programme!F4451,Programme!G4451,Programme!H4451,Programme!I4451)</f>
        <v>&lt;/cellule&gt;</v>
      </c>
    </row>
    <row r="4451" spans="1:1" x14ac:dyDescent="0.2">
      <c r="A4451" s="1135" t="str">
        <f>CONCATENATE(Programme!C4452,Programme!D4452,Programme!E4452,Programme!F4452,Programme!G4452,Programme!H4452,Programme!I4452)</f>
        <v>&lt;valeur&gt;0&lt;/valeur&gt;</v>
      </c>
    </row>
    <row r="4452" spans="1:1" x14ac:dyDescent="0.2">
      <c r="A4452" s="1135" t="str">
        <f>CONCATENATE(Programme!C4453,Programme!D4453,Programme!E4453,Programme!F4453,Programme!G4453,Programme!H4453,Programme!I4453)</f>
        <v>&lt;/ValeurCellule&gt;</v>
      </c>
    </row>
    <row r="4453" spans="1:1" x14ac:dyDescent="0.2">
      <c r="A4453" s="1135" t="str">
        <f>CONCATENATE(Programme!C4454,Programme!D4454,Programme!E4454,Programme!F4454,Programme!G4454,Programme!H4454,Programme!I4454)</f>
        <v>&lt;ValeurCellule&gt;</v>
      </c>
    </row>
    <row r="4454" spans="1:1" x14ac:dyDescent="0.2">
      <c r="A4454" s="1135" t="str">
        <f>CONCATENATE(Programme!C4455,Programme!D4455,Programme!E4455,Programme!F4455,Programme!G4455,Programme!H4455,Programme!I4455)</f>
        <v>&lt;cellule&gt;</v>
      </c>
    </row>
    <row r="4455" spans="1:1" x14ac:dyDescent="0.2">
      <c r="A4455" s="1135" t="str">
        <f>CONCATENATE(Programme!C4456,Programme!D4456,Programme!E4456,Programme!F4456,Programme!G4456,Programme!H4456,Programme!I4456)</f>
        <v>&lt;codeEdi&gt;1077&lt;/codeEdi&gt;</v>
      </c>
    </row>
    <row r="4456" spans="1:1" x14ac:dyDescent="0.2">
      <c r="A4456" s="1135" t="str">
        <f>CONCATENATE(Programme!C4457,Programme!D4457,Programme!E4457,Programme!F4457,Programme!G4457,Programme!H4457,Programme!I4457)</f>
        <v>&lt;/cellule&gt;</v>
      </c>
    </row>
    <row r="4457" spans="1:1" x14ac:dyDescent="0.2">
      <c r="A4457" s="1135" t="str">
        <f>CONCATENATE(Programme!C4458,Programme!D4458,Programme!E4458,Programme!F4458,Programme!G4458,Programme!H4458,Programme!I4458)</f>
        <v>&lt;valeur&gt;0&lt;/valeur&gt;</v>
      </c>
    </row>
    <row r="4458" spans="1:1" x14ac:dyDescent="0.2">
      <c r="A4458" s="1135" t="str">
        <f>CONCATENATE(Programme!C4459,Programme!D4459,Programme!E4459,Programme!F4459,Programme!G4459,Programme!H4459,Programme!I4459)</f>
        <v>&lt;/ValeurCellule&gt;</v>
      </c>
    </row>
    <row r="4459" spans="1:1" x14ac:dyDescent="0.2">
      <c r="A4459" s="1135" t="str">
        <f>CONCATENATE(Programme!C4460,Programme!D4460,Programme!E4460,Programme!F4460,Programme!G4460,Programme!H4460,Programme!I4460)</f>
        <v>&lt;ValeurCellule&gt;</v>
      </c>
    </row>
    <row r="4460" spans="1:1" x14ac:dyDescent="0.2">
      <c r="A4460" s="1135" t="str">
        <f>CONCATENATE(Programme!C4461,Programme!D4461,Programme!E4461,Programme!F4461,Programme!G4461,Programme!H4461,Programme!I4461)</f>
        <v>&lt;cellule&gt;</v>
      </c>
    </row>
    <row r="4461" spans="1:1" x14ac:dyDescent="0.2">
      <c r="A4461" s="1135" t="str">
        <f>CONCATENATE(Programme!C4462,Programme!D4462,Programme!E4462,Programme!F4462,Programme!G4462,Programme!H4462,Programme!I4462)</f>
        <v>&lt;codeEdi&gt;10089&lt;/codeEdi&gt;</v>
      </c>
    </row>
    <row r="4462" spans="1:1" x14ac:dyDescent="0.2">
      <c r="A4462" s="1135" t="str">
        <f>CONCATENATE(Programme!C4463,Programme!D4463,Programme!E4463,Programme!F4463,Programme!G4463,Programme!H4463,Programme!I4463)</f>
        <v>&lt;/cellule&gt;</v>
      </c>
    </row>
    <row r="4463" spans="1:1" x14ac:dyDescent="0.2">
      <c r="A4463" s="1135" t="str">
        <f>CONCATENATE(Programme!C4464,Programme!D4464,Programme!E4464,Programme!F4464,Programme!G4464,Programme!H4464,Programme!I4464)</f>
        <v>&lt;valeur&gt;1588527,58&lt;/valeur&gt;</v>
      </c>
    </row>
    <row r="4464" spans="1:1" x14ac:dyDescent="0.2">
      <c r="A4464" s="1135" t="str">
        <f>CONCATENATE(Programme!C4465,Programme!D4465,Programme!E4465,Programme!F4465,Programme!G4465,Programme!H4465,Programme!I4465)</f>
        <v>&lt;/ValeurCellule&gt;</v>
      </c>
    </row>
    <row r="4465" spans="1:1" x14ac:dyDescent="0.2">
      <c r="A4465" s="1135" t="str">
        <f>CONCATENATE(Programme!C4466,Programme!D4466,Programme!E4466,Programme!F4466,Programme!G4466,Programme!H4466,Programme!I4466)</f>
        <v>&lt;ValeurCellule&gt;</v>
      </c>
    </row>
    <row r="4466" spans="1:1" x14ac:dyDescent="0.2">
      <c r="A4466" s="1135" t="str">
        <f>CONCATENATE(Programme!C4467,Programme!D4467,Programme!E4467,Programme!F4467,Programme!G4467,Programme!H4467,Programme!I4467)</f>
        <v>&lt;cellule&gt;</v>
      </c>
    </row>
    <row r="4467" spans="1:1" x14ac:dyDescent="0.2">
      <c r="A4467" s="1135" t="str">
        <f>CONCATENATE(Programme!C4468,Programme!D4468,Programme!E4468,Programme!F4468,Programme!G4468,Programme!H4468,Programme!I4468)</f>
        <v>&lt;codeEdi&gt;12604&lt;/codeEdi&gt;</v>
      </c>
    </row>
    <row r="4468" spans="1:1" x14ac:dyDescent="0.2">
      <c r="A4468" s="1135" t="str">
        <f>CONCATENATE(Programme!C4469,Programme!D4469,Programme!E4469,Programme!F4469,Programme!G4469,Programme!H4469,Programme!I4469)</f>
        <v>&lt;/cellule&gt;</v>
      </c>
    </row>
    <row r="4469" spans="1:1" x14ac:dyDescent="0.2">
      <c r="A4469" s="1135" t="str">
        <f>CONCATENATE(Programme!C4470,Programme!D4470,Programme!E4470,Programme!F4470,Programme!G4470,Programme!H4470,Programme!I4470)</f>
        <v>&lt;valeur&gt;&lt;/valeur&gt;</v>
      </c>
    </row>
    <row r="4470" spans="1:1" x14ac:dyDescent="0.2">
      <c r="A4470" s="1135" t="str">
        <f>CONCATENATE(Programme!C4471,Programme!D4471,Programme!E4471,Programme!F4471,Programme!G4471,Programme!H4471,Programme!I4471)</f>
        <v>&lt;/ValeurCellule&gt;</v>
      </c>
    </row>
    <row r="4471" spans="1:1" x14ac:dyDescent="0.2">
      <c r="A4471" s="1135" t="str">
        <f>CONCATENATE(Programme!C4472,Programme!D4472,Programme!E4472,Programme!F4472,Programme!G4472,Programme!H4472,Programme!I4472)</f>
        <v>&lt;/groupeValeurs&gt;</v>
      </c>
    </row>
    <row r="4472" spans="1:1" x14ac:dyDescent="0.2">
      <c r="A4472" s="1135" t="str">
        <f>CONCATENATE(Programme!C4473,Programme!D4473,Programme!E4473,Programme!F4473,Programme!G4473,Programme!H4473,Programme!I4473)</f>
        <v>&lt;extraFieldvaleurs&gt;</v>
      </c>
    </row>
    <row r="4473" spans="1:1" x14ac:dyDescent="0.2">
      <c r="A4473" s="1135" t="str">
        <f>CONCATENATE(Programme!C4474,Programme!D4474,Programme!E4474,Programme!F4474,Programme!G4474,Programme!H4474,Programme!I4474)</f>
        <v>&lt;/extraFieldvaleurs&gt;</v>
      </c>
    </row>
    <row r="4474" spans="1:1" x14ac:dyDescent="0.2">
      <c r="A4474" s="1135" t="str">
        <f>CONCATENATE(Programme!C4475,Programme!D4475,Programme!E4475,Programme!F4475,Programme!G4475,Programme!H4475,Programme!I4475)</f>
        <v>&lt;/ValeursTableau&gt;</v>
      </c>
    </row>
    <row r="4475" spans="1:1" x14ac:dyDescent="0.2">
      <c r="A4475" s="1135" t="str">
        <f>CONCATENATE(Programme!C4476,Programme!D4476,Programme!E4476,Programme!F4476,Programme!G4476,Programme!H4476,Programme!I4476)</f>
        <v>&lt;ValeursTableau&gt;</v>
      </c>
    </row>
    <row r="4476" spans="1:1" x14ac:dyDescent="0.2">
      <c r="A4476" s="1135" t="str">
        <f>CONCATENATE(Programme!C4477,Programme!D4477,Programme!E4477,Programme!F4477,Programme!G4477,Programme!H4477,Programme!I4477)</f>
        <v>&lt;tableau&gt;&lt;id&gt;32&lt;/id&gt;&lt;/tableau&gt;</v>
      </c>
    </row>
    <row r="4477" spans="1:1" x14ac:dyDescent="0.2">
      <c r="A4477" s="1135" t="str">
        <f>CONCATENATE(Programme!C4478,Programme!D4478,Programme!E4478,Programme!F4478,Programme!G4478,Programme!H4478,Programme!I4478)</f>
        <v>&lt;groupeValeurs&gt;</v>
      </c>
    </row>
    <row r="4478" spans="1:1" x14ac:dyDescent="0.2">
      <c r="A4478" s="1135" t="str">
        <f>CONCATENATE(Programme!C4479,Programme!D4479,Programme!E4479,Programme!F4479,Programme!G4479,Programme!H4479,Programme!I4479)</f>
        <v>&lt;ValeurCellule&gt;</v>
      </c>
    </row>
    <row r="4479" spans="1:1" x14ac:dyDescent="0.2">
      <c r="A4479" s="1135" t="str">
        <f>CONCATENATE(Programme!C4480,Programme!D4480,Programme!E4480,Programme!F4480,Programme!G4480,Programme!H4480,Programme!I4480)</f>
        <v>&lt;cellule&gt;</v>
      </c>
    </row>
    <row r="4480" spans="1:1" x14ac:dyDescent="0.2">
      <c r="A4480" s="1135" t="str">
        <f>CONCATENATE(Programme!C4481,Programme!D4481,Programme!E4481,Programme!F4481,Programme!G4481,Programme!H4481,Programme!I4481)</f>
        <v>&lt;codeEdi&gt;1308&lt;/codeEdi&gt;</v>
      </c>
    </row>
    <row r="4481" spans="1:1" x14ac:dyDescent="0.2">
      <c r="A4481" s="1135" t="str">
        <f>CONCATENATE(Programme!C4482,Programme!D4482,Programme!E4482,Programme!F4482,Programme!G4482,Programme!H4482,Programme!I4482)</f>
        <v>&lt;/cellule&gt;</v>
      </c>
    </row>
    <row r="4482" spans="1:1" x14ac:dyDescent="0.2">
      <c r="A4482" s="1135" t="str">
        <f>CONCATENATE(Programme!C4483,Programme!D4483,Programme!E4483,Programme!F4483,Programme!G4483,Programme!H4483,Programme!I4483)</f>
        <v>&lt;valeur&gt;0&lt;/valeur&gt;</v>
      </c>
    </row>
    <row r="4483" spans="1:1" x14ac:dyDescent="0.2">
      <c r="A4483" s="1135" t="str">
        <f>CONCATENATE(Programme!C4484,Programme!D4484,Programme!E4484,Programme!F4484,Programme!G4484,Programme!H4484,Programme!I4484)</f>
        <v>&lt;/ValeurCellule&gt;</v>
      </c>
    </row>
    <row r="4484" spans="1:1" x14ac:dyDescent="0.2">
      <c r="A4484" s="1135" t="str">
        <f>CONCATENATE(Programme!C4485,Programme!D4485,Programme!E4485,Programme!F4485,Programme!G4485,Programme!H4485,Programme!I4485)</f>
        <v>&lt;ValeurCellule&gt;</v>
      </c>
    </row>
    <row r="4485" spans="1:1" x14ac:dyDescent="0.2">
      <c r="A4485" s="1135" t="str">
        <f>CONCATENATE(Programme!C4486,Programme!D4486,Programme!E4486,Programme!F4486,Programme!G4486,Programme!H4486,Programme!I4486)</f>
        <v>&lt;cellule&gt;</v>
      </c>
    </row>
    <row r="4486" spans="1:1" x14ac:dyDescent="0.2">
      <c r="A4486" s="1135" t="str">
        <f>CONCATENATE(Programme!C4487,Programme!D4487,Programme!E4487,Programme!F4487,Programme!G4487,Programme!H4487,Programme!I4487)</f>
        <v>&lt;codeEdi&gt;1309&lt;/codeEdi&gt;</v>
      </c>
    </row>
    <row r="4487" spans="1:1" x14ac:dyDescent="0.2">
      <c r="A4487" s="1135" t="str">
        <f>CONCATENATE(Programme!C4488,Programme!D4488,Programme!E4488,Programme!F4488,Programme!G4488,Programme!H4488,Programme!I4488)</f>
        <v>&lt;/cellule&gt;</v>
      </c>
    </row>
    <row r="4488" spans="1:1" x14ac:dyDescent="0.2">
      <c r="A4488" s="1135" t="str">
        <f>CONCATENATE(Programme!C4489,Programme!D4489,Programme!E4489,Programme!F4489,Programme!G4489,Programme!H4489,Programme!I4489)</f>
        <v>&lt;valeur&gt;0&lt;/valeur&gt;</v>
      </c>
    </row>
    <row r="4489" spans="1:1" x14ac:dyDescent="0.2">
      <c r="A4489" s="1135" t="str">
        <f>CONCATENATE(Programme!C4490,Programme!D4490,Programme!E4490,Programme!F4490,Programme!G4490,Programme!H4490,Programme!I4490)</f>
        <v>&lt;/ValeurCellule&gt;</v>
      </c>
    </row>
    <row r="4490" spans="1:1" x14ac:dyDescent="0.2">
      <c r="A4490" s="1135" t="str">
        <f>CONCATENATE(Programme!C4491,Programme!D4491,Programme!E4491,Programme!F4491,Programme!G4491,Programme!H4491,Programme!I4491)</f>
        <v>&lt;ValeurCellule&gt;</v>
      </c>
    </row>
    <row r="4491" spans="1:1" x14ac:dyDescent="0.2">
      <c r="A4491" s="1135" t="str">
        <f>CONCATENATE(Programme!C4492,Programme!D4492,Programme!E4492,Programme!F4492,Programme!G4492,Programme!H4492,Programme!I4492)</f>
        <v>&lt;cellule&gt;</v>
      </c>
    </row>
    <row r="4492" spans="1:1" x14ac:dyDescent="0.2">
      <c r="A4492" s="1135" t="str">
        <f>CONCATENATE(Programme!C4493,Programme!D4493,Programme!E4493,Programme!F4493,Programme!G4493,Programme!H4493,Programme!I4493)</f>
        <v>&lt;codeEdi&gt;1310&lt;/codeEdi&gt;</v>
      </c>
    </row>
    <row r="4493" spans="1:1" x14ac:dyDescent="0.2">
      <c r="A4493" s="1135" t="str">
        <f>CONCATENATE(Programme!C4494,Programme!D4494,Programme!E4494,Programme!F4494,Programme!G4494,Programme!H4494,Programme!I4494)</f>
        <v>&lt;/cellule&gt;</v>
      </c>
    </row>
    <row r="4494" spans="1:1" x14ac:dyDescent="0.2">
      <c r="A4494" s="1135" t="str">
        <f>CONCATENATE(Programme!C4495,Programme!D4495,Programme!E4495,Programme!F4495,Programme!G4495,Programme!H4495,Programme!I4495)</f>
        <v>&lt;valeur&gt;0&lt;/valeur&gt;</v>
      </c>
    </row>
    <row r="4495" spans="1:1" x14ac:dyDescent="0.2">
      <c r="A4495" s="1135" t="str">
        <f>CONCATENATE(Programme!C4496,Programme!D4496,Programme!E4496,Programme!F4496,Programme!G4496,Programme!H4496,Programme!I4496)</f>
        <v>&lt;/ValeurCellule&gt;</v>
      </c>
    </row>
    <row r="4496" spans="1:1" x14ac:dyDescent="0.2">
      <c r="A4496" s="1135" t="str">
        <f>CONCATENATE(Programme!C4497,Programme!D4497,Programme!E4497,Programme!F4497,Programme!G4497,Programme!H4497,Programme!I4497)</f>
        <v>&lt;ValeurCellule&gt;</v>
      </c>
    </row>
    <row r="4497" spans="1:1" x14ac:dyDescent="0.2">
      <c r="A4497" s="1135" t="str">
        <f>CONCATENATE(Programme!C4498,Programme!D4498,Programme!E4498,Programme!F4498,Programme!G4498,Programme!H4498,Programme!I4498)</f>
        <v>&lt;cellule&gt;</v>
      </c>
    </row>
    <row r="4498" spans="1:1" x14ac:dyDescent="0.2">
      <c r="A4498" s="1135" t="str">
        <f>CONCATENATE(Programme!C4499,Programme!D4499,Programme!E4499,Programme!F4499,Programme!G4499,Programme!H4499,Programme!I4499)</f>
        <v>&lt;codeEdi&gt;1311&lt;/codeEdi&gt;</v>
      </c>
    </row>
    <row r="4499" spans="1:1" x14ac:dyDescent="0.2">
      <c r="A4499" s="1135" t="str">
        <f>CONCATENATE(Programme!C4500,Programme!D4500,Programme!E4500,Programme!F4500,Programme!G4500,Programme!H4500,Programme!I4500)</f>
        <v>&lt;/cellule&gt;</v>
      </c>
    </row>
    <row r="4500" spans="1:1" x14ac:dyDescent="0.2">
      <c r="A4500" s="1135" t="str">
        <f>CONCATENATE(Programme!C4501,Programme!D4501,Programme!E4501,Programme!F4501,Programme!G4501,Programme!H4501,Programme!I4501)</f>
        <v>&lt;valeur&gt;381666,67&lt;/valeur&gt;</v>
      </c>
    </row>
    <row r="4501" spans="1:1" x14ac:dyDescent="0.2">
      <c r="A4501" s="1135" t="str">
        <f>CONCATENATE(Programme!C4502,Programme!D4502,Programme!E4502,Programme!F4502,Programme!G4502,Programme!H4502,Programme!I4502)</f>
        <v>&lt;/ValeurCellule&gt;</v>
      </c>
    </row>
    <row r="4502" spans="1:1" x14ac:dyDescent="0.2">
      <c r="A4502" s="1135" t="str">
        <f>CONCATENATE(Programme!C4503,Programme!D4503,Programme!E4503,Programme!F4503,Programme!G4503,Programme!H4503,Programme!I4503)</f>
        <v>&lt;ValeurCellule&gt;</v>
      </c>
    </row>
    <row r="4503" spans="1:1" x14ac:dyDescent="0.2">
      <c r="A4503" s="1135" t="str">
        <f>CONCATENATE(Programme!C4504,Programme!D4504,Programme!E4504,Programme!F4504,Programme!G4504,Programme!H4504,Programme!I4504)</f>
        <v>&lt;cellule&gt;</v>
      </c>
    </row>
    <row r="4504" spans="1:1" x14ac:dyDescent="0.2">
      <c r="A4504" s="1135" t="str">
        <f>CONCATENATE(Programme!C4505,Programme!D4505,Programme!E4505,Programme!F4505,Programme!G4505,Programme!H4505,Programme!I4505)</f>
        <v>&lt;codeEdi&gt;1312&lt;/codeEdi&gt;</v>
      </c>
    </row>
    <row r="4505" spans="1:1" x14ac:dyDescent="0.2">
      <c r="A4505" s="1135" t="str">
        <f>CONCATENATE(Programme!C4506,Programme!D4506,Programme!E4506,Programme!F4506,Programme!G4506,Programme!H4506,Programme!I4506)</f>
        <v>&lt;/cellule&gt;</v>
      </c>
    </row>
    <row r="4506" spans="1:1" x14ac:dyDescent="0.2">
      <c r="A4506" s="1135" t="str">
        <f>CONCATENATE(Programme!C4507,Programme!D4507,Programme!E4507,Programme!F4507,Programme!G4507,Programme!H4507,Programme!I4507)</f>
        <v>&lt;valeur&gt;381666,67&lt;/valeur&gt;</v>
      </c>
    </row>
    <row r="4507" spans="1:1" x14ac:dyDescent="0.2">
      <c r="A4507" s="1135" t="str">
        <f>CONCATENATE(Programme!C4508,Programme!D4508,Programme!E4508,Programme!F4508,Programme!G4508,Programme!H4508,Programme!I4508)</f>
        <v>&lt;/ValeurCellule&gt;</v>
      </c>
    </row>
    <row r="4508" spans="1:1" x14ac:dyDescent="0.2">
      <c r="A4508" s="1135" t="str">
        <f>CONCATENATE(Programme!C4509,Programme!D4509,Programme!E4509,Programme!F4509,Programme!G4509,Programme!H4509,Programme!I4509)</f>
        <v>&lt;ValeurCellule&gt;</v>
      </c>
    </row>
    <row r="4509" spans="1:1" x14ac:dyDescent="0.2">
      <c r="A4509" s="1135" t="str">
        <f>CONCATENATE(Programme!C4510,Programme!D4510,Programme!E4510,Programme!F4510,Programme!G4510,Programme!H4510,Programme!I4510)</f>
        <v>&lt;cellule&gt;</v>
      </c>
    </row>
    <row r="4510" spans="1:1" x14ac:dyDescent="0.2">
      <c r="A4510" s="1135" t="str">
        <f>CONCATENATE(Programme!C4511,Programme!D4511,Programme!E4511,Programme!F4511,Programme!G4511,Programme!H4511,Programme!I4511)</f>
        <v>&lt;codeEdi&gt;1313&lt;/codeEdi&gt;</v>
      </c>
    </row>
    <row r="4511" spans="1:1" x14ac:dyDescent="0.2">
      <c r="A4511" s="1135" t="str">
        <f>CONCATENATE(Programme!C4512,Programme!D4512,Programme!E4512,Programme!F4512,Programme!G4512,Programme!H4512,Programme!I4512)</f>
        <v>&lt;/cellule&gt;</v>
      </c>
    </row>
    <row r="4512" spans="1:1" x14ac:dyDescent="0.2">
      <c r="A4512" s="1135" t="str">
        <f>CONCATENATE(Programme!C4513,Programme!D4513,Programme!E4513,Programme!F4513,Programme!G4513,Programme!H4513,Programme!I4513)</f>
        <v>&lt;valeur&gt;0&lt;/valeur&gt;</v>
      </c>
    </row>
    <row r="4513" spans="1:1" x14ac:dyDescent="0.2">
      <c r="A4513" s="1135" t="str">
        <f>CONCATENATE(Programme!C4514,Programme!D4514,Programme!E4514,Programme!F4514,Programme!G4514,Programme!H4514,Programme!I4514)</f>
        <v>&lt;/ValeurCellule&gt;</v>
      </c>
    </row>
    <row r="4514" spans="1:1" x14ac:dyDescent="0.2">
      <c r="A4514" s="1135" t="str">
        <f>CONCATENATE(Programme!C4515,Programme!D4515,Programme!E4515,Programme!F4515,Programme!G4515,Programme!H4515,Programme!I4515)</f>
        <v>&lt;ValeurCellule&gt;</v>
      </c>
    </row>
    <row r="4515" spans="1:1" x14ac:dyDescent="0.2">
      <c r="A4515" s="1135" t="str">
        <f>CONCATENATE(Programme!C4516,Programme!D4516,Programme!E4516,Programme!F4516,Programme!G4516,Programme!H4516,Programme!I4516)</f>
        <v>&lt;cellule&gt;</v>
      </c>
    </row>
    <row r="4516" spans="1:1" x14ac:dyDescent="0.2">
      <c r="A4516" s="1135" t="str">
        <f>CONCATENATE(Programme!C4517,Programme!D4517,Programme!E4517,Programme!F4517,Programme!G4517,Programme!H4517,Programme!I4517)</f>
        <v>&lt;codeEdi&gt;1314&lt;/codeEdi&gt;</v>
      </c>
    </row>
    <row r="4517" spans="1:1" x14ac:dyDescent="0.2">
      <c r="A4517" s="1135" t="str">
        <f>CONCATENATE(Programme!C4518,Programme!D4518,Programme!E4518,Programme!F4518,Programme!G4518,Programme!H4518,Programme!I4518)</f>
        <v>&lt;/cellule&gt;</v>
      </c>
    </row>
    <row r="4518" spans="1:1" x14ac:dyDescent="0.2">
      <c r="A4518" s="1135" t="str">
        <f>CONCATENATE(Programme!C4519,Programme!D4519,Programme!E4519,Programme!F4519,Programme!G4519,Programme!H4519,Programme!I4519)</f>
        <v>&lt;valeur&gt;0&lt;/valeur&gt;</v>
      </c>
    </row>
    <row r="4519" spans="1:1" x14ac:dyDescent="0.2">
      <c r="A4519" s="1135" t="str">
        <f>CONCATENATE(Programme!C4520,Programme!D4520,Programme!E4520,Programme!F4520,Programme!G4520,Programme!H4520,Programme!I4520)</f>
        <v>&lt;/ValeurCellule&gt;</v>
      </c>
    </row>
    <row r="4520" spans="1:1" x14ac:dyDescent="0.2">
      <c r="A4520" s="1135" t="str">
        <f>CONCATENATE(Programme!C4521,Programme!D4521,Programme!E4521,Programme!F4521,Programme!G4521,Programme!H4521,Programme!I4521)</f>
        <v>&lt;ValeurCellule&gt;</v>
      </c>
    </row>
    <row r="4521" spans="1:1" x14ac:dyDescent="0.2">
      <c r="A4521" s="1135" t="str">
        <f>CONCATENATE(Programme!C4522,Programme!D4522,Programme!E4522,Programme!F4522,Programme!G4522,Programme!H4522,Programme!I4522)</f>
        <v>&lt;cellule&gt;</v>
      </c>
    </row>
    <row r="4522" spans="1:1" x14ac:dyDescent="0.2">
      <c r="A4522" s="1135" t="str">
        <f>CONCATENATE(Programme!C4523,Programme!D4523,Programme!E4523,Programme!F4523,Programme!G4523,Programme!H4523,Programme!I4523)</f>
        <v>&lt;codeEdi&gt;1315&lt;/codeEdi&gt;</v>
      </c>
    </row>
    <row r="4523" spans="1:1" x14ac:dyDescent="0.2">
      <c r="A4523" s="1135" t="str">
        <f>CONCATENATE(Programme!C4524,Programme!D4524,Programme!E4524,Programme!F4524,Programme!G4524,Programme!H4524,Programme!I4524)</f>
        <v>&lt;/cellule&gt;</v>
      </c>
    </row>
    <row r="4524" spans="1:1" x14ac:dyDescent="0.2">
      <c r="A4524" s="1135" t="str">
        <f>CONCATENATE(Programme!C4525,Programme!D4525,Programme!E4525,Programme!F4525,Programme!G4525,Programme!H4525,Programme!I4525)</f>
        <v>&lt;valeur&gt;78665,81&lt;/valeur&gt;</v>
      </c>
    </row>
    <row r="4525" spans="1:1" x14ac:dyDescent="0.2">
      <c r="A4525" s="1135" t="str">
        <f>CONCATENATE(Programme!C4526,Programme!D4526,Programme!E4526,Programme!F4526,Programme!G4526,Programme!H4526,Programme!I4526)</f>
        <v>&lt;/ValeurCellule&gt;</v>
      </c>
    </row>
    <row r="4526" spans="1:1" x14ac:dyDescent="0.2">
      <c r="A4526" s="1135" t="str">
        <f>CONCATENATE(Programme!C4527,Programme!D4527,Programme!E4527,Programme!F4527,Programme!G4527,Programme!H4527,Programme!I4527)</f>
        <v>&lt;ValeurCellule&gt;</v>
      </c>
    </row>
    <row r="4527" spans="1:1" x14ac:dyDescent="0.2">
      <c r="A4527" s="1135" t="str">
        <f>CONCATENATE(Programme!C4528,Programme!D4528,Programme!E4528,Programme!F4528,Programme!G4528,Programme!H4528,Programme!I4528)</f>
        <v>&lt;cellule&gt;</v>
      </c>
    </row>
    <row r="4528" spans="1:1" x14ac:dyDescent="0.2">
      <c r="A4528" s="1135" t="str">
        <f>CONCATENATE(Programme!C4529,Programme!D4529,Programme!E4529,Programme!F4529,Programme!G4529,Programme!H4529,Programme!I4529)</f>
        <v>&lt;codeEdi&gt;1316&lt;/codeEdi&gt;</v>
      </c>
    </row>
    <row r="4529" spans="1:1" x14ac:dyDescent="0.2">
      <c r="A4529" s="1135" t="str">
        <f>CONCATENATE(Programme!C4530,Programme!D4530,Programme!E4530,Programme!F4530,Programme!G4530,Programme!H4530,Programme!I4530)</f>
        <v>&lt;/cellule&gt;</v>
      </c>
    </row>
    <row r="4530" spans="1:1" x14ac:dyDescent="0.2">
      <c r="A4530" s="1135" t="str">
        <f>CONCATENATE(Programme!C4531,Programme!D4531,Programme!E4531,Programme!F4531,Programme!G4531,Programme!H4531,Programme!I4531)</f>
        <v>&lt;valeur&gt;0&lt;/valeur&gt;</v>
      </c>
    </row>
    <row r="4531" spans="1:1" x14ac:dyDescent="0.2">
      <c r="A4531" s="1135" t="str">
        <f>CONCATENATE(Programme!C4532,Programme!D4532,Programme!E4532,Programme!F4532,Programme!G4532,Programme!H4532,Programme!I4532)</f>
        <v>&lt;/ValeurCellule&gt;</v>
      </c>
    </row>
    <row r="4532" spans="1:1" x14ac:dyDescent="0.2">
      <c r="A4532" s="1135" t="str">
        <f>CONCATENATE(Programme!C4533,Programme!D4533,Programme!E4533,Programme!F4533,Programme!G4533,Programme!H4533,Programme!I4533)</f>
        <v>&lt;ValeurCellule&gt;</v>
      </c>
    </row>
    <row r="4533" spans="1:1" x14ac:dyDescent="0.2">
      <c r="A4533" s="1135" t="str">
        <f>CONCATENATE(Programme!C4534,Programme!D4534,Programme!E4534,Programme!F4534,Programme!G4534,Programme!H4534,Programme!I4534)</f>
        <v>&lt;cellule&gt;</v>
      </c>
    </row>
    <row r="4534" spans="1:1" x14ac:dyDescent="0.2">
      <c r="A4534" s="1135" t="str">
        <f>CONCATENATE(Programme!C4535,Programme!D4535,Programme!E4535,Programme!F4535,Programme!G4535,Programme!H4535,Programme!I4535)</f>
        <v>&lt;codeEdi&gt;1317&lt;/codeEdi&gt;</v>
      </c>
    </row>
    <row r="4535" spans="1:1" x14ac:dyDescent="0.2">
      <c r="A4535" s="1135" t="str">
        <f>CONCATENATE(Programme!C4536,Programme!D4536,Programme!E4536,Programme!F4536,Programme!G4536,Programme!H4536,Programme!I4536)</f>
        <v>&lt;/cellule&gt;</v>
      </c>
    </row>
    <row r="4536" spans="1:1" x14ac:dyDescent="0.2">
      <c r="A4536" s="1135" t="str">
        <f>CONCATENATE(Programme!C4537,Programme!D4537,Programme!E4537,Programme!F4537,Programme!G4537,Programme!H4537,Programme!I4537)</f>
        <v>&lt;valeur&gt;78665,81&lt;/valeur&gt;</v>
      </c>
    </row>
    <row r="4537" spans="1:1" x14ac:dyDescent="0.2">
      <c r="A4537" s="1135" t="str">
        <f>CONCATENATE(Programme!C4538,Programme!D4538,Programme!E4538,Programme!F4538,Programme!G4538,Programme!H4538,Programme!I4538)</f>
        <v>&lt;/ValeurCellule&gt;</v>
      </c>
    </row>
    <row r="4538" spans="1:1" x14ac:dyDescent="0.2">
      <c r="A4538" s="1135" t="str">
        <f>CONCATENATE(Programme!C4539,Programme!D4539,Programme!E4539,Programme!F4539,Programme!G4539,Programme!H4539,Programme!I4539)</f>
        <v>&lt;ValeurCellule&gt;</v>
      </c>
    </row>
    <row r="4539" spans="1:1" x14ac:dyDescent="0.2">
      <c r="A4539" s="1135" t="str">
        <f>CONCATENATE(Programme!C4540,Programme!D4540,Programme!E4540,Programme!F4540,Programme!G4540,Programme!H4540,Programme!I4540)</f>
        <v>&lt;cellule&gt;</v>
      </c>
    </row>
    <row r="4540" spans="1:1" x14ac:dyDescent="0.2">
      <c r="A4540" s="1135" t="str">
        <f>CONCATENATE(Programme!C4541,Programme!D4541,Programme!E4541,Programme!F4541,Programme!G4541,Programme!H4541,Programme!I4541)</f>
        <v>&lt;codeEdi&gt;1318&lt;/codeEdi&gt;</v>
      </c>
    </row>
    <row r="4541" spans="1:1" x14ac:dyDescent="0.2">
      <c r="A4541" s="1135" t="str">
        <f>CONCATENATE(Programme!C4542,Programme!D4542,Programme!E4542,Programme!F4542,Programme!G4542,Programme!H4542,Programme!I4542)</f>
        <v>&lt;/cellule&gt;</v>
      </c>
    </row>
    <row r="4542" spans="1:1" x14ac:dyDescent="0.2">
      <c r="A4542" s="1135" t="str">
        <f>CONCATENATE(Programme!C4543,Programme!D4543,Programme!E4543,Programme!F4543,Programme!G4543,Programme!H4543,Programme!I4543)</f>
        <v>&lt;valeur&gt;303000,86&lt;/valeur&gt;</v>
      </c>
    </row>
    <row r="4543" spans="1:1" x14ac:dyDescent="0.2">
      <c r="A4543" s="1135" t="str">
        <f>CONCATENATE(Programme!C4544,Programme!D4544,Programme!E4544,Programme!F4544,Programme!G4544,Programme!H4544,Programme!I4544)</f>
        <v>&lt;/ValeurCellule&gt;</v>
      </c>
    </row>
    <row r="4544" spans="1:1" x14ac:dyDescent="0.2">
      <c r="A4544" s="1135" t="str">
        <f>CONCATENATE(Programme!C4545,Programme!D4545,Programme!E4545,Programme!F4545,Programme!G4545,Programme!H4545,Programme!I4545)</f>
        <v>&lt;ValeurCellule&gt;</v>
      </c>
    </row>
    <row r="4545" spans="1:1" x14ac:dyDescent="0.2">
      <c r="A4545" s="1135" t="str">
        <f>CONCATENATE(Programme!C4546,Programme!D4546,Programme!E4546,Programme!F4546,Programme!G4546,Programme!H4546,Programme!I4546)</f>
        <v>&lt;cellule&gt;</v>
      </c>
    </row>
    <row r="4546" spans="1:1" x14ac:dyDescent="0.2">
      <c r="A4546" s="1135" t="str">
        <f>CONCATENATE(Programme!C4547,Programme!D4547,Programme!E4547,Programme!F4547,Programme!G4547,Programme!H4547,Programme!I4547)</f>
        <v>&lt;codeEdi&gt;1319&lt;/codeEdi&gt;</v>
      </c>
    </row>
    <row r="4547" spans="1:1" x14ac:dyDescent="0.2">
      <c r="A4547" s="1135" t="str">
        <f>CONCATENATE(Programme!C4548,Programme!D4548,Programme!E4548,Programme!F4548,Programme!G4548,Programme!H4548,Programme!I4548)</f>
        <v>&lt;/cellule&gt;</v>
      </c>
    </row>
    <row r="4548" spans="1:1" x14ac:dyDescent="0.2">
      <c r="A4548" s="1135" t="str">
        <f>CONCATENATE(Programme!C4549,Programme!D4549,Programme!E4549,Programme!F4549,Programme!G4549,Programme!H4549,Programme!I4549)</f>
        <v>&lt;valeur&gt;0&lt;/valeur&gt;</v>
      </c>
    </row>
    <row r="4549" spans="1:1" x14ac:dyDescent="0.2">
      <c r="A4549" s="1135" t="str">
        <f>CONCATENATE(Programme!C4550,Programme!D4550,Programme!E4550,Programme!F4550,Programme!G4550,Programme!H4550,Programme!I4550)</f>
        <v>&lt;/ValeurCellule&gt;</v>
      </c>
    </row>
    <row r="4550" spans="1:1" x14ac:dyDescent="0.2">
      <c r="A4550" s="1135" t="str">
        <f>CONCATENATE(Programme!C4551,Programme!D4551,Programme!E4551,Programme!F4551,Programme!G4551,Programme!H4551,Programme!I4551)</f>
        <v>&lt;ValeurCellule&gt;</v>
      </c>
    </row>
    <row r="4551" spans="1:1" x14ac:dyDescent="0.2">
      <c r="A4551" s="1135" t="str">
        <f>CONCATENATE(Programme!C4552,Programme!D4552,Programme!E4552,Programme!F4552,Programme!G4552,Programme!H4552,Programme!I4552)</f>
        <v>&lt;cellule&gt;</v>
      </c>
    </row>
    <row r="4552" spans="1:1" x14ac:dyDescent="0.2">
      <c r="A4552" s="1135" t="str">
        <f>CONCATENATE(Programme!C4553,Programme!D4553,Programme!E4553,Programme!F4553,Programme!G4553,Programme!H4553,Programme!I4553)</f>
        <v>&lt;codeEdi&gt;1320&lt;/codeEdi&gt;</v>
      </c>
    </row>
    <row r="4553" spans="1:1" x14ac:dyDescent="0.2">
      <c r="A4553" s="1135" t="str">
        <f>CONCATENATE(Programme!C4554,Programme!D4554,Programme!E4554,Programme!F4554,Programme!G4554,Programme!H4554,Programme!I4554)</f>
        <v>&lt;/cellule&gt;</v>
      </c>
    </row>
    <row r="4554" spans="1:1" x14ac:dyDescent="0.2">
      <c r="A4554" s="1135" t="str">
        <f>CONCATENATE(Programme!C4555,Programme!D4555,Programme!E4555,Programme!F4555,Programme!G4555,Programme!H4555,Programme!I4555)</f>
        <v>&lt;valeur&gt;28187&lt;/valeur&gt;</v>
      </c>
    </row>
    <row r="4555" spans="1:1" x14ac:dyDescent="0.2">
      <c r="A4555" s="1135" t="str">
        <f>CONCATENATE(Programme!C4556,Programme!D4556,Programme!E4556,Programme!F4556,Programme!G4556,Programme!H4556,Programme!I4556)</f>
        <v>&lt;/ValeurCellule&gt;</v>
      </c>
    </row>
    <row r="4556" spans="1:1" x14ac:dyDescent="0.2">
      <c r="A4556" s="1135" t="str">
        <f>CONCATENATE(Programme!C4557,Programme!D4557,Programme!E4557,Programme!F4557,Programme!G4557,Programme!H4557,Programme!I4557)</f>
        <v>&lt;ValeurCellule&gt;</v>
      </c>
    </row>
    <row r="4557" spans="1:1" x14ac:dyDescent="0.2">
      <c r="A4557" s="1135" t="str">
        <f>CONCATENATE(Programme!C4558,Programme!D4558,Programme!E4558,Programme!F4558,Programme!G4558,Programme!H4558,Programme!I4558)</f>
        <v>&lt;cellule&gt;</v>
      </c>
    </row>
    <row r="4558" spans="1:1" x14ac:dyDescent="0.2">
      <c r="A4558" s="1135" t="str">
        <f>CONCATENATE(Programme!C4559,Programme!D4559,Programme!E4559,Programme!F4559,Programme!G4559,Programme!H4559,Programme!I4559)</f>
        <v>&lt;codeEdi&gt;1321&lt;/codeEdi&gt;</v>
      </c>
    </row>
    <row r="4559" spans="1:1" x14ac:dyDescent="0.2">
      <c r="A4559" s="1135" t="str">
        <f>CONCATENATE(Programme!C4560,Programme!D4560,Programme!E4560,Programme!F4560,Programme!G4560,Programme!H4560,Programme!I4560)</f>
        <v>&lt;/cellule&gt;</v>
      </c>
    </row>
    <row r="4560" spans="1:1" x14ac:dyDescent="0.2">
      <c r="A4560" s="1135" t="str">
        <f>CONCATENATE(Programme!C4561,Programme!D4561,Programme!E4561,Programme!F4561,Programme!G4561,Programme!H4561,Programme!I4561)</f>
        <v>&lt;valeur&gt;34176,55&lt;/valeur&gt;</v>
      </c>
    </row>
    <row r="4561" spans="1:1" x14ac:dyDescent="0.2">
      <c r="A4561" s="1135" t="str">
        <f>CONCATENATE(Programme!C4562,Programme!D4562,Programme!E4562,Programme!F4562,Programme!G4562,Programme!H4562,Programme!I4562)</f>
        <v>&lt;/ValeurCellule&gt;</v>
      </c>
    </row>
    <row r="4562" spans="1:1" x14ac:dyDescent="0.2">
      <c r="A4562" s="1135" t="str">
        <f>CONCATENATE(Programme!C4563,Programme!D4563,Programme!E4563,Programme!F4563,Programme!G4563,Programme!H4563,Programme!I4563)</f>
        <v>&lt;ValeurCellule&gt;</v>
      </c>
    </row>
    <row r="4563" spans="1:1" x14ac:dyDescent="0.2">
      <c r="A4563" s="1135" t="str">
        <f>CONCATENATE(Programme!C4564,Programme!D4564,Programme!E4564,Programme!F4564,Programme!G4564,Programme!H4564,Programme!I4564)</f>
        <v>&lt;cellule&gt;</v>
      </c>
    </row>
    <row r="4564" spans="1:1" x14ac:dyDescent="0.2">
      <c r="A4564" s="1135" t="str">
        <f>CONCATENATE(Programme!C4565,Programme!D4565,Programme!E4565,Programme!F4565,Programme!G4565,Programme!H4565,Programme!I4565)</f>
        <v>&lt;codeEdi&gt;1324&lt;/codeEdi&gt;</v>
      </c>
    </row>
    <row r="4565" spans="1:1" x14ac:dyDescent="0.2">
      <c r="A4565" s="1135" t="str">
        <f>CONCATENATE(Programme!C4566,Programme!D4566,Programme!E4566,Programme!F4566,Programme!G4566,Programme!H4566,Programme!I4566)</f>
        <v>&lt;/cellule&gt;</v>
      </c>
    </row>
    <row r="4566" spans="1:1" x14ac:dyDescent="0.2">
      <c r="A4566" s="1135" t="str">
        <f>CONCATENATE(Programme!C4567,Programme!D4567,Programme!E4567,Programme!F4567,Programme!G4567,Programme!H4567,Programme!I4567)</f>
        <v>&lt;valeur&gt;0&lt;/valeur&gt;</v>
      </c>
    </row>
    <row r="4567" spans="1:1" x14ac:dyDescent="0.2">
      <c r="A4567" s="1135" t="str">
        <f>CONCATENATE(Programme!C4568,Programme!D4568,Programme!E4568,Programme!F4568,Programme!G4568,Programme!H4568,Programme!I4568)</f>
        <v>&lt;/ValeurCellule&gt;</v>
      </c>
    </row>
    <row r="4568" spans="1:1" x14ac:dyDescent="0.2">
      <c r="A4568" s="1135" t="str">
        <f>CONCATENATE(Programme!C4569,Programme!D4569,Programme!E4569,Programme!F4569,Programme!G4569,Programme!H4569,Programme!I4569)</f>
        <v>&lt;ValeurCellule&gt;</v>
      </c>
    </row>
    <row r="4569" spans="1:1" x14ac:dyDescent="0.2">
      <c r="A4569" s="1135" t="str">
        <f>CONCATENATE(Programme!C4570,Programme!D4570,Programme!E4570,Programme!F4570,Programme!G4570,Programme!H4570,Programme!I4570)</f>
        <v>&lt;cellule&gt;</v>
      </c>
    </row>
    <row r="4570" spans="1:1" x14ac:dyDescent="0.2">
      <c r="A4570" s="1135" t="str">
        <f>CONCATENATE(Programme!C4571,Programme!D4571,Programme!E4571,Programme!F4571,Programme!G4571,Programme!H4571,Programme!I4571)</f>
        <v>&lt;codeEdi&gt;1325&lt;/codeEdi&gt;</v>
      </c>
    </row>
    <row r="4571" spans="1:1" x14ac:dyDescent="0.2">
      <c r="A4571" s="1135" t="str">
        <f>CONCATENATE(Programme!C4572,Programme!D4572,Programme!E4572,Programme!F4572,Programme!G4572,Programme!H4572,Programme!I4572)</f>
        <v>&lt;/cellule&gt;</v>
      </c>
    </row>
    <row r="4572" spans="1:1" x14ac:dyDescent="0.2">
      <c r="A4572" s="1135" t="str">
        <f>CONCATENATE(Programme!C4573,Programme!D4573,Programme!E4573,Programme!F4573,Programme!G4573,Programme!H4573,Programme!I4573)</f>
        <v>&lt;valeur&gt;0&lt;/valeur&gt;</v>
      </c>
    </row>
    <row r="4573" spans="1:1" x14ac:dyDescent="0.2">
      <c r="A4573" s="1135" t="str">
        <f>CONCATENATE(Programme!C4574,Programme!D4574,Programme!E4574,Programme!F4574,Programme!G4574,Programme!H4574,Programme!I4574)</f>
        <v>&lt;/ValeurCellule&gt;</v>
      </c>
    </row>
    <row r="4574" spans="1:1" x14ac:dyDescent="0.2">
      <c r="A4574" s="1135" t="str">
        <f>CONCATENATE(Programme!C4575,Programme!D4575,Programme!E4575,Programme!F4575,Programme!G4575,Programme!H4575,Programme!I4575)</f>
        <v>&lt;ValeurCellule&gt;</v>
      </c>
    </row>
    <row r="4575" spans="1:1" x14ac:dyDescent="0.2">
      <c r="A4575" s="1135" t="str">
        <f>CONCATENATE(Programme!C4576,Programme!D4576,Programme!E4576,Programme!F4576,Programme!G4576,Programme!H4576,Programme!I4576)</f>
        <v>&lt;cellule&gt;</v>
      </c>
    </row>
    <row r="4576" spans="1:1" x14ac:dyDescent="0.2">
      <c r="A4576" s="1135" t="str">
        <f>CONCATENATE(Programme!C4577,Programme!D4577,Programme!E4577,Programme!F4577,Programme!G4577,Programme!H4577,Programme!I4577)</f>
        <v>&lt;codeEdi&gt;1326&lt;/codeEdi&gt;</v>
      </c>
    </row>
    <row r="4577" spans="1:1" x14ac:dyDescent="0.2">
      <c r="A4577" s="1135" t="str">
        <f>CONCATENATE(Programme!C4578,Programme!D4578,Programme!E4578,Programme!F4578,Programme!G4578,Programme!H4578,Programme!I4578)</f>
        <v>&lt;/cellule&gt;</v>
      </c>
    </row>
    <row r="4578" spans="1:1" x14ac:dyDescent="0.2">
      <c r="A4578" s="1135" t="str">
        <f>CONCATENATE(Programme!C4579,Programme!D4579,Programme!E4579,Programme!F4579,Programme!G4579,Programme!H4579,Programme!I4579)</f>
        <v>&lt;valeur&gt;172843,76&lt;/valeur&gt;</v>
      </c>
    </row>
    <row r="4579" spans="1:1" x14ac:dyDescent="0.2">
      <c r="A4579" s="1135" t="str">
        <f>CONCATENATE(Programme!C4580,Programme!D4580,Programme!E4580,Programme!F4580,Programme!G4580,Programme!H4580,Programme!I4580)</f>
        <v>&lt;/ValeurCellule&gt;</v>
      </c>
    </row>
    <row r="4580" spans="1:1" x14ac:dyDescent="0.2">
      <c r="A4580" s="1135" t="str">
        <f>CONCATENATE(Programme!C4581,Programme!D4581,Programme!E4581,Programme!F4581,Programme!G4581,Programme!H4581,Programme!I4581)</f>
        <v>&lt;ValeurCellule&gt;</v>
      </c>
    </row>
    <row r="4581" spans="1:1" x14ac:dyDescent="0.2">
      <c r="A4581" s="1135" t="str">
        <f>CONCATENATE(Programme!C4582,Programme!D4582,Programme!E4582,Programme!F4582,Programme!G4582,Programme!H4582,Programme!I4582)</f>
        <v>&lt;cellule&gt;</v>
      </c>
    </row>
    <row r="4582" spans="1:1" x14ac:dyDescent="0.2">
      <c r="A4582" s="1135" t="str">
        <f>CONCATENATE(Programme!C4583,Programme!D4583,Programme!E4583,Programme!F4583,Programme!G4583,Programme!H4583,Programme!I4583)</f>
        <v>&lt;codeEdi&gt;1327&lt;/codeEdi&gt;</v>
      </c>
    </row>
    <row r="4583" spans="1:1" x14ac:dyDescent="0.2">
      <c r="A4583" s="1135" t="str">
        <f>CONCATENATE(Programme!C4584,Programme!D4584,Programme!E4584,Programme!F4584,Programme!G4584,Programme!H4584,Programme!I4584)</f>
        <v>&lt;/cellule&gt;</v>
      </c>
    </row>
    <row r="4584" spans="1:1" x14ac:dyDescent="0.2">
      <c r="A4584" s="1135" t="str">
        <f>CONCATENATE(Programme!C4585,Programme!D4585,Programme!E4585,Programme!F4585,Programme!G4585,Programme!H4585,Programme!I4585)</f>
        <v>&lt;valeur&gt;67793,55&lt;/valeur&gt;</v>
      </c>
    </row>
    <row r="4585" spans="1:1" x14ac:dyDescent="0.2">
      <c r="A4585" s="1135" t="str">
        <f>CONCATENATE(Programme!C4586,Programme!D4586,Programme!E4586,Programme!F4586,Programme!G4586,Programme!H4586,Programme!I4586)</f>
        <v>&lt;/ValeurCellule&gt;</v>
      </c>
    </row>
    <row r="4586" spans="1:1" x14ac:dyDescent="0.2">
      <c r="A4586" s="1135" t="str">
        <f>CONCATENATE(Programme!C4587,Programme!D4587,Programme!E4587,Programme!F4587,Programme!G4587,Programme!H4587,Programme!I4587)</f>
        <v>&lt;ValeurCellule&gt;</v>
      </c>
    </row>
    <row r="4587" spans="1:1" x14ac:dyDescent="0.2">
      <c r="A4587" s="1135" t="str">
        <f>CONCATENATE(Programme!C4588,Programme!D4588,Programme!E4588,Programme!F4588,Programme!G4588,Programme!H4588,Programme!I4588)</f>
        <v>&lt;cellule&gt;</v>
      </c>
    </row>
    <row r="4588" spans="1:1" x14ac:dyDescent="0.2">
      <c r="A4588" s="1135" t="str">
        <f>CONCATENATE(Programme!C4589,Programme!D4589,Programme!E4589,Programme!F4589,Programme!G4589,Programme!H4589,Programme!I4589)</f>
        <v>&lt;codeEdi&gt;1328&lt;/codeEdi&gt;</v>
      </c>
    </row>
    <row r="4589" spans="1:1" x14ac:dyDescent="0.2">
      <c r="A4589" s="1135" t="str">
        <f>CONCATENATE(Programme!C4590,Programme!D4590,Programme!E4590,Programme!F4590,Programme!G4590,Programme!H4590,Programme!I4590)</f>
        <v>&lt;/cellule&gt;</v>
      </c>
    </row>
    <row r="4590" spans="1:1" x14ac:dyDescent="0.2">
      <c r="A4590" s="1135" t="str">
        <f>CONCATENATE(Programme!C4591,Programme!D4591,Programme!E4591,Programme!F4591,Programme!G4591,Programme!H4591,Programme!I4591)</f>
        <v>&lt;valeur&gt;-43957,11&lt;/valeur&gt;</v>
      </c>
    </row>
    <row r="4591" spans="1:1" x14ac:dyDescent="0.2">
      <c r="A4591" s="1135" t="str">
        <f>CONCATENATE(Programme!C4592,Programme!D4592,Programme!E4592,Programme!F4592,Programme!G4592,Programme!H4592,Programme!I4592)</f>
        <v>&lt;/ValeurCellule&gt;</v>
      </c>
    </row>
    <row r="4592" spans="1:1" x14ac:dyDescent="0.2">
      <c r="A4592" s="1135" t="str">
        <f>CONCATENATE(Programme!C4593,Programme!D4593,Programme!E4593,Programme!F4593,Programme!G4593,Programme!H4593,Programme!I4593)</f>
        <v>&lt;ValeurCellule&gt;</v>
      </c>
    </row>
    <row r="4593" spans="1:1" x14ac:dyDescent="0.2">
      <c r="A4593" s="1135" t="str">
        <f>CONCATENATE(Programme!C4594,Programme!D4594,Programme!E4594,Programme!F4594,Programme!G4594,Programme!H4594,Programme!I4594)</f>
        <v>&lt;cellule&gt;</v>
      </c>
    </row>
    <row r="4594" spans="1:1" x14ac:dyDescent="0.2">
      <c r="A4594" s="1135" t="str">
        <f>CONCATENATE(Programme!C4595,Programme!D4595,Programme!E4595,Programme!F4595,Programme!G4595,Programme!H4595,Programme!I4595)</f>
        <v>&lt;codeEdi&gt;1329&lt;/codeEdi&gt;</v>
      </c>
    </row>
    <row r="4595" spans="1:1" x14ac:dyDescent="0.2">
      <c r="A4595" s="1135" t="str">
        <f>CONCATENATE(Programme!C4596,Programme!D4596,Programme!E4596,Programme!F4596,Programme!G4596,Programme!H4596,Programme!I4596)</f>
        <v>&lt;/cellule&gt;</v>
      </c>
    </row>
    <row r="4596" spans="1:1" x14ac:dyDescent="0.2">
      <c r="A4596" s="1135" t="str">
        <f>CONCATENATE(Programme!C4597,Programme!D4597,Programme!E4597,Programme!F4597,Programme!G4597,Programme!H4597,Programme!I4597)</f>
        <v>&lt;valeur&gt;23836,44&lt;/valeur&gt;</v>
      </c>
    </row>
    <row r="4597" spans="1:1" x14ac:dyDescent="0.2">
      <c r="A4597" s="1135" t="str">
        <f>CONCATENATE(Programme!C4598,Programme!D4598,Programme!E4598,Programme!F4598,Programme!G4598,Programme!H4598,Programme!I4598)</f>
        <v>&lt;/ValeurCellule&gt;</v>
      </c>
    </row>
    <row r="4598" spans="1:1" x14ac:dyDescent="0.2">
      <c r="A4598" s="1135" t="str">
        <f>CONCATENATE(Programme!C4599,Programme!D4599,Programme!E4599,Programme!F4599,Programme!G4599,Programme!H4599,Programme!I4599)</f>
        <v>&lt;ValeurCellule&gt;</v>
      </c>
    </row>
    <row r="4599" spans="1:1" x14ac:dyDescent="0.2">
      <c r="A4599" s="1135" t="str">
        <f>CONCATENATE(Programme!C4600,Programme!D4600,Programme!E4600,Programme!F4600,Programme!G4600,Programme!H4600,Programme!I4600)</f>
        <v>&lt;cellule&gt;</v>
      </c>
    </row>
    <row r="4600" spans="1:1" x14ac:dyDescent="0.2">
      <c r="A4600" s="1135" t="str">
        <f>CONCATENATE(Programme!C4601,Programme!D4601,Programme!E4601,Programme!F4601,Programme!G4601,Programme!H4601,Programme!I4601)</f>
        <v>&lt;codeEdi&gt;1330&lt;/codeEdi&gt;</v>
      </c>
    </row>
    <row r="4601" spans="1:1" x14ac:dyDescent="0.2">
      <c r="A4601" s="1135" t="str">
        <f>CONCATENATE(Programme!C4602,Programme!D4602,Programme!E4602,Programme!F4602,Programme!G4602,Programme!H4602,Programme!I4602)</f>
        <v>&lt;/cellule&gt;</v>
      </c>
    </row>
    <row r="4602" spans="1:1" x14ac:dyDescent="0.2">
      <c r="A4602" s="1135" t="str">
        <f>CONCATENATE(Programme!C4603,Programme!D4603,Programme!E4603,Programme!F4603,Programme!G4603,Programme!H4603,Programme!I4603)</f>
        <v>&lt;valeur&gt;0&lt;/valeur&gt;</v>
      </c>
    </row>
    <row r="4603" spans="1:1" x14ac:dyDescent="0.2">
      <c r="A4603" s="1135" t="str">
        <f>CONCATENATE(Programme!C4604,Programme!D4604,Programme!E4604,Programme!F4604,Programme!G4604,Programme!H4604,Programme!I4604)</f>
        <v>&lt;/ValeurCellule&gt;</v>
      </c>
    </row>
    <row r="4604" spans="1:1" x14ac:dyDescent="0.2">
      <c r="A4604" s="1135" t="str">
        <f>CONCATENATE(Programme!C4605,Programme!D4605,Programme!E4605,Programme!F4605,Programme!G4605,Programme!H4605,Programme!I4605)</f>
        <v>&lt;ValeurCellule&gt;</v>
      </c>
    </row>
    <row r="4605" spans="1:1" x14ac:dyDescent="0.2">
      <c r="A4605" s="1135" t="str">
        <f>CONCATENATE(Programme!C4606,Programme!D4606,Programme!E4606,Programme!F4606,Programme!G4606,Programme!H4606,Programme!I4606)</f>
        <v>&lt;cellule&gt;</v>
      </c>
    </row>
    <row r="4606" spans="1:1" x14ac:dyDescent="0.2">
      <c r="A4606" s="1135" t="str">
        <f>CONCATENATE(Programme!C4607,Programme!D4607,Programme!E4607,Programme!F4607,Programme!G4607,Programme!H4607,Programme!I4607)</f>
        <v>&lt;codeEdi&gt;1331&lt;/codeEdi&gt;</v>
      </c>
    </row>
    <row r="4607" spans="1:1" x14ac:dyDescent="0.2">
      <c r="A4607" s="1135" t="str">
        <f>CONCATENATE(Programme!C4608,Programme!D4608,Programme!E4608,Programme!F4608,Programme!G4608,Programme!H4608,Programme!I4608)</f>
        <v>&lt;/cellule&gt;</v>
      </c>
    </row>
    <row r="4608" spans="1:1" x14ac:dyDescent="0.2">
      <c r="A4608" s="1135" t="str">
        <f>CONCATENATE(Programme!C4609,Programme!D4609,Programme!E4609,Programme!F4609,Programme!G4609,Programme!H4609,Programme!I4609)</f>
        <v>&lt;valeur&gt;2384&lt;/valeur&gt;</v>
      </c>
    </row>
    <row r="4609" spans="1:1" x14ac:dyDescent="0.2">
      <c r="A4609" s="1135" t="str">
        <f>CONCATENATE(Programme!C4610,Programme!D4610,Programme!E4610,Programme!F4610,Programme!G4610,Programme!H4610,Programme!I4610)</f>
        <v>&lt;/ValeurCellule&gt;</v>
      </c>
    </row>
    <row r="4610" spans="1:1" x14ac:dyDescent="0.2">
      <c r="A4610" s="1135" t="str">
        <f>CONCATENATE(Programme!C4611,Programme!D4611,Programme!E4611,Programme!F4611,Programme!G4611,Programme!H4611,Programme!I4611)</f>
        <v>&lt;ValeurCellule&gt;</v>
      </c>
    </row>
    <row r="4611" spans="1:1" x14ac:dyDescent="0.2">
      <c r="A4611" s="1135" t="str">
        <f>CONCATENATE(Programme!C4612,Programme!D4612,Programme!E4612,Programme!F4612,Programme!G4612,Programme!H4612,Programme!I4612)</f>
        <v>&lt;cellule&gt;</v>
      </c>
    </row>
    <row r="4612" spans="1:1" x14ac:dyDescent="0.2">
      <c r="A4612" s="1135" t="str">
        <f>CONCATENATE(Programme!C4613,Programme!D4613,Programme!E4613,Programme!F4613,Programme!G4613,Programme!H4613,Programme!I4613)</f>
        <v>&lt;codeEdi&gt;1332&lt;/codeEdi&gt;</v>
      </c>
    </row>
    <row r="4613" spans="1:1" x14ac:dyDescent="0.2">
      <c r="A4613" s="1135" t="str">
        <f>CONCATENATE(Programme!C4614,Programme!D4614,Programme!E4614,Programme!F4614,Programme!G4614,Programme!H4614,Programme!I4614)</f>
        <v>&lt;/cellule&gt;</v>
      </c>
    </row>
    <row r="4614" spans="1:1" x14ac:dyDescent="0.2">
      <c r="A4614" s="1135" t="str">
        <f>CONCATENATE(Programme!C4615,Programme!D4615,Programme!E4615,Programme!F4615,Programme!G4615,Programme!H4615,Programme!I4615)</f>
        <v>&lt;valeur&gt;21452,44&lt;/valeur&gt;</v>
      </c>
    </row>
    <row r="4615" spans="1:1" x14ac:dyDescent="0.2">
      <c r="A4615" s="1135" t="str">
        <f>CONCATENATE(Programme!C4616,Programme!D4616,Programme!E4616,Programme!F4616,Programme!G4616,Programme!H4616,Programme!I4616)</f>
        <v>&lt;/ValeurCellule&gt;</v>
      </c>
    </row>
    <row r="4616" spans="1:1" x14ac:dyDescent="0.2">
      <c r="A4616" s="1135" t="str">
        <f>CONCATENATE(Programme!C4617,Programme!D4617,Programme!E4617,Programme!F4617,Programme!G4617,Programme!H4617,Programme!I4617)</f>
        <v>&lt;ValeurCellule&gt;</v>
      </c>
    </row>
    <row r="4617" spans="1:1" x14ac:dyDescent="0.2">
      <c r="A4617" s="1135" t="str">
        <f>CONCATENATE(Programme!C4618,Programme!D4618,Programme!E4618,Programme!F4618,Programme!G4618,Programme!H4618,Programme!I4618)</f>
        <v>&lt;cellule&gt;</v>
      </c>
    </row>
    <row r="4618" spans="1:1" x14ac:dyDescent="0.2">
      <c r="A4618" s="1135" t="str">
        <f>CONCATENATE(Programme!C4619,Programme!D4619,Programme!E4619,Programme!F4619,Programme!G4619,Programme!H4619,Programme!I4619)</f>
        <v>&lt;codeEdi&gt;4063&lt;/codeEdi&gt;</v>
      </c>
    </row>
    <row r="4619" spans="1:1" x14ac:dyDescent="0.2">
      <c r="A4619" s="1135" t="str">
        <f>CONCATENATE(Programme!C4620,Programme!D4620,Programme!E4620,Programme!F4620,Programme!G4620,Programme!H4620,Programme!I4620)</f>
        <v>&lt;/cellule&gt;</v>
      </c>
    </row>
    <row r="4620" spans="1:1" x14ac:dyDescent="0.2">
      <c r="A4620" s="1135" t="str">
        <f>CONCATENATE(Programme!C4621,Programme!D4621,Programme!E4621,Programme!F4621,Programme!G4621,Programme!H4621,Programme!I4621)</f>
        <v>&lt;valeur&gt;240637,31&lt;/valeur&gt;</v>
      </c>
    </row>
    <row r="4621" spans="1:1" x14ac:dyDescent="0.2">
      <c r="A4621" s="1135" t="str">
        <f>CONCATENATE(Programme!C4622,Programme!D4622,Programme!E4622,Programme!F4622,Programme!G4622,Programme!H4622,Programme!I4622)</f>
        <v>&lt;/ValeurCellule&gt;</v>
      </c>
    </row>
    <row r="4622" spans="1:1" x14ac:dyDescent="0.2">
      <c r="A4622" s="1135" t="str">
        <f>CONCATENATE(Programme!C4623,Programme!D4623,Programme!E4623,Programme!F4623,Programme!G4623,Programme!H4623,Programme!I4623)</f>
        <v>&lt;ValeurCellule&gt;</v>
      </c>
    </row>
    <row r="4623" spans="1:1" x14ac:dyDescent="0.2">
      <c r="A4623" s="1135" t="str">
        <f>CONCATENATE(Programme!C4624,Programme!D4624,Programme!E4624,Programme!F4624,Programme!G4624,Programme!H4624,Programme!I4624)</f>
        <v>&lt;cellule&gt;</v>
      </c>
    </row>
    <row r="4624" spans="1:1" x14ac:dyDescent="0.2">
      <c r="A4624" s="1135" t="str">
        <f>CONCATENATE(Programme!C4625,Programme!D4625,Programme!E4625,Programme!F4625,Programme!G4625,Programme!H4625,Programme!I4625)</f>
        <v>&lt;codeEdi&gt;4066&lt;/codeEdi&gt;</v>
      </c>
    </row>
    <row r="4625" spans="1:1" x14ac:dyDescent="0.2">
      <c r="A4625" s="1135" t="str">
        <f>CONCATENATE(Programme!C4626,Programme!D4626,Programme!E4626,Programme!F4626,Programme!G4626,Programme!H4626,Programme!I4626)</f>
        <v>&lt;/cellule&gt;</v>
      </c>
    </row>
    <row r="4626" spans="1:1" x14ac:dyDescent="0.2">
      <c r="A4626" s="1135" t="str">
        <f>CONCATENATE(Programme!C4627,Programme!D4627,Programme!E4627,Programme!F4627,Programme!G4627,Programme!H4627,Programme!I4627)</f>
        <v>&lt;valeur&gt;0&lt;/valeur&gt;</v>
      </c>
    </row>
    <row r="4627" spans="1:1" x14ac:dyDescent="0.2">
      <c r="A4627" s="1135" t="str">
        <f>CONCATENATE(Programme!C4628,Programme!D4628,Programme!E4628,Programme!F4628,Programme!G4628,Programme!H4628,Programme!I4628)</f>
        <v>&lt;/ValeurCellule&gt;</v>
      </c>
    </row>
    <row r="4628" spans="1:1" x14ac:dyDescent="0.2">
      <c r="A4628" s="1135" t="str">
        <f>CONCATENATE(Programme!C4629,Programme!D4629,Programme!E4629,Programme!F4629,Programme!G4629,Programme!H4629,Programme!I4629)</f>
        <v>&lt;ValeurCellule&gt;</v>
      </c>
    </row>
    <row r="4629" spans="1:1" x14ac:dyDescent="0.2">
      <c r="A4629" s="1135" t="str">
        <f>CONCATENATE(Programme!C4630,Programme!D4630,Programme!E4630,Programme!F4630,Programme!G4630,Programme!H4630,Programme!I4630)</f>
        <v>&lt;cellule&gt;</v>
      </c>
    </row>
    <row r="4630" spans="1:1" x14ac:dyDescent="0.2">
      <c r="A4630" s="1135" t="str">
        <f>CONCATENATE(Programme!C4631,Programme!D4631,Programme!E4631,Programme!F4631,Programme!G4631,Programme!H4631,Programme!I4631)</f>
        <v>&lt;codeEdi&gt;1333&lt;/codeEdi&gt;</v>
      </c>
    </row>
    <row r="4631" spans="1:1" x14ac:dyDescent="0.2">
      <c r="A4631" s="1135" t="str">
        <f>CONCATENATE(Programme!C4632,Programme!D4632,Programme!E4632,Programme!F4632,Programme!G4632,Programme!H4632,Programme!I4632)</f>
        <v>&lt;/cellule&gt;</v>
      </c>
    </row>
    <row r="4632" spans="1:1" x14ac:dyDescent="0.2">
      <c r="A4632" s="1135" t="str">
        <f>CONCATENATE(Programme!C4633,Programme!D4633,Programme!E4633,Programme!F4633,Programme!G4633,Programme!H4633,Programme!I4633)</f>
        <v>&lt;valeur&gt;0&lt;/valeur&gt;</v>
      </c>
    </row>
    <row r="4633" spans="1:1" x14ac:dyDescent="0.2">
      <c r="A4633" s="1135" t="str">
        <f>CONCATENATE(Programme!C4634,Programme!D4634,Programme!E4634,Programme!F4634,Programme!G4634,Programme!H4634,Programme!I4634)</f>
        <v>&lt;/ValeurCellule&gt;</v>
      </c>
    </row>
    <row r="4634" spans="1:1" x14ac:dyDescent="0.2">
      <c r="A4634" s="1135" t="str">
        <f>CONCATENATE(Programme!C4635,Programme!D4635,Programme!E4635,Programme!F4635,Programme!G4635,Programme!H4635,Programme!I4635)</f>
        <v>&lt;ValeurCellule&gt;</v>
      </c>
    </row>
    <row r="4635" spans="1:1" x14ac:dyDescent="0.2">
      <c r="A4635" s="1135" t="str">
        <f>CONCATENATE(Programme!C4636,Programme!D4636,Programme!E4636,Programme!F4636,Programme!G4636,Programme!H4636,Programme!I4636)</f>
        <v>&lt;cellule&gt;</v>
      </c>
    </row>
    <row r="4636" spans="1:1" x14ac:dyDescent="0.2">
      <c r="A4636" s="1135" t="str">
        <f>CONCATENATE(Programme!C4637,Programme!D4637,Programme!E4637,Programme!F4637,Programme!G4637,Programme!H4637,Programme!I4637)</f>
        <v>&lt;codeEdi&gt;1334&lt;/codeEdi&gt;</v>
      </c>
    </row>
    <row r="4637" spans="1:1" x14ac:dyDescent="0.2">
      <c r="A4637" s="1135" t="str">
        <f>CONCATENATE(Programme!C4638,Programme!D4638,Programme!E4638,Programme!F4638,Programme!G4638,Programme!H4638,Programme!I4638)</f>
        <v>&lt;/cellule&gt;</v>
      </c>
    </row>
    <row r="4638" spans="1:1" x14ac:dyDescent="0.2">
      <c r="A4638" s="1135" t="str">
        <f>CONCATENATE(Programme!C4639,Programme!D4639,Programme!E4639,Programme!F4639,Programme!G4639,Programme!H4639,Programme!I4639)</f>
        <v>&lt;valeur&gt;0&lt;/valeur&gt;</v>
      </c>
    </row>
    <row r="4639" spans="1:1" x14ac:dyDescent="0.2">
      <c r="A4639" s="1135" t="str">
        <f>CONCATENATE(Programme!C4640,Programme!D4640,Programme!E4640,Programme!F4640,Programme!G4640,Programme!H4640,Programme!I4640)</f>
        <v>&lt;/ValeurCellule&gt;</v>
      </c>
    </row>
    <row r="4640" spans="1:1" x14ac:dyDescent="0.2">
      <c r="A4640" s="1135" t="str">
        <f>CONCATENATE(Programme!C4641,Programme!D4641,Programme!E4641,Programme!F4641,Programme!G4641,Programme!H4641,Programme!I4641)</f>
        <v>&lt;ValeurCellule&gt;</v>
      </c>
    </row>
    <row r="4641" spans="1:1" x14ac:dyDescent="0.2">
      <c r="A4641" s="1135" t="str">
        <f>CONCATENATE(Programme!C4642,Programme!D4642,Programme!E4642,Programme!F4642,Programme!G4642,Programme!H4642,Programme!I4642)</f>
        <v>&lt;cellule&gt;</v>
      </c>
    </row>
    <row r="4642" spans="1:1" x14ac:dyDescent="0.2">
      <c r="A4642" s="1135" t="str">
        <f>CONCATENATE(Programme!C4643,Programme!D4643,Programme!E4643,Programme!F4643,Programme!G4643,Programme!H4643,Programme!I4643)</f>
        <v>&lt;codeEdi&gt;1335&lt;/codeEdi&gt;</v>
      </c>
    </row>
    <row r="4643" spans="1:1" x14ac:dyDescent="0.2">
      <c r="A4643" s="1135" t="str">
        <f>CONCATENATE(Programme!C4644,Programme!D4644,Programme!E4644,Programme!F4644,Programme!G4644,Programme!H4644,Programme!I4644)</f>
        <v>&lt;/cellule&gt;</v>
      </c>
    </row>
    <row r="4644" spans="1:1" x14ac:dyDescent="0.2">
      <c r="A4644" s="1135" t="str">
        <f>CONCATENATE(Programme!C4645,Programme!D4645,Programme!E4645,Programme!F4645,Programme!G4645,Programme!H4645,Programme!I4645)</f>
        <v>&lt;valeur&gt;0&lt;/valeur&gt;</v>
      </c>
    </row>
    <row r="4645" spans="1:1" x14ac:dyDescent="0.2">
      <c r="A4645" s="1135" t="str">
        <f>CONCATENATE(Programme!C4646,Programme!D4646,Programme!E4646,Programme!F4646,Programme!G4646,Programme!H4646,Programme!I4646)</f>
        <v>&lt;/ValeurCellule&gt;</v>
      </c>
    </row>
    <row r="4646" spans="1:1" x14ac:dyDescent="0.2">
      <c r="A4646" s="1135" t="str">
        <f>CONCATENATE(Programme!C4647,Programme!D4647,Programme!E4647,Programme!F4647,Programme!G4647,Programme!H4647,Programme!I4647)</f>
        <v>&lt;ValeurCellule&gt;</v>
      </c>
    </row>
    <row r="4647" spans="1:1" x14ac:dyDescent="0.2">
      <c r="A4647" s="1135" t="str">
        <f>CONCATENATE(Programme!C4648,Programme!D4648,Programme!E4648,Programme!F4648,Programme!G4648,Programme!H4648,Programme!I4648)</f>
        <v>&lt;cellule&gt;</v>
      </c>
    </row>
    <row r="4648" spans="1:1" x14ac:dyDescent="0.2">
      <c r="A4648" s="1135" t="str">
        <f>CONCATENATE(Programme!C4649,Programme!D4649,Programme!E4649,Programme!F4649,Programme!G4649,Programme!H4649,Programme!I4649)</f>
        <v>&lt;codeEdi&gt;1336&lt;/codeEdi&gt;</v>
      </c>
    </row>
    <row r="4649" spans="1:1" x14ac:dyDescent="0.2">
      <c r="A4649" s="1135" t="str">
        <f>CONCATENATE(Programme!C4650,Programme!D4650,Programme!E4650,Programme!F4650,Programme!G4650,Programme!H4650,Programme!I4650)</f>
        <v>&lt;/cellule&gt;</v>
      </c>
    </row>
    <row r="4650" spans="1:1" x14ac:dyDescent="0.2">
      <c r="A4650" s="1135" t="str">
        <f>CONCATENATE(Programme!C4651,Programme!D4651,Programme!E4651,Programme!F4651,Programme!G4651,Programme!H4651,Programme!I4651)</f>
        <v>&lt;valeur&gt;0&lt;/valeur&gt;</v>
      </c>
    </row>
    <row r="4651" spans="1:1" x14ac:dyDescent="0.2">
      <c r="A4651" s="1135" t="str">
        <f>CONCATENATE(Programme!C4652,Programme!D4652,Programme!E4652,Programme!F4652,Programme!G4652,Programme!H4652,Programme!I4652)</f>
        <v>&lt;/ValeurCellule&gt;</v>
      </c>
    </row>
    <row r="4652" spans="1:1" x14ac:dyDescent="0.2">
      <c r="A4652" s="1135" t="str">
        <f>CONCATENATE(Programme!C4653,Programme!D4653,Programme!E4653,Programme!F4653,Programme!G4653,Programme!H4653,Programme!I4653)</f>
        <v>&lt;ValeurCellule&gt;</v>
      </c>
    </row>
    <row r="4653" spans="1:1" x14ac:dyDescent="0.2">
      <c r="A4653" s="1135" t="str">
        <f>CONCATENATE(Programme!C4654,Programme!D4654,Programme!E4654,Programme!F4654,Programme!G4654,Programme!H4654,Programme!I4654)</f>
        <v>&lt;cellule&gt;</v>
      </c>
    </row>
    <row r="4654" spans="1:1" x14ac:dyDescent="0.2">
      <c r="A4654" s="1135" t="str">
        <f>CONCATENATE(Programme!C4655,Programme!D4655,Programme!E4655,Programme!F4655,Programme!G4655,Programme!H4655,Programme!I4655)</f>
        <v>&lt;codeEdi&gt;1337&lt;/codeEdi&gt;</v>
      </c>
    </row>
    <row r="4655" spans="1:1" x14ac:dyDescent="0.2">
      <c r="A4655" s="1135" t="str">
        <f>CONCATENATE(Programme!C4656,Programme!D4656,Programme!E4656,Programme!F4656,Programme!G4656,Programme!H4656,Programme!I4656)</f>
        <v>&lt;/cellule&gt;</v>
      </c>
    </row>
    <row r="4656" spans="1:1" x14ac:dyDescent="0.2">
      <c r="A4656" s="1135" t="str">
        <f>CONCATENATE(Programme!C4657,Programme!D4657,Programme!E4657,Programme!F4657,Programme!G4657,Programme!H4657,Programme!I4657)</f>
        <v>&lt;valeur&gt;0&lt;/valeur&gt;</v>
      </c>
    </row>
    <row r="4657" spans="1:1" x14ac:dyDescent="0.2">
      <c r="A4657" s="1135" t="str">
        <f>CONCATENATE(Programme!C4658,Programme!D4658,Programme!E4658,Programme!F4658,Programme!G4658,Programme!H4658,Programme!I4658)</f>
        <v>&lt;/ValeurCellule&gt;</v>
      </c>
    </row>
    <row r="4658" spans="1:1" x14ac:dyDescent="0.2">
      <c r="A4658" s="1135" t="str">
        <f>CONCATENATE(Programme!C4659,Programme!D4659,Programme!E4659,Programme!F4659,Programme!G4659,Programme!H4659,Programme!I4659)</f>
        <v>&lt;ValeurCellule&gt;</v>
      </c>
    </row>
    <row r="4659" spans="1:1" x14ac:dyDescent="0.2">
      <c r="A4659" s="1135" t="str">
        <f>CONCATENATE(Programme!C4660,Programme!D4660,Programme!E4660,Programme!F4660,Programme!G4660,Programme!H4660,Programme!I4660)</f>
        <v>&lt;cellule&gt;</v>
      </c>
    </row>
    <row r="4660" spans="1:1" x14ac:dyDescent="0.2">
      <c r="A4660" s="1135" t="str">
        <f>CONCATENATE(Programme!C4661,Programme!D4661,Programme!E4661,Programme!F4661,Programme!G4661,Programme!H4661,Programme!I4661)</f>
        <v>&lt;codeEdi&gt;1338&lt;/codeEdi&gt;</v>
      </c>
    </row>
    <row r="4661" spans="1:1" x14ac:dyDescent="0.2">
      <c r="A4661" s="1135" t="str">
        <f>CONCATENATE(Programme!C4662,Programme!D4662,Programme!E4662,Programme!F4662,Programme!G4662,Programme!H4662,Programme!I4662)</f>
        <v>&lt;/cellule&gt;</v>
      </c>
    </row>
    <row r="4662" spans="1:1" x14ac:dyDescent="0.2">
      <c r="A4662" s="1135" t="str">
        <f>CONCATENATE(Programme!C4663,Programme!D4663,Programme!E4663,Programme!F4663,Programme!G4663,Programme!H4663,Programme!I4663)</f>
        <v>&lt;valeur&gt;0&lt;/valeur&gt;</v>
      </c>
    </row>
    <row r="4663" spans="1:1" x14ac:dyDescent="0.2">
      <c r="A4663" s="1135" t="str">
        <f>CONCATENATE(Programme!C4664,Programme!D4664,Programme!E4664,Programme!F4664,Programme!G4664,Programme!H4664,Programme!I4664)</f>
        <v>&lt;/ValeurCellule&gt;</v>
      </c>
    </row>
    <row r="4664" spans="1:1" x14ac:dyDescent="0.2">
      <c r="A4664" s="1135" t="str">
        <f>CONCATENATE(Programme!C4665,Programme!D4665,Programme!E4665,Programme!F4665,Programme!G4665,Programme!H4665,Programme!I4665)</f>
        <v>&lt;ValeurCellule&gt;</v>
      </c>
    </row>
    <row r="4665" spans="1:1" x14ac:dyDescent="0.2">
      <c r="A4665" s="1135" t="str">
        <f>CONCATENATE(Programme!C4666,Programme!D4666,Programme!E4666,Programme!F4666,Programme!G4666,Programme!H4666,Programme!I4666)</f>
        <v>&lt;cellule&gt;</v>
      </c>
    </row>
    <row r="4666" spans="1:1" x14ac:dyDescent="0.2">
      <c r="A4666" s="1135" t="str">
        <f>CONCATENATE(Programme!C4667,Programme!D4667,Programme!E4667,Programme!F4667,Programme!G4667,Programme!H4667,Programme!I4667)</f>
        <v>&lt;codeEdi&gt;1339&lt;/codeEdi&gt;</v>
      </c>
    </row>
    <row r="4667" spans="1:1" x14ac:dyDescent="0.2">
      <c r="A4667" s="1135" t="str">
        <f>CONCATENATE(Programme!C4668,Programme!D4668,Programme!E4668,Programme!F4668,Programme!G4668,Programme!H4668,Programme!I4668)</f>
        <v>&lt;/cellule&gt;</v>
      </c>
    </row>
    <row r="4668" spans="1:1" x14ac:dyDescent="0.2">
      <c r="A4668" s="1135" t="str">
        <f>CONCATENATE(Programme!C4669,Programme!D4669,Programme!E4669,Programme!F4669,Programme!G4669,Programme!H4669,Programme!I4669)</f>
        <v>&lt;valeur&gt;0&lt;/valeur&gt;</v>
      </c>
    </row>
    <row r="4669" spans="1:1" x14ac:dyDescent="0.2">
      <c r="A4669" s="1135" t="str">
        <f>CONCATENATE(Programme!C4670,Programme!D4670,Programme!E4670,Programme!F4670,Programme!G4670,Programme!H4670,Programme!I4670)</f>
        <v>&lt;/ValeurCellule&gt;</v>
      </c>
    </row>
    <row r="4670" spans="1:1" x14ac:dyDescent="0.2">
      <c r="A4670" s="1135" t="str">
        <f>CONCATENATE(Programme!C4671,Programme!D4671,Programme!E4671,Programme!F4671,Programme!G4671,Programme!H4671,Programme!I4671)</f>
        <v>&lt;ValeurCellule&gt;</v>
      </c>
    </row>
    <row r="4671" spans="1:1" x14ac:dyDescent="0.2">
      <c r="A4671" s="1135" t="str">
        <f>CONCATENATE(Programme!C4672,Programme!D4672,Programme!E4672,Programme!F4672,Programme!G4672,Programme!H4672,Programme!I4672)</f>
        <v>&lt;cellule&gt;</v>
      </c>
    </row>
    <row r="4672" spans="1:1" x14ac:dyDescent="0.2">
      <c r="A4672" s="1135" t="str">
        <f>CONCATENATE(Programme!C4673,Programme!D4673,Programme!E4673,Programme!F4673,Programme!G4673,Programme!H4673,Programme!I4673)</f>
        <v>&lt;codeEdi&gt;1340&lt;/codeEdi&gt;</v>
      </c>
    </row>
    <row r="4673" spans="1:1" x14ac:dyDescent="0.2">
      <c r="A4673" s="1135" t="str">
        <f>CONCATENATE(Programme!C4674,Programme!D4674,Programme!E4674,Programme!F4674,Programme!G4674,Programme!H4674,Programme!I4674)</f>
        <v>&lt;/cellule&gt;</v>
      </c>
    </row>
    <row r="4674" spans="1:1" x14ac:dyDescent="0.2">
      <c r="A4674" s="1135" t="str">
        <f>CONCATENATE(Programme!C4675,Programme!D4675,Programme!E4675,Programme!F4675,Programme!G4675,Programme!H4675,Programme!I4675)</f>
        <v>&lt;valeur&gt;5353,3&lt;/valeur&gt;</v>
      </c>
    </row>
    <row r="4675" spans="1:1" x14ac:dyDescent="0.2">
      <c r="A4675" s="1135" t="str">
        <f>CONCATENATE(Programme!C4676,Programme!D4676,Programme!E4676,Programme!F4676,Programme!G4676,Programme!H4676,Programme!I4676)</f>
        <v>&lt;/ValeurCellule&gt;</v>
      </c>
    </row>
    <row r="4676" spans="1:1" x14ac:dyDescent="0.2">
      <c r="A4676" s="1135" t="str">
        <f>CONCATENATE(Programme!C4677,Programme!D4677,Programme!E4677,Programme!F4677,Programme!G4677,Programme!H4677,Programme!I4677)</f>
        <v>&lt;ValeurCellule&gt;</v>
      </c>
    </row>
    <row r="4677" spans="1:1" x14ac:dyDescent="0.2">
      <c r="A4677" s="1135" t="str">
        <f>CONCATENATE(Programme!C4678,Programme!D4678,Programme!E4678,Programme!F4678,Programme!G4678,Programme!H4678,Programme!I4678)</f>
        <v>&lt;cellule&gt;</v>
      </c>
    </row>
    <row r="4678" spans="1:1" x14ac:dyDescent="0.2">
      <c r="A4678" s="1135" t="str">
        <f>CONCATENATE(Programme!C4679,Programme!D4679,Programme!E4679,Programme!F4679,Programme!G4679,Programme!H4679,Programme!I4679)</f>
        <v>&lt;codeEdi&gt;1341&lt;/codeEdi&gt;</v>
      </c>
    </row>
    <row r="4679" spans="1:1" x14ac:dyDescent="0.2">
      <c r="A4679" s="1135" t="str">
        <f>CONCATENATE(Programme!C4680,Programme!D4680,Programme!E4680,Programme!F4680,Programme!G4680,Programme!H4680,Programme!I4680)</f>
        <v>&lt;/cellule&gt;</v>
      </c>
    </row>
    <row r="4680" spans="1:1" x14ac:dyDescent="0.2">
      <c r="A4680" s="1135" t="str">
        <f>CONCATENATE(Programme!C4681,Programme!D4681,Programme!E4681,Programme!F4681,Programme!G4681,Programme!H4681,Programme!I4681)</f>
        <v>&lt;valeur&gt;0&lt;/valeur&gt;</v>
      </c>
    </row>
    <row r="4681" spans="1:1" x14ac:dyDescent="0.2">
      <c r="A4681" s="1135" t="str">
        <f>CONCATENATE(Programme!C4682,Programme!D4682,Programme!E4682,Programme!F4682,Programme!G4682,Programme!H4682,Programme!I4682)</f>
        <v>&lt;/ValeurCellule&gt;</v>
      </c>
    </row>
    <row r="4682" spans="1:1" x14ac:dyDescent="0.2">
      <c r="A4682" s="1135" t="str">
        <f>CONCATENATE(Programme!C4683,Programme!D4683,Programme!E4683,Programme!F4683,Programme!G4683,Programme!H4683,Programme!I4683)</f>
        <v>&lt;ValeurCellule&gt;</v>
      </c>
    </row>
    <row r="4683" spans="1:1" x14ac:dyDescent="0.2">
      <c r="A4683" s="1135" t="str">
        <f>CONCATENATE(Programme!C4684,Programme!D4684,Programme!E4684,Programme!F4684,Programme!G4684,Programme!H4684,Programme!I4684)</f>
        <v>&lt;cellule&gt;</v>
      </c>
    </row>
    <row r="4684" spans="1:1" x14ac:dyDescent="0.2">
      <c r="A4684" s="1135" t="str">
        <f>CONCATENATE(Programme!C4685,Programme!D4685,Programme!E4685,Programme!F4685,Programme!G4685,Programme!H4685,Programme!I4685)</f>
        <v>&lt;codeEdi&gt;1342&lt;/codeEdi&gt;</v>
      </c>
    </row>
    <row r="4685" spans="1:1" x14ac:dyDescent="0.2">
      <c r="A4685" s="1135" t="str">
        <f>CONCATENATE(Programme!C4686,Programme!D4686,Programme!E4686,Programme!F4686,Programme!G4686,Programme!H4686,Programme!I4686)</f>
        <v>&lt;/cellule&gt;</v>
      </c>
    </row>
    <row r="4686" spans="1:1" x14ac:dyDescent="0.2">
      <c r="A4686" s="1135" t="str">
        <f>CONCATENATE(Programme!C4687,Programme!D4687,Programme!E4687,Programme!F4687,Programme!G4687,Programme!H4687,Programme!I4687)</f>
        <v>&lt;valeur&gt;5353,3&lt;/valeur&gt;</v>
      </c>
    </row>
    <row r="4687" spans="1:1" x14ac:dyDescent="0.2">
      <c r="A4687" s="1135" t="str">
        <f>CONCATENATE(Programme!C4688,Programme!D4688,Programme!E4688,Programme!F4688,Programme!G4688,Programme!H4688,Programme!I4688)</f>
        <v>&lt;/ValeurCellule&gt;</v>
      </c>
    </row>
    <row r="4688" spans="1:1" x14ac:dyDescent="0.2">
      <c r="A4688" s="1135" t="str">
        <f>CONCATENATE(Programme!C4689,Programme!D4689,Programme!E4689,Programme!F4689,Programme!G4689,Programme!H4689,Programme!I4689)</f>
        <v>&lt;ValeurCellule&gt;</v>
      </c>
    </row>
    <row r="4689" spans="1:1" x14ac:dyDescent="0.2">
      <c r="A4689" s="1135" t="str">
        <f>CONCATENATE(Programme!C4690,Programme!D4690,Programme!E4690,Programme!F4690,Programme!G4690,Programme!H4690,Programme!I4690)</f>
        <v>&lt;cellule&gt;</v>
      </c>
    </row>
    <row r="4690" spans="1:1" x14ac:dyDescent="0.2">
      <c r="A4690" s="1135" t="str">
        <f>CONCATENATE(Programme!C4691,Programme!D4691,Programme!E4691,Programme!F4691,Programme!G4691,Programme!H4691,Programme!I4691)</f>
        <v>&lt;codeEdi&gt;1343&lt;/codeEdi&gt;</v>
      </c>
    </row>
    <row r="4691" spans="1:1" x14ac:dyDescent="0.2">
      <c r="A4691" s="1135" t="str">
        <f>CONCATENATE(Programme!C4692,Programme!D4692,Programme!E4692,Programme!F4692,Programme!G4692,Programme!H4692,Programme!I4692)</f>
        <v>&lt;/cellule&gt;</v>
      </c>
    </row>
    <row r="4692" spans="1:1" x14ac:dyDescent="0.2">
      <c r="A4692" s="1135" t="str">
        <f>CONCATENATE(Programme!C4693,Programme!D4693,Programme!E4693,Programme!F4693,Programme!G4693,Programme!H4693,Programme!I4693)</f>
        <v>&lt;valeur&gt;-5353,3&lt;/valeur&gt;</v>
      </c>
    </row>
    <row r="4693" spans="1:1" x14ac:dyDescent="0.2">
      <c r="A4693" s="1135" t="str">
        <f>CONCATENATE(Programme!C4694,Programme!D4694,Programme!E4694,Programme!F4694,Programme!G4694,Programme!H4694,Programme!I4694)</f>
        <v>&lt;/ValeurCellule&gt;</v>
      </c>
    </row>
    <row r="4694" spans="1:1" x14ac:dyDescent="0.2">
      <c r="A4694" s="1135" t="str">
        <f>CONCATENATE(Programme!C4695,Programme!D4695,Programme!E4695,Programme!F4695,Programme!G4695,Programme!H4695,Programme!I4695)</f>
        <v>&lt;ValeurCellule&gt;</v>
      </c>
    </row>
    <row r="4695" spans="1:1" x14ac:dyDescent="0.2">
      <c r="A4695" s="1135" t="str">
        <f>CONCATENATE(Programme!C4696,Programme!D4696,Programme!E4696,Programme!F4696,Programme!G4696,Programme!H4696,Programme!I4696)</f>
        <v>&lt;cellule&gt;</v>
      </c>
    </row>
    <row r="4696" spans="1:1" x14ac:dyDescent="0.2">
      <c r="A4696" s="1135" t="str">
        <f>CONCATENATE(Programme!C4697,Programme!D4697,Programme!E4697,Programme!F4697,Programme!G4697,Programme!H4697,Programme!I4697)</f>
        <v>&lt;codeEdi&gt;1344&lt;/codeEdi&gt;</v>
      </c>
    </row>
    <row r="4697" spans="1:1" x14ac:dyDescent="0.2">
      <c r="A4697" s="1135" t="str">
        <f>CONCATENATE(Programme!C4698,Programme!D4698,Programme!E4698,Programme!F4698,Programme!G4698,Programme!H4698,Programme!I4698)</f>
        <v>&lt;/cellule&gt;</v>
      </c>
    </row>
    <row r="4698" spans="1:1" x14ac:dyDescent="0.2">
      <c r="A4698" s="1135" t="str">
        <f>CONCATENATE(Programme!C4699,Programme!D4699,Programme!E4699,Programme!F4699,Programme!G4699,Programme!H4699,Programme!I4699)</f>
        <v>&lt;valeur&gt;0&lt;/valeur&gt;</v>
      </c>
    </row>
    <row r="4699" spans="1:1" x14ac:dyDescent="0.2">
      <c r="A4699" s="1135" t="str">
        <f>CONCATENATE(Programme!C4700,Programme!D4700,Programme!E4700,Programme!F4700,Programme!G4700,Programme!H4700,Programme!I4700)</f>
        <v>&lt;/ValeurCellule&gt;</v>
      </c>
    </row>
    <row r="4700" spans="1:1" x14ac:dyDescent="0.2">
      <c r="A4700" s="1135" t="str">
        <f>CONCATENATE(Programme!C4701,Programme!D4701,Programme!E4701,Programme!F4701,Programme!G4701,Programme!H4701,Programme!I4701)</f>
        <v>&lt;ValeurCellule&gt;</v>
      </c>
    </row>
    <row r="4701" spans="1:1" x14ac:dyDescent="0.2">
      <c r="A4701" s="1135" t="str">
        <f>CONCATENATE(Programme!C4702,Programme!D4702,Programme!E4702,Programme!F4702,Programme!G4702,Programme!H4702,Programme!I4702)</f>
        <v>&lt;cellule&gt;</v>
      </c>
    </row>
    <row r="4702" spans="1:1" x14ac:dyDescent="0.2">
      <c r="A4702" s="1135" t="str">
        <f>CONCATENATE(Programme!C4703,Programme!D4703,Programme!E4703,Programme!F4703,Programme!G4703,Programme!H4703,Programme!I4703)</f>
        <v>&lt;codeEdi&gt;1345&lt;/codeEdi&gt;</v>
      </c>
    </row>
    <row r="4703" spans="1:1" x14ac:dyDescent="0.2">
      <c r="A4703" s="1135" t="str">
        <f>CONCATENATE(Programme!C4704,Programme!D4704,Programme!E4704,Programme!F4704,Programme!G4704,Programme!H4704,Programme!I4704)</f>
        <v>&lt;/cellule&gt;</v>
      </c>
    </row>
    <row r="4704" spans="1:1" x14ac:dyDescent="0.2">
      <c r="A4704" s="1135" t="str">
        <f>CONCATENATE(Programme!C4705,Programme!D4705,Programme!E4705,Programme!F4705,Programme!G4705,Programme!H4705,Programme!I4705)</f>
        <v>&lt;valeur&gt;0&lt;/valeur&gt;</v>
      </c>
    </row>
    <row r="4705" spans="1:1" x14ac:dyDescent="0.2">
      <c r="A4705" s="1135" t="str">
        <f>CONCATENATE(Programme!C4706,Programme!D4706,Programme!E4706,Programme!F4706,Programme!G4706,Programme!H4706,Programme!I4706)</f>
        <v>&lt;/ValeurCellule&gt;</v>
      </c>
    </row>
    <row r="4706" spans="1:1" x14ac:dyDescent="0.2">
      <c r="A4706" s="1135" t="str">
        <f>CONCATENATE(Programme!C4707,Programme!D4707,Programme!E4707,Programme!F4707,Programme!G4707,Programme!H4707,Programme!I4707)</f>
        <v>&lt;ValeurCellule&gt;</v>
      </c>
    </row>
    <row r="4707" spans="1:1" x14ac:dyDescent="0.2">
      <c r="A4707" s="1135" t="str">
        <f>CONCATENATE(Programme!C4708,Programme!D4708,Programme!E4708,Programme!F4708,Programme!G4708,Programme!H4708,Programme!I4708)</f>
        <v>&lt;cellule&gt;</v>
      </c>
    </row>
    <row r="4708" spans="1:1" x14ac:dyDescent="0.2">
      <c r="A4708" s="1135" t="str">
        <f>CONCATENATE(Programme!C4709,Programme!D4709,Programme!E4709,Programme!F4709,Programme!G4709,Programme!H4709,Programme!I4709)</f>
        <v>&lt;codeEdi&gt;1346&lt;/codeEdi&gt;</v>
      </c>
    </row>
    <row r="4709" spans="1:1" x14ac:dyDescent="0.2">
      <c r="A4709" s="1135" t="str">
        <f>CONCATENATE(Programme!C4710,Programme!D4710,Programme!E4710,Programme!F4710,Programme!G4710,Programme!H4710,Programme!I4710)</f>
        <v>&lt;/cellule&gt;</v>
      </c>
    </row>
    <row r="4710" spans="1:1" x14ac:dyDescent="0.2">
      <c r="A4710" s="1135" t="str">
        <f>CONCATENATE(Programme!C4711,Programme!D4711,Programme!E4711,Programme!F4711,Programme!G4711,Programme!H4711,Programme!I4711)</f>
        <v>&lt;valeur&gt;12871&lt;/valeur&gt;</v>
      </c>
    </row>
    <row r="4711" spans="1:1" x14ac:dyDescent="0.2">
      <c r="A4711" s="1135" t="str">
        <f>CONCATENATE(Programme!C4712,Programme!D4712,Programme!E4712,Programme!F4712,Programme!G4712,Programme!H4712,Programme!I4712)</f>
        <v>&lt;/ValeurCellule&gt;</v>
      </c>
    </row>
    <row r="4712" spans="1:1" x14ac:dyDescent="0.2">
      <c r="A4712" s="1135" t="str">
        <f>CONCATENATE(Programme!C4713,Programme!D4713,Programme!E4713,Programme!F4713,Programme!G4713,Programme!H4713,Programme!I4713)</f>
        <v>&lt;ValeurCellule&gt;</v>
      </c>
    </row>
    <row r="4713" spans="1:1" x14ac:dyDescent="0.2">
      <c r="A4713" s="1135" t="str">
        <f>CONCATENATE(Programme!C4714,Programme!D4714,Programme!E4714,Programme!F4714,Programme!G4714,Programme!H4714,Programme!I4714)</f>
        <v>&lt;cellule&gt;</v>
      </c>
    </row>
    <row r="4714" spans="1:1" x14ac:dyDescent="0.2">
      <c r="A4714" s="1135" t="str">
        <f>CONCATENATE(Programme!C4715,Programme!D4715,Programme!E4715,Programme!F4715,Programme!G4715,Programme!H4715,Programme!I4715)</f>
        <v>&lt;codeEdi&gt;1349&lt;/codeEdi&gt;</v>
      </c>
    </row>
    <row r="4715" spans="1:1" x14ac:dyDescent="0.2">
      <c r="A4715" s="1135" t="str">
        <f>CONCATENATE(Programme!C4716,Programme!D4716,Programme!E4716,Programme!F4716,Programme!G4716,Programme!H4716,Programme!I4716)</f>
        <v>&lt;/cellule&gt;</v>
      </c>
    </row>
    <row r="4716" spans="1:1" x14ac:dyDescent="0.2">
      <c r="A4716" s="1135" t="str">
        <f>CONCATENATE(Programme!C4717,Programme!D4717,Programme!E4717,Programme!F4717,Programme!G4717,Programme!H4717,Programme!I4717)</f>
        <v>&lt;valeur&gt;0&lt;/valeur&gt;</v>
      </c>
    </row>
    <row r="4717" spans="1:1" x14ac:dyDescent="0.2">
      <c r="A4717" s="1135" t="str">
        <f>CONCATENATE(Programme!C4718,Programme!D4718,Programme!E4718,Programme!F4718,Programme!G4718,Programme!H4718,Programme!I4718)</f>
        <v>&lt;/ValeurCellule&gt;</v>
      </c>
    </row>
    <row r="4718" spans="1:1" x14ac:dyDescent="0.2">
      <c r="A4718" s="1135" t="str">
        <f>CONCATENATE(Programme!C4719,Programme!D4719,Programme!E4719,Programme!F4719,Programme!G4719,Programme!H4719,Programme!I4719)</f>
        <v>&lt;ValeurCellule&gt;</v>
      </c>
    </row>
    <row r="4719" spans="1:1" x14ac:dyDescent="0.2">
      <c r="A4719" s="1135" t="str">
        <f>CONCATENATE(Programme!C4720,Programme!D4720,Programme!E4720,Programme!F4720,Programme!G4720,Programme!H4720,Programme!I4720)</f>
        <v>&lt;cellule&gt;</v>
      </c>
    </row>
    <row r="4720" spans="1:1" x14ac:dyDescent="0.2">
      <c r="A4720" s="1135" t="str">
        <f>CONCATENATE(Programme!C4721,Programme!D4721,Programme!E4721,Programme!F4721,Programme!G4721,Programme!H4721,Programme!I4721)</f>
        <v>&lt;codeEdi&gt;1350&lt;/codeEdi&gt;</v>
      </c>
    </row>
    <row r="4721" spans="1:1" x14ac:dyDescent="0.2">
      <c r="A4721" s="1135" t="str">
        <f>CONCATENATE(Programme!C4722,Programme!D4722,Programme!E4722,Programme!F4722,Programme!G4722,Programme!H4722,Programme!I4722)</f>
        <v>&lt;/cellule&gt;</v>
      </c>
    </row>
    <row r="4722" spans="1:1" x14ac:dyDescent="0.2">
      <c r="A4722" s="1135" t="str">
        <f>CONCATENATE(Programme!C4723,Programme!D4723,Programme!E4723,Programme!F4723,Programme!G4723,Programme!H4723,Programme!I4723)</f>
        <v>&lt;valeur&gt;0&lt;/valeur&gt;</v>
      </c>
    </row>
    <row r="4723" spans="1:1" x14ac:dyDescent="0.2">
      <c r="A4723" s="1135" t="str">
        <f>CONCATENATE(Programme!C4724,Programme!D4724,Programme!E4724,Programme!F4724,Programme!G4724,Programme!H4724,Programme!I4724)</f>
        <v>&lt;/ValeurCellule&gt;</v>
      </c>
    </row>
    <row r="4724" spans="1:1" x14ac:dyDescent="0.2">
      <c r="A4724" s="1135" t="str">
        <f>CONCATENATE(Programme!C4725,Programme!D4725,Programme!E4725,Programme!F4725,Programme!G4725,Programme!H4725,Programme!I4725)</f>
        <v>&lt;ValeurCellule&gt;</v>
      </c>
    </row>
    <row r="4725" spans="1:1" x14ac:dyDescent="0.2">
      <c r="A4725" s="1135" t="str">
        <f>CONCATENATE(Programme!C4726,Programme!D4726,Programme!E4726,Programme!F4726,Programme!G4726,Programme!H4726,Programme!I4726)</f>
        <v>&lt;cellule&gt;</v>
      </c>
    </row>
    <row r="4726" spans="1:1" x14ac:dyDescent="0.2">
      <c r="A4726" s="1135" t="str">
        <f>CONCATENATE(Programme!C4727,Programme!D4727,Programme!E4727,Programme!F4727,Programme!G4727,Programme!H4727,Programme!I4727)</f>
        <v>&lt;codeEdi&gt;1351&lt;/codeEdi&gt;</v>
      </c>
    </row>
    <row r="4727" spans="1:1" x14ac:dyDescent="0.2">
      <c r="A4727" s="1135" t="str">
        <f>CONCATENATE(Programme!C4728,Programme!D4728,Programme!E4728,Programme!F4728,Programme!G4728,Programme!H4728,Programme!I4728)</f>
        <v>&lt;/cellule&gt;</v>
      </c>
    </row>
    <row r="4728" spans="1:1" x14ac:dyDescent="0.2">
      <c r="A4728" s="1135" t="str">
        <f>CONCATENATE(Programme!C4729,Programme!D4729,Programme!E4729,Programme!F4729,Programme!G4729,Programme!H4729,Programme!I4729)</f>
        <v>&lt;valeur&gt;694,37&lt;/valeur&gt;</v>
      </c>
    </row>
    <row r="4729" spans="1:1" x14ac:dyDescent="0.2">
      <c r="A4729" s="1135" t="str">
        <f>CONCATENATE(Programme!C4730,Programme!D4730,Programme!E4730,Programme!F4730,Programme!G4730,Programme!H4730,Programme!I4730)</f>
        <v>&lt;/ValeurCellule&gt;</v>
      </c>
    </row>
    <row r="4730" spans="1:1" x14ac:dyDescent="0.2">
      <c r="A4730" s="1135" t="str">
        <f>CONCATENATE(Programme!C4731,Programme!D4731,Programme!E4731,Programme!F4731,Programme!G4731,Programme!H4731,Programme!I4731)</f>
        <v>&lt;ValeurCellule&gt;</v>
      </c>
    </row>
    <row r="4731" spans="1:1" x14ac:dyDescent="0.2">
      <c r="A4731" s="1135" t="str">
        <f>CONCATENATE(Programme!C4732,Programme!D4732,Programme!E4732,Programme!F4732,Programme!G4732,Programme!H4732,Programme!I4732)</f>
        <v>&lt;cellule&gt;</v>
      </c>
    </row>
    <row r="4732" spans="1:1" x14ac:dyDescent="0.2">
      <c r="A4732" s="1135" t="str">
        <f>CONCATENATE(Programme!C4733,Programme!D4733,Programme!E4733,Programme!F4733,Programme!G4733,Programme!H4733,Programme!I4733)</f>
        <v>&lt;codeEdi&gt;1352&lt;/codeEdi&gt;</v>
      </c>
    </row>
    <row r="4733" spans="1:1" x14ac:dyDescent="0.2">
      <c r="A4733" s="1135" t="str">
        <f>CONCATENATE(Programme!C4734,Programme!D4734,Programme!E4734,Programme!F4734,Programme!G4734,Programme!H4734,Programme!I4734)</f>
        <v>&lt;/cellule&gt;</v>
      </c>
    </row>
    <row r="4734" spans="1:1" x14ac:dyDescent="0.2">
      <c r="A4734" s="1135" t="str">
        <f>CONCATENATE(Programme!C4735,Programme!D4735,Programme!E4735,Programme!F4735,Programme!G4735,Programme!H4735,Programme!I4735)</f>
        <v>&lt;valeur&gt;-18918,67&lt;/valeur&gt;</v>
      </c>
    </row>
    <row r="4735" spans="1:1" x14ac:dyDescent="0.2">
      <c r="A4735" s="1135" t="str">
        <f>CONCATENATE(Programme!C4736,Programme!D4736,Programme!E4736,Programme!F4736,Programme!G4736,Programme!H4736,Programme!I4736)</f>
        <v>&lt;/ValeurCellule&gt;</v>
      </c>
    </row>
    <row r="4736" spans="1:1" x14ac:dyDescent="0.2">
      <c r="A4736" s="1135" t="str">
        <f>CONCATENATE(Programme!C4737,Programme!D4737,Programme!E4737,Programme!F4737,Programme!G4737,Programme!H4737,Programme!I4737)</f>
        <v>&lt;ValeurCellule&gt;</v>
      </c>
    </row>
    <row r="4737" spans="1:1" x14ac:dyDescent="0.2">
      <c r="A4737" s="1135" t="str">
        <f>CONCATENATE(Programme!C4738,Programme!D4738,Programme!E4738,Programme!F4738,Programme!G4738,Programme!H4738,Programme!I4738)</f>
        <v>&lt;cellule&gt;</v>
      </c>
    </row>
    <row r="4738" spans="1:1" x14ac:dyDescent="0.2">
      <c r="A4738" s="1135" t="str">
        <f>CONCATENATE(Programme!C4739,Programme!D4739,Programme!E4739,Programme!F4739,Programme!G4739,Programme!H4739,Programme!I4739)</f>
        <v>&lt;codeEdi&gt;1353&lt;/codeEdi&gt;</v>
      </c>
    </row>
    <row r="4739" spans="1:1" x14ac:dyDescent="0.2">
      <c r="A4739" s="1135" t="str">
        <f>CONCATENATE(Programme!C4740,Programme!D4740,Programme!E4740,Programme!F4740,Programme!G4740,Programme!H4740,Programme!I4740)</f>
        <v>&lt;/cellule&gt;</v>
      </c>
    </row>
    <row r="4740" spans="1:1" x14ac:dyDescent="0.2">
      <c r="A4740" s="1135" t="str">
        <f>CONCATENATE(Programme!C4741,Programme!D4741,Programme!E4741,Programme!F4741,Programme!G4741,Programme!H4741,Programme!I4741)</f>
        <v>&lt;valeur&gt;0&lt;/valeur&gt;</v>
      </c>
    </row>
    <row r="4741" spans="1:1" x14ac:dyDescent="0.2">
      <c r="A4741" s="1135" t="str">
        <f>CONCATENATE(Programme!C4742,Programme!D4742,Programme!E4742,Programme!F4742,Programme!G4742,Programme!H4742,Programme!I4742)</f>
        <v>&lt;/ValeurCellule&gt;</v>
      </c>
    </row>
    <row r="4742" spans="1:1" x14ac:dyDescent="0.2">
      <c r="A4742" s="1135" t="str">
        <f>CONCATENATE(Programme!C4743,Programme!D4743,Programme!E4743,Programme!F4743,Programme!G4743,Programme!H4743,Programme!I4743)</f>
        <v>&lt;ValeurCellule&gt;</v>
      </c>
    </row>
    <row r="4743" spans="1:1" x14ac:dyDescent="0.2">
      <c r="A4743" s="1135" t="str">
        <f>CONCATENATE(Programme!C4744,Programme!D4744,Programme!E4744,Programme!F4744,Programme!G4744,Programme!H4744,Programme!I4744)</f>
        <v>&lt;cellule&gt;</v>
      </c>
    </row>
    <row r="4744" spans="1:1" x14ac:dyDescent="0.2">
      <c r="A4744" s="1135" t="str">
        <f>CONCATENATE(Programme!C4745,Programme!D4745,Programme!E4745,Programme!F4745,Programme!G4745,Programme!H4745,Programme!I4745)</f>
        <v>&lt;codeEdi&gt;1354&lt;/codeEdi&gt;</v>
      </c>
    </row>
    <row r="4745" spans="1:1" x14ac:dyDescent="0.2">
      <c r="A4745" s="1135" t="str">
        <f>CONCATENATE(Programme!C4746,Programme!D4746,Programme!E4746,Programme!F4746,Programme!G4746,Programme!H4746,Programme!I4746)</f>
        <v>&lt;/cellule&gt;</v>
      </c>
    </row>
    <row r="4746" spans="1:1" x14ac:dyDescent="0.2">
      <c r="A4746" s="1135" t="str">
        <f>CONCATENATE(Programme!C4747,Programme!D4747,Programme!E4747,Programme!F4747,Programme!G4747,Programme!H4747,Programme!I4747)</f>
        <v>&lt;valeur&gt;-18918,67&lt;/valeur&gt;</v>
      </c>
    </row>
    <row r="4747" spans="1:1" x14ac:dyDescent="0.2">
      <c r="A4747" s="1135" t="str">
        <f>CONCATENATE(Programme!C4748,Programme!D4748,Programme!E4748,Programme!F4748,Programme!G4748,Programme!H4748,Programme!I4748)</f>
        <v>&lt;/ValeurCellule&gt;</v>
      </c>
    </row>
    <row r="4748" spans="1:1" x14ac:dyDescent="0.2">
      <c r="A4748" s="1135" t="str">
        <f>CONCATENATE(Programme!C4749,Programme!D4749,Programme!E4749,Programme!F4749,Programme!G4749,Programme!H4749,Programme!I4749)</f>
        <v>&lt;ValeurCellule&gt;</v>
      </c>
    </row>
    <row r="4749" spans="1:1" x14ac:dyDescent="0.2">
      <c r="A4749" s="1135" t="str">
        <f>CONCATENATE(Programme!C4750,Programme!D4750,Programme!E4750,Programme!F4750,Programme!G4750,Programme!H4750,Programme!I4750)</f>
        <v>&lt;cellule&gt;</v>
      </c>
    </row>
    <row r="4750" spans="1:1" x14ac:dyDescent="0.2">
      <c r="A4750" s="1135" t="str">
        <f>CONCATENATE(Programme!C4751,Programme!D4751,Programme!E4751,Programme!F4751,Programme!G4751,Programme!H4751,Programme!I4751)</f>
        <v>&lt;codeEdi&gt;1355&lt;/codeEdi&gt;</v>
      </c>
    </row>
    <row r="4751" spans="1:1" x14ac:dyDescent="0.2">
      <c r="A4751" s="1135" t="str">
        <f>CONCATENATE(Programme!C4752,Programme!D4752,Programme!E4752,Programme!F4752,Programme!G4752,Programme!H4752,Programme!I4752)</f>
        <v>&lt;/cellule&gt;</v>
      </c>
    </row>
    <row r="4752" spans="1:1" x14ac:dyDescent="0.2">
      <c r="A4752" s="1135" t="str">
        <f>CONCATENATE(Programme!C4753,Programme!D4753,Programme!E4753,Programme!F4753,Programme!G4753,Programme!H4753,Programme!I4753)</f>
        <v>&lt;valeur&gt;0&lt;/valeur&gt;</v>
      </c>
    </row>
    <row r="4753" spans="1:1" x14ac:dyDescent="0.2">
      <c r="A4753" s="1135" t="str">
        <f>CONCATENATE(Programme!C4754,Programme!D4754,Programme!E4754,Programme!F4754,Programme!G4754,Programme!H4754,Programme!I4754)</f>
        <v>&lt;/ValeurCellule&gt;</v>
      </c>
    </row>
    <row r="4754" spans="1:1" x14ac:dyDescent="0.2">
      <c r="A4754" s="1135" t="str">
        <f>CONCATENATE(Programme!C4755,Programme!D4755,Programme!E4755,Programme!F4755,Programme!G4755,Programme!H4755,Programme!I4755)</f>
        <v>&lt;ValeurCellule&gt;</v>
      </c>
    </row>
    <row r="4755" spans="1:1" x14ac:dyDescent="0.2">
      <c r="A4755" s="1135" t="str">
        <f>CONCATENATE(Programme!C4756,Programme!D4756,Programme!E4756,Programme!F4756,Programme!G4756,Programme!H4756,Programme!I4756)</f>
        <v>&lt;cellule&gt;</v>
      </c>
    </row>
    <row r="4756" spans="1:1" x14ac:dyDescent="0.2">
      <c r="A4756" s="1135" t="str">
        <f>CONCATENATE(Programme!C4757,Programme!D4757,Programme!E4757,Programme!F4757,Programme!G4757,Programme!H4757,Programme!I4757)</f>
        <v>&lt;codeEdi&gt;1356&lt;/codeEdi&gt;</v>
      </c>
    </row>
    <row r="4757" spans="1:1" x14ac:dyDescent="0.2">
      <c r="A4757" s="1135" t="str">
        <f>CONCATENATE(Programme!C4758,Programme!D4758,Programme!E4758,Programme!F4758,Programme!G4758,Programme!H4758,Programme!I4758)</f>
        <v>&lt;/cellule&gt;</v>
      </c>
    </row>
    <row r="4758" spans="1:1" x14ac:dyDescent="0.2">
      <c r="A4758" s="1135" t="str">
        <f>CONCATENATE(Programme!C4759,Programme!D4759,Programme!E4759,Programme!F4759,Programme!G4759,Programme!H4759,Programme!I4759)</f>
        <v>&lt;valeur&gt;0&lt;/valeur&gt;</v>
      </c>
    </row>
    <row r="4759" spans="1:1" x14ac:dyDescent="0.2">
      <c r="A4759" s="1135" t="str">
        <f>CONCATENATE(Programme!C4760,Programme!D4760,Programme!E4760,Programme!F4760,Programme!G4760,Programme!H4760,Programme!I4760)</f>
        <v>&lt;/ValeurCellule&gt;</v>
      </c>
    </row>
    <row r="4760" spans="1:1" x14ac:dyDescent="0.2">
      <c r="A4760" s="1135" t="str">
        <f>CONCATENATE(Programme!C4761,Programme!D4761,Programme!E4761,Programme!F4761,Programme!G4761,Programme!H4761,Programme!I4761)</f>
        <v>&lt;ValeurCellule&gt;</v>
      </c>
    </row>
    <row r="4761" spans="1:1" x14ac:dyDescent="0.2">
      <c r="A4761" s="1135" t="str">
        <f>CONCATENATE(Programme!C4762,Programme!D4762,Programme!E4762,Programme!F4762,Programme!G4762,Programme!H4762,Programme!I4762)</f>
        <v>&lt;cellule&gt;</v>
      </c>
    </row>
    <row r="4762" spans="1:1" x14ac:dyDescent="0.2">
      <c r="A4762" s="1135" t="str">
        <f>CONCATENATE(Programme!C4763,Programme!D4763,Programme!E4763,Programme!F4763,Programme!G4763,Programme!H4763,Programme!I4763)</f>
        <v>&lt;codeEdi&gt;1357&lt;/codeEdi&gt;</v>
      </c>
    </row>
    <row r="4763" spans="1:1" x14ac:dyDescent="0.2">
      <c r="A4763" s="1135" t="str">
        <f>CONCATENATE(Programme!C4764,Programme!D4764,Programme!E4764,Programme!F4764,Programme!G4764,Programme!H4764,Programme!I4764)</f>
        <v>&lt;/cellule&gt;</v>
      </c>
    </row>
    <row r="4764" spans="1:1" x14ac:dyDescent="0.2">
      <c r="A4764" s="1135" t="str">
        <f>CONCATENATE(Programme!C4765,Programme!D4765,Programme!E4765,Programme!F4765,Programme!G4765,Programme!H4765,Programme!I4765)</f>
        <v>&lt;valeur&gt;-18918,67&lt;/valeur&gt;</v>
      </c>
    </row>
    <row r="4765" spans="1:1" x14ac:dyDescent="0.2">
      <c r="A4765" s="1135" t="str">
        <f>CONCATENATE(Programme!C4766,Programme!D4766,Programme!E4766,Programme!F4766,Programme!G4766,Programme!H4766,Programme!I4766)</f>
        <v>&lt;/ValeurCellule&gt;</v>
      </c>
    </row>
    <row r="4766" spans="1:1" x14ac:dyDescent="0.2">
      <c r="A4766" s="1135" t="str">
        <f>CONCATENATE(Programme!C4767,Programme!D4767,Programme!E4767,Programme!F4767,Programme!G4767,Programme!H4767,Programme!I4767)</f>
        <v>&lt;ValeurCellule&gt;</v>
      </c>
    </row>
    <row r="4767" spans="1:1" x14ac:dyDescent="0.2">
      <c r="A4767" s="1135" t="str">
        <f>CONCATENATE(Programme!C4768,Programme!D4768,Programme!E4768,Programme!F4768,Programme!G4768,Programme!H4768,Programme!I4768)</f>
        <v>&lt;cellule&gt;</v>
      </c>
    </row>
    <row r="4768" spans="1:1" x14ac:dyDescent="0.2">
      <c r="A4768" s="1135" t="str">
        <f>CONCATENATE(Programme!C4769,Programme!D4769,Programme!E4769,Programme!F4769,Programme!G4769,Programme!H4769,Programme!I4769)</f>
        <v>&lt;codeEdi&gt;4064&lt;/codeEdi&gt;</v>
      </c>
    </row>
    <row r="4769" spans="1:1" x14ac:dyDescent="0.2">
      <c r="A4769" s="1135" t="str">
        <f>CONCATENATE(Programme!C4770,Programme!D4770,Programme!E4770,Programme!F4770,Programme!G4770,Programme!H4770,Programme!I4770)</f>
        <v>&lt;/cellule&gt;</v>
      </c>
    </row>
    <row r="4770" spans="1:1" x14ac:dyDescent="0.2">
      <c r="A4770" s="1135" t="str">
        <f>CONCATENATE(Programme!C4771,Programme!D4771,Programme!E4771,Programme!F4771,Programme!G4771,Programme!H4771,Programme!I4771)</f>
        <v>&lt;valeur&gt;-18224,3&lt;/valeur&gt;</v>
      </c>
    </row>
    <row r="4771" spans="1:1" x14ac:dyDescent="0.2">
      <c r="A4771" s="1135" t="str">
        <f>CONCATENATE(Programme!C4772,Programme!D4772,Programme!E4772,Programme!F4772,Programme!G4772,Programme!H4772,Programme!I4772)</f>
        <v>&lt;/ValeurCellule&gt;</v>
      </c>
    </row>
    <row r="4772" spans="1:1" x14ac:dyDescent="0.2">
      <c r="A4772" s="1135" t="str">
        <f>CONCATENATE(Programme!C4773,Programme!D4773,Programme!E4773,Programme!F4773,Programme!G4773,Programme!H4773,Programme!I4773)</f>
        <v>&lt;ValeurCellule&gt;</v>
      </c>
    </row>
    <row r="4773" spans="1:1" x14ac:dyDescent="0.2">
      <c r="A4773" s="1135" t="str">
        <f>CONCATENATE(Programme!C4774,Programme!D4774,Programme!E4774,Programme!F4774,Programme!G4774,Programme!H4774,Programme!I4774)</f>
        <v>&lt;cellule&gt;</v>
      </c>
    </row>
    <row r="4774" spans="1:1" x14ac:dyDescent="0.2">
      <c r="A4774" s="1135" t="str">
        <f>CONCATENATE(Programme!C4775,Programme!D4775,Programme!E4775,Programme!F4775,Programme!G4775,Programme!H4775,Programme!I4775)</f>
        <v>&lt;codeEdi&gt;4067&lt;/codeEdi&gt;</v>
      </c>
    </row>
    <row r="4775" spans="1:1" x14ac:dyDescent="0.2">
      <c r="A4775" s="1135" t="str">
        <f>CONCATENATE(Programme!C4776,Programme!D4776,Programme!E4776,Programme!F4776,Programme!G4776,Programme!H4776,Programme!I4776)</f>
        <v>&lt;/cellule&gt;</v>
      </c>
    </row>
    <row r="4776" spans="1:1" x14ac:dyDescent="0.2">
      <c r="A4776" s="1135" t="str">
        <f>CONCATENATE(Programme!C4777,Programme!D4777,Programme!E4777,Programme!F4777,Programme!G4777,Programme!H4777,Programme!I4777)</f>
        <v>&lt;valeur&gt;0&lt;/valeur&gt;</v>
      </c>
    </row>
    <row r="4777" spans="1:1" x14ac:dyDescent="0.2">
      <c r="A4777" s="1135" t="str">
        <f>CONCATENATE(Programme!C4778,Programme!D4778,Programme!E4778,Programme!F4778,Programme!G4778,Programme!H4778,Programme!I4778)</f>
        <v>&lt;/ValeurCellule&gt;</v>
      </c>
    </row>
    <row r="4778" spans="1:1" x14ac:dyDescent="0.2">
      <c r="A4778" s="1135" t="str">
        <f>CONCATENATE(Programme!C4779,Programme!D4779,Programme!E4779,Programme!F4779,Programme!G4779,Programme!H4779,Programme!I4779)</f>
        <v>&lt;ValeurCellule&gt;</v>
      </c>
    </row>
    <row r="4779" spans="1:1" x14ac:dyDescent="0.2">
      <c r="A4779" s="1135" t="str">
        <f>CONCATENATE(Programme!C4780,Programme!D4780,Programme!E4780,Programme!F4780,Programme!G4780,Programme!H4780,Programme!I4780)</f>
        <v>&lt;cellule&gt;</v>
      </c>
    </row>
    <row r="4780" spans="1:1" x14ac:dyDescent="0.2">
      <c r="A4780" s="1135" t="str">
        <f>CONCATENATE(Programme!C4781,Programme!D4781,Programme!E4781,Programme!F4781,Programme!G4781,Programme!H4781,Programme!I4781)</f>
        <v>&lt;codeEdi&gt;1372&lt;/codeEdi&gt;</v>
      </c>
    </row>
    <row r="4781" spans="1:1" x14ac:dyDescent="0.2">
      <c r="A4781" s="1135" t="str">
        <f>CONCATENATE(Programme!C4782,Programme!D4782,Programme!E4782,Programme!F4782,Programme!G4782,Programme!H4782,Programme!I4782)</f>
        <v>&lt;/cellule&gt;</v>
      </c>
    </row>
    <row r="4782" spans="1:1" x14ac:dyDescent="0.2">
      <c r="A4782" s="1135" t="str">
        <f>CONCATENATE(Programme!C4783,Programme!D4783,Programme!E4783,Programme!F4783,Programme!G4783,Programme!H4783,Programme!I4783)</f>
        <v>&lt;valeur&gt;&lt;/valeur&gt;</v>
      </c>
    </row>
    <row r="4783" spans="1:1" x14ac:dyDescent="0.2">
      <c r="A4783" s="1135" t="str">
        <f>CONCATENATE(Programme!C4784,Programme!D4784,Programme!E4784,Programme!F4784,Programme!G4784,Programme!H4784,Programme!I4784)</f>
        <v>&lt;/ValeurCellule&gt;</v>
      </c>
    </row>
    <row r="4784" spans="1:1" x14ac:dyDescent="0.2">
      <c r="A4784" s="1135" t="str">
        <f>CONCATENATE(Programme!C4785,Programme!D4785,Programme!E4785,Programme!F4785,Programme!G4785,Programme!H4785,Programme!I4785)</f>
        <v>&lt;ValeurCellule&gt;</v>
      </c>
    </row>
    <row r="4785" spans="1:1" x14ac:dyDescent="0.2">
      <c r="A4785" s="1135" t="str">
        <f>CONCATENATE(Programme!C4786,Programme!D4786,Programme!E4786,Programme!F4786,Programme!G4786,Programme!H4786,Programme!I4786)</f>
        <v>&lt;cellule&gt;</v>
      </c>
    </row>
    <row r="4786" spans="1:1" x14ac:dyDescent="0.2">
      <c r="A4786" s="1135" t="str">
        <f>CONCATENATE(Programme!C4787,Programme!D4787,Programme!E4787,Programme!F4787,Programme!G4787,Programme!H4787,Programme!I4787)</f>
        <v>&lt;codeEdi&gt;1373&lt;/codeEdi&gt;</v>
      </c>
    </row>
    <row r="4787" spans="1:1" x14ac:dyDescent="0.2">
      <c r="A4787" s="1135" t="str">
        <f>CONCATENATE(Programme!C4788,Programme!D4788,Programme!E4788,Programme!F4788,Programme!G4788,Programme!H4788,Programme!I4788)</f>
        <v>&lt;/cellule&gt;</v>
      </c>
    </row>
    <row r="4788" spans="1:1" x14ac:dyDescent="0.2">
      <c r="A4788" s="1135" t="str">
        <f>CONCATENATE(Programme!C4789,Programme!D4789,Programme!E4789,Programme!F4789,Programme!G4789,Programme!H4789,Programme!I4789)</f>
        <v>&lt;valeur&gt;21452,44&lt;/valeur&gt;</v>
      </c>
    </row>
    <row r="4789" spans="1:1" x14ac:dyDescent="0.2">
      <c r="A4789" s="1135" t="str">
        <f>CONCATENATE(Programme!C4790,Programme!D4790,Programme!E4790,Programme!F4790,Programme!G4790,Programme!H4790,Programme!I4790)</f>
        <v>&lt;/ValeurCellule&gt;</v>
      </c>
    </row>
    <row r="4790" spans="1:1" x14ac:dyDescent="0.2">
      <c r="A4790" s="1135" t="str">
        <f>CONCATENATE(Programme!C4791,Programme!D4791,Programme!E4791,Programme!F4791,Programme!G4791,Programme!H4791,Programme!I4791)</f>
        <v>&lt;ValeurCellule&gt;</v>
      </c>
    </row>
    <row r="4791" spans="1:1" x14ac:dyDescent="0.2">
      <c r="A4791" s="1135" t="str">
        <f>CONCATENATE(Programme!C4792,Programme!D4792,Programme!E4792,Programme!F4792,Programme!G4792,Programme!H4792,Programme!I4792)</f>
        <v>&lt;cellule&gt;</v>
      </c>
    </row>
    <row r="4792" spans="1:1" x14ac:dyDescent="0.2">
      <c r="A4792" s="1135" t="str">
        <f>CONCATENATE(Programme!C4793,Programme!D4793,Programme!E4793,Programme!F4793,Programme!G4793,Programme!H4793,Programme!I4793)</f>
        <v>&lt;codeEdi&gt;1374&lt;/codeEdi&gt;</v>
      </c>
    </row>
    <row r="4793" spans="1:1" x14ac:dyDescent="0.2">
      <c r="A4793" s="1135" t="str">
        <f>CONCATENATE(Programme!C4794,Programme!D4794,Programme!E4794,Programme!F4794,Programme!G4794,Programme!H4794,Programme!I4794)</f>
        <v>&lt;/cellule&gt;</v>
      </c>
    </row>
    <row r="4794" spans="1:1" x14ac:dyDescent="0.2">
      <c r="A4794" s="1135" t="str">
        <f>CONCATENATE(Programme!C4795,Programme!D4795,Programme!E4795,Programme!F4795,Programme!G4795,Programme!H4795,Programme!I4795)</f>
        <v>&lt;valeur&gt;0&lt;/valeur&gt;</v>
      </c>
    </row>
    <row r="4795" spans="1:1" x14ac:dyDescent="0.2">
      <c r="A4795" s="1135" t="str">
        <f>CONCATENATE(Programme!C4796,Programme!D4796,Programme!E4796,Programme!F4796,Programme!G4796,Programme!H4796,Programme!I4796)</f>
        <v>&lt;/ValeurCellule&gt;</v>
      </c>
    </row>
    <row r="4796" spans="1:1" x14ac:dyDescent="0.2">
      <c r="A4796" s="1135" t="str">
        <f>CONCATENATE(Programme!C4797,Programme!D4797,Programme!E4797,Programme!F4797,Programme!G4797,Programme!H4797,Programme!I4797)</f>
        <v>&lt;ValeurCellule&gt;</v>
      </c>
    </row>
    <row r="4797" spans="1:1" x14ac:dyDescent="0.2">
      <c r="A4797" s="1135" t="str">
        <f>CONCATENATE(Programme!C4798,Programme!D4798,Programme!E4798,Programme!F4798,Programme!G4798,Programme!H4798,Programme!I4798)</f>
        <v>&lt;cellule&gt;</v>
      </c>
    </row>
    <row r="4798" spans="1:1" x14ac:dyDescent="0.2">
      <c r="A4798" s="1135" t="str">
        <f>CONCATENATE(Programme!C4799,Programme!D4799,Programme!E4799,Programme!F4799,Programme!G4799,Programme!H4799,Programme!I4799)</f>
        <v>&lt;codeEdi&gt;1375&lt;/codeEdi&gt;</v>
      </c>
    </row>
    <row r="4799" spans="1:1" x14ac:dyDescent="0.2">
      <c r="A4799" s="1135" t="str">
        <f>CONCATENATE(Programme!C4800,Programme!D4800,Programme!E4800,Programme!F4800,Programme!G4800,Programme!H4800,Programme!I4800)</f>
        <v>&lt;/cellule&gt;</v>
      </c>
    </row>
    <row r="4800" spans="1:1" x14ac:dyDescent="0.2">
      <c r="A4800" s="1135" t="str">
        <f>CONCATENATE(Programme!C4801,Programme!D4801,Programme!E4801,Programme!F4801,Programme!G4801,Programme!H4801,Programme!I4801)</f>
        <v>&lt;valeur&gt;172843,76&lt;/valeur&gt;</v>
      </c>
    </row>
    <row r="4801" spans="1:1" x14ac:dyDescent="0.2">
      <c r="A4801" s="1135" t="str">
        <f>CONCATENATE(Programme!C4802,Programme!D4802,Programme!E4802,Programme!F4802,Programme!G4802,Programme!H4802,Programme!I4802)</f>
        <v>&lt;/ValeurCellule&gt;</v>
      </c>
    </row>
    <row r="4802" spans="1:1" x14ac:dyDescent="0.2">
      <c r="A4802" s="1135" t="str">
        <f>CONCATENATE(Programme!C4803,Programme!D4803,Programme!E4803,Programme!F4803,Programme!G4803,Programme!H4803,Programme!I4803)</f>
        <v>&lt;ValeurCellule&gt;</v>
      </c>
    </row>
    <row r="4803" spans="1:1" x14ac:dyDescent="0.2">
      <c r="A4803" s="1135" t="str">
        <f>CONCATENATE(Programme!C4804,Programme!D4804,Programme!E4804,Programme!F4804,Programme!G4804,Programme!H4804,Programme!I4804)</f>
        <v>&lt;cellule&gt;</v>
      </c>
    </row>
    <row r="4804" spans="1:1" x14ac:dyDescent="0.2">
      <c r="A4804" s="1135" t="str">
        <f>CONCATENATE(Programme!C4805,Programme!D4805,Programme!E4805,Programme!F4805,Programme!G4805,Programme!H4805,Programme!I4805)</f>
        <v>&lt;codeEdi&gt;1376&lt;/codeEdi&gt;</v>
      </c>
    </row>
    <row r="4805" spans="1:1" x14ac:dyDescent="0.2">
      <c r="A4805" s="1135" t="str">
        <f>CONCATENATE(Programme!C4806,Programme!D4806,Programme!E4806,Programme!F4806,Programme!G4806,Programme!H4806,Programme!I4806)</f>
        <v>&lt;/cellule&gt;</v>
      </c>
    </row>
    <row r="4806" spans="1:1" x14ac:dyDescent="0.2">
      <c r="A4806" s="1135" t="str">
        <f>CONCATENATE(Programme!C4807,Programme!D4807,Programme!E4807,Programme!F4807,Programme!G4807,Programme!H4807,Programme!I4807)</f>
        <v>&lt;valeur&gt;0&lt;/valeur&gt;</v>
      </c>
    </row>
    <row r="4807" spans="1:1" x14ac:dyDescent="0.2">
      <c r="A4807" s="1135" t="str">
        <f>CONCATENATE(Programme!C4808,Programme!D4808,Programme!E4808,Programme!F4808,Programme!G4808,Programme!H4808,Programme!I4808)</f>
        <v>&lt;/ValeurCellule&gt;</v>
      </c>
    </row>
    <row r="4808" spans="1:1" x14ac:dyDescent="0.2">
      <c r="A4808" s="1135" t="str">
        <f>CONCATENATE(Programme!C4809,Programme!D4809,Programme!E4809,Programme!F4809,Programme!G4809,Programme!H4809,Programme!I4809)</f>
        <v>&lt;ValeurCellule&gt;</v>
      </c>
    </row>
    <row r="4809" spans="1:1" x14ac:dyDescent="0.2">
      <c r="A4809" s="1135" t="str">
        <f>CONCATENATE(Programme!C4810,Programme!D4810,Programme!E4810,Programme!F4810,Programme!G4810,Programme!H4810,Programme!I4810)</f>
        <v>&lt;cellule&gt;</v>
      </c>
    </row>
    <row r="4810" spans="1:1" x14ac:dyDescent="0.2">
      <c r="A4810" s="1135" t="str">
        <f>CONCATENATE(Programme!C4811,Programme!D4811,Programme!E4811,Programme!F4811,Programme!G4811,Programme!H4811,Programme!I4811)</f>
        <v>&lt;codeEdi&gt;1377&lt;/codeEdi&gt;</v>
      </c>
    </row>
    <row r="4811" spans="1:1" x14ac:dyDescent="0.2">
      <c r="A4811" s="1135" t="str">
        <f>CONCATENATE(Programme!C4812,Programme!D4812,Programme!E4812,Programme!F4812,Programme!G4812,Programme!H4812,Programme!I4812)</f>
        <v>&lt;/cellule&gt;</v>
      </c>
    </row>
    <row r="4812" spans="1:1" x14ac:dyDescent="0.2">
      <c r="A4812" s="1135" t="str">
        <f>CONCATENATE(Programme!C4813,Programme!D4813,Programme!E4813,Programme!F4813,Programme!G4813,Programme!H4813,Programme!I4813)</f>
        <v>&lt;valeur&gt;0&lt;/valeur&gt;</v>
      </c>
    </row>
    <row r="4813" spans="1:1" x14ac:dyDescent="0.2">
      <c r="A4813" s="1135" t="str">
        <f>CONCATENATE(Programme!C4814,Programme!D4814,Programme!E4814,Programme!F4814,Programme!G4814,Programme!H4814,Programme!I4814)</f>
        <v>&lt;/ValeurCellule&gt;</v>
      </c>
    </row>
    <row r="4814" spans="1:1" x14ac:dyDescent="0.2">
      <c r="A4814" s="1135" t="str">
        <f>CONCATENATE(Programme!C4815,Programme!D4815,Programme!E4815,Programme!F4815,Programme!G4815,Programme!H4815,Programme!I4815)</f>
        <v>&lt;ValeurCellule&gt;</v>
      </c>
    </row>
    <row r="4815" spans="1:1" x14ac:dyDescent="0.2">
      <c r="A4815" s="1135" t="str">
        <f>CONCATENATE(Programme!C4816,Programme!D4816,Programme!E4816,Programme!F4816,Programme!G4816,Programme!H4816,Programme!I4816)</f>
        <v>&lt;cellule&gt;</v>
      </c>
    </row>
    <row r="4816" spans="1:1" x14ac:dyDescent="0.2">
      <c r="A4816" s="1135" t="str">
        <f>CONCATENATE(Programme!C4817,Programme!D4817,Programme!E4817,Programme!F4817,Programme!G4817,Programme!H4817,Programme!I4817)</f>
        <v>&lt;codeEdi&gt;1378&lt;/codeEdi&gt;</v>
      </c>
    </row>
    <row r="4817" spans="1:1" x14ac:dyDescent="0.2">
      <c r="A4817" s="1135" t="str">
        <f>CONCATENATE(Programme!C4818,Programme!D4818,Programme!E4818,Programme!F4818,Programme!G4818,Programme!H4818,Programme!I4818)</f>
        <v>&lt;/cellule&gt;</v>
      </c>
    </row>
    <row r="4818" spans="1:1" x14ac:dyDescent="0.2">
      <c r="A4818" s="1135" t="str">
        <f>CONCATENATE(Programme!C4819,Programme!D4819,Programme!E4819,Programme!F4819,Programme!G4819,Programme!H4819,Programme!I4819)</f>
        <v>&lt;valeur&gt;0&lt;/valeur&gt;</v>
      </c>
    </row>
    <row r="4819" spans="1:1" x14ac:dyDescent="0.2">
      <c r="A4819" s="1135" t="str">
        <f>CONCATENATE(Programme!C4820,Programme!D4820,Programme!E4820,Programme!F4820,Programme!G4820,Programme!H4820,Programme!I4820)</f>
        <v>&lt;/ValeurCellule&gt;</v>
      </c>
    </row>
    <row r="4820" spans="1:1" x14ac:dyDescent="0.2">
      <c r="A4820" s="1135" t="str">
        <f>CONCATENATE(Programme!C4821,Programme!D4821,Programme!E4821,Programme!F4821,Programme!G4821,Programme!H4821,Programme!I4821)</f>
        <v>&lt;ValeurCellule&gt;</v>
      </c>
    </row>
    <row r="4821" spans="1:1" x14ac:dyDescent="0.2">
      <c r="A4821" s="1135" t="str">
        <f>CONCATENATE(Programme!C4822,Programme!D4822,Programme!E4822,Programme!F4822,Programme!G4822,Programme!H4822,Programme!I4822)</f>
        <v>&lt;cellule&gt;</v>
      </c>
    </row>
    <row r="4822" spans="1:1" x14ac:dyDescent="0.2">
      <c r="A4822" s="1135" t="str">
        <f>CONCATENATE(Programme!C4823,Programme!D4823,Programme!E4823,Programme!F4823,Programme!G4823,Programme!H4823,Programme!I4823)</f>
        <v>&lt;codeEdi&gt;1379&lt;/codeEdi&gt;</v>
      </c>
    </row>
    <row r="4823" spans="1:1" x14ac:dyDescent="0.2">
      <c r="A4823" s="1135" t="str">
        <f>CONCATENATE(Programme!C4824,Programme!D4824,Programme!E4824,Programme!F4824,Programme!G4824,Programme!H4824,Programme!I4824)</f>
        <v>&lt;/cellule&gt;</v>
      </c>
    </row>
    <row r="4824" spans="1:1" x14ac:dyDescent="0.2">
      <c r="A4824" s="1135" t="str">
        <f>CONCATENATE(Programme!C4825,Programme!D4825,Programme!E4825,Programme!F4825,Programme!G4825,Programme!H4825,Programme!I4825)</f>
        <v>&lt;valeur&gt;0&lt;/valeur&gt;</v>
      </c>
    </row>
    <row r="4825" spans="1:1" x14ac:dyDescent="0.2">
      <c r="A4825" s="1135" t="str">
        <f>CONCATENATE(Programme!C4826,Programme!D4826,Programme!E4826,Programme!F4826,Programme!G4826,Programme!H4826,Programme!I4826)</f>
        <v>&lt;/ValeurCellule&gt;</v>
      </c>
    </row>
    <row r="4826" spans="1:1" x14ac:dyDescent="0.2">
      <c r="A4826" s="1135" t="str">
        <f>CONCATENATE(Programme!C4827,Programme!D4827,Programme!E4827,Programme!F4827,Programme!G4827,Programme!H4827,Programme!I4827)</f>
        <v>&lt;ValeurCellule&gt;</v>
      </c>
    </row>
    <row r="4827" spans="1:1" x14ac:dyDescent="0.2">
      <c r="A4827" s="1135" t="str">
        <f>CONCATENATE(Programme!C4828,Programme!D4828,Programme!E4828,Programme!F4828,Programme!G4828,Programme!H4828,Programme!I4828)</f>
        <v>&lt;cellule&gt;</v>
      </c>
    </row>
    <row r="4828" spans="1:1" x14ac:dyDescent="0.2">
      <c r="A4828" s="1135" t="str">
        <f>CONCATENATE(Programme!C4829,Programme!D4829,Programme!E4829,Programme!F4829,Programme!G4829,Programme!H4829,Programme!I4829)</f>
        <v>&lt;codeEdi&gt;1380&lt;/codeEdi&gt;</v>
      </c>
    </row>
    <row r="4829" spans="1:1" x14ac:dyDescent="0.2">
      <c r="A4829" s="1135" t="str">
        <f>CONCATENATE(Programme!C4830,Programme!D4830,Programme!E4830,Programme!F4830,Programme!G4830,Programme!H4830,Programme!I4830)</f>
        <v>&lt;/cellule&gt;</v>
      </c>
    </row>
    <row r="4830" spans="1:1" x14ac:dyDescent="0.2">
      <c r="A4830" s="1135" t="str">
        <f>CONCATENATE(Programme!C4831,Programme!D4831,Programme!E4831,Programme!F4831,Programme!G4831,Programme!H4831,Programme!I4831)</f>
        <v>&lt;valeur&gt;0&lt;/valeur&gt;</v>
      </c>
    </row>
    <row r="4831" spans="1:1" x14ac:dyDescent="0.2">
      <c r="A4831" s="1135" t="str">
        <f>CONCATENATE(Programme!C4832,Programme!D4832,Programme!E4832,Programme!F4832,Programme!G4832,Programme!H4832,Programme!I4832)</f>
        <v>&lt;/ValeurCellule&gt;</v>
      </c>
    </row>
    <row r="4832" spans="1:1" x14ac:dyDescent="0.2">
      <c r="A4832" s="1135" t="str">
        <f>CONCATENATE(Programme!C4833,Programme!D4833,Programme!E4833,Programme!F4833,Programme!G4833,Programme!H4833,Programme!I4833)</f>
        <v>&lt;ValeurCellule&gt;</v>
      </c>
    </row>
    <row r="4833" spans="1:1" x14ac:dyDescent="0.2">
      <c r="A4833" s="1135" t="str">
        <f>CONCATENATE(Programme!C4834,Programme!D4834,Programme!E4834,Programme!F4834,Programme!G4834,Programme!H4834,Programme!I4834)</f>
        <v>&lt;cellule&gt;</v>
      </c>
    </row>
    <row r="4834" spans="1:1" x14ac:dyDescent="0.2">
      <c r="A4834" s="1135" t="str">
        <f>CONCATENATE(Programme!C4835,Programme!D4835,Programme!E4835,Programme!F4835,Programme!G4835,Programme!H4835,Programme!I4835)</f>
        <v>&lt;codeEdi&gt;1381&lt;/codeEdi&gt;</v>
      </c>
    </row>
    <row r="4835" spans="1:1" x14ac:dyDescent="0.2">
      <c r="A4835" s="1135" t="str">
        <f>CONCATENATE(Programme!C4836,Programme!D4836,Programme!E4836,Programme!F4836,Programme!G4836,Programme!H4836,Programme!I4836)</f>
        <v>&lt;/cellule&gt;</v>
      </c>
    </row>
    <row r="4836" spans="1:1" x14ac:dyDescent="0.2">
      <c r="A4836" s="1135" t="str">
        <f>CONCATENATE(Programme!C4837,Programme!D4837,Programme!E4837,Programme!F4837,Programme!G4837,Programme!H4837,Programme!I4837)</f>
        <v>&lt;valeur&gt;0&lt;/valeur&gt;</v>
      </c>
    </row>
    <row r="4837" spans="1:1" x14ac:dyDescent="0.2">
      <c r="A4837" s="1135" t="str">
        <f>CONCATENATE(Programme!C4838,Programme!D4838,Programme!E4838,Programme!F4838,Programme!G4838,Programme!H4838,Programme!I4838)</f>
        <v>&lt;/ValeurCellule&gt;</v>
      </c>
    </row>
    <row r="4838" spans="1:1" x14ac:dyDescent="0.2">
      <c r="A4838" s="1135" t="str">
        <f>CONCATENATE(Programme!C4839,Programme!D4839,Programme!E4839,Programme!F4839,Programme!G4839,Programme!H4839,Programme!I4839)</f>
        <v>&lt;ValeurCellule&gt;</v>
      </c>
    </row>
    <row r="4839" spans="1:1" x14ac:dyDescent="0.2">
      <c r="A4839" s="1135" t="str">
        <f>CONCATENATE(Programme!C4840,Programme!D4840,Programme!E4840,Programme!F4840,Programme!G4840,Programme!H4840,Programme!I4840)</f>
        <v>&lt;cellule&gt;</v>
      </c>
    </row>
    <row r="4840" spans="1:1" x14ac:dyDescent="0.2">
      <c r="A4840" s="1135" t="str">
        <f>CONCATENATE(Programme!C4841,Programme!D4841,Programme!E4841,Programme!F4841,Programme!G4841,Programme!H4841,Programme!I4841)</f>
        <v>&lt;codeEdi&gt;1382&lt;/codeEdi&gt;</v>
      </c>
    </row>
    <row r="4841" spans="1:1" x14ac:dyDescent="0.2">
      <c r="A4841" s="1135" t="str">
        <f>CONCATENATE(Programme!C4842,Programme!D4842,Programme!E4842,Programme!F4842,Programme!G4842,Programme!H4842,Programme!I4842)</f>
        <v>&lt;/cellule&gt;</v>
      </c>
    </row>
    <row r="4842" spans="1:1" x14ac:dyDescent="0.2">
      <c r="A4842" s="1135" t="str">
        <f>CONCATENATE(Programme!C4843,Programme!D4843,Programme!E4843,Programme!F4843,Programme!G4843,Programme!H4843,Programme!I4843)</f>
        <v>&lt;valeur&gt;0&lt;/valeur&gt;</v>
      </c>
    </row>
    <row r="4843" spans="1:1" x14ac:dyDescent="0.2">
      <c r="A4843" s="1135" t="str">
        <f>CONCATENATE(Programme!C4844,Programme!D4844,Programme!E4844,Programme!F4844,Programme!G4844,Programme!H4844,Programme!I4844)</f>
        <v>&lt;/ValeurCellule&gt;</v>
      </c>
    </row>
    <row r="4844" spans="1:1" x14ac:dyDescent="0.2">
      <c r="A4844" s="1135" t="str">
        <f>CONCATENATE(Programme!C4845,Programme!D4845,Programme!E4845,Programme!F4845,Programme!G4845,Programme!H4845,Programme!I4845)</f>
        <v>&lt;ValeurCellule&gt;</v>
      </c>
    </row>
    <row r="4845" spans="1:1" x14ac:dyDescent="0.2">
      <c r="A4845" s="1135" t="str">
        <f>CONCATENATE(Programme!C4846,Programme!D4846,Programme!E4846,Programme!F4846,Programme!G4846,Programme!H4846,Programme!I4846)</f>
        <v>&lt;cellule&gt;</v>
      </c>
    </row>
    <row r="4846" spans="1:1" x14ac:dyDescent="0.2">
      <c r="A4846" s="1135" t="str">
        <f>CONCATENATE(Programme!C4847,Programme!D4847,Programme!E4847,Programme!F4847,Programme!G4847,Programme!H4847,Programme!I4847)</f>
        <v>&lt;codeEdi&gt;1383&lt;/codeEdi&gt;</v>
      </c>
    </row>
    <row r="4847" spans="1:1" x14ac:dyDescent="0.2">
      <c r="A4847" s="1135" t="str">
        <f>CONCATENATE(Programme!C4848,Programme!D4848,Programme!E4848,Programme!F4848,Programme!G4848,Programme!H4848,Programme!I4848)</f>
        <v>&lt;/cellule&gt;</v>
      </c>
    </row>
    <row r="4848" spans="1:1" x14ac:dyDescent="0.2">
      <c r="A4848" s="1135" t="str">
        <f>CONCATENATE(Programme!C4849,Programme!D4849,Programme!E4849,Programme!F4849,Programme!G4849,Programme!H4849,Programme!I4849)</f>
        <v>&lt;valeur&gt;194296,2&lt;/valeur&gt;</v>
      </c>
    </row>
    <row r="4849" spans="1:1" x14ac:dyDescent="0.2">
      <c r="A4849" s="1135" t="str">
        <f>CONCATENATE(Programme!C4850,Programme!D4850,Programme!E4850,Programme!F4850,Programme!G4850,Programme!H4850,Programme!I4850)</f>
        <v>&lt;/ValeurCellule&gt;</v>
      </c>
    </row>
    <row r="4850" spans="1:1" x14ac:dyDescent="0.2">
      <c r="A4850" s="1135" t="str">
        <f>CONCATENATE(Programme!C4851,Programme!D4851,Programme!E4851,Programme!F4851,Programme!G4851,Programme!H4851,Programme!I4851)</f>
        <v>&lt;ValeurCellule&gt;</v>
      </c>
    </row>
    <row r="4851" spans="1:1" x14ac:dyDescent="0.2">
      <c r="A4851" s="1135" t="str">
        <f>CONCATENATE(Programme!C4852,Programme!D4852,Programme!E4852,Programme!F4852,Programme!G4852,Programme!H4852,Programme!I4852)</f>
        <v>&lt;cellule&gt;</v>
      </c>
    </row>
    <row r="4852" spans="1:1" x14ac:dyDescent="0.2">
      <c r="A4852" s="1135" t="str">
        <f>CONCATENATE(Programme!C4853,Programme!D4853,Programme!E4853,Programme!F4853,Programme!G4853,Programme!H4853,Programme!I4853)</f>
        <v>&lt;codeEdi&gt;1384&lt;/codeEdi&gt;</v>
      </c>
    </row>
    <row r="4853" spans="1:1" x14ac:dyDescent="0.2">
      <c r="A4853" s="1135" t="str">
        <f>CONCATENATE(Programme!C4854,Programme!D4854,Programme!E4854,Programme!F4854,Programme!G4854,Programme!H4854,Programme!I4854)</f>
        <v>&lt;/cellule&gt;</v>
      </c>
    </row>
    <row r="4854" spans="1:1" x14ac:dyDescent="0.2">
      <c r="A4854" s="1135" t="str">
        <f>CONCATENATE(Programme!C4855,Programme!D4855,Programme!E4855,Programme!F4855,Programme!G4855,Programme!H4855,Programme!I4855)</f>
        <v>&lt;valeur&gt;0&lt;/valeur&gt;</v>
      </c>
    </row>
    <row r="4855" spans="1:1" x14ac:dyDescent="0.2">
      <c r="A4855" s="1135" t="str">
        <f>CONCATENATE(Programme!C4856,Programme!D4856,Programme!E4856,Programme!F4856,Programme!G4856,Programme!H4856,Programme!I4856)</f>
        <v>&lt;/ValeurCellule&gt;</v>
      </c>
    </row>
    <row r="4856" spans="1:1" x14ac:dyDescent="0.2">
      <c r="A4856" s="1135" t="str">
        <f>CONCATENATE(Programme!C4857,Programme!D4857,Programme!E4857,Programme!F4857,Programme!G4857,Programme!H4857,Programme!I4857)</f>
        <v>&lt;ValeurCellule&gt;</v>
      </c>
    </row>
    <row r="4857" spans="1:1" x14ac:dyDescent="0.2">
      <c r="A4857" s="1135" t="str">
        <f>CONCATENATE(Programme!C4858,Programme!D4858,Programme!E4858,Programme!F4858,Programme!G4858,Programme!H4858,Programme!I4858)</f>
        <v>&lt;cellule&gt;</v>
      </c>
    </row>
    <row r="4858" spans="1:1" x14ac:dyDescent="0.2">
      <c r="A4858" s="1135" t="str">
        <f>CONCATENATE(Programme!C4859,Programme!D4859,Programme!E4859,Programme!F4859,Programme!G4859,Programme!H4859,Programme!I4859)</f>
        <v>&lt;codeEdi&gt;1385&lt;/codeEdi&gt;</v>
      </c>
    </row>
    <row r="4859" spans="1:1" x14ac:dyDescent="0.2">
      <c r="A4859" s="1135" t="str">
        <f>CONCATENATE(Programme!C4860,Programme!D4860,Programme!E4860,Programme!F4860,Programme!G4860,Programme!H4860,Programme!I4860)</f>
        <v>&lt;/cellule&gt;</v>
      </c>
    </row>
    <row r="4860" spans="1:1" x14ac:dyDescent="0.2">
      <c r="A4860" s="1135" t="str">
        <f>CONCATENATE(Programme!C4861,Programme!D4861,Programme!E4861,Programme!F4861,Programme!G4861,Programme!H4861,Programme!I4861)</f>
        <v>&lt;valeur&gt;194296,2&lt;/valeur&gt;</v>
      </c>
    </row>
    <row r="4861" spans="1:1" x14ac:dyDescent="0.2">
      <c r="A4861" s="1135" t="str">
        <f>CONCATENATE(Programme!C4862,Programme!D4862,Programme!E4862,Programme!F4862,Programme!G4862,Programme!H4862,Programme!I4862)</f>
        <v>&lt;/ValeurCellule&gt;</v>
      </c>
    </row>
    <row r="4862" spans="1:1" x14ac:dyDescent="0.2">
      <c r="A4862" s="1135" t="str">
        <f>CONCATENATE(Programme!C4863,Programme!D4863,Programme!E4863,Programme!F4863,Programme!G4863,Programme!H4863,Programme!I4863)</f>
        <v>&lt;ValeurCellule&gt;</v>
      </c>
    </row>
    <row r="4863" spans="1:1" x14ac:dyDescent="0.2">
      <c r="A4863" s="1135" t="str">
        <f>CONCATENATE(Programme!C4864,Programme!D4864,Programme!E4864,Programme!F4864,Programme!G4864,Programme!H4864,Programme!I4864)</f>
        <v>&lt;cellule&gt;</v>
      </c>
    </row>
    <row r="4864" spans="1:1" x14ac:dyDescent="0.2">
      <c r="A4864" s="1135" t="str">
        <f>CONCATENATE(Programme!C4865,Programme!D4865,Programme!E4865,Programme!F4865,Programme!G4865,Programme!H4865,Programme!I4865)</f>
        <v>&lt;codeEdi&gt;1386&lt;/codeEdi&gt;</v>
      </c>
    </row>
    <row r="4865" spans="1:1" x14ac:dyDescent="0.2">
      <c r="A4865" s="1135" t="str">
        <f>CONCATENATE(Programme!C4866,Programme!D4866,Programme!E4866,Programme!F4866,Programme!G4866,Programme!H4866,Programme!I4866)</f>
        <v>&lt;/cellule&gt;</v>
      </c>
    </row>
    <row r="4866" spans="1:1" x14ac:dyDescent="0.2">
      <c r="A4866" s="1135" t="str">
        <f>CONCATENATE(Programme!C4867,Programme!D4867,Programme!E4867,Programme!F4867,Programme!G4867,Programme!H4867,Programme!I4867)</f>
        <v>&lt;valeur&gt;&lt;/valeur&gt;</v>
      </c>
    </row>
    <row r="4867" spans="1:1" x14ac:dyDescent="0.2">
      <c r="A4867" s="1135" t="str">
        <f>CONCATENATE(Programme!C4868,Programme!D4868,Programme!E4868,Programme!F4868,Programme!G4868,Programme!H4868,Programme!I4868)</f>
        <v>&lt;/ValeurCellule&gt;</v>
      </c>
    </row>
    <row r="4868" spans="1:1" x14ac:dyDescent="0.2">
      <c r="A4868" s="1135" t="str">
        <f>CONCATENATE(Programme!C4869,Programme!D4869,Programme!E4869,Programme!F4869,Programme!G4869,Programme!H4869,Programme!I4869)</f>
        <v>&lt;ValeurCellule&gt;</v>
      </c>
    </row>
    <row r="4869" spans="1:1" x14ac:dyDescent="0.2">
      <c r="A4869" s="1135" t="str">
        <f>CONCATENATE(Programme!C4870,Programme!D4870,Programme!E4870,Programme!F4870,Programme!G4870,Programme!H4870,Programme!I4870)</f>
        <v>&lt;cellule&gt;</v>
      </c>
    </row>
    <row r="4870" spans="1:1" x14ac:dyDescent="0.2">
      <c r="A4870" s="1135" t="str">
        <f>CONCATENATE(Programme!C4871,Programme!D4871,Programme!E4871,Programme!F4871,Programme!G4871,Programme!H4871,Programme!I4871)</f>
        <v>&lt;codeEdi&gt;1387&lt;/codeEdi&gt;</v>
      </c>
    </row>
    <row r="4871" spans="1:1" x14ac:dyDescent="0.2">
      <c r="A4871" s="1135" t="str">
        <f>CONCATENATE(Programme!C4872,Programme!D4872,Programme!E4872,Programme!F4872,Programme!G4872,Programme!H4872,Programme!I4872)</f>
        <v>&lt;/cellule&gt;</v>
      </c>
    </row>
    <row r="4872" spans="1:1" x14ac:dyDescent="0.2">
      <c r="A4872" s="1135" t="str">
        <f>CONCATENATE(Programme!C4873,Programme!D4873,Programme!E4873,Programme!F4873,Programme!G4873,Programme!H4873,Programme!I4873)</f>
        <v>&lt;valeur&gt;0&lt;/valeur&gt;</v>
      </c>
    </row>
    <row r="4873" spans="1:1" x14ac:dyDescent="0.2">
      <c r="A4873" s="1135" t="str">
        <f>CONCATENATE(Programme!C4874,Programme!D4874,Programme!E4874,Programme!F4874,Programme!G4874,Programme!H4874,Programme!I4874)</f>
        <v>&lt;/ValeurCellule&gt;</v>
      </c>
    </row>
    <row r="4874" spans="1:1" x14ac:dyDescent="0.2">
      <c r="A4874" s="1135" t="str">
        <f>CONCATENATE(Programme!C4875,Programme!D4875,Programme!E4875,Programme!F4875,Programme!G4875,Programme!H4875,Programme!I4875)</f>
        <v>&lt;ValeurCellule&gt;</v>
      </c>
    </row>
    <row r="4875" spans="1:1" x14ac:dyDescent="0.2">
      <c r="A4875" s="1135" t="str">
        <f>CONCATENATE(Programme!C4876,Programme!D4876,Programme!E4876,Programme!F4876,Programme!G4876,Programme!H4876,Programme!I4876)</f>
        <v>&lt;cellule&gt;</v>
      </c>
    </row>
    <row r="4876" spans="1:1" x14ac:dyDescent="0.2">
      <c r="A4876" s="1135" t="str">
        <f>CONCATENATE(Programme!C4877,Programme!D4877,Programme!E4877,Programme!F4877,Programme!G4877,Programme!H4877,Programme!I4877)</f>
        <v>&lt;codeEdi&gt;1388&lt;/codeEdi&gt;</v>
      </c>
    </row>
    <row r="4877" spans="1:1" x14ac:dyDescent="0.2">
      <c r="A4877" s="1135" t="str">
        <f>CONCATENATE(Programme!C4878,Programme!D4878,Programme!E4878,Programme!F4878,Programme!G4878,Programme!H4878,Programme!I4878)</f>
        <v>&lt;/cellule&gt;</v>
      </c>
    </row>
    <row r="4878" spans="1:1" x14ac:dyDescent="0.2">
      <c r="A4878" s="1135" t="str">
        <f>CONCATENATE(Programme!C4879,Programme!D4879,Programme!E4879,Programme!F4879,Programme!G4879,Programme!H4879,Programme!I4879)</f>
        <v>&lt;valeur&gt;-18918,67&lt;/valeur&gt;</v>
      </c>
    </row>
    <row r="4879" spans="1:1" x14ac:dyDescent="0.2">
      <c r="A4879" s="1135" t="str">
        <f>CONCATENATE(Programme!C4880,Programme!D4880,Programme!E4880,Programme!F4880,Programme!G4880,Programme!H4880,Programme!I4880)</f>
        <v>&lt;/ValeurCellule&gt;</v>
      </c>
    </row>
    <row r="4880" spans="1:1" x14ac:dyDescent="0.2">
      <c r="A4880" s="1135" t="str">
        <f>CONCATENATE(Programme!C4881,Programme!D4881,Programme!E4881,Programme!F4881,Programme!G4881,Programme!H4881,Programme!I4881)</f>
        <v>&lt;ValeurCellule&gt;</v>
      </c>
    </row>
    <row r="4881" spans="1:1" x14ac:dyDescent="0.2">
      <c r="A4881" s="1135" t="str">
        <f>CONCATENATE(Programme!C4882,Programme!D4882,Programme!E4882,Programme!F4882,Programme!G4882,Programme!H4882,Programme!I4882)</f>
        <v>&lt;cellule&gt;</v>
      </c>
    </row>
    <row r="4882" spans="1:1" x14ac:dyDescent="0.2">
      <c r="A4882" s="1135" t="str">
        <f>CONCATENATE(Programme!C4883,Programme!D4883,Programme!E4883,Programme!F4883,Programme!G4883,Programme!H4883,Programme!I4883)</f>
        <v>&lt;codeEdi&gt;1389&lt;/codeEdi&gt;</v>
      </c>
    </row>
    <row r="4883" spans="1:1" x14ac:dyDescent="0.2">
      <c r="A4883" s="1135" t="str">
        <f>CONCATENATE(Programme!C4884,Programme!D4884,Programme!E4884,Programme!F4884,Programme!G4884,Programme!H4884,Programme!I4884)</f>
        <v>&lt;/cellule&gt;</v>
      </c>
    </row>
    <row r="4884" spans="1:1" x14ac:dyDescent="0.2">
      <c r="A4884" s="1135" t="str">
        <f>CONCATENATE(Programme!C4885,Programme!D4885,Programme!E4885,Programme!F4885,Programme!G4885,Programme!H4885,Programme!I4885)</f>
        <v>&lt;valeur&gt;694,37&lt;/valeur&gt;</v>
      </c>
    </row>
    <row r="4885" spans="1:1" x14ac:dyDescent="0.2">
      <c r="A4885" s="1135" t="str">
        <f>CONCATENATE(Programme!C4886,Programme!D4886,Programme!E4886,Programme!F4886,Programme!G4886,Programme!H4886,Programme!I4886)</f>
        <v>&lt;/ValeurCellule&gt;</v>
      </c>
    </row>
    <row r="4886" spans="1:1" x14ac:dyDescent="0.2">
      <c r="A4886" s="1135" t="str">
        <f>CONCATENATE(Programme!C4887,Programme!D4887,Programme!E4887,Programme!F4887,Programme!G4887,Programme!H4887,Programme!I4887)</f>
        <v>&lt;ValeurCellule&gt;</v>
      </c>
    </row>
    <row r="4887" spans="1:1" x14ac:dyDescent="0.2">
      <c r="A4887" s="1135" t="str">
        <f>CONCATENATE(Programme!C4888,Programme!D4888,Programme!E4888,Programme!F4888,Programme!G4888,Programme!H4888,Programme!I4888)</f>
        <v>&lt;cellule&gt;</v>
      </c>
    </row>
    <row r="4888" spans="1:1" x14ac:dyDescent="0.2">
      <c r="A4888" s="1135" t="str">
        <f>CONCATENATE(Programme!C4889,Programme!D4889,Programme!E4889,Programme!F4889,Programme!G4889,Programme!H4889,Programme!I4889)</f>
        <v>&lt;codeEdi&gt;1390&lt;/codeEdi&gt;</v>
      </c>
    </row>
    <row r="4889" spans="1:1" x14ac:dyDescent="0.2">
      <c r="A4889" s="1135" t="str">
        <f>CONCATENATE(Programme!C4890,Programme!D4890,Programme!E4890,Programme!F4890,Programme!G4890,Programme!H4890,Programme!I4890)</f>
        <v>&lt;/cellule&gt;</v>
      </c>
    </row>
    <row r="4890" spans="1:1" x14ac:dyDescent="0.2">
      <c r="A4890" s="1135" t="str">
        <f>CONCATENATE(Programme!C4891,Programme!D4891,Programme!E4891,Programme!F4891,Programme!G4891,Programme!H4891,Programme!I4891)</f>
        <v>&lt;valeur&gt;0&lt;/valeur&gt;</v>
      </c>
    </row>
    <row r="4891" spans="1:1" x14ac:dyDescent="0.2">
      <c r="A4891" s="1135" t="str">
        <f>CONCATENATE(Programme!C4892,Programme!D4892,Programme!E4892,Programme!F4892,Programme!G4892,Programme!H4892,Programme!I4892)</f>
        <v>&lt;/ValeurCellule&gt;</v>
      </c>
    </row>
    <row r="4892" spans="1:1" x14ac:dyDescent="0.2">
      <c r="A4892" s="1135" t="str">
        <f>CONCATENATE(Programme!C4893,Programme!D4893,Programme!E4893,Programme!F4893,Programme!G4893,Programme!H4893,Programme!I4893)</f>
        <v>&lt;ValeurCellule&gt;</v>
      </c>
    </row>
    <row r="4893" spans="1:1" x14ac:dyDescent="0.2">
      <c r="A4893" s="1135" t="str">
        <f>CONCATENATE(Programme!C4894,Programme!D4894,Programme!E4894,Programme!F4894,Programme!G4894,Programme!H4894,Programme!I4894)</f>
        <v>&lt;cellule&gt;</v>
      </c>
    </row>
    <row r="4894" spans="1:1" x14ac:dyDescent="0.2">
      <c r="A4894" s="1135" t="str">
        <f>CONCATENATE(Programme!C4895,Programme!D4895,Programme!E4895,Programme!F4895,Programme!G4895,Programme!H4895,Programme!I4895)</f>
        <v>&lt;codeEdi&gt;1391&lt;/codeEdi&gt;</v>
      </c>
    </row>
    <row r="4895" spans="1:1" x14ac:dyDescent="0.2">
      <c r="A4895" s="1135" t="str">
        <f>CONCATENATE(Programme!C4896,Programme!D4896,Programme!E4896,Programme!F4896,Programme!G4896,Programme!H4896,Programme!I4896)</f>
        <v>&lt;/cellule&gt;</v>
      </c>
    </row>
    <row r="4896" spans="1:1" x14ac:dyDescent="0.2">
      <c r="A4896" s="1135" t="str">
        <f>CONCATENATE(Programme!C4897,Programme!D4897,Programme!E4897,Programme!F4897,Programme!G4897,Programme!H4897,Programme!I4897)</f>
        <v>&lt;valeur&gt;0&lt;/valeur&gt;</v>
      </c>
    </row>
    <row r="4897" spans="1:1" x14ac:dyDescent="0.2">
      <c r="A4897" s="1135" t="str">
        <f>CONCATENATE(Programme!C4898,Programme!D4898,Programme!E4898,Programme!F4898,Programme!G4898,Programme!H4898,Programme!I4898)</f>
        <v>&lt;/ValeurCellule&gt;</v>
      </c>
    </row>
    <row r="4898" spans="1:1" x14ac:dyDescent="0.2">
      <c r="A4898" s="1135" t="str">
        <f>CONCATENATE(Programme!C4899,Programme!D4899,Programme!E4899,Programme!F4899,Programme!G4899,Programme!H4899,Programme!I4899)</f>
        <v>&lt;ValeurCellule&gt;</v>
      </c>
    </row>
    <row r="4899" spans="1:1" x14ac:dyDescent="0.2">
      <c r="A4899" s="1135" t="str">
        <f>CONCATENATE(Programme!C4900,Programme!D4900,Programme!E4900,Programme!F4900,Programme!G4900,Programme!H4900,Programme!I4900)</f>
        <v>&lt;cellule&gt;</v>
      </c>
    </row>
    <row r="4900" spans="1:1" x14ac:dyDescent="0.2">
      <c r="A4900" s="1135" t="str">
        <f>CONCATENATE(Programme!C4901,Programme!D4901,Programme!E4901,Programme!F4901,Programme!G4901,Programme!H4901,Programme!I4901)</f>
        <v>&lt;codeEdi&gt;1392&lt;/codeEdi&gt;</v>
      </c>
    </row>
    <row r="4901" spans="1:1" x14ac:dyDescent="0.2">
      <c r="A4901" s="1135" t="str">
        <f>CONCATENATE(Programme!C4902,Programme!D4902,Programme!E4902,Programme!F4902,Programme!G4902,Programme!H4902,Programme!I4902)</f>
        <v>&lt;/cellule&gt;</v>
      </c>
    </row>
    <row r="4902" spans="1:1" x14ac:dyDescent="0.2">
      <c r="A4902" s="1135" t="str">
        <f>CONCATENATE(Programme!C4903,Programme!D4903,Programme!E4903,Programme!F4903,Programme!G4903,Programme!H4903,Programme!I4903)</f>
        <v>&lt;valeur&gt;0&lt;/valeur&gt;</v>
      </c>
    </row>
    <row r="4903" spans="1:1" x14ac:dyDescent="0.2">
      <c r="A4903" s="1135" t="str">
        <f>CONCATENATE(Programme!C4904,Programme!D4904,Programme!E4904,Programme!F4904,Programme!G4904,Programme!H4904,Programme!I4904)</f>
        <v>&lt;/ValeurCellule&gt;</v>
      </c>
    </row>
    <row r="4904" spans="1:1" x14ac:dyDescent="0.2">
      <c r="A4904" s="1135" t="str">
        <f>CONCATENATE(Programme!C4905,Programme!D4905,Programme!E4905,Programme!F4905,Programme!G4905,Programme!H4905,Programme!I4905)</f>
        <v>&lt;ValeurCellule&gt;</v>
      </c>
    </row>
    <row r="4905" spans="1:1" x14ac:dyDescent="0.2">
      <c r="A4905" s="1135" t="str">
        <f>CONCATENATE(Programme!C4906,Programme!D4906,Programme!E4906,Programme!F4906,Programme!G4906,Programme!H4906,Programme!I4906)</f>
        <v>&lt;cellule&gt;</v>
      </c>
    </row>
    <row r="4906" spans="1:1" x14ac:dyDescent="0.2">
      <c r="A4906" s="1135" t="str">
        <f>CONCATENATE(Programme!C4907,Programme!D4907,Programme!E4907,Programme!F4907,Programme!G4907,Programme!H4907,Programme!I4907)</f>
        <v>&lt;codeEdi&gt;1393&lt;/codeEdi&gt;</v>
      </c>
    </row>
    <row r="4907" spans="1:1" x14ac:dyDescent="0.2">
      <c r="A4907" s="1135" t="str">
        <f>CONCATENATE(Programme!C4908,Programme!D4908,Programme!E4908,Programme!F4908,Programme!G4908,Programme!H4908,Programme!I4908)</f>
        <v>&lt;/cellule&gt;</v>
      </c>
    </row>
    <row r="4908" spans="1:1" x14ac:dyDescent="0.2">
      <c r="A4908" s="1135" t="str">
        <f>CONCATENATE(Programme!C4909,Programme!D4909,Programme!E4909,Programme!F4909,Programme!G4909,Programme!H4909,Programme!I4909)</f>
        <v>&lt;valeur&gt;0&lt;/valeur&gt;</v>
      </c>
    </row>
    <row r="4909" spans="1:1" x14ac:dyDescent="0.2">
      <c r="A4909" s="1135" t="str">
        <f>CONCATENATE(Programme!C4910,Programme!D4910,Programme!E4910,Programme!F4910,Programme!G4910,Programme!H4910,Programme!I4910)</f>
        <v>&lt;/ValeurCellule&gt;</v>
      </c>
    </row>
    <row r="4910" spans="1:1" x14ac:dyDescent="0.2">
      <c r="A4910" s="1135" t="str">
        <f>CONCATENATE(Programme!C4911,Programme!D4911,Programme!E4911,Programme!F4911,Programme!G4911,Programme!H4911,Programme!I4911)</f>
        <v>&lt;ValeurCellule&gt;</v>
      </c>
    </row>
    <row r="4911" spans="1:1" x14ac:dyDescent="0.2">
      <c r="A4911" s="1135" t="str">
        <f>CONCATENATE(Programme!C4912,Programme!D4912,Programme!E4912,Programme!F4912,Programme!G4912,Programme!H4912,Programme!I4912)</f>
        <v>&lt;cellule&gt;</v>
      </c>
    </row>
    <row r="4912" spans="1:1" x14ac:dyDescent="0.2">
      <c r="A4912" s="1135" t="str">
        <f>CONCATENATE(Programme!C4913,Programme!D4913,Programme!E4913,Programme!F4913,Programme!G4913,Programme!H4913,Programme!I4913)</f>
        <v>&lt;codeEdi&gt;1394&lt;/codeEdi&gt;</v>
      </c>
    </row>
    <row r="4913" spans="1:1" x14ac:dyDescent="0.2">
      <c r="A4913" s="1135" t="str">
        <f>CONCATENATE(Programme!C4914,Programme!D4914,Programme!E4914,Programme!F4914,Programme!G4914,Programme!H4914,Programme!I4914)</f>
        <v>&lt;/cellule&gt;</v>
      </c>
    </row>
    <row r="4914" spans="1:1" x14ac:dyDescent="0.2">
      <c r="A4914" s="1135" t="str">
        <f>CONCATENATE(Programme!C4915,Programme!D4915,Programme!E4915,Programme!F4915,Programme!G4915,Programme!H4915,Programme!I4915)</f>
        <v>&lt;valeur&gt;0&lt;/valeur&gt;</v>
      </c>
    </row>
    <row r="4915" spans="1:1" x14ac:dyDescent="0.2">
      <c r="A4915" s="1135" t="str">
        <f>CONCATENATE(Programme!C4916,Programme!D4916,Programme!E4916,Programme!F4916,Programme!G4916,Programme!H4916,Programme!I4916)</f>
        <v>&lt;/ValeurCellule&gt;</v>
      </c>
    </row>
    <row r="4916" spans="1:1" x14ac:dyDescent="0.2">
      <c r="A4916" s="1135" t="str">
        <f>CONCATENATE(Programme!C4917,Programme!D4917,Programme!E4917,Programme!F4917,Programme!G4917,Programme!H4917,Programme!I4917)</f>
        <v>&lt;ValeurCellule&gt;</v>
      </c>
    </row>
    <row r="4917" spans="1:1" x14ac:dyDescent="0.2">
      <c r="A4917" s="1135" t="str">
        <f>CONCATENATE(Programme!C4918,Programme!D4918,Programme!E4918,Programme!F4918,Programme!G4918,Programme!H4918,Programme!I4918)</f>
        <v>&lt;cellule&gt;</v>
      </c>
    </row>
    <row r="4918" spans="1:1" x14ac:dyDescent="0.2">
      <c r="A4918" s="1135" t="str">
        <f>CONCATENATE(Programme!C4919,Programme!D4919,Programme!E4919,Programme!F4919,Programme!G4919,Programme!H4919,Programme!I4919)</f>
        <v>&lt;codeEdi&gt;1395&lt;/codeEdi&gt;</v>
      </c>
    </row>
    <row r="4919" spans="1:1" x14ac:dyDescent="0.2">
      <c r="A4919" s="1135" t="str">
        <f>CONCATENATE(Programme!C4920,Programme!D4920,Programme!E4920,Programme!F4920,Programme!G4920,Programme!H4920,Programme!I4920)</f>
        <v>&lt;/cellule&gt;</v>
      </c>
    </row>
    <row r="4920" spans="1:1" x14ac:dyDescent="0.2">
      <c r="A4920" s="1135" t="str">
        <f>CONCATENATE(Programme!C4921,Programme!D4921,Programme!E4921,Programme!F4921,Programme!G4921,Programme!H4921,Programme!I4921)</f>
        <v>&lt;valeur&gt;0&lt;/valeur&gt;</v>
      </c>
    </row>
    <row r="4921" spans="1:1" x14ac:dyDescent="0.2">
      <c r="A4921" s="1135" t="str">
        <f>CONCATENATE(Programme!C4922,Programme!D4922,Programme!E4922,Programme!F4922,Programme!G4922,Programme!H4922,Programme!I4922)</f>
        <v>&lt;/ValeurCellule&gt;</v>
      </c>
    </row>
    <row r="4922" spans="1:1" x14ac:dyDescent="0.2">
      <c r="A4922" s="1135" t="str">
        <f>CONCATENATE(Programme!C4923,Programme!D4923,Programme!E4923,Programme!F4923,Programme!G4923,Programme!H4923,Programme!I4923)</f>
        <v>&lt;ValeurCellule&gt;</v>
      </c>
    </row>
    <row r="4923" spans="1:1" x14ac:dyDescent="0.2">
      <c r="A4923" s="1135" t="str">
        <f>CONCATENATE(Programme!C4924,Programme!D4924,Programme!E4924,Programme!F4924,Programme!G4924,Programme!H4924,Programme!I4924)</f>
        <v>&lt;cellule&gt;</v>
      </c>
    </row>
    <row r="4924" spans="1:1" x14ac:dyDescent="0.2">
      <c r="A4924" s="1135" t="str">
        <f>CONCATENATE(Programme!C4925,Programme!D4925,Programme!E4925,Programme!F4925,Programme!G4925,Programme!H4925,Programme!I4925)</f>
        <v>&lt;codeEdi&gt;1396&lt;/codeEdi&gt;</v>
      </c>
    </row>
    <row r="4925" spans="1:1" x14ac:dyDescent="0.2">
      <c r="A4925" s="1135" t="str">
        <f>CONCATENATE(Programme!C4926,Programme!D4926,Programme!E4926,Programme!F4926,Programme!G4926,Programme!H4926,Programme!I4926)</f>
        <v>&lt;/cellule&gt;</v>
      </c>
    </row>
    <row r="4926" spans="1:1" x14ac:dyDescent="0.2">
      <c r="A4926" s="1135" t="str">
        <f>CONCATENATE(Programme!C4927,Programme!D4927,Programme!E4927,Programme!F4927,Programme!G4927,Programme!H4927,Programme!I4927)</f>
        <v>&lt;valeur&gt;0&lt;/valeur&gt;</v>
      </c>
    </row>
    <row r="4927" spans="1:1" x14ac:dyDescent="0.2">
      <c r="A4927" s="1135" t="str">
        <f>CONCATENATE(Programme!C4928,Programme!D4928,Programme!E4928,Programme!F4928,Programme!G4928,Programme!H4928,Programme!I4928)</f>
        <v>&lt;/ValeurCellule&gt;</v>
      </c>
    </row>
    <row r="4928" spans="1:1" x14ac:dyDescent="0.2">
      <c r="A4928" s="1135" t="str">
        <f>CONCATENATE(Programme!C4929,Programme!D4929,Programme!E4929,Programme!F4929,Programme!G4929,Programme!H4929,Programme!I4929)</f>
        <v>&lt;ValeurCellule&gt;</v>
      </c>
    </row>
    <row r="4929" spans="1:1" x14ac:dyDescent="0.2">
      <c r="A4929" s="1135" t="str">
        <f>CONCATENATE(Programme!C4930,Programme!D4930,Programme!E4930,Programme!F4930,Programme!G4930,Programme!H4930,Programme!I4930)</f>
        <v>&lt;cellule&gt;</v>
      </c>
    </row>
    <row r="4930" spans="1:1" x14ac:dyDescent="0.2">
      <c r="A4930" s="1135" t="str">
        <f>CONCATENATE(Programme!C4931,Programme!D4931,Programme!E4931,Programme!F4931,Programme!G4931,Programme!H4931,Programme!I4931)</f>
        <v>&lt;codeEdi&gt;1397&lt;/codeEdi&gt;</v>
      </c>
    </row>
    <row r="4931" spans="1:1" x14ac:dyDescent="0.2">
      <c r="A4931" s="1135" t="str">
        <f>CONCATENATE(Programme!C4932,Programme!D4932,Programme!E4932,Programme!F4932,Programme!G4932,Programme!H4932,Programme!I4932)</f>
        <v>&lt;/cellule&gt;</v>
      </c>
    </row>
    <row r="4932" spans="1:1" x14ac:dyDescent="0.2">
      <c r="A4932" s="1135" t="str">
        <f>CONCATENATE(Programme!C4933,Programme!D4933,Programme!E4933,Programme!F4933,Programme!G4933,Programme!H4933,Programme!I4933)</f>
        <v>&lt;valeur&gt;-18224,3&lt;/valeur&gt;</v>
      </c>
    </row>
    <row r="4933" spans="1:1" x14ac:dyDescent="0.2">
      <c r="A4933" s="1135" t="str">
        <f>CONCATENATE(Programme!C4934,Programme!D4934,Programme!E4934,Programme!F4934,Programme!G4934,Programme!H4934,Programme!I4934)</f>
        <v>&lt;/ValeurCellule&gt;</v>
      </c>
    </row>
    <row r="4934" spans="1:1" x14ac:dyDescent="0.2">
      <c r="A4934" s="1135" t="str">
        <f>CONCATENATE(Programme!C4935,Programme!D4935,Programme!E4935,Programme!F4935,Programme!G4935,Programme!H4935,Programme!I4935)</f>
        <v>&lt;ValeurCellule&gt;</v>
      </c>
    </row>
    <row r="4935" spans="1:1" x14ac:dyDescent="0.2">
      <c r="A4935" s="1135" t="str">
        <f>CONCATENATE(Programme!C4936,Programme!D4936,Programme!E4936,Programme!F4936,Programme!G4936,Programme!H4936,Programme!I4936)</f>
        <v>&lt;cellule&gt;</v>
      </c>
    </row>
    <row r="4936" spans="1:1" x14ac:dyDescent="0.2">
      <c r="A4936" s="1135" t="str">
        <f>CONCATENATE(Programme!C4937,Programme!D4937,Programme!E4937,Programme!F4937,Programme!G4937,Programme!H4937,Programme!I4937)</f>
        <v>&lt;codeEdi&gt;1398&lt;/codeEdi&gt;</v>
      </c>
    </row>
    <row r="4937" spans="1:1" x14ac:dyDescent="0.2">
      <c r="A4937" s="1135" t="str">
        <f>CONCATENATE(Programme!C4938,Programme!D4938,Programme!E4938,Programme!F4938,Programme!G4938,Programme!H4938,Programme!I4938)</f>
        <v>&lt;/cellule&gt;</v>
      </c>
    </row>
    <row r="4938" spans="1:1" x14ac:dyDescent="0.2">
      <c r="A4938" s="1135" t="str">
        <f>CONCATENATE(Programme!C4939,Programme!D4939,Programme!E4939,Programme!F4939,Programme!G4939,Programme!H4939,Programme!I4939)</f>
        <v>&lt;valeur&gt;0&lt;/valeur&gt;</v>
      </c>
    </row>
    <row r="4939" spans="1:1" x14ac:dyDescent="0.2">
      <c r="A4939" s="1135" t="str">
        <f>CONCATENATE(Programme!C4940,Programme!D4940,Programme!E4940,Programme!F4940,Programme!G4940,Programme!H4940,Programme!I4940)</f>
        <v>&lt;/ValeurCellule&gt;</v>
      </c>
    </row>
    <row r="4940" spans="1:1" x14ac:dyDescent="0.2">
      <c r="A4940" s="1135" t="str">
        <f>CONCATENATE(Programme!C4941,Programme!D4941,Programme!E4941,Programme!F4941,Programme!G4941,Programme!H4941,Programme!I4941)</f>
        <v>&lt;ValeurCellule&gt;</v>
      </c>
    </row>
    <row r="4941" spans="1:1" x14ac:dyDescent="0.2">
      <c r="A4941" s="1135" t="str">
        <f>CONCATENATE(Programme!C4942,Programme!D4942,Programme!E4942,Programme!F4942,Programme!G4942,Programme!H4942,Programme!I4942)</f>
        <v>&lt;cellule&gt;</v>
      </c>
    </row>
    <row r="4942" spans="1:1" x14ac:dyDescent="0.2">
      <c r="A4942" s="1135" t="str">
        <f>CONCATENATE(Programme!C4943,Programme!D4943,Programme!E4943,Programme!F4943,Programme!G4943,Programme!H4943,Programme!I4943)</f>
        <v>&lt;codeEdi&gt;1399&lt;/codeEdi&gt;</v>
      </c>
    </row>
    <row r="4943" spans="1:1" x14ac:dyDescent="0.2">
      <c r="A4943" s="1135" t="str">
        <f>CONCATENATE(Programme!C4944,Programme!D4944,Programme!E4944,Programme!F4944,Programme!G4944,Programme!H4944,Programme!I4944)</f>
        <v>&lt;/cellule&gt;</v>
      </c>
    </row>
    <row r="4944" spans="1:1" x14ac:dyDescent="0.2">
      <c r="A4944" s="1135" t="str">
        <f>CONCATENATE(Programme!C4945,Programme!D4945,Programme!E4945,Programme!F4945,Programme!G4945,Programme!H4945,Programme!I4945)</f>
        <v>&lt;valeur&gt;-18224,3&lt;/valeur&gt;</v>
      </c>
    </row>
    <row r="4945" spans="1:1" x14ac:dyDescent="0.2">
      <c r="A4945" s="1135" t="str">
        <f>CONCATENATE(Programme!C4946,Programme!D4946,Programme!E4946,Programme!F4946,Programme!G4946,Programme!H4946,Programme!I4946)</f>
        <v>&lt;/ValeurCellule&gt;</v>
      </c>
    </row>
    <row r="4946" spans="1:1" x14ac:dyDescent="0.2">
      <c r="A4946" s="1135" t="str">
        <f>CONCATENATE(Programme!C4947,Programme!D4947,Programme!E4947,Programme!F4947,Programme!G4947,Programme!H4947,Programme!I4947)</f>
        <v>&lt;/groupeValeurs&gt;</v>
      </c>
    </row>
    <row r="4947" spans="1:1" x14ac:dyDescent="0.2">
      <c r="A4947" s="1135" t="str">
        <f>CONCATENATE(Programme!C4948,Programme!D4948,Programme!E4948,Programme!F4948,Programme!G4948,Programme!H4948,Programme!I4948)</f>
        <v>&lt;extraFieldvaleurs&gt;</v>
      </c>
    </row>
    <row r="4948" spans="1:1" x14ac:dyDescent="0.2">
      <c r="A4948" s="1135" t="str">
        <f>CONCATENATE(Programme!C4949,Programme!D4949,Programme!E4949,Programme!F4949,Programme!G4949,Programme!H4949,Programme!I4949)</f>
        <v>&lt;/extraFieldvaleurs&gt;</v>
      </c>
    </row>
    <row r="4949" spans="1:1" x14ac:dyDescent="0.2">
      <c r="A4949" s="1135" t="str">
        <f>CONCATENATE(Programme!C4950,Programme!D4950,Programme!E4950,Programme!F4950,Programme!G4950,Programme!H4950,Programme!I4950)</f>
        <v>&lt;/ValeursTableau&gt;</v>
      </c>
    </row>
    <row r="4950" spans="1:1" x14ac:dyDescent="0.2">
      <c r="A4950" s="1135" t="str">
        <f>CONCATENATE(Programme!C4951,Programme!D4951,Programme!E4951,Programme!F4951,Programme!G4951,Programme!H4951,Programme!I4951)</f>
        <v>&lt;ValeursTableau&gt;</v>
      </c>
    </row>
    <row r="4951" spans="1:1" x14ac:dyDescent="0.2">
      <c r="A4951" s="1135" t="str">
        <f>CONCATENATE(Programme!C4952,Programme!D4952,Programme!E4952,Programme!F4952,Programme!G4952,Programme!H4952,Programme!I4952)</f>
        <v>&lt;tableau&gt;&lt;id&gt;34&lt;/id&gt;&lt;/tableau&gt;</v>
      </c>
    </row>
    <row r="4952" spans="1:1" x14ac:dyDescent="0.2">
      <c r="A4952" s="1135" t="str">
        <f>CONCATENATE(Programme!C4953,Programme!D4953,Programme!E4953,Programme!F4953,Programme!G4953,Programme!H4953,Programme!I4953)</f>
        <v>&lt;groupeValeurs&gt;</v>
      </c>
    </row>
    <row r="4953" spans="1:1" x14ac:dyDescent="0.2">
      <c r="A4953" s="1135" t="str">
        <f>CONCATENATE(Programme!C4954,Programme!D4954,Programme!E4954,Programme!F4954,Programme!G4954,Programme!H4954,Programme!I4954)</f>
        <v>&lt;ValeurCellule&gt;</v>
      </c>
    </row>
    <row r="4954" spans="1:1" x14ac:dyDescent="0.2">
      <c r="A4954" s="1135" t="str">
        <f>CONCATENATE(Programme!C4955,Programme!D4955,Programme!E4955,Programme!F4955,Programme!G4955,Programme!H4955,Programme!I4955)</f>
        <v>&lt;cellule&gt;</v>
      </c>
    </row>
    <row r="4955" spans="1:1" x14ac:dyDescent="0.2">
      <c r="A4955" s="1135" t="str">
        <f>CONCATENATE(Programme!C4956,Programme!D4956,Programme!E4956,Programme!F4956,Programme!G4956,Programme!H4956,Programme!I4956)</f>
        <v>&lt;codeEdi&gt;1521&lt;/codeEdi&gt;</v>
      </c>
    </row>
    <row r="4956" spans="1:1" x14ac:dyDescent="0.2">
      <c r="A4956" s="1135" t="str">
        <f>CONCATENATE(Programme!C4957,Programme!D4957,Programme!E4957,Programme!F4957,Programme!G4957,Programme!H4957,Programme!I4957)</f>
        <v>&lt;/cellule&gt;</v>
      </c>
    </row>
    <row r="4957" spans="1:1" x14ac:dyDescent="0.2">
      <c r="A4957" s="1135" t="str">
        <f>CONCATENATE(Programme!C4958,Programme!D4958,Programme!E4958,Programme!F4958,Programme!G4958,Programme!H4958,Programme!I4958)</f>
        <v>&lt;valeur&gt;&lt;/valeur&gt;</v>
      </c>
    </row>
    <row r="4958" spans="1:1" x14ac:dyDescent="0.2">
      <c r="A4958" s="1135" t="str">
        <f>CONCATENATE(Programme!C4959,Programme!D4959,Programme!E4959,Programme!F4959,Programme!G4959,Programme!H4959,Programme!I4959)</f>
        <v>&lt;/ValeurCellule&gt;</v>
      </c>
    </row>
    <row r="4959" spans="1:1" x14ac:dyDescent="0.2">
      <c r="A4959" s="1135" t="str">
        <f>CONCATENATE(Programme!C4960,Programme!D4960,Programme!E4960,Programme!F4960,Programme!G4960,Programme!H4960,Programme!I4960)</f>
        <v>&lt;ValeurCellule&gt;</v>
      </c>
    </row>
    <row r="4960" spans="1:1" x14ac:dyDescent="0.2">
      <c r="A4960" s="1135" t="str">
        <f>CONCATENATE(Programme!C4961,Programme!D4961,Programme!E4961,Programme!F4961,Programme!G4961,Programme!H4961,Programme!I4961)</f>
        <v>&lt;cellule&gt;</v>
      </c>
    </row>
    <row r="4961" spans="1:1" x14ac:dyDescent="0.2">
      <c r="A4961" s="1135" t="str">
        <f>CONCATENATE(Programme!C4962,Programme!D4962,Programme!E4962,Programme!F4962,Programme!G4962,Programme!H4962,Programme!I4962)</f>
        <v>&lt;codeEdi&gt;1522&lt;/codeEdi&gt;</v>
      </c>
    </row>
    <row r="4962" spans="1:1" x14ac:dyDescent="0.2">
      <c r="A4962" s="1135" t="str">
        <f>CONCATENATE(Programme!C4963,Programme!D4963,Programme!E4963,Programme!F4963,Programme!G4963,Programme!H4963,Programme!I4963)</f>
        <v>&lt;/cellule&gt;</v>
      </c>
    </row>
    <row r="4963" spans="1:1" x14ac:dyDescent="0.2">
      <c r="A4963" s="1135" t="str">
        <f>CONCATENATE(Programme!C4964,Programme!D4964,Programme!E4964,Programme!F4964,Programme!G4964,Programme!H4964,Programme!I4964)</f>
        <v>&lt;valeur&gt;0&lt;/valeur&gt;</v>
      </c>
    </row>
    <row r="4964" spans="1:1" x14ac:dyDescent="0.2">
      <c r="A4964" s="1135" t="str">
        <f>CONCATENATE(Programme!C4965,Programme!D4965,Programme!E4965,Programme!F4965,Programme!G4965,Programme!H4965,Programme!I4965)</f>
        <v>&lt;/ValeurCellule&gt;</v>
      </c>
    </row>
    <row r="4965" spans="1:1" x14ac:dyDescent="0.2">
      <c r="A4965" s="1135" t="str">
        <f>CONCATENATE(Programme!C4966,Programme!D4966,Programme!E4966,Programme!F4966,Programme!G4966,Programme!H4966,Programme!I4966)</f>
        <v>&lt;ValeurCellule&gt;</v>
      </c>
    </row>
    <row r="4966" spans="1:1" x14ac:dyDescent="0.2">
      <c r="A4966" s="1135" t="str">
        <f>CONCATENATE(Programme!C4967,Programme!D4967,Programme!E4967,Programme!F4967,Programme!G4967,Programme!H4967,Programme!I4967)</f>
        <v>&lt;cellule&gt;</v>
      </c>
    </row>
    <row r="4967" spans="1:1" x14ac:dyDescent="0.2">
      <c r="A4967" s="1135" t="str">
        <f>CONCATENATE(Programme!C4968,Programme!D4968,Programme!E4968,Programme!F4968,Programme!G4968,Programme!H4968,Programme!I4968)</f>
        <v>&lt;codeEdi&gt;1523&lt;/codeEdi&gt;</v>
      </c>
    </row>
    <row r="4968" spans="1:1" x14ac:dyDescent="0.2">
      <c r="A4968" s="1135" t="str">
        <f>CONCATENATE(Programme!C4969,Programme!D4969,Programme!E4969,Programme!F4969,Programme!G4969,Programme!H4969,Programme!I4969)</f>
        <v>&lt;/cellule&gt;</v>
      </c>
    </row>
    <row r="4969" spans="1:1" x14ac:dyDescent="0.2">
      <c r="A4969" s="1135" t="str">
        <f>CONCATENATE(Programme!C4970,Programme!D4970,Programme!E4970,Programme!F4970,Programme!G4970,Programme!H4970,Programme!I4970)</f>
        <v>&lt;valeur&gt;0&lt;/valeur&gt;</v>
      </c>
    </row>
    <row r="4970" spans="1:1" x14ac:dyDescent="0.2">
      <c r="A4970" s="1135" t="str">
        <f>CONCATENATE(Programme!C4971,Programme!D4971,Programme!E4971,Programme!F4971,Programme!G4971,Programme!H4971,Programme!I4971)</f>
        <v>&lt;/ValeurCellule&gt;</v>
      </c>
    </row>
    <row r="4971" spans="1:1" x14ac:dyDescent="0.2">
      <c r="A4971" s="1135" t="str">
        <f>CONCATENATE(Programme!C4972,Programme!D4972,Programme!E4972,Programme!F4972,Programme!G4972,Programme!H4972,Programme!I4972)</f>
        <v>&lt;ValeurCellule&gt;</v>
      </c>
    </row>
    <row r="4972" spans="1:1" x14ac:dyDescent="0.2">
      <c r="A4972" s="1135" t="str">
        <f>CONCATENATE(Programme!C4973,Programme!D4973,Programme!E4973,Programme!F4973,Programme!G4973,Programme!H4973,Programme!I4973)</f>
        <v>&lt;cellule&gt;</v>
      </c>
    </row>
    <row r="4973" spans="1:1" x14ac:dyDescent="0.2">
      <c r="A4973" s="1135" t="str">
        <f>CONCATENATE(Programme!C4974,Programme!D4974,Programme!E4974,Programme!F4974,Programme!G4974,Programme!H4974,Programme!I4974)</f>
        <v>&lt;codeEdi&gt;1524&lt;/codeEdi&gt;</v>
      </c>
    </row>
    <row r="4974" spans="1:1" x14ac:dyDescent="0.2">
      <c r="A4974" s="1135" t="str">
        <f>CONCATENATE(Programme!C4975,Programme!D4975,Programme!E4975,Programme!F4975,Programme!G4975,Programme!H4975,Programme!I4975)</f>
        <v>&lt;/cellule&gt;</v>
      </c>
    </row>
    <row r="4975" spans="1:1" x14ac:dyDescent="0.2">
      <c r="A4975" s="1135" t="str">
        <f>CONCATENATE(Programme!C4976,Programme!D4976,Programme!E4976,Programme!F4976,Programme!G4976,Programme!H4976,Programme!I4976)</f>
        <v>&lt;valeur&gt;0&lt;/valeur&gt;</v>
      </c>
    </row>
    <row r="4976" spans="1:1" x14ac:dyDescent="0.2">
      <c r="A4976" s="1135" t="str">
        <f>CONCATENATE(Programme!C4977,Programme!D4977,Programme!E4977,Programme!F4977,Programme!G4977,Programme!H4977,Programme!I4977)</f>
        <v>&lt;/ValeurCellule&gt;</v>
      </c>
    </row>
    <row r="4977" spans="1:1" x14ac:dyDescent="0.2">
      <c r="A4977" s="1135" t="str">
        <f>CONCATENATE(Programme!C4978,Programme!D4978,Programme!E4978,Programme!F4978,Programme!G4978,Programme!H4978,Programme!I4978)</f>
        <v>&lt;ValeurCellule&gt;</v>
      </c>
    </row>
    <row r="4978" spans="1:1" x14ac:dyDescent="0.2">
      <c r="A4978" s="1135" t="str">
        <f>CONCATENATE(Programme!C4979,Programme!D4979,Programme!E4979,Programme!F4979,Programme!G4979,Programme!H4979,Programme!I4979)</f>
        <v>&lt;cellule&gt;</v>
      </c>
    </row>
    <row r="4979" spans="1:1" x14ac:dyDescent="0.2">
      <c r="A4979" s="1135" t="str">
        <f>CONCATENATE(Programme!C4980,Programme!D4980,Programme!E4980,Programme!F4980,Programme!G4980,Programme!H4980,Programme!I4980)</f>
        <v>&lt;codeEdi&gt;1525&lt;/codeEdi&gt;</v>
      </c>
    </row>
    <row r="4980" spans="1:1" x14ac:dyDescent="0.2">
      <c r="A4980" s="1135" t="str">
        <f>CONCATENATE(Programme!C4981,Programme!D4981,Programme!E4981,Programme!F4981,Programme!G4981,Programme!H4981,Programme!I4981)</f>
        <v>&lt;/cellule&gt;</v>
      </c>
    </row>
    <row r="4981" spans="1:1" x14ac:dyDescent="0.2">
      <c r="A4981" s="1135" t="str">
        <f>CONCATENATE(Programme!C4982,Programme!D4982,Programme!E4982,Programme!F4982,Programme!G4982,Programme!H4982,Programme!I4982)</f>
        <v>&lt;valeur&gt;&lt;/valeur&gt;</v>
      </c>
    </row>
    <row r="4982" spans="1:1" x14ac:dyDescent="0.2">
      <c r="A4982" s="1135" t="str">
        <f>CONCATENATE(Programme!C4983,Programme!D4983,Programme!E4983,Programme!F4983,Programme!G4983,Programme!H4983,Programme!I4983)</f>
        <v>&lt;/ValeurCellule&gt;</v>
      </c>
    </row>
    <row r="4983" spans="1:1" x14ac:dyDescent="0.2">
      <c r="A4983" s="1135" t="str">
        <f>CONCATENATE(Programme!C4984,Programme!D4984,Programme!E4984,Programme!F4984,Programme!G4984,Programme!H4984,Programme!I4984)</f>
        <v>&lt;ValeurCellule&gt;</v>
      </c>
    </row>
    <row r="4984" spans="1:1" x14ac:dyDescent="0.2">
      <c r="A4984" s="1135" t="str">
        <f>CONCATENATE(Programme!C4985,Programme!D4985,Programme!E4985,Programme!F4985,Programme!G4985,Programme!H4985,Programme!I4985)</f>
        <v>&lt;cellule&gt;</v>
      </c>
    </row>
    <row r="4985" spans="1:1" x14ac:dyDescent="0.2">
      <c r="A4985" s="1135" t="str">
        <f>CONCATENATE(Programme!C4986,Programme!D4986,Programme!E4986,Programme!F4986,Programme!G4986,Programme!H4986,Programme!I4986)</f>
        <v>&lt;codeEdi&gt;1526&lt;/codeEdi&gt;</v>
      </c>
    </row>
    <row r="4986" spans="1:1" x14ac:dyDescent="0.2">
      <c r="A4986" s="1135" t="str">
        <f>CONCATENATE(Programme!C4987,Programme!D4987,Programme!E4987,Programme!F4987,Programme!G4987,Programme!H4987,Programme!I4987)</f>
        <v>&lt;/cellule&gt;</v>
      </c>
    </row>
    <row r="4987" spans="1:1" x14ac:dyDescent="0.2">
      <c r="A4987" s="1135" t="str">
        <f>CONCATENATE(Programme!C4988,Programme!D4988,Programme!E4988,Programme!F4988,Programme!G4988,Programme!H4988,Programme!I4988)</f>
        <v>&lt;valeur&gt;0&lt;/valeur&gt;</v>
      </c>
    </row>
    <row r="4988" spans="1:1" x14ac:dyDescent="0.2">
      <c r="A4988" s="1135" t="str">
        <f>CONCATENATE(Programme!C4989,Programme!D4989,Programme!E4989,Programme!F4989,Programme!G4989,Programme!H4989,Programme!I4989)</f>
        <v>&lt;/ValeurCellule&gt;</v>
      </c>
    </row>
    <row r="4989" spans="1:1" x14ac:dyDescent="0.2">
      <c r="A4989" s="1135" t="str">
        <f>CONCATENATE(Programme!C4990,Programme!D4990,Programme!E4990,Programme!F4990,Programme!G4990,Programme!H4990,Programme!I4990)</f>
        <v>&lt;ValeurCellule&gt;</v>
      </c>
    </row>
    <row r="4990" spans="1:1" x14ac:dyDescent="0.2">
      <c r="A4990" s="1135" t="str">
        <f>CONCATENATE(Programme!C4991,Programme!D4991,Programme!E4991,Programme!F4991,Programme!G4991,Programme!H4991,Programme!I4991)</f>
        <v>&lt;cellule&gt;</v>
      </c>
    </row>
    <row r="4991" spans="1:1" x14ac:dyDescent="0.2">
      <c r="A4991" s="1135" t="str">
        <f>CONCATENATE(Programme!C4992,Programme!D4992,Programme!E4992,Programme!F4992,Programme!G4992,Programme!H4992,Programme!I4992)</f>
        <v>&lt;codeEdi&gt;1527&lt;/codeEdi&gt;</v>
      </c>
    </row>
    <row r="4992" spans="1:1" x14ac:dyDescent="0.2">
      <c r="A4992" s="1135" t="str">
        <f>CONCATENATE(Programme!C4993,Programme!D4993,Programme!E4993,Programme!F4993,Programme!G4993,Programme!H4993,Programme!I4993)</f>
        <v>&lt;/cellule&gt;</v>
      </c>
    </row>
    <row r="4993" spans="1:1" x14ac:dyDescent="0.2">
      <c r="A4993" s="1135" t="str">
        <f>CONCATENATE(Programme!C4994,Programme!D4994,Programme!E4994,Programme!F4994,Programme!G4994,Programme!H4994,Programme!I4994)</f>
        <v>&lt;valeur&gt;0&lt;/valeur&gt;</v>
      </c>
    </row>
    <row r="4994" spans="1:1" x14ac:dyDescent="0.2">
      <c r="A4994" s="1135" t="str">
        <f>CONCATENATE(Programme!C4995,Programme!D4995,Programme!E4995,Programme!F4995,Programme!G4995,Programme!H4995,Programme!I4995)</f>
        <v>&lt;/ValeurCellule&gt;</v>
      </c>
    </row>
    <row r="4995" spans="1:1" x14ac:dyDescent="0.2">
      <c r="A4995" s="1135" t="str">
        <f>CONCATENATE(Programme!C4996,Programme!D4996,Programme!E4996,Programme!F4996,Programme!G4996,Programme!H4996,Programme!I4996)</f>
        <v>&lt;ValeurCellule&gt;</v>
      </c>
    </row>
    <row r="4996" spans="1:1" x14ac:dyDescent="0.2">
      <c r="A4996" s="1135" t="str">
        <f>CONCATENATE(Programme!C4997,Programme!D4997,Programme!E4997,Programme!F4997,Programme!G4997,Programme!H4997,Programme!I4997)</f>
        <v>&lt;cellule&gt;</v>
      </c>
    </row>
    <row r="4997" spans="1:1" x14ac:dyDescent="0.2">
      <c r="A4997" s="1135" t="str">
        <f>CONCATENATE(Programme!C4998,Programme!D4998,Programme!E4998,Programme!F4998,Programme!G4998,Programme!H4998,Programme!I4998)</f>
        <v>&lt;codeEdi&gt;1528&lt;/codeEdi&gt;</v>
      </c>
    </row>
    <row r="4998" spans="1:1" x14ac:dyDescent="0.2">
      <c r="A4998" s="1135" t="str">
        <f>CONCATENATE(Programme!C4999,Programme!D4999,Programme!E4999,Programme!F4999,Programme!G4999,Programme!H4999,Programme!I4999)</f>
        <v>&lt;/cellule&gt;</v>
      </c>
    </row>
    <row r="4999" spans="1:1" x14ac:dyDescent="0.2">
      <c r="A4999" s="1135" t="str">
        <f>CONCATENATE(Programme!C5000,Programme!D5000,Programme!E5000,Programme!F5000,Programme!G5000,Programme!H5000,Programme!I5000)</f>
        <v>&lt;valeur&gt;0&lt;/valeur&gt;</v>
      </c>
    </row>
    <row r="5000" spans="1:1" x14ac:dyDescent="0.2">
      <c r="A5000" s="1135" t="str">
        <f>CONCATENATE(Programme!C5001,Programme!D5001,Programme!E5001,Programme!F5001,Programme!G5001,Programme!H5001,Programme!I5001)</f>
        <v>&lt;/ValeurCellule&gt;</v>
      </c>
    </row>
    <row r="5001" spans="1:1" x14ac:dyDescent="0.2">
      <c r="A5001" s="1135" t="str">
        <f>CONCATENATE(Programme!C5002,Programme!D5002,Programme!E5002,Programme!F5002,Programme!G5002,Programme!H5002,Programme!I5002)</f>
        <v>&lt;ValeurCellule&gt;</v>
      </c>
    </row>
    <row r="5002" spans="1:1" x14ac:dyDescent="0.2">
      <c r="A5002" s="1135" t="str">
        <f>CONCATENATE(Programme!C5003,Programme!D5003,Programme!E5003,Programme!F5003,Programme!G5003,Programme!H5003,Programme!I5003)</f>
        <v>&lt;cellule&gt;</v>
      </c>
    </row>
    <row r="5003" spans="1:1" x14ac:dyDescent="0.2">
      <c r="A5003" s="1135" t="str">
        <f>CONCATENATE(Programme!C5004,Programme!D5004,Programme!E5004,Programme!F5004,Programme!G5004,Programme!H5004,Programme!I5004)</f>
        <v>&lt;codeEdi&gt;1529&lt;/codeEdi&gt;</v>
      </c>
    </row>
    <row r="5004" spans="1:1" x14ac:dyDescent="0.2">
      <c r="A5004" s="1135" t="str">
        <f>CONCATENATE(Programme!C5005,Programme!D5005,Programme!E5005,Programme!F5005,Programme!G5005,Programme!H5005,Programme!I5005)</f>
        <v>&lt;/cellule&gt;</v>
      </c>
    </row>
    <row r="5005" spans="1:1" x14ac:dyDescent="0.2">
      <c r="A5005" s="1135" t="str">
        <f>CONCATENATE(Programme!C5006,Programme!D5006,Programme!E5006,Programme!F5006,Programme!G5006,Programme!H5006,Programme!I5006)</f>
        <v>&lt;valeur&gt;0&lt;/valeur&gt;</v>
      </c>
    </row>
    <row r="5006" spans="1:1" x14ac:dyDescent="0.2">
      <c r="A5006" s="1135" t="str">
        <f>CONCATENATE(Programme!C5007,Programme!D5007,Programme!E5007,Programme!F5007,Programme!G5007,Programme!H5007,Programme!I5007)</f>
        <v>&lt;/ValeurCellule&gt;</v>
      </c>
    </row>
    <row r="5007" spans="1:1" x14ac:dyDescent="0.2">
      <c r="A5007" s="1135" t="str">
        <f>CONCATENATE(Programme!C5008,Programme!D5008,Programme!E5008,Programme!F5008,Programme!G5008,Programme!H5008,Programme!I5008)</f>
        <v>&lt;ValeurCellule&gt;</v>
      </c>
    </row>
    <row r="5008" spans="1:1" x14ac:dyDescent="0.2">
      <c r="A5008" s="1135" t="str">
        <f>CONCATENATE(Programme!C5009,Programme!D5009,Programme!E5009,Programme!F5009,Programme!G5009,Programme!H5009,Programme!I5009)</f>
        <v>&lt;cellule&gt;</v>
      </c>
    </row>
    <row r="5009" spans="1:1" x14ac:dyDescent="0.2">
      <c r="A5009" s="1135" t="str">
        <f>CONCATENATE(Programme!C5010,Programme!D5010,Programme!E5010,Programme!F5010,Programme!G5010,Programme!H5010,Programme!I5010)</f>
        <v>&lt;codeEdi&gt;1530&lt;/codeEdi&gt;</v>
      </c>
    </row>
    <row r="5010" spans="1:1" x14ac:dyDescent="0.2">
      <c r="A5010" s="1135" t="str">
        <f>CONCATENATE(Programme!C5011,Programme!D5011,Programme!E5011,Programme!F5011,Programme!G5011,Programme!H5011,Programme!I5011)</f>
        <v>&lt;/cellule&gt;</v>
      </c>
    </row>
    <row r="5011" spans="1:1" x14ac:dyDescent="0.2">
      <c r="A5011" s="1135" t="str">
        <f>CONCATENATE(Programme!C5012,Programme!D5012,Programme!E5012,Programme!F5012,Programme!G5012,Programme!H5012,Programme!I5012)</f>
        <v>&lt;valeur&gt;0&lt;/valeur&gt;</v>
      </c>
    </row>
    <row r="5012" spans="1:1" x14ac:dyDescent="0.2">
      <c r="A5012" s="1135" t="str">
        <f>CONCATENATE(Programme!C5013,Programme!D5013,Programme!E5013,Programme!F5013,Programme!G5013,Programme!H5013,Programme!I5013)</f>
        <v>&lt;/ValeurCellule&gt;</v>
      </c>
    </row>
    <row r="5013" spans="1:1" x14ac:dyDescent="0.2">
      <c r="A5013" s="1135" t="str">
        <f>CONCATENATE(Programme!C5014,Programme!D5014,Programme!E5014,Programme!F5014,Programme!G5014,Programme!H5014,Programme!I5014)</f>
        <v>&lt;ValeurCellule&gt;</v>
      </c>
    </row>
    <row r="5014" spans="1:1" x14ac:dyDescent="0.2">
      <c r="A5014" s="1135" t="str">
        <f>CONCATENATE(Programme!C5015,Programme!D5015,Programme!E5015,Programme!F5015,Programme!G5015,Programme!H5015,Programme!I5015)</f>
        <v>&lt;cellule&gt;</v>
      </c>
    </row>
    <row r="5015" spans="1:1" x14ac:dyDescent="0.2">
      <c r="A5015" s="1135" t="str">
        <f>CONCATENATE(Programme!C5016,Programme!D5016,Programme!E5016,Programme!F5016,Programme!G5016,Programme!H5016,Programme!I5016)</f>
        <v>&lt;codeEdi&gt;1531&lt;/codeEdi&gt;</v>
      </c>
    </row>
    <row r="5016" spans="1:1" x14ac:dyDescent="0.2">
      <c r="A5016" s="1135" t="str">
        <f>CONCATENATE(Programme!C5017,Programme!D5017,Programme!E5017,Programme!F5017,Programme!G5017,Programme!H5017,Programme!I5017)</f>
        <v>&lt;/cellule&gt;</v>
      </c>
    </row>
    <row r="5017" spans="1:1" x14ac:dyDescent="0.2">
      <c r="A5017" s="1135" t="str">
        <f>CONCATENATE(Programme!C5018,Programme!D5018,Programme!E5018,Programme!F5018,Programme!G5018,Programme!H5018,Programme!I5018)</f>
        <v>&lt;valeur&gt;0&lt;/valeur&gt;</v>
      </c>
    </row>
    <row r="5018" spans="1:1" x14ac:dyDescent="0.2">
      <c r="A5018" s="1135" t="str">
        <f>CONCATENATE(Programme!C5019,Programme!D5019,Programme!E5019,Programme!F5019,Programme!G5019,Programme!H5019,Programme!I5019)</f>
        <v>&lt;/ValeurCellule&gt;</v>
      </c>
    </row>
    <row r="5019" spans="1:1" x14ac:dyDescent="0.2">
      <c r="A5019" s="1135" t="str">
        <f>CONCATENATE(Programme!C5020,Programme!D5020,Programme!E5020,Programme!F5020,Programme!G5020,Programme!H5020,Programme!I5020)</f>
        <v>&lt;ValeurCellule&gt;</v>
      </c>
    </row>
    <row r="5020" spans="1:1" x14ac:dyDescent="0.2">
      <c r="A5020" s="1135" t="str">
        <f>CONCATENATE(Programme!C5021,Programme!D5021,Programme!E5021,Programme!F5021,Programme!G5021,Programme!H5021,Programme!I5021)</f>
        <v>&lt;cellule&gt;</v>
      </c>
    </row>
    <row r="5021" spans="1:1" x14ac:dyDescent="0.2">
      <c r="A5021" s="1135" t="str">
        <f>CONCATENATE(Programme!C5022,Programme!D5022,Programme!E5022,Programme!F5022,Programme!G5022,Programme!H5022,Programme!I5022)</f>
        <v>&lt;codeEdi&gt;1532&lt;/codeEdi&gt;</v>
      </c>
    </row>
    <row r="5022" spans="1:1" x14ac:dyDescent="0.2">
      <c r="A5022" s="1135" t="str">
        <f>CONCATENATE(Programme!C5023,Programme!D5023,Programme!E5023,Programme!F5023,Programme!G5023,Programme!H5023,Programme!I5023)</f>
        <v>&lt;/cellule&gt;</v>
      </c>
    </row>
    <row r="5023" spans="1:1" x14ac:dyDescent="0.2">
      <c r="A5023" s="1135" t="str">
        <f>CONCATENATE(Programme!C5024,Programme!D5024,Programme!E5024,Programme!F5024,Programme!G5024,Programme!H5024,Programme!I5024)</f>
        <v>&lt;valeur&gt;0&lt;/valeur&gt;</v>
      </c>
    </row>
    <row r="5024" spans="1:1" x14ac:dyDescent="0.2">
      <c r="A5024" s="1135" t="str">
        <f>CONCATENATE(Programme!C5025,Programme!D5025,Programme!E5025,Programme!F5025,Programme!G5025,Programme!H5025,Programme!I5025)</f>
        <v>&lt;/ValeurCellule&gt;</v>
      </c>
    </row>
    <row r="5025" spans="1:1" x14ac:dyDescent="0.2">
      <c r="A5025" s="1135" t="str">
        <f>CONCATENATE(Programme!C5026,Programme!D5026,Programme!E5026,Programme!F5026,Programme!G5026,Programme!H5026,Programme!I5026)</f>
        <v>&lt;ValeurCellule&gt;</v>
      </c>
    </row>
    <row r="5026" spans="1:1" x14ac:dyDescent="0.2">
      <c r="A5026" s="1135" t="str">
        <f>CONCATENATE(Programme!C5027,Programme!D5027,Programme!E5027,Programme!F5027,Programme!G5027,Programme!H5027,Programme!I5027)</f>
        <v>&lt;cellule&gt;</v>
      </c>
    </row>
    <row r="5027" spans="1:1" x14ac:dyDescent="0.2">
      <c r="A5027" s="1135" t="str">
        <f>CONCATENATE(Programme!C5028,Programme!D5028,Programme!E5028,Programme!F5028,Programme!G5028,Programme!H5028,Programme!I5028)</f>
        <v>&lt;codeEdi&gt;1533&lt;/codeEdi&gt;</v>
      </c>
    </row>
    <row r="5028" spans="1:1" x14ac:dyDescent="0.2">
      <c r="A5028" s="1135" t="str">
        <f>CONCATENATE(Programme!C5029,Programme!D5029,Programme!E5029,Programme!F5029,Programme!G5029,Programme!H5029,Programme!I5029)</f>
        <v>&lt;/cellule&gt;</v>
      </c>
    </row>
    <row r="5029" spans="1:1" x14ac:dyDescent="0.2">
      <c r="A5029" s="1135" t="str">
        <f>CONCATENATE(Programme!C5030,Programme!D5030,Programme!E5030,Programme!F5030,Programme!G5030,Programme!H5030,Programme!I5030)</f>
        <v>&lt;valeur&gt;&lt;/valeur&gt;</v>
      </c>
    </row>
    <row r="5030" spans="1:1" x14ac:dyDescent="0.2">
      <c r="A5030" s="1135" t="str">
        <f>CONCATENATE(Programme!C5031,Programme!D5031,Programme!E5031,Programme!F5031,Programme!G5031,Programme!H5031,Programme!I5031)</f>
        <v>&lt;/ValeurCellule&gt;</v>
      </c>
    </row>
    <row r="5031" spans="1:1" x14ac:dyDescent="0.2">
      <c r="A5031" s="1135" t="str">
        <f>CONCATENATE(Programme!C5032,Programme!D5032,Programme!E5032,Programme!F5032,Programme!G5032,Programme!H5032,Programme!I5032)</f>
        <v>&lt;ValeurCellule&gt;</v>
      </c>
    </row>
    <row r="5032" spans="1:1" x14ac:dyDescent="0.2">
      <c r="A5032" s="1135" t="str">
        <f>CONCATENATE(Programme!C5033,Programme!D5033,Programme!E5033,Programme!F5033,Programme!G5033,Programme!H5033,Programme!I5033)</f>
        <v>&lt;cellule&gt;</v>
      </c>
    </row>
    <row r="5033" spans="1:1" x14ac:dyDescent="0.2">
      <c r="A5033" s="1135" t="str">
        <f>CONCATENATE(Programme!C5034,Programme!D5034,Programme!E5034,Programme!F5034,Programme!G5034,Programme!H5034,Programme!I5034)</f>
        <v>&lt;codeEdi&gt;1534&lt;/codeEdi&gt;</v>
      </c>
    </row>
    <row r="5034" spans="1:1" x14ac:dyDescent="0.2">
      <c r="A5034" s="1135" t="str">
        <f>CONCATENATE(Programme!C5035,Programme!D5035,Programme!E5035,Programme!F5035,Programme!G5035,Programme!H5035,Programme!I5035)</f>
        <v>&lt;/cellule&gt;</v>
      </c>
    </row>
    <row r="5035" spans="1:1" x14ac:dyDescent="0.2">
      <c r="A5035" s="1135" t="str">
        <f>CONCATENATE(Programme!C5036,Programme!D5036,Programme!E5036,Programme!F5036,Programme!G5036,Programme!H5036,Programme!I5036)</f>
        <v>&lt;valeur&gt;12000&lt;/valeur&gt;</v>
      </c>
    </row>
    <row r="5036" spans="1:1" x14ac:dyDescent="0.2">
      <c r="A5036" s="1135" t="str">
        <f>CONCATENATE(Programme!C5037,Programme!D5037,Programme!E5037,Programme!F5037,Programme!G5037,Programme!H5037,Programme!I5037)</f>
        <v>&lt;/ValeurCellule&gt;</v>
      </c>
    </row>
    <row r="5037" spans="1:1" x14ac:dyDescent="0.2">
      <c r="A5037" s="1135" t="str">
        <f>CONCATENATE(Programme!C5038,Programme!D5038,Programme!E5038,Programme!F5038,Programme!G5038,Programme!H5038,Programme!I5038)</f>
        <v>&lt;ValeurCellule&gt;</v>
      </c>
    </row>
    <row r="5038" spans="1:1" x14ac:dyDescent="0.2">
      <c r="A5038" s="1135" t="str">
        <f>CONCATENATE(Programme!C5039,Programme!D5039,Programme!E5039,Programme!F5039,Programme!G5039,Programme!H5039,Programme!I5039)</f>
        <v>&lt;cellule&gt;</v>
      </c>
    </row>
    <row r="5039" spans="1:1" x14ac:dyDescent="0.2">
      <c r="A5039" s="1135" t="str">
        <f>CONCATENATE(Programme!C5040,Programme!D5040,Programme!E5040,Programme!F5040,Programme!G5040,Programme!H5040,Programme!I5040)</f>
        <v>&lt;codeEdi&gt;1535&lt;/codeEdi&gt;</v>
      </c>
    </row>
    <row r="5040" spans="1:1" x14ac:dyDescent="0.2">
      <c r="A5040" s="1135" t="str">
        <f>CONCATENATE(Programme!C5041,Programme!D5041,Programme!E5041,Programme!F5041,Programme!G5041,Programme!H5041,Programme!I5041)</f>
        <v>&lt;/cellule&gt;</v>
      </c>
    </row>
    <row r="5041" spans="1:1" x14ac:dyDescent="0.2">
      <c r="A5041" s="1135" t="str">
        <f>CONCATENATE(Programme!C5042,Programme!D5042,Programme!E5042,Programme!F5042,Programme!G5042,Programme!H5042,Programme!I5042)</f>
        <v>&lt;valeur&gt;0&lt;/valeur&gt;</v>
      </c>
    </row>
    <row r="5042" spans="1:1" x14ac:dyDescent="0.2">
      <c r="A5042" s="1135" t="str">
        <f>CONCATENATE(Programme!C5043,Programme!D5043,Programme!E5043,Programme!F5043,Programme!G5043,Programme!H5043,Programme!I5043)</f>
        <v>&lt;/ValeurCellule&gt;</v>
      </c>
    </row>
    <row r="5043" spans="1:1" x14ac:dyDescent="0.2">
      <c r="A5043" s="1135" t="str">
        <f>CONCATENATE(Programme!C5044,Programme!D5044,Programme!E5044,Programme!F5044,Programme!G5044,Programme!H5044,Programme!I5044)</f>
        <v>&lt;ValeurCellule&gt;</v>
      </c>
    </row>
    <row r="5044" spans="1:1" x14ac:dyDescent="0.2">
      <c r="A5044" s="1135" t="str">
        <f>CONCATENATE(Programme!C5045,Programme!D5045,Programme!E5045,Programme!F5045,Programme!G5045,Programme!H5045,Programme!I5045)</f>
        <v>&lt;cellule&gt;</v>
      </c>
    </row>
    <row r="5045" spans="1:1" x14ac:dyDescent="0.2">
      <c r="A5045" s="1135" t="str">
        <f>CONCATENATE(Programme!C5046,Programme!D5046,Programme!E5046,Programme!F5046,Programme!G5046,Programme!H5046,Programme!I5046)</f>
        <v>&lt;codeEdi&gt;1536&lt;/codeEdi&gt;</v>
      </c>
    </row>
    <row r="5046" spans="1:1" x14ac:dyDescent="0.2">
      <c r="A5046" s="1135" t="str">
        <f>CONCATENATE(Programme!C5047,Programme!D5047,Programme!E5047,Programme!F5047,Programme!G5047,Programme!H5047,Programme!I5047)</f>
        <v>&lt;/cellule&gt;</v>
      </c>
    </row>
    <row r="5047" spans="1:1" x14ac:dyDescent="0.2">
      <c r="A5047" s="1135" t="str">
        <f>CONCATENATE(Programme!C5048,Programme!D5048,Programme!E5048,Programme!F5048,Programme!G5048,Programme!H5048,Programme!I5048)</f>
        <v>&lt;valeur&gt;6438,04&lt;/valeur&gt;</v>
      </c>
    </row>
    <row r="5048" spans="1:1" x14ac:dyDescent="0.2">
      <c r="A5048" s="1135" t="str">
        <f>CONCATENATE(Programme!C5049,Programme!D5049,Programme!E5049,Programme!F5049,Programme!G5049,Programme!H5049,Programme!I5049)</f>
        <v>&lt;/ValeurCellule&gt;</v>
      </c>
    </row>
    <row r="5049" spans="1:1" x14ac:dyDescent="0.2">
      <c r="A5049" s="1135" t="str">
        <f>CONCATENATE(Programme!C5050,Programme!D5050,Programme!E5050,Programme!F5050,Programme!G5050,Programme!H5050,Programme!I5050)</f>
        <v>&lt;ValeurCellule&gt;</v>
      </c>
    </row>
    <row r="5050" spans="1:1" x14ac:dyDescent="0.2">
      <c r="A5050" s="1135" t="str">
        <f>CONCATENATE(Programme!C5051,Programme!D5051,Programme!E5051,Programme!F5051,Programme!G5051,Programme!H5051,Programme!I5051)</f>
        <v>&lt;cellule&gt;</v>
      </c>
    </row>
    <row r="5051" spans="1:1" x14ac:dyDescent="0.2">
      <c r="A5051" s="1135" t="str">
        <f>CONCATENATE(Programme!C5052,Programme!D5052,Programme!E5052,Programme!F5052,Programme!G5052,Programme!H5052,Programme!I5052)</f>
        <v>&lt;codeEdi&gt;1537&lt;/codeEdi&gt;</v>
      </c>
    </row>
    <row r="5052" spans="1:1" x14ac:dyDescent="0.2">
      <c r="A5052" s="1135" t="str">
        <f>CONCATENATE(Programme!C5053,Programme!D5053,Programme!E5053,Programme!F5053,Programme!G5053,Programme!H5053,Programme!I5053)</f>
        <v>&lt;/cellule&gt;</v>
      </c>
    </row>
    <row r="5053" spans="1:1" x14ac:dyDescent="0.2">
      <c r="A5053" s="1135" t="str">
        <f>CONCATENATE(Programme!C5054,Programme!D5054,Programme!E5054,Programme!F5054,Programme!G5054,Programme!H5054,Programme!I5054)</f>
        <v>&lt;valeur&gt;49315,47&lt;/valeur&gt;</v>
      </c>
    </row>
    <row r="5054" spans="1:1" x14ac:dyDescent="0.2">
      <c r="A5054" s="1135" t="str">
        <f>CONCATENATE(Programme!C5055,Programme!D5055,Programme!E5055,Programme!F5055,Programme!G5055,Programme!H5055,Programme!I5055)</f>
        <v>&lt;/ValeurCellule&gt;</v>
      </c>
    </row>
    <row r="5055" spans="1:1" x14ac:dyDescent="0.2">
      <c r="A5055" s="1135" t="str">
        <f>CONCATENATE(Programme!C5056,Programme!D5056,Programme!E5056,Programme!F5056,Programme!G5056,Programme!H5056,Programme!I5056)</f>
        <v>&lt;ValeurCellule&gt;</v>
      </c>
    </row>
    <row r="5056" spans="1:1" x14ac:dyDescent="0.2">
      <c r="A5056" s="1135" t="str">
        <f>CONCATENATE(Programme!C5057,Programme!D5057,Programme!E5057,Programme!F5057,Programme!G5057,Programme!H5057,Programme!I5057)</f>
        <v>&lt;cellule&gt;</v>
      </c>
    </row>
    <row r="5057" spans="1:1" x14ac:dyDescent="0.2">
      <c r="A5057" s="1135" t="str">
        <f>CONCATENATE(Programme!C5058,Programme!D5058,Programme!E5058,Programme!F5058,Programme!G5058,Programme!H5058,Programme!I5058)</f>
        <v>&lt;codeEdi&gt;1538&lt;/codeEdi&gt;</v>
      </c>
    </row>
    <row r="5058" spans="1:1" x14ac:dyDescent="0.2">
      <c r="A5058" s="1135" t="str">
        <f>CONCATENATE(Programme!C5059,Programme!D5059,Programme!E5059,Programme!F5059,Programme!G5059,Programme!H5059,Programme!I5059)</f>
        <v>&lt;/cellule&gt;</v>
      </c>
    </row>
    <row r="5059" spans="1:1" x14ac:dyDescent="0.2">
      <c r="A5059" s="1135" t="str">
        <f>CONCATENATE(Programme!C5060,Programme!D5060,Programme!E5060,Programme!F5060,Programme!G5060,Programme!H5060,Programme!I5060)</f>
        <v>&lt;valeur&gt;0&lt;/valeur&gt;</v>
      </c>
    </row>
    <row r="5060" spans="1:1" x14ac:dyDescent="0.2">
      <c r="A5060" s="1135" t="str">
        <f>CONCATENATE(Programme!C5061,Programme!D5061,Programme!E5061,Programme!F5061,Programme!G5061,Programme!H5061,Programme!I5061)</f>
        <v>&lt;/ValeurCellule&gt;</v>
      </c>
    </row>
    <row r="5061" spans="1:1" x14ac:dyDescent="0.2">
      <c r="A5061" s="1135" t="str">
        <f>CONCATENATE(Programme!C5062,Programme!D5062,Programme!E5062,Programme!F5062,Programme!G5062,Programme!H5062,Programme!I5062)</f>
        <v>&lt;ValeurCellule&gt;</v>
      </c>
    </row>
    <row r="5062" spans="1:1" x14ac:dyDescent="0.2">
      <c r="A5062" s="1135" t="str">
        <f>CONCATENATE(Programme!C5063,Programme!D5063,Programme!E5063,Programme!F5063,Programme!G5063,Programme!H5063,Programme!I5063)</f>
        <v>&lt;cellule&gt;</v>
      </c>
    </row>
    <row r="5063" spans="1:1" x14ac:dyDescent="0.2">
      <c r="A5063" s="1135" t="str">
        <f>CONCATENATE(Programme!C5064,Programme!D5064,Programme!E5064,Programme!F5064,Programme!G5064,Programme!H5064,Programme!I5064)</f>
        <v>&lt;codeEdi&gt;1539&lt;/codeEdi&gt;</v>
      </c>
    </row>
    <row r="5064" spans="1:1" x14ac:dyDescent="0.2">
      <c r="A5064" s="1135" t="str">
        <f>CONCATENATE(Programme!C5065,Programme!D5065,Programme!E5065,Programme!F5065,Programme!G5065,Programme!H5065,Programme!I5065)</f>
        <v>&lt;/cellule&gt;</v>
      </c>
    </row>
    <row r="5065" spans="1:1" x14ac:dyDescent="0.2">
      <c r="A5065" s="1135" t="str">
        <f>CONCATENATE(Programme!C5066,Programme!D5066,Programme!E5066,Programme!F5066,Programme!G5066,Programme!H5066,Programme!I5066)</f>
        <v>&lt;valeur&gt;0&lt;/valeur&gt;</v>
      </c>
    </row>
    <row r="5066" spans="1:1" x14ac:dyDescent="0.2">
      <c r="A5066" s="1135" t="str">
        <f>CONCATENATE(Programme!C5067,Programme!D5067,Programme!E5067,Programme!F5067,Programme!G5067,Programme!H5067,Programme!I5067)</f>
        <v>&lt;/ValeurCellule&gt;</v>
      </c>
    </row>
    <row r="5067" spans="1:1" x14ac:dyDescent="0.2">
      <c r="A5067" s="1135" t="str">
        <f>CONCATENATE(Programme!C5068,Programme!D5068,Programme!E5068,Programme!F5068,Programme!G5068,Programme!H5068,Programme!I5068)</f>
        <v>&lt;ValeurCellule&gt;</v>
      </c>
    </row>
    <row r="5068" spans="1:1" x14ac:dyDescent="0.2">
      <c r="A5068" s="1135" t="str">
        <f>CONCATENATE(Programme!C5069,Programme!D5069,Programme!E5069,Programme!F5069,Programme!G5069,Programme!H5069,Programme!I5069)</f>
        <v>&lt;cellule&gt;</v>
      </c>
    </row>
    <row r="5069" spans="1:1" x14ac:dyDescent="0.2">
      <c r="A5069" s="1135" t="str">
        <f>CONCATENATE(Programme!C5070,Programme!D5070,Programme!E5070,Programme!F5070,Programme!G5070,Programme!H5070,Programme!I5070)</f>
        <v>&lt;codeEdi&gt;1540&lt;/codeEdi&gt;</v>
      </c>
    </row>
    <row r="5070" spans="1:1" x14ac:dyDescent="0.2">
      <c r="A5070" s="1135" t="str">
        <f>CONCATENATE(Programme!C5071,Programme!D5071,Programme!E5071,Programme!F5071,Programme!G5071,Programme!H5071,Programme!I5071)</f>
        <v>&lt;/cellule&gt;</v>
      </c>
    </row>
    <row r="5071" spans="1:1" x14ac:dyDescent="0.2">
      <c r="A5071" s="1135" t="str">
        <f>CONCATENATE(Programme!C5072,Programme!D5072,Programme!E5072,Programme!F5072,Programme!G5072,Programme!H5072,Programme!I5072)</f>
        <v>&lt;valeur&gt;0&lt;/valeur&gt;</v>
      </c>
    </row>
    <row r="5072" spans="1:1" x14ac:dyDescent="0.2">
      <c r="A5072" s="1135" t="str">
        <f>CONCATENATE(Programme!C5073,Programme!D5073,Programme!E5073,Programme!F5073,Programme!G5073,Programme!H5073,Programme!I5073)</f>
        <v>&lt;/ValeurCellule&gt;</v>
      </c>
    </row>
    <row r="5073" spans="1:1" x14ac:dyDescent="0.2">
      <c r="A5073" s="1135" t="str">
        <f>CONCATENATE(Programme!C5074,Programme!D5074,Programme!E5074,Programme!F5074,Programme!G5074,Programme!H5074,Programme!I5074)</f>
        <v>&lt;ValeurCellule&gt;</v>
      </c>
    </row>
    <row r="5074" spans="1:1" x14ac:dyDescent="0.2">
      <c r="A5074" s="1135" t="str">
        <f>CONCATENATE(Programme!C5075,Programme!D5075,Programme!E5075,Programme!F5075,Programme!G5075,Programme!H5075,Programme!I5075)</f>
        <v>&lt;cellule&gt;</v>
      </c>
    </row>
    <row r="5075" spans="1:1" x14ac:dyDescent="0.2">
      <c r="A5075" s="1135" t="str">
        <f>CONCATENATE(Programme!C5076,Programme!D5076,Programme!E5076,Programme!F5076,Programme!G5076,Programme!H5076,Programme!I5076)</f>
        <v>&lt;codeEdi&gt;1541&lt;/codeEdi&gt;</v>
      </c>
    </row>
    <row r="5076" spans="1:1" x14ac:dyDescent="0.2">
      <c r="A5076" s="1135" t="str">
        <f>CONCATENATE(Programme!C5077,Programme!D5077,Programme!E5077,Programme!F5077,Programme!G5077,Programme!H5077,Programme!I5077)</f>
        <v>&lt;/cellule&gt;</v>
      </c>
    </row>
    <row r="5077" spans="1:1" x14ac:dyDescent="0.2">
      <c r="A5077" s="1135" t="str">
        <f>CONCATENATE(Programme!C5078,Programme!D5078,Programme!E5078,Programme!F5078,Programme!G5078,Programme!H5078,Programme!I5078)</f>
        <v>&lt;valeur&gt;0&lt;/valeur&gt;</v>
      </c>
    </row>
    <row r="5078" spans="1:1" x14ac:dyDescent="0.2">
      <c r="A5078" s="1135" t="str">
        <f>CONCATENATE(Programme!C5079,Programme!D5079,Programme!E5079,Programme!F5079,Programme!G5079,Programme!H5079,Programme!I5079)</f>
        <v>&lt;/ValeurCellule&gt;</v>
      </c>
    </row>
    <row r="5079" spans="1:1" x14ac:dyDescent="0.2">
      <c r="A5079" s="1135" t="str">
        <f>CONCATENATE(Programme!C5080,Programme!D5080,Programme!E5080,Programme!F5080,Programme!G5080,Programme!H5080,Programme!I5080)</f>
        <v>&lt;ValeurCellule&gt;</v>
      </c>
    </row>
    <row r="5080" spans="1:1" x14ac:dyDescent="0.2">
      <c r="A5080" s="1135" t="str">
        <f>CONCATENATE(Programme!C5081,Programme!D5081,Programme!E5081,Programme!F5081,Programme!G5081,Programme!H5081,Programme!I5081)</f>
        <v>&lt;cellule&gt;</v>
      </c>
    </row>
    <row r="5081" spans="1:1" x14ac:dyDescent="0.2">
      <c r="A5081" s="1135" t="str">
        <f>CONCATENATE(Programme!C5082,Programme!D5082,Programme!E5082,Programme!F5082,Programme!G5082,Programme!H5082,Programme!I5082)</f>
        <v>&lt;codeEdi&gt;1542&lt;/codeEdi&gt;</v>
      </c>
    </row>
    <row r="5082" spans="1:1" x14ac:dyDescent="0.2">
      <c r="A5082" s="1135" t="str">
        <f>CONCATENATE(Programme!C5083,Programme!D5083,Programme!E5083,Programme!F5083,Programme!G5083,Programme!H5083,Programme!I5083)</f>
        <v>&lt;/cellule&gt;</v>
      </c>
    </row>
    <row r="5083" spans="1:1" x14ac:dyDescent="0.2">
      <c r="A5083" s="1135" t="str">
        <f>CONCATENATE(Programme!C5084,Programme!D5084,Programme!E5084,Programme!F5084,Programme!G5084,Programme!H5084,Programme!I5084)</f>
        <v>&lt;valeur&gt;0&lt;/valeur&gt;</v>
      </c>
    </row>
    <row r="5084" spans="1:1" x14ac:dyDescent="0.2">
      <c r="A5084" s="1135" t="str">
        <f>CONCATENATE(Programme!C5085,Programme!D5085,Programme!E5085,Programme!F5085,Programme!G5085,Programme!H5085,Programme!I5085)</f>
        <v>&lt;/ValeurCellule&gt;</v>
      </c>
    </row>
    <row r="5085" spans="1:1" x14ac:dyDescent="0.2">
      <c r="A5085" s="1135" t="str">
        <f>CONCATENATE(Programme!C5086,Programme!D5086,Programme!E5086,Programme!F5086,Programme!G5086,Programme!H5086,Programme!I5086)</f>
        <v>&lt;ValeurCellule&gt;</v>
      </c>
    </row>
    <row r="5086" spans="1:1" x14ac:dyDescent="0.2">
      <c r="A5086" s="1135" t="str">
        <f>CONCATENATE(Programme!C5087,Programme!D5087,Programme!E5087,Programme!F5087,Programme!G5087,Programme!H5087,Programme!I5087)</f>
        <v>&lt;cellule&gt;</v>
      </c>
    </row>
    <row r="5087" spans="1:1" x14ac:dyDescent="0.2">
      <c r="A5087" s="1135" t="str">
        <f>CONCATENATE(Programme!C5088,Programme!D5088,Programme!E5088,Programme!F5088,Programme!G5088,Programme!H5088,Programme!I5088)</f>
        <v>&lt;codeEdi&gt;1543&lt;/codeEdi&gt;</v>
      </c>
    </row>
    <row r="5088" spans="1:1" x14ac:dyDescent="0.2">
      <c r="A5088" s="1135" t="str">
        <f>CONCATENATE(Programme!C5089,Programme!D5089,Programme!E5089,Programme!F5089,Programme!G5089,Programme!H5089,Programme!I5089)</f>
        <v>&lt;/cellule&gt;</v>
      </c>
    </row>
    <row r="5089" spans="1:1" x14ac:dyDescent="0.2">
      <c r="A5089" s="1135" t="str">
        <f>CONCATENATE(Programme!C5090,Programme!D5090,Programme!E5090,Programme!F5090,Programme!G5090,Programme!H5090,Programme!I5090)</f>
        <v>&lt;valeur&gt;10912,3&lt;/valeur&gt;</v>
      </c>
    </row>
    <row r="5090" spans="1:1" x14ac:dyDescent="0.2">
      <c r="A5090" s="1135" t="str">
        <f>CONCATENATE(Programme!C5091,Programme!D5091,Programme!E5091,Programme!F5091,Programme!G5091,Programme!H5091,Programme!I5091)</f>
        <v>&lt;/ValeurCellule&gt;</v>
      </c>
    </row>
    <row r="5091" spans="1:1" x14ac:dyDescent="0.2">
      <c r="A5091" s="1135" t="str">
        <f>CONCATENATE(Programme!C5092,Programme!D5092,Programme!E5092,Programme!F5092,Programme!G5092,Programme!H5092,Programme!I5092)</f>
        <v>&lt;ValeurCellule&gt;</v>
      </c>
    </row>
    <row r="5092" spans="1:1" x14ac:dyDescent="0.2">
      <c r="A5092" s="1135" t="str">
        <f>CONCATENATE(Programme!C5093,Programme!D5093,Programme!E5093,Programme!F5093,Programme!G5093,Programme!H5093,Programme!I5093)</f>
        <v>&lt;cellule&gt;</v>
      </c>
    </row>
    <row r="5093" spans="1:1" x14ac:dyDescent="0.2">
      <c r="A5093" s="1135" t="str">
        <f>CONCATENATE(Programme!C5094,Programme!D5094,Programme!E5094,Programme!F5094,Programme!G5094,Programme!H5094,Programme!I5094)</f>
        <v>&lt;codeEdi&gt;1544&lt;/codeEdi&gt;</v>
      </c>
    </row>
    <row r="5094" spans="1:1" x14ac:dyDescent="0.2">
      <c r="A5094" s="1135" t="str">
        <f>CONCATENATE(Programme!C5095,Programme!D5095,Programme!E5095,Programme!F5095,Programme!G5095,Programme!H5095,Programme!I5095)</f>
        <v>&lt;/cellule&gt;</v>
      </c>
    </row>
    <row r="5095" spans="1:1" x14ac:dyDescent="0.2">
      <c r="A5095" s="1135" t="str">
        <f>CONCATENATE(Programme!C5096,Programme!D5096,Programme!E5096,Programme!F5096,Programme!G5096,Programme!H5096,Programme!I5096)</f>
        <v>&lt;valeur&gt;78665,81&lt;/valeur&gt;</v>
      </c>
    </row>
    <row r="5096" spans="1:1" x14ac:dyDescent="0.2">
      <c r="A5096" s="1135" t="str">
        <f>CONCATENATE(Programme!C5097,Programme!D5097,Programme!E5097,Programme!F5097,Programme!G5097,Programme!H5097,Programme!I5097)</f>
        <v>&lt;/ValeurCellule&gt;</v>
      </c>
    </row>
    <row r="5097" spans="1:1" x14ac:dyDescent="0.2">
      <c r="A5097" s="1135" t="str">
        <f>CONCATENATE(Programme!C5098,Programme!D5098,Programme!E5098,Programme!F5098,Programme!G5098,Programme!H5098,Programme!I5098)</f>
        <v>&lt;ValeurCellule&gt;</v>
      </c>
    </row>
    <row r="5098" spans="1:1" x14ac:dyDescent="0.2">
      <c r="A5098" s="1135" t="str">
        <f>CONCATENATE(Programme!C5099,Programme!D5099,Programme!E5099,Programme!F5099,Programme!G5099,Programme!H5099,Programme!I5099)</f>
        <v>&lt;cellule&gt;</v>
      </c>
    </row>
    <row r="5099" spans="1:1" x14ac:dyDescent="0.2">
      <c r="A5099" s="1135" t="str">
        <f>CONCATENATE(Programme!C5100,Programme!D5100,Programme!E5100,Programme!F5100,Programme!G5100,Programme!H5100,Programme!I5100)</f>
        <v>&lt;codeEdi&gt;1545&lt;/codeEdi&gt;</v>
      </c>
    </row>
    <row r="5100" spans="1:1" x14ac:dyDescent="0.2">
      <c r="A5100" s="1135" t="str">
        <f>CONCATENATE(Programme!C5101,Programme!D5101,Programme!E5101,Programme!F5101,Programme!G5101,Programme!H5101,Programme!I5101)</f>
        <v>&lt;/cellule&gt;</v>
      </c>
    </row>
    <row r="5101" spans="1:1" x14ac:dyDescent="0.2">
      <c r="A5101" s="1135" t="str">
        <f>CONCATENATE(Programme!C5102,Programme!D5102,Programme!E5102,Programme!F5102,Programme!G5102,Programme!H5102,Programme!I5102)</f>
        <v>&lt;valeur&gt;&lt;/valeur&gt;</v>
      </c>
    </row>
    <row r="5102" spans="1:1" x14ac:dyDescent="0.2">
      <c r="A5102" s="1135" t="str">
        <f>CONCATENATE(Programme!C5103,Programme!D5103,Programme!E5103,Programme!F5103,Programme!G5103,Programme!H5103,Programme!I5103)</f>
        <v>&lt;/ValeurCellule&gt;</v>
      </c>
    </row>
    <row r="5103" spans="1:1" x14ac:dyDescent="0.2">
      <c r="A5103" s="1135" t="str">
        <f>CONCATENATE(Programme!C5104,Programme!D5104,Programme!E5104,Programme!F5104,Programme!G5104,Programme!H5104,Programme!I5104)</f>
        <v>&lt;ValeurCellule&gt;</v>
      </c>
    </row>
    <row r="5104" spans="1:1" x14ac:dyDescent="0.2">
      <c r="A5104" s="1135" t="str">
        <f>CONCATENATE(Programme!C5105,Programme!D5105,Programme!E5105,Programme!F5105,Programme!G5105,Programme!H5105,Programme!I5105)</f>
        <v>&lt;cellule&gt;</v>
      </c>
    </row>
    <row r="5105" spans="1:1" x14ac:dyDescent="0.2">
      <c r="A5105" s="1135" t="str">
        <f>CONCATENATE(Programme!C5106,Programme!D5106,Programme!E5106,Programme!F5106,Programme!G5106,Programme!H5106,Programme!I5106)</f>
        <v>&lt;codeEdi&gt;1546&lt;/codeEdi&gt;</v>
      </c>
    </row>
    <row r="5106" spans="1:1" x14ac:dyDescent="0.2">
      <c r="A5106" s="1135" t="str">
        <f>CONCATENATE(Programme!C5107,Programme!D5107,Programme!E5107,Programme!F5107,Programme!G5107,Programme!H5107,Programme!I5107)</f>
        <v>&lt;/cellule&gt;</v>
      </c>
    </row>
    <row r="5107" spans="1:1" x14ac:dyDescent="0.2">
      <c r="A5107" s="1135" t="str">
        <f>CONCATENATE(Programme!C5108,Programme!D5108,Programme!E5108,Programme!F5108,Programme!G5108,Programme!H5108,Programme!I5108)</f>
        <v>&lt;valeur&gt;28731&lt;/valeur&gt;</v>
      </c>
    </row>
    <row r="5108" spans="1:1" x14ac:dyDescent="0.2">
      <c r="A5108" s="1135" t="str">
        <f>CONCATENATE(Programme!C5109,Programme!D5109,Programme!E5109,Programme!F5109,Programme!G5109,Programme!H5109,Programme!I5109)</f>
        <v>&lt;/ValeurCellule&gt;</v>
      </c>
    </row>
    <row r="5109" spans="1:1" x14ac:dyDescent="0.2">
      <c r="A5109" s="1135" t="str">
        <f>CONCATENATE(Programme!C5110,Programme!D5110,Programme!E5110,Programme!F5110,Programme!G5110,Programme!H5110,Programme!I5110)</f>
        <v>&lt;ValeurCellule&gt;</v>
      </c>
    </row>
    <row r="5110" spans="1:1" x14ac:dyDescent="0.2">
      <c r="A5110" s="1135" t="str">
        <f>CONCATENATE(Programme!C5111,Programme!D5111,Programme!E5111,Programme!F5111,Programme!G5111,Programme!H5111,Programme!I5111)</f>
        <v>&lt;cellule&gt;</v>
      </c>
    </row>
    <row r="5111" spans="1:1" x14ac:dyDescent="0.2">
      <c r="A5111" s="1135" t="str">
        <f>CONCATENATE(Programme!C5112,Programme!D5112,Programme!E5112,Programme!F5112,Programme!G5112,Programme!H5112,Programme!I5112)</f>
        <v>&lt;codeEdi&gt;1547&lt;/codeEdi&gt;</v>
      </c>
    </row>
    <row r="5112" spans="1:1" x14ac:dyDescent="0.2">
      <c r="A5112" s="1135" t="str">
        <f>CONCATENATE(Programme!C5113,Programme!D5113,Programme!E5113,Programme!F5113,Programme!G5113,Programme!H5113,Programme!I5113)</f>
        <v>&lt;/cellule&gt;</v>
      </c>
    </row>
    <row r="5113" spans="1:1" x14ac:dyDescent="0.2">
      <c r="A5113" s="1135" t="str">
        <f>CONCATENATE(Programme!C5114,Programme!D5114,Programme!E5114,Programme!F5114,Programme!G5114,Programme!H5114,Programme!I5114)</f>
        <v>&lt;valeur&gt;5445,55&lt;/valeur&gt;</v>
      </c>
    </row>
    <row r="5114" spans="1:1" x14ac:dyDescent="0.2">
      <c r="A5114" s="1135" t="str">
        <f>CONCATENATE(Programme!C5115,Programme!D5115,Programme!E5115,Programme!F5115,Programme!G5115,Programme!H5115,Programme!I5115)</f>
        <v>&lt;/ValeurCellule&gt;</v>
      </c>
    </row>
    <row r="5115" spans="1:1" x14ac:dyDescent="0.2">
      <c r="A5115" s="1135" t="str">
        <f>CONCATENATE(Programme!C5116,Programme!D5116,Programme!E5116,Programme!F5116,Programme!G5116,Programme!H5116,Programme!I5116)</f>
        <v>&lt;ValeurCellule&gt;</v>
      </c>
    </row>
    <row r="5116" spans="1:1" x14ac:dyDescent="0.2">
      <c r="A5116" s="1135" t="str">
        <f>CONCATENATE(Programme!C5117,Programme!D5117,Programme!E5117,Programme!F5117,Programme!G5117,Programme!H5117,Programme!I5117)</f>
        <v>&lt;cellule&gt;</v>
      </c>
    </row>
    <row r="5117" spans="1:1" x14ac:dyDescent="0.2">
      <c r="A5117" s="1135" t="str">
        <f>CONCATENATE(Programme!C5118,Programme!D5118,Programme!E5118,Programme!F5118,Programme!G5118,Programme!H5118,Programme!I5118)</f>
        <v>&lt;codeEdi&gt;1548&lt;/codeEdi&gt;</v>
      </c>
    </row>
    <row r="5118" spans="1:1" x14ac:dyDescent="0.2">
      <c r="A5118" s="1135" t="str">
        <f>CONCATENATE(Programme!C5119,Programme!D5119,Programme!E5119,Programme!F5119,Programme!G5119,Programme!H5119,Programme!I5119)</f>
        <v>&lt;/cellule&gt;</v>
      </c>
    </row>
    <row r="5119" spans="1:1" x14ac:dyDescent="0.2">
      <c r="A5119" s="1135" t="str">
        <f>CONCATENATE(Programme!C5120,Programme!D5120,Programme!E5120,Programme!F5120,Programme!G5120,Programme!H5120,Programme!I5120)</f>
        <v>&lt;valeur&gt;0&lt;/valeur&gt;</v>
      </c>
    </row>
    <row r="5120" spans="1:1" x14ac:dyDescent="0.2">
      <c r="A5120" s="1135" t="str">
        <f>CONCATENATE(Programme!C5121,Programme!D5121,Programme!E5121,Programme!F5121,Programme!G5121,Programme!H5121,Programme!I5121)</f>
        <v>&lt;/ValeurCellule&gt;</v>
      </c>
    </row>
    <row r="5121" spans="1:1" x14ac:dyDescent="0.2">
      <c r="A5121" s="1135" t="str">
        <f>CONCATENATE(Programme!C5122,Programme!D5122,Programme!E5122,Programme!F5122,Programme!G5122,Programme!H5122,Programme!I5122)</f>
        <v>&lt;ValeurCellule&gt;</v>
      </c>
    </row>
    <row r="5122" spans="1:1" x14ac:dyDescent="0.2">
      <c r="A5122" s="1135" t="str">
        <f>CONCATENATE(Programme!C5123,Programme!D5123,Programme!E5123,Programme!F5123,Programme!G5123,Programme!H5123,Programme!I5123)</f>
        <v>&lt;cellule&gt;</v>
      </c>
    </row>
    <row r="5123" spans="1:1" x14ac:dyDescent="0.2">
      <c r="A5123" s="1135" t="str">
        <f>CONCATENATE(Programme!C5124,Programme!D5124,Programme!E5124,Programme!F5124,Programme!G5124,Programme!H5124,Programme!I5124)</f>
        <v>&lt;codeEdi&gt;1549&lt;/codeEdi&gt;</v>
      </c>
    </row>
    <row r="5124" spans="1:1" x14ac:dyDescent="0.2">
      <c r="A5124" s="1135" t="str">
        <f>CONCATENATE(Programme!C5125,Programme!D5125,Programme!E5125,Programme!F5125,Programme!G5125,Programme!H5125,Programme!I5125)</f>
        <v>&lt;/cellule&gt;</v>
      </c>
    </row>
    <row r="5125" spans="1:1" x14ac:dyDescent="0.2">
      <c r="A5125" s="1135" t="str">
        <f>CONCATENATE(Programme!C5126,Programme!D5126,Programme!E5126,Programme!F5126,Programme!G5126,Programme!H5126,Programme!I5126)</f>
        <v>&lt;valeur&gt;34176,55&lt;/valeur&gt;</v>
      </c>
    </row>
    <row r="5126" spans="1:1" x14ac:dyDescent="0.2">
      <c r="A5126" s="1135" t="str">
        <f>CONCATENATE(Programme!C5127,Programme!D5127,Programme!E5127,Programme!F5127,Programme!G5127,Programme!H5127,Programme!I5127)</f>
        <v>&lt;/ValeurCellule&gt;</v>
      </c>
    </row>
    <row r="5127" spans="1:1" x14ac:dyDescent="0.2">
      <c r="A5127" s="1135" t="str">
        <f>CONCATENATE(Programme!C5128,Programme!D5128,Programme!E5128,Programme!F5128,Programme!G5128,Programme!H5128,Programme!I5128)</f>
        <v>&lt;ValeurCellule&gt;</v>
      </c>
    </row>
    <row r="5128" spans="1:1" x14ac:dyDescent="0.2">
      <c r="A5128" s="1135" t="str">
        <f>CONCATENATE(Programme!C5129,Programme!D5129,Programme!E5129,Programme!F5129,Programme!G5129,Programme!H5129,Programme!I5129)</f>
        <v>&lt;cellule&gt;</v>
      </c>
    </row>
    <row r="5129" spans="1:1" x14ac:dyDescent="0.2">
      <c r="A5129" s="1135" t="str">
        <f>CONCATENATE(Programme!C5130,Programme!D5130,Programme!E5130,Programme!F5130,Programme!G5130,Programme!H5130,Programme!I5130)</f>
        <v>&lt;codeEdi&gt;1552&lt;/codeEdi&gt;</v>
      </c>
    </row>
    <row r="5130" spans="1:1" x14ac:dyDescent="0.2">
      <c r="A5130" s="1135" t="str">
        <f>CONCATENATE(Programme!C5131,Programme!D5131,Programme!E5131,Programme!F5131,Programme!G5131,Programme!H5131,Programme!I5131)</f>
        <v>&lt;/cellule&gt;</v>
      </c>
    </row>
    <row r="5131" spans="1:1" x14ac:dyDescent="0.2">
      <c r="A5131" s="1135" t="str">
        <f>CONCATENATE(Programme!C5132,Programme!D5132,Programme!E5132,Programme!F5132,Programme!G5132,Programme!H5132,Programme!I5132)</f>
        <v>&lt;valeur&gt;0&lt;/valeur&gt;</v>
      </c>
    </row>
    <row r="5132" spans="1:1" x14ac:dyDescent="0.2">
      <c r="A5132" s="1135" t="str">
        <f>CONCATENATE(Programme!C5133,Programme!D5133,Programme!E5133,Programme!F5133,Programme!G5133,Programme!H5133,Programme!I5133)</f>
        <v>&lt;/ValeurCellule&gt;</v>
      </c>
    </row>
    <row r="5133" spans="1:1" x14ac:dyDescent="0.2">
      <c r="A5133" s="1135" t="str">
        <f>CONCATENATE(Programme!C5134,Programme!D5134,Programme!E5134,Programme!F5134,Programme!G5134,Programme!H5134,Programme!I5134)</f>
        <v>&lt;ValeurCellule&gt;</v>
      </c>
    </row>
    <row r="5134" spans="1:1" x14ac:dyDescent="0.2">
      <c r="A5134" s="1135" t="str">
        <f>CONCATENATE(Programme!C5135,Programme!D5135,Programme!E5135,Programme!F5135,Programme!G5135,Programme!H5135,Programme!I5135)</f>
        <v>&lt;cellule&gt;</v>
      </c>
    </row>
    <row r="5135" spans="1:1" x14ac:dyDescent="0.2">
      <c r="A5135" s="1135" t="str">
        <f>CONCATENATE(Programme!C5136,Programme!D5136,Programme!E5136,Programme!F5136,Programme!G5136,Programme!H5136,Programme!I5136)</f>
        <v>&lt;codeEdi&gt;1553&lt;/codeEdi&gt;</v>
      </c>
    </row>
    <row r="5136" spans="1:1" x14ac:dyDescent="0.2">
      <c r="A5136" s="1135" t="str">
        <f>CONCATENATE(Programme!C5137,Programme!D5137,Programme!E5137,Programme!F5137,Programme!G5137,Programme!H5137,Programme!I5137)</f>
        <v>&lt;/cellule&gt;</v>
      </c>
    </row>
    <row r="5137" spans="1:1" x14ac:dyDescent="0.2">
      <c r="A5137" s="1135" t="str">
        <f>CONCATENATE(Programme!C5138,Programme!D5138,Programme!E5138,Programme!F5138,Programme!G5138,Programme!H5138,Programme!I5138)</f>
        <v>&lt;valeur&gt;0&lt;/valeur&gt;</v>
      </c>
    </row>
    <row r="5138" spans="1:1" x14ac:dyDescent="0.2">
      <c r="A5138" s="1135" t="str">
        <f>CONCATENATE(Programme!C5139,Programme!D5139,Programme!E5139,Programme!F5139,Programme!G5139,Programme!H5139,Programme!I5139)</f>
        <v>&lt;/ValeurCellule&gt;</v>
      </c>
    </row>
    <row r="5139" spans="1:1" x14ac:dyDescent="0.2">
      <c r="A5139" s="1135" t="str">
        <f>CONCATENATE(Programme!C5140,Programme!D5140,Programme!E5140,Programme!F5140,Programme!G5140,Programme!H5140,Programme!I5140)</f>
        <v>&lt;ValeurCellule&gt;</v>
      </c>
    </row>
    <row r="5140" spans="1:1" x14ac:dyDescent="0.2">
      <c r="A5140" s="1135" t="str">
        <f>CONCATENATE(Programme!C5141,Programme!D5141,Programme!E5141,Programme!F5141,Programme!G5141,Programme!H5141,Programme!I5141)</f>
        <v>&lt;cellule&gt;</v>
      </c>
    </row>
    <row r="5141" spans="1:1" x14ac:dyDescent="0.2">
      <c r="A5141" s="1135" t="str">
        <f>CONCATENATE(Programme!C5142,Programme!D5142,Programme!E5142,Programme!F5142,Programme!G5142,Programme!H5142,Programme!I5142)</f>
        <v>&lt;codeEdi&gt;1550&lt;/codeEdi&gt;</v>
      </c>
    </row>
    <row r="5142" spans="1:1" x14ac:dyDescent="0.2">
      <c r="A5142" s="1135" t="str">
        <f>CONCATENATE(Programme!C5143,Programme!D5143,Programme!E5143,Programme!F5143,Programme!G5143,Programme!H5143,Programme!I5143)</f>
        <v>&lt;/cellule&gt;</v>
      </c>
    </row>
    <row r="5143" spans="1:1" x14ac:dyDescent="0.2">
      <c r="A5143" s="1135" t="str">
        <f>CONCATENATE(Programme!C5144,Programme!D5144,Programme!E5144,Programme!F5144,Programme!G5144,Programme!H5144,Programme!I5144)</f>
        <v>&lt;valeur&gt;&lt;/valeur&gt;</v>
      </c>
    </row>
    <row r="5144" spans="1:1" x14ac:dyDescent="0.2">
      <c r="A5144" s="1135" t="str">
        <f>CONCATENATE(Programme!C5145,Programme!D5145,Programme!E5145,Programme!F5145,Programme!G5145,Programme!H5145,Programme!I5145)</f>
        <v>&lt;/ValeurCellule&gt;</v>
      </c>
    </row>
    <row r="5145" spans="1:1" x14ac:dyDescent="0.2">
      <c r="A5145" s="1135" t="str">
        <f>CONCATENATE(Programme!C5146,Programme!D5146,Programme!E5146,Programme!F5146,Programme!G5146,Programme!H5146,Programme!I5146)</f>
        <v>&lt;ValeurCellule&gt;</v>
      </c>
    </row>
    <row r="5146" spans="1:1" x14ac:dyDescent="0.2">
      <c r="A5146" s="1135" t="str">
        <f>CONCATENATE(Programme!C5147,Programme!D5147,Programme!E5147,Programme!F5147,Programme!G5147,Programme!H5147,Programme!I5147)</f>
        <v>&lt;cellule&gt;</v>
      </c>
    </row>
    <row r="5147" spans="1:1" x14ac:dyDescent="0.2">
      <c r="A5147" s="1135" t="str">
        <f>CONCATENATE(Programme!C5148,Programme!D5148,Programme!E5148,Programme!F5148,Programme!G5148,Programme!H5148,Programme!I5148)</f>
        <v>&lt;codeEdi&gt;1551&lt;/codeEdi&gt;</v>
      </c>
    </row>
    <row r="5148" spans="1:1" x14ac:dyDescent="0.2">
      <c r="A5148" s="1135" t="str">
        <f>CONCATENATE(Programme!C5149,Programme!D5149,Programme!E5149,Programme!F5149,Programme!G5149,Programme!H5149,Programme!I5149)</f>
        <v>&lt;/cellule&gt;</v>
      </c>
    </row>
    <row r="5149" spans="1:1" x14ac:dyDescent="0.2">
      <c r="A5149" s="1135" t="str">
        <f>CONCATENATE(Programme!C5150,Programme!D5150,Programme!E5150,Programme!F5150,Programme!G5150,Programme!H5150,Programme!I5150)</f>
        <v>&lt;valeur&gt;0&lt;/valeur&gt;</v>
      </c>
    </row>
    <row r="5150" spans="1:1" x14ac:dyDescent="0.2">
      <c r="A5150" s="1135" t="str">
        <f>CONCATENATE(Programme!C5151,Programme!D5151,Programme!E5151,Programme!F5151,Programme!G5151,Programme!H5151,Programme!I5151)</f>
        <v>&lt;/ValeurCellule&gt;</v>
      </c>
    </row>
    <row r="5151" spans="1:1" x14ac:dyDescent="0.2">
      <c r="A5151" s="1135" t="str">
        <f>CONCATENATE(Programme!C5152,Programme!D5152,Programme!E5152,Programme!F5152,Programme!G5152,Programme!H5152,Programme!I5152)</f>
        <v>&lt;ValeurCellule&gt;</v>
      </c>
    </row>
    <row r="5152" spans="1:1" x14ac:dyDescent="0.2">
      <c r="A5152" s="1135" t="str">
        <f>CONCATENATE(Programme!C5153,Programme!D5153,Programme!E5153,Programme!F5153,Programme!G5153,Programme!H5153,Programme!I5153)</f>
        <v>&lt;cellule&gt;</v>
      </c>
    </row>
    <row r="5153" spans="1:1" x14ac:dyDescent="0.2">
      <c r="A5153" s="1135" t="str">
        <f>CONCATENATE(Programme!C5154,Programme!D5154,Programme!E5154,Programme!F5154,Programme!G5154,Programme!H5154,Programme!I5154)</f>
        <v>&lt;codeEdi&gt;1733&lt;/codeEdi&gt;</v>
      </c>
    </row>
    <row r="5154" spans="1:1" x14ac:dyDescent="0.2">
      <c r="A5154" s="1135" t="str">
        <f>CONCATENATE(Programme!C5155,Programme!D5155,Programme!E5155,Programme!F5155,Programme!G5155,Programme!H5155,Programme!I5155)</f>
        <v>&lt;/cellule&gt;</v>
      </c>
    </row>
    <row r="5155" spans="1:1" x14ac:dyDescent="0.2">
      <c r="A5155" s="1135" t="str">
        <f>CONCATENATE(Programme!C5156,Programme!D5156,Programme!E5156,Programme!F5156,Programme!G5156,Programme!H5156,Programme!I5156)</f>
        <v>&lt;valeur&gt;0&lt;/valeur&gt;</v>
      </c>
    </row>
    <row r="5156" spans="1:1" x14ac:dyDescent="0.2">
      <c r="A5156" s="1135" t="str">
        <f>CONCATENATE(Programme!C5157,Programme!D5157,Programme!E5157,Programme!F5157,Programme!G5157,Programme!H5157,Programme!I5157)</f>
        <v>&lt;/ValeurCellule&gt;</v>
      </c>
    </row>
    <row r="5157" spans="1:1" x14ac:dyDescent="0.2">
      <c r="A5157" s="1135" t="str">
        <f>CONCATENATE(Programme!C5158,Programme!D5158,Programme!E5158,Programme!F5158,Programme!G5158,Programme!H5158,Programme!I5158)</f>
        <v>&lt;ValeurCellule&gt;</v>
      </c>
    </row>
    <row r="5158" spans="1:1" x14ac:dyDescent="0.2">
      <c r="A5158" s="1135" t="str">
        <f>CONCATENATE(Programme!C5159,Programme!D5159,Programme!E5159,Programme!F5159,Programme!G5159,Programme!H5159,Programme!I5159)</f>
        <v>&lt;cellule&gt;</v>
      </c>
    </row>
    <row r="5159" spans="1:1" x14ac:dyDescent="0.2">
      <c r="A5159" s="1135" t="str">
        <f>CONCATENATE(Programme!C5160,Programme!D5160,Programme!E5160,Programme!F5160,Programme!G5160,Programme!H5160,Programme!I5160)</f>
        <v>&lt;codeEdi&gt;1562&lt;/codeEdi&gt;</v>
      </c>
    </row>
    <row r="5160" spans="1:1" x14ac:dyDescent="0.2">
      <c r="A5160" s="1135" t="str">
        <f>CONCATENATE(Programme!C5161,Programme!D5161,Programme!E5161,Programme!F5161,Programme!G5161,Programme!H5161,Programme!I5161)</f>
        <v>&lt;/cellule&gt;</v>
      </c>
    </row>
    <row r="5161" spans="1:1" x14ac:dyDescent="0.2">
      <c r="A5161" s="1135" t="str">
        <f>CONCATENATE(Programme!C5162,Programme!D5162,Programme!E5162,Programme!F5162,Programme!G5162,Programme!H5162,Programme!I5162)</f>
        <v>&lt;valeur&gt;&lt;/valeur&gt;</v>
      </c>
    </row>
    <row r="5162" spans="1:1" x14ac:dyDescent="0.2">
      <c r="A5162" s="1135" t="str">
        <f>CONCATENATE(Programme!C5163,Programme!D5163,Programme!E5163,Programme!F5163,Programme!G5163,Programme!H5163,Programme!I5163)</f>
        <v>&lt;/ValeurCellule&gt;</v>
      </c>
    </row>
    <row r="5163" spans="1:1" x14ac:dyDescent="0.2">
      <c r="A5163" s="1135" t="str">
        <f>CONCATENATE(Programme!C5164,Programme!D5164,Programme!E5164,Programme!F5164,Programme!G5164,Programme!H5164,Programme!I5164)</f>
        <v>&lt;ValeurCellule&gt;</v>
      </c>
    </row>
    <row r="5164" spans="1:1" x14ac:dyDescent="0.2">
      <c r="A5164" s="1135" t="str">
        <f>CONCATENATE(Programme!C5165,Programme!D5165,Programme!E5165,Programme!F5165,Programme!G5165,Programme!H5165,Programme!I5165)</f>
        <v>&lt;cellule&gt;</v>
      </c>
    </row>
    <row r="5165" spans="1:1" x14ac:dyDescent="0.2">
      <c r="A5165" s="1135" t="str">
        <f>CONCATENATE(Programme!C5166,Programme!D5166,Programme!E5166,Programme!F5166,Programme!G5166,Programme!H5166,Programme!I5166)</f>
        <v>&lt;codeEdi&gt;1563&lt;/codeEdi&gt;</v>
      </c>
    </row>
    <row r="5166" spans="1:1" x14ac:dyDescent="0.2">
      <c r="A5166" s="1135" t="str">
        <f>CONCATENATE(Programme!C5167,Programme!D5167,Programme!E5167,Programme!F5167,Programme!G5167,Programme!H5167,Programme!I5167)</f>
        <v>&lt;/cellule&gt;</v>
      </c>
    </row>
    <row r="5167" spans="1:1" x14ac:dyDescent="0.2">
      <c r="A5167" s="1135" t="str">
        <f>CONCATENATE(Programme!C5168,Programme!D5168,Programme!E5168,Programme!F5168,Programme!G5168,Programme!H5168,Programme!I5168)</f>
        <v>&lt;valeur&gt;0&lt;/valeur&gt;</v>
      </c>
    </row>
    <row r="5168" spans="1:1" x14ac:dyDescent="0.2">
      <c r="A5168" s="1135" t="str">
        <f>CONCATENATE(Programme!C5169,Programme!D5169,Programme!E5169,Programme!F5169,Programme!G5169,Programme!H5169,Programme!I5169)</f>
        <v>&lt;/ValeurCellule&gt;</v>
      </c>
    </row>
    <row r="5169" spans="1:1" x14ac:dyDescent="0.2">
      <c r="A5169" s="1135" t="str">
        <f>CONCATENATE(Programme!C5170,Programme!D5170,Programme!E5170,Programme!F5170,Programme!G5170,Programme!H5170,Programme!I5170)</f>
        <v>&lt;ValeurCellule&gt;</v>
      </c>
    </row>
    <row r="5170" spans="1:1" x14ac:dyDescent="0.2">
      <c r="A5170" s="1135" t="str">
        <f>CONCATENATE(Programme!C5171,Programme!D5171,Programme!E5171,Programme!F5171,Programme!G5171,Programme!H5171,Programme!I5171)</f>
        <v>&lt;cellule&gt;</v>
      </c>
    </row>
    <row r="5171" spans="1:1" x14ac:dyDescent="0.2">
      <c r="A5171" s="1135" t="str">
        <f>CONCATENATE(Programme!C5172,Programme!D5172,Programme!E5172,Programme!F5172,Programme!G5172,Programme!H5172,Programme!I5172)</f>
        <v>&lt;codeEdi&gt;1564&lt;/codeEdi&gt;</v>
      </c>
    </row>
    <row r="5172" spans="1:1" x14ac:dyDescent="0.2">
      <c r="A5172" s="1135" t="str">
        <f>CONCATENATE(Programme!C5173,Programme!D5173,Programme!E5173,Programme!F5173,Programme!G5173,Programme!H5173,Programme!I5173)</f>
        <v>&lt;/cellule&gt;</v>
      </c>
    </row>
    <row r="5173" spans="1:1" x14ac:dyDescent="0.2">
      <c r="A5173" s="1135" t="str">
        <f>CONCATENATE(Programme!C5174,Programme!D5174,Programme!E5174,Programme!F5174,Programme!G5174,Programme!H5174,Programme!I5174)</f>
        <v>&lt;valeur&gt;0&lt;/valeur&gt;</v>
      </c>
    </row>
    <row r="5174" spans="1:1" x14ac:dyDescent="0.2">
      <c r="A5174" s="1135" t="str">
        <f>CONCATENATE(Programme!C5175,Programme!D5175,Programme!E5175,Programme!F5175,Programme!G5175,Programme!H5175,Programme!I5175)</f>
        <v>&lt;/ValeurCellule&gt;</v>
      </c>
    </row>
    <row r="5175" spans="1:1" x14ac:dyDescent="0.2">
      <c r="A5175" s="1135" t="str">
        <f>CONCATENATE(Programme!C5176,Programme!D5176,Programme!E5176,Programme!F5176,Programme!G5176,Programme!H5176,Programme!I5176)</f>
        <v>&lt;ValeurCellule&gt;</v>
      </c>
    </row>
    <row r="5176" spans="1:1" x14ac:dyDescent="0.2">
      <c r="A5176" s="1135" t="str">
        <f>CONCATENATE(Programme!C5177,Programme!D5177,Programme!E5177,Programme!F5177,Programme!G5177,Programme!H5177,Programme!I5177)</f>
        <v>&lt;cellule&gt;</v>
      </c>
    </row>
    <row r="5177" spans="1:1" x14ac:dyDescent="0.2">
      <c r="A5177" s="1135" t="str">
        <f>CONCATENATE(Programme!C5178,Programme!D5178,Programme!E5178,Programme!F5178,Programme!G5178,Programme!H5178,Programme!I5178)</f>
        <v>&lt;codeEdi&gt;1565&lt;/codeEdi&gt;</v>
      </c>
    </row>
    <row r="5178" spans="1:1" x14ac:dyDescent="0.2">
      <c r="A5178" s="1135" t="str">
        <f>CONCATENATE(Programme!C5179,Programme!D5179,Programme!E5179,Programme!F5179,Programme!G5179,Programme!H5179,Programme!I5179)</f>
        <v>&lt;/cellule&gt;</v>
      </c>
    </row>
    <row r="5179" spans="1:1" x14ac:dyDescent="0.2">
      <c r="A5179" s="1135" t="str">
        <f>CONCATENATE(Programme!C5180,Programme!D5180,Programme!E5180,Programme!F5180,Programme!G5180,Programme!H5180,Programme!I5180)</f>
        <v>&lt;valeur&gt;0&lt;/valeur&gt;</v>
      </c>
    </row>
    <row r="5180" spans="1:1" x14ac:dyDescent="0.2">
      <c r="A5180" s="1135" t="str">
        <f>CONCATENATE(Programme!C5181,Programme!D5181,Programme!E5181,Programme!F5181,Programme!G5181,Programme!H5181,Programme!I5181)</f>
        <v>&lt;/ValeurCellule&gt;</v>
      </c>
    </row>
    <row r="5181" spans="1:1" x14ac:dyDescent="0.2">
      <c r="A5181" s="1135" t="str">
        <f>CONCATENATE(Programme!C5182,Programme!D5182,Programme!E5182,Programme!F5182,Programme!G5182,Programme!H5182,Programme!I5182)</f>
        <v>&lt;ValeurCellule&gt;</v>
      </c>
    </row>
    <row r="5182" spans="1:1" x14ac:dyDescent="0.2">
      <c r="A5182" s="1135" t="str">
        <f>CONCATENATE(Programme!C5183,Programme!D5183,Programme!E5183,Programme!F5183,Programme!G5183,Programme!H5183,Programme!I5183)</f>
        <v>&lt;cellule&gt;</v>
      </c>
    </row>
    <row r="5183" spans="1:1" x14ac:dyDescent="0.2">
      <c r="A5183" s="1135" t="str">
        <f>CONCATENATE(Programme!C5184,Programme!D5184,Programme!E5184,Programme!F5184,Programme!G5184,Programme!H5184,Programme!I5184)</f>
        <v>&lt;codeEdi&gt;1566&lt;/codeEdi&gt;</v>
      </c>
    </row>
    <row r="5184" spans="1:1" x14ac:dyDescent="0.2">
      <c r="A5184" s="1135" t="str">
        <f>CONCATENATE(Programme!C5185,Programme!D5185,Programme!E5185,Programme!F5185,Programme!G5185,Programme!H5185,Programme!I5185)</f>
        <v>&lt;/cellule&gt;</v>
      </c>
    </row>
    <row r="5185" spans="1:1" x14ac:dyDescent="0.2">
      <c r="A5185" s="1135" t="str">
        <f>CONCATENATE(Programme!C5186,Programme!D5186,Programme!E5186,Programme!F5186,Programme!G5186,Programme!H5186,Programme!I5186)</f>
        <v>&lt;valeur&gt;&lt;/valeur&gt;</v>
      </c>
    </row>
    <row r="5186" spans="1:1" x14ac:dyDescent="0.2">
      <c r="A5186" s="1135" t="str">
        <f>CONCATENATE(Programme!C5187,Programme!D5187,Programme!E5187,Programme!F5187,Programme!G5187,Programme!H5187,Programme!I5187)</f>
        <v>&lt;/ValeurCellule&gt;</v>
      </c>
    </row>
    <row r="5187" spans="1:1" x14ac:dyDescent="0.2">
      <c r="A5187" s="1135" t="str">
        <f>CONCATENATE(Programme!C5188,Programme!D5188,Programme!E5188,Programme!F5188,Programme!G5188,Programme!H5188,Programme!I5188)</f>
        <v>&lt;ValeurCellule&gt;</v>
      </c>
    </row>
    <row r="5188" spans="1:1" x14ac:dyDescent="0.2">
      <c r="A5188" s="1135" t="str">
        <f>CONCATENATE(Programme!C5189,Programme!D5189,Programme!E5189,Programme!F5189,Programme!G5189,Programme!H5189,Programme!I5189)</f>
        <v>&lt;cellule&gt;</v>
      </c>
    </row>
    <row r="5189" spans="1:1" x14ac:dyDescent="0.2">
      <c r="A5189" s="1135" t="str">
        <f>CONCATENATE(Programme!C5190,Programme!D5190,Programme!E5190,Programme!F5190,Programme!G5190,Programme!H5190,Programme!I5190)</f>
        <v>&lt;codeEdi&gt;1567&lt;/codeEdi&gt;</v>
      </c>
    </row>
    <row r="5190" spans="1:1" x14ac:dyDescent="0.2">
      <c r="A5190" s="1135" t="str">
        <f>CONCATENATE(Programme!C5191,Programme!D5191,Programme!E5191,Programme!F5191,Programme!G5191,Programme!H5191,Programme!I5191)</f>
        <v>&lt;/cellule&gt;</v>
      </c>
    </row>
    <row r="5191" spans="1:1" x14ac:dyDescent="0.2">
      <c r="A5191" s="1135" t="str">
        <f>CONCATENATE(Programme!C5192,Programme!D5192,Programme!E5192,Programme!F5192,Programme!G5192,Programme!H5192,Programme!I5192)</f>
        <v>&lt;valeur&gt;0&lt;/valeur&gt;</v>
      </c>
    </row>
    <row r="5192" spans="1:1" x14ac:dyDescent="0.2">
      <c r="A5192" s="1135" t="str">
        <f>CONCATENATE(Programme!C5193,Programme!D5193,Programme!E5193,Programme!F5193,Programme!G5193,Programme!H5193,Programme!I5193)</f>
        <v>&lt;/ValeurCellule&gt;</v>
      </c>
    </row>
    <row r="5193" spans="1:1" x14ac:dyDescent="0.2">
      <c r="A5193" s="1135" t="str">
        <f>CONCATENATE(Programme!C5194,Programme!D5194,Programme!E5194,Programme!F5194,Programme!G5194,Programme!H5194,Programme!I5194)</f>
        <v>&lt;ValeurCellule&gt;</v>
      </c>
    </row>
    <row r="5194" spans="1:1" x14ac:dyDescent="0.2">
      <c r="A5194" s="1135" t="str">
        <f>CONCATENATE(Programme!C5195,Programme!D5195,Programme!E5195,Programme!F5195,Programme!G5195,Programme!H5195,Programme!I5195)</f>
        <v>&lt;cellule&gt;</v>
      </c>
    </row>
    <row r="5195" spans="1:1" x14ac:dyDescent="0.2">
      <c r="A5195" s="1135" t="str">
        <f>CONCATENATE(Programme!C5196,Programme!D5196,Programme!E5196,Programme!F5196,Programme!G5196,Programme!H5196,Programme!I5196)</f>
        <v>&lt;codeEdi&gt;1568&lt;/codeEdi&gt;</v>
      </c>
    </row>
    <row r="5196" spans="1:1" x14ac:dyDescent="0.2">
      <c r="A5196" s="1135" t="str">
        <f>CONCATENATE(Programme!C5197,Programme!D5197,Programme!E5197,Programme!F5197,Programme!G5197,Programme!H5197,Programme!I5197)</f>
        <v>&lt;/cellule&gt;</v>
      </c>
    </row>
    <row r="5197" spans="1:1" x14ac:dyDescent="0.2">
      <c r="A5197" s="1135" t="str">
        <f>CONCATENATE(Programme!C5198,Programme!D5198,Programme!E5198,Programme!F5198,Programme!G5198,Programme!H5198,Programme!I5198)</f>
        <v>&lt;valeur&gt;0&lt;/valeur&gt;</v>
      </c>
    </row>
    <row r="5198" spans="1:1" x14ac:dyDescent="0.2">
      <c r="A5198" s="1135" t="str">
        <f>CONCATENATE(Programme!C5199,Programme!D5199,Programme!E5199,Programme!F5199,Programme!G5199,Programme!H5199,Programme!I5199)</f>
        <v>&lt;/ValeurCellule&gt;</v>
      </c>
    </row>
    <row r="5199" spans="1:1" x14ac:dyDescent="0.2">
      <c r="A5199" s="1135" t="str">
        <f>CONCATENATE(Programme!C5200,Programme!D5200,Programme!E5200,Programme!F5200,Programme!G5200,Programme!H5200,Programme!I5200)</f>
        <v>&lt;ValeurCellule&gt;</v>
      </c>
    </row>
    <row r="5200" spans="1:1" x14ac:dyDescent="0.2">
      <c r="A5200" s="1135" t="str">
        <f>CONCATENATE(Programme!C5201,Programme!D5201,Programme!E5201,Programme!F5201,Programme!G5201,Programme!H5201,Programme!I5201)</f>
        <v>&lt;cellule&gt;</v>
      </c>
    </row>
    <row r="5201" spans="1:1" x14ac:dyDescent="0.2">
      <c r="A5201" s="1135" t="str">
        <f>CONCATENATE(Programme!C5202,Programme!D5202,Programme!E5202,Programme!F5202,Programme!G5202,Programme!H5202,Programme!I5202)</f>
        <v>&lt;codeEdi&gt;1569&lt;/codeEdi&gt;</v>
      </c>
    </row>
    <row r="5202" spans="1:1" x14ac:dyDescent="0.2">
      <c r="A5202" s="1135" t="str">
        <f>CONCATENATE(Programme!C5203,Programme!D5203,Programme!E5203,Programme!F5203,Programme!G5203,Programme!H5203,Programme!I5203)</f>
        <v>&lt;/cellule&gt;</v>
      </c>
    </row>
    <row r="5203" spans="1:1" x14ac:dyDescent="0.2">
      <c r="A5203" s="1135" t="str">
        <f>CONCATENATE(Programme!C5204,Programme!D5204,Programme!E5204,Programme!F5204,Programme!G5204,Programme!H5204,Programme!I5204)</f>
        <v>&lt;valeur&gt;0&lt;/valeur&gt;</v>
      </c>
    </row>
    <row r="5204" spans="1:1" x14ac:dyDescent="0.2">
      <c r="A5204" s="1135" t="str">
        <f>CONCATENATE(Programme!C5205,Programme!D5205,Programme!E5205,Programme!F5205,Programme!G5205,Programme!H5205,Programme!I5205)</f>
        <v>&lt;/ValeurCellule&gt;</v>
      </c>
    </row>
    <row r="5205" spans="1:1" x14ac:dyDescent="0.2">
      <c r="A5205" s="1135" t="str">
        <f>CONCATENATE(Programme!C5206,Programme!D5206,Programme!E5206,Programme!F5206,Programme!G5206,Programme!H5206,Programme!I5206)</f>
        <v>&lt;ValeurCellule&gt;</v>
      </c>
    </row>
    <row r="5206" spans="1:1" x14ac:dyDescent="0.2">
      <c r="A5206" s="1135" t="str">
        <f>CONCATENATE(Programme!C5207,Programme!D5207,Programme!E5207,Programme!F5207,Programme!G5207,Programme!H5207,Programme!I5207)</f>
        <v>&lt;cellule&gt;</v>
      </c>
    </row>
    <row r="5207" spans="1:1" x14ac:dyDescent="0.2">
      <c r="A5207" s="1135" t="str">
        <f>CONCATENATE(Programme!C5208,Programme!D5208,Programme!E5208,Programme!F5208,Programme!G5208,Programme!H5208,Programme!I5208)</f>
        <v>&lt;codeEdi&gt;1570&lt;/codeEdi&gt;</v>
      </c>
    </row>
    <row r="5208" spans="1:1" x14ac:dyDescent="0.2">
      <c r="A5208" s="1135" t="str">
        <f>CONCATENATE(Programme!C5209,Programme!D5209,Programme!E5209,Programme!F5209,Programme!G5209,Programme!H5209,Programme!I5209)</f>
        <v>&lt;/cellule&gt;</v>
      </c>
    </row>
    <row r="5209" spans="1:1" x14ac:dyDescent="0.2">
      <c r="A5209" s="1135" t="str">
        <f>CONCATENATE(Programme!C5210,Programme!D5210,Programme!E5210,Programme!F5210,Programme!G5210,Programme!H5210,Programme!I5210)</f>
        <v>&lt;valeur&gt;0&lt;/valeur&gt;</v>
      </c>
    </row>
    <row r="5210" spans="1:1" x14ac:dyDescent="0.2">
      <c r="A5210" s="1135" t="str">
        <f>CONCATENATE(Programme!C5211,Programme!D5211,Programme!E5211,Programme!F5211,Programme!G5211,Programme!H5211,Programme!I5211)</f>
        <v>&lt;/ValeurCellule&gt;</v>
      </c>
    </row>
    <row r="5211" spans="1:1" x14ac:dyDescent="0.2">
      <c r="A5211" s="1135" t="str">
        <f>CONCATENATE(Programme!C5212,Programme!D5212,Programme!E5212,Programme!F5212,Programme!G5212,Programme!H5212,Programme!I5212)</f>
        <v>&lt;ValeurCellule&gt;</v>
      </c>
    </row>
    <row r="5212" spans="1:1" x14ac:dyDescent="0.2">
      <c r="A5212" s="1135" t="str">
        <f>CONCATENATE(Programme!C5213,Programme!D5213,Programme!E5213,Programme!F5213,Programme!G5213,Programme!H5213,Programme!I5213)</f>
        <v>&lt;cellule&gt;</v>
      </c>
    </row>
    <row r="5213" spans="1:1" x14ac:dyDescent="0.2">
      <c r="A5213" s="1135" t="str">
        <f>CONCATENATE(Programme!C5214,Programme!D5214,Programme!E5214,Programme!F5214,Programme!G5214,Programme!H5214,Programme!I5214)</f>
        <v>&lt;codeEdi&gt;1571&lt;/codeEdi&gt;</v>
      </c>
    </row>
    <row r="5214" spans="1:1" x14ac:dyDescent="0.2">
      <c r="A5214" s="1135" t="str">
        <f>CONCATENATE(Programme!C5215,Programme!D5215,Programme!E5215,Programme!F5215,Programme!G5215,Programme!H5215,Programme!I5215)</f>
        <v>&lt;/cellule&gt;</v>
      </c>
    </row>
    <row r="5215" spans="1:1" x14ac:dyDescent="0.2">
      <c r="A5215" s="1135" t="str">
        <f>CONCATENATE(Programme!C5216,Programme!D5216,Programme!E5216,Programme!F5216,Programme!G5216,Programme!H5216,Programme!I5216)</f>
        <v>&lt;valeur&gt;0&lt;/valeur&gt;</v>
      </c>
    </row>
    <row r="5216" spans="1:1" x14ac:dyDescent="0.2">
      <c r="A5216" s="1135" t="str">
        <f>CONCATENATE(Programme!C5217,Programme!D5217,Programme!E5217,Programme!F5217,Programme!G5217,Programme!H5217,Programme!I5217)</f>
        <v>&lt;/ValeurCellule&gt;</v>
      </c>
    </row>
    <row r="5217" spans="1:1" x14ac:dyDescent="0.2">
      <c r="A5217" s="1135" t="str">
        <f>CONCATENATE(Programme!C5218,Programme!D5218,Programme!E5218,Programme!F5218,Programme!G5218,Programme!H5218,Programme!I5218)</f>
        <v>&lt;ValeurCellule&gt;</v>
      </c>
    </row>
    <row r="5218" spans="1:1" x14ac:dyDescent="0.2">
      <c r="A5218" s="1135" t="str">
        <f>CONCATENATE(Programme!C5219,Programme!D5219,Programme!E5219,Programme!F5219,Programme!G5219,Programme!H5219,Programme!I5219)</f>
        <v>&lt;cellule&gt;</v>
      </c>
    </row>
    <row r="5219" spans="1:1" x14ac:dyDescent="0.2">
      <c r="A5219" s="1135" t="str">
        <f>CONCATENATE(Programme!C5220,Programme!D5220,Programme!E5220,Programme!F5220,Programme!G5220,Programme!H5220,Programme!I5220)</f>
        <v>&lt;codeEdi&gt;1572&lt;/codeEdi&gt;</v>
      </c>
    </row>
    <row r="5220" spans="1:1" x14ac:dyDescent="0.2">
      <c r="A5220" s="1135" t="str">
        <f>CONCATENATE(Programme!C5221,Programme!D5221,Programme!E5221,Programme!F5221,Programme!G5221,Programme!H5221,Programme!I5221)</f>
        <v>&lt;/cellule&gt;</v>
      </c>
    </row>
    <row r="5221" spans="1:1" x14ac:dyDescent="0.2">
      <c r="A5221" s="1135" t="str">
        <f>CONCATENATE(Programme!C5222,Programme!D5222,Programme!E5222,Programme!F5222,Programme!G5222,Programme!H5222,Programme!I5222)</f>
        <v>&lt;valeur&gt;0&lt;/valeur&gt;</v>
      </c>
    </row>
    <row r="5222" spans="1:1" x14ac:dyDescent="0.2">
      <c r="A5222" s="1135" t="str">
        <f>CONCATENATE(Programme!C5223,Programme!D5223,Programme!E5223,Programme!F5223,Programme!G5223,Programme!H5223,Programme!I5223)</f>
        <v>&lt;/ValeurCellule&gt;</v>
      </c>
    </row>
    <row r="5223" spans="1:1" x14ac:dyDescent="0.2">
      <c r="A5223" s="1135" t="str">
        <f>CONCATENATE(Programme!C5224,Programme!D5224,Programme!E5224,Programme!F5224,Programme!G5224,Programme!H5224,Programme!I5224)</f>
        <v>&lt;ValeurCellule&gt;</v>
      </c>
    </row>
    <row r="5224" spans="1:1" x14ac:dyDescent="0.2">
      <c r="A5224" s="1135" t="str">
        <f>CONCATENATE(Programme!C5225,Programme!D5225,Programme!E5225,Programme!F5225,Programme!G5225,Programme!H5225,Programme!I5225)</f>
        <v>&lt;cellule&gt;</v>
      </c>
    </row>
    <row r="5225" spans="1:1" x14ac:dyDescent="0.2">
      <c r="A5225" s="1135" t="str">
        <f>CONCATENATE(Programme!C5226,Programme!D5226,Programme!E5226,Programme!F5226,Programme!G5226,Programme!H5226,Programme!I5226)</f>
        <v>&lt;codeEdi&gt;1573&lt;/codeEdi&gt;</v>
      </c>
    </row>
    <row r="5226" spans="1:1" x14ac:dyDescent="0.2">
      <c r="A5226" s="1135" t="str">
        <f>CONCATENATE(Programme!C5227,Programme!D5227,Programme!E5227,Programme!F5227,Programme!G5227,Programme!H5227,Programme!I5227)</f>
        <v>&lt;/cellule&gt;</v>
      </c>
    </row>
    <row r="5227" spans="1:1" x14ac:dyDescent="0.2">
      <c r="A5227" s="1135" t="str">
        <f>CONCATENATE(Programme!C5228,Programme!D5228,Programme!E5228,Programme!F5228,Programme!G5228,Programme!H5228,Programme!I5228)</f>
        <v>&lt;valeur&gt;0&lt;/valeur&gt;</v>
      </c>
    </row>
    <row r="5228" spans="1:1" x14ac:dyDescent="0.2">
      <c r="A5228" s="1135" t="str">
        <f>CONCATENATE(Programme!C5229,Programme!D5229,Programme!E5229,Programme!F5229,Programme!G5229,Programme!H5229,Programme!I5229)</f>
        <v>&lt;/ValeurCellule&gt;</v>
      </c>
    </row>
    <row r="5229" spans="1:1" x14ac:dyDescent="0.2">
      <c r="A5229" s="1135" t="str">
        <f>CONCATENATE(Programme!C5230,Programme!D5230,Programme!E5230,Programme!F5230,Programme!G5230,Programme!H5230,Programme!I5230)</f>
        <v>&lt;ValeurCellule&gt;</v>
      </c>
    </row>
    <row r="5230" spans="1:1" x14ac:dyDescent="0.2">
      <c r="A5230" s="1135" t="str">
        <f>CONCATENATE(Programme!C5231,Programme!D5231,Programme!E5231,Programme!F5231,Programme!G5231,Programme!H5231,Programme!I5231)</f>
        <v>&lt;cellule&gt;</v>
      </c>
    </row>
    <row r="5231" spans="1:1" x14ac:dyDescent="0.2">
      <c r="A5231" s="1135" t="str">
        <f>CONCATENATE(Programme!C5232,Programme!D5232,Programme!E5232,Programme!F5232,Programme!G5232,Programme!H5232,Programme!I5232)</f>
        <v>&lt;codeEdi&gt;1574&lt;/codeEdi&gt;</v>
      </c>
    </row>
    <row r="5232" spans="1:1" x14ac:dyDescent="0.2">
      <c r="A5232" s="1135" t="str">
        <f>CONCATENATE(Programme!C5233,Programme!D5233,Programme!E5233,Programme!F5233,Programme!G5233,Programme!H5233,Programme!I5233)</f>
        <v>&lt;/cellule&gt;</v>
      </c>
    </row>
    <row r="5233" spans="1:1" x14ac:dyDescent="0.2">
      <c r="A5233" s="1135" t="str">
        <f>CONCATENATE(Programme!C5234,Programme!D5234,Programme!E5234,Programme!F5234,Programme!G5234,Programme!H5234,Programme!I5234)</f>
        <v>&lt;valeur&gt;&lt;/valeur&gt;</v>
      </c>
    </row>
    <row r="5234" spans="1:1" x14ac:dyDescent="0.2">
      <c r="A5234" s="1135" t="str">
        <f>CONCATENATE(Programme!C5235,Programme!D5235,Programme!E5235,Programme!F5235,Programme!G5235,Programme!H5235,Programme!I5235)</f>
        <v>&lt;/ValeurCellule&gt;</v>
      </c>
    </row>
    <row r="5235" spans="1:1" x14ac:dyDescent="0.2">
      <c r="A5235" s="1135" t="str">
        <f>CONCATENATE(Programme!C5236,Programme!D5236,Programme!E5236,Programme!F5236,Programme!G5236,Programme!H5236,Programme!I5236)</f>
        <v>&lt;ValeurCellule&gt;</v>
      </c>
    </row>
    <row r="5236" spans="1:1" x14ac:dyDescent="0.2">
      <c r="A5236" s="1135" t="str">
        <f>CONCATENATE(Programme!C5237,Programme!D5237,Programme!E5237,Programme!F5237,Programme!G5237,Programme!H5237,Programme!I5237)</f>
        <v>&lt;cellule&gt;</v>
      </c>
    </row>
    <row r="5237" spans="1:1" x14ac:dyDescent="0.2">
      <c r="A5237" s="1135" t="str">
        <f>CONCATENATE(Programme!C5238,Programme!D5238,Programme!E5238,Programme!F5238,Programme!G5238,Programme!H5238,Programme!I5238)</f>
        <v>&lt;codeEdi&gt;1575&lt;/codeEdi&gt;</v>
      </c>
    </row>
    <row r="5238" spans="1:1" x14ac:dyDescent="0.2">
      <c r="A5238" s="1135" t="str">
        <f>CONCATENATE(Programme!C5239,Programme!D5239,Programme!E5239,Programme!F5239,Programme!G5239,Programme!H5239,Programme!I5239)</f>
        <v>&lt;/cellule&gt;</v>
      </c>
    </row>
    <row r="5239" spans="1:1" x14ac:dyDescent="0.2">
      <c r="A5239" s="1135" t="str">
        <f>CONCATENATE(Programme!C5240,Programme!D5240,Programme!E5240,Programme!F5240,Programme!G5240,Programme!H5240,Programme!I5240)</f>
        <v>&lt;valeur&gt;5000&lt;/valeur&gt;</v>
      </c>
    </row>
    <row r="5240" spans="1:1" x14ac:dyDescent="0.2">
      <c r="A5240" s="1135" t="str">
        <f>CONCATENATE(Programme!C5241,Programme!D5241,Programme!E5241,Programme!F5241,Programme!G5241,Programme!H5241,Programme!I5241)</f>
        <v>&lt;/ValeurCellule&gt;</v>
      </c>
    </row>
    <row r="5241" spans="1:1" x14ac:dyDescent="0.2">
      <c r="A5241" s="1135" t="str">
        <f>CONCATENATE(Programme!C5242,Programme!D5242,Programme!E5242,Programme!F5242,Programme!G5242,Programme!H5242,Programme!I5242)</f>
        <v>&lt;ValeurCellule&gt;</v>
      </c>
    </row>
    <row r="5242" spans="1:1" x14ac:dyDescent="0.2">
      <c r="A5242" s="1135" t="str">
        <f>CONCATENATE(Programme!C5243,Programme!D5243,Programme!E5243,Programme!F5243,Programme!G5243,Programme!H5243,Programme!I5243)</f>
        <v>&lt;cellule&gt;</v>
      </c>
    </row>
    <row r="5243" spans="1:1" x14ac:dyDescent="0.2">
      <c r="A5243" s="1135" t="str">
        <f>CONCATENATE(Programme!C5244,Programme!D5244,Programme!E5244,Programme!F5244,Programme!G5244,Programme!H5244,Programme!I5244)</f>
        <v>&lt;codeEdi&gt;1576&lt;/codeEdi&gt;</v>
      </c>
    </row>
    <row r="5244" spans="1:1" x14ac:dyDescent="0.2">
      <c r="A5244" s="1135" t="str">
        <f>CONCATENATE(Programme!C5245,Programme!D5245,Programme!E5245,Programme!F5245,Programme!G5245,Programme!H5245,Programme!I5245)</f>
        <v>&lt;/cellule&gt;</v>
      </c>
    </row>
    <row r="5245" spans="1:1" x14ac:dyDescent="0.2">
      <c r="A5245" s="1135" t="str">
        <f>CONCATENATE(Programme!C5246,Programme!D5246,Programme!E5246,Programme!F5246,Programme!G5246,Programme!H5246,Programme!I5246)</f>
        <v>&lt;valeur&gt;0&lt;/valeur&gt;</v>
      </c>
    </row>
    <row r="5246" spans="1:1" x14ac:dyDescent="0.2">
      <c r="A5246" s="1135" t="str">
        <f>CONCATENATE(Programme!C5247,Programme!D5247,Programme!E5247,Programme!F5247,Programme!G5247,Programme!H5247,Programme!I5247)</f>
        <v>&lt;/ValeurCellule&gt;</v>
      </c>
    </row>
    <row r="5247" spans="1:1" x14ac:dyDescent="0.2">
      <c r="A5247" s="1135" t="str">
        <f>CONCATENATE(Programme!C5248,Programme!D5248,Programme!E5248,Programme!F5248,Programme!G5248,Programme!H5248,Programme!I5248)</f>
        <v>&lt;ValeurCellule&gt;</v>
      </c>
    </row>
    <row r="5248" spans="1:1" x14ac:dyDescent="0.2">
      <c r="A5248" s="1135" t="str">
        <f>CONCATENATE(Programme!C5249,Programme!D5249,Programme!E5249,Programme!F5249,Programme!G5249,Programme!H5249,Programme!I5249)</f>
        <v>&lt;cellule&gt;</v>
      </c>
    </row>
    <row r="5249" spans="1:1" x14ac:dyDescent="0.2">
      <c r="A5249" s="1135" t="str">
        <f>CONCATENATE(Programme!C5250,Programme!D5250,Programme!E5250,Programme!F5250,Programme!G5250,Programme!H5250,Programme!I5250)</f>
        <v>&lt;codeEdi&gt;1577&lt;/codeEdi&gt;</v>
      </c>
    </row>
    <row r="5250" spans="1:1" x14ac:dyDescent="0.2">
      <c r="A5250" s="1135" t="str">
        <f>CONCATENATE(Programme!C5251,Programme!D5251,Programme!E5251,Programme!F5251,Programme!G5251,Programme!H5251,Programme!I5251)</f>
        <v>&lt;/cellule&gt;</v>
      </c>
    </row>
    <row r="5251" spans="1:1" x14ac:dyDescent="0.2">
      <c r="A5251" s="1135" t="str">
        <f>CONCATENATE(Programme!C5252,Programme!D5252,Programme!E5252,Programme!F5252,Programme!G5252,Programme!H5252,Programme!I5252)</f>
        <v>&lt;valeur&gt;0&lt;/valeur&gt;</v>
      </c>
    </row>
    <row r="5252" spans="1:1" x14ac:dyDescent="0.2">
      <c r="A5252" s="1135" t="str">
        <f>CONCATENATE(Programme!C5253,Programme!D5253,Programme!E5253,Programme!F5253,Programme!G5253,Programme!H5253,Programme!I5253)</f>
        <v>&lt;/ValeurCellule&gt;</v>
      </c>
    </row>
    <row r="5253" spans="1:1" x14ac:dyDescent="0.2">
      <c r="A5253" s="1135" t="str">
        <f>CONCATENATE(Programme!C5254,Programme!D5254,Programme!E5254,Programme!F5254,Programme!G5254,Programme!H5254,Programme!I5254)</f>
        <v>&lt;ValeurCellule&gt;</v>
      </c>
    </row>
    <row r="5254" spans="1:1" x14ac:dyDescent="0.2">
      <c r="A5254" s="1135" t="str">
        <f>CONCATENATE(Programme!C5255,Programme!D5255,Programme!E5255,Programme!F5255,Programme!G5255,Programme!H5255,Programme!I5255)</f>
        <v>&lt;cellule&gt;</v>
      </c>
    </row>
    <row r="5255" spans="1:1" x14ac:dyDescent="0.2">
      <c r="A5255" s="1135" t="str">
        <f>CONCATENATE(Programme!C5256,Programme!D5256,Programme!E5256,Programme!F5256,Programme!G5256,Programme!H5256,Programme!I5256)</f>
        <v>&lt;codeEdi&gt;1578&lt;/codeEdi&gt;</v>
      </c>
    </row>
    <row r="5256" spans="1:1" x14ac:dyDescent="0.2">
      <c r="A5256" s="1135" t="str">
        <f>CONCATENATE(Programme!C5257,Programme!D5257,Programme!E5257,Programme!F5257,Programme!G5257,Programme!H5257,Programme!I5257)</f>
        <v>&lt;/cellule&gt;</v>
      </c>
    </row>
    <row r="5257" spans="1:1" x14ac:dyDescent="0.2">
      <c r="A5257" s="1135" t="str">
        <f>CONCATENATE(Programme!C5258,Programme!D5258,Programme!E5258,Programme!F5258,Programme!G5258,Programme!H5258,Programme!I5258)</f>
        <v>&lt;valeur&gt;0&lt;/valeur&gt;</v>
      </c>
    </row>
    <row r="5258" spans="1:1" x14ac:dyDescent="0.2">
      <c r="A5258" s="1135" t="str">
        <f>CONCATENATE(Programme!C5259,Programme!D5259,Programme!E5259,Programme!F5259,Programme!G5259,Programme!H5259,Programme!I5259)</f>
        <v>&lt;/ValeurCellule&gt;</v>
      </c>
    </row>
    <row r="5259" spans="1:1" x14ac:dyDescent="0.2">
      <c r="A5259" s="1135" t="str">
        <f>CONCATENATE(Programme!C5260,Programme!D5260,Programme!E5260,Programme!F5260,Programme!G5260,Programme!H5260,Programme!I5260)</f>
        <v>&lt;ValeurCellule&gt;</v>
      </c>
    </row>
    <row r="5260" spans="1:1" x14ac:dyDescent="0.2">
      <c r="A5260" s="1135" t="str">
        <f>CONCATENATE(Programme!C5261,Programme!D5261,Programme!E5261,Programme!F5261,Programme!G5261,Programme!H5261,Programme!I5261)</f>
        <v>&lt;cellule&gt;</v>
      </c>
    </row>
    <row r="5261" spans="1:1" x14ac:dyDescent="0.2">
      <c r="A5261" s="1135" t="str">
        <f>CONCATENATE(Programme!C5262,Programme!D5262,Programme!E5262,Programme!F5262,Programme!G5262,Programme!H5262,Programme!I5262)</f>
        <v>&lt;codeEdi&gt;1579&lt;/codeEdi&gt;</v>
      </c>
    </row>
    <row r="5262" spans="1:1" x14ac:dyDescent="0.2">
      <c r="A5262" s="1135" t="str">
        <f>CONCATENATE(Programme!C5263,Programme!D5263,Programme!E5263,Programme!F5263,Programme!G5263,Programme!H5263,Programme!I5263)</f>
        <v>&lt;/cellule&gt;</v>
      </c>
    </row>
    <row r="5263" spans="1:1" x14ac:dyDescent="0.2">
      <c r="A5263" s="1135" t="str">
        <f>CONCATENATE(Programme!C5264,Programme!D5264,Programme!E5264,Programme!F5264,Programme!G5264,Programme!H5264,Programme!I5264)</f>
        <v>&lt;valeur&gt;0&lt;/valeur&gt;</v>
      </c>
    </row>
    <row r="5264" spans="1:1" x14ac:dyDescent="0.2">
      <c r="A5264" s="1135" t="str">
        <f>CONCATENATE(Programme!C5265,Programme!D5265,Programme!E5265,Programme!F5265,Programme!G5265,Programme!H5265,Programme!I5265)</f>
        <v>&lt;/ValeurCellule&gt;</v>
      </c>
    </row>
    <row r="5265" spans="1:1" x14ac:dyDescent="0.2">
      <c r="A5265" s="1135" t="str">
        <f>CONCATENATE(Programme!C5266,Programme!D5266,Programme!E5266,Programme!F5266,Programme!G5266,Programme!H5266,Programme!I5266)</f>
        <v>&lt;ValeurCellule&gt;</v>
      </c>
    </row>
    <row r="5266" spans="1:1" x14ac:dyDescent="0.2">
      <c r="A5266" s="1135" t="str">
        <f>CONCATENATE(Programme!C5267,Programme!D5267,Programme!E5267,Programme!F5267,Programme!G5267,Programme!H5267,Programme!I5267)</f>
        <v>&lt;cellule&gt;</v>
      </c>
    </row>
    <row r="5267" spans="1:1" x14ac:dyDescent="0.2">
      <c r="A5267" s="1135" t="str">
        <f>CONCATENATE(Programme!C5268,Programme!D5268,Programme!E5268,Programme!F5268,Programme!G5268,Programme!H5268,Programme!I5268)</f>
        <v>&lt;codeEdi&gt;1582&lt;/codeEdi&gt;</v>
      </c>
    </row>
    <row r="5268" spans="1:1" x14ac:dyDescent="0.2">
      <c r="A5268" s="1135" t="str">
        <f>CONCATENATE(Programme!C5269,Programme!D5269,Programme!E5269,Programme!F5269,Programme!G5269,Programme!H5269,Programme!I5269)</f>
        <v>&lt;/cellule&gt;</v>
      </c>
    </row>
    <row r="5269" spans="1:1" x14ac:dyDescent="0.2">
      <c r="A5269" s="1135" t="str">
        <f>CONCATENATE(Programme!C5270,Programme!D5270,Programme!E5270,Programme!F5270,Programme!G5270,Programme!H5270,Programme!I5270)</f>
        <v>&lt;valeur&gt;0&lt;/valeur&gt;</v>
      </c>
    </row>
    <row r="5270" spans="1:1" x14ac:dyDescent="0.2">
      <c r="A5270" s="1135" t="str">
        <f>CONCATENATE(Programme!C5271,Programme!D5271,Programme!E5271,Programme!F5271,Programme!G5271,Programme!H5271,Programme!I5271)</f>
        <v>&lt;/ValeurCellule&gt;</v>
      </c>
    </row>
    <row r="5271" spans="1:1" x14ac:dyDescent="0.2">
      <c r="A5271" s="1135" t="str">
        <f>CONCATENATE(Programme!C5272,Programme!D5272,Programme!E5272,Programme!F5272,Programme!G5272,Programme!H5272,Programme!I5272)</f>
        <v>&lt;ValeurCellule&gt;</v>
      </c>
    </row>
    <row r="5272" spans="1:1" x14ac:dyDescent="0.2">
      <c r="A5272" s="1135" t="str">
        <f>CONCATENATE(Programme!C5273,Programme!D5273,Programme!E5273,Programme!F5273,Programme!G5273,Programme!H5273,Programme!I5273)</f>
        <v>&lt;cellule&gt;</v>
      </c>
    </row>
    <row r="5273" spans="1:1" x14ac:dyDescent="0.2">
      <c r="A5273" s="1135" t="str">
        <f>CONCATENATE(Programme!C5274,Programme!D5274,Programme!E5274,Programme!F5274,Programme!G5274,Programme!H5274,Programme!I5274)</f>
        <v>&lt;codeEdi&gt;1583&lt;/codeEdi&gt;</v>
      </c>
    </row>
    <row r="5274" spans="1:1" x14ac:dyDescent="0.2">
      <c r="A5274" s="1135" t="str">
        <f>CONCATENATE(Programme!C5275,Programme!D5275,Programme!E5275,Programme!F5275,Programme!G5275,Programme!H5275,Programme!I5275)</f>
        <v>&lt;/cellule&gt;</v>
      </c>
    </row>
    <row r="5275" spans="1:1" x14ac:dyDescent="0.2">
      <c r="A5275" s="1135" t="str">
        <f>CONCATENATE(Programme!C5276,Programme!D5276,Programme!E5276,Programme!F5276,Programme!G5276,Programme!H5276,Programme!I5276)</f>
        <v>&lt;valeur&gt;0&lt;/valeur&gt;</v>
      </c>
    </row>
    <row r="5276" spans="1:1" x14ac:dyDescent="0.2">
      <c r="A5276" s="1135" t="str">
        <f>CONCATENATE(Programme!C5277,Programme!D5277,Programme!E5277,Programme!F5277,Programme!G5277,Programme!H5277,Programme!I5277)</f>
        <v>&lt;/ValeurCellule&gt;</v>
      </c>
    </row>
    <row r="5277" spans="1:1" x14ac:dyDescent="0.2">
      <c r="A5277" s="1135" t="str">
        <f>CONCATENATE(Programme!C5278,Programme!D5278,Programme!E5278,Programme!F5278,Programme!G5278,Programme!H5278,Programme!I5278)</f>
        <v>&lt;ValeurCellule&gt;</v>
      </c>
    </row>
    <row r="5278" spans="1:1" x14ac:dyDescent="0.2">
      <c r="A5278" s="1135" t="str">
        <f>CONCATENATE(Programme!C5279,Programme!D5279,Programme!E5279,Programme!F5279,Programme!G5279,Programme!H5279,Programme!I5279)</f>
        <v>&lt;cellule&gt;</v>
      </c>
    </row>
    <row r="5279" spans="1:1" x14ac:dyDescent="0.2">
      <c r="A5279" s="1135" t="str">
        <f>CONCATENATE(Programme!C5280,Programme!D5280,Programme!E5280,Programme!F5280,Programme!G5280,Programme!H5280,Programme!I5280)</f>
        <v>&lt;codeEdi&gt;1584&lt;/codeEdi&gt;</v>
      </c>
    </row>
    <row r="5280" spans="1:1" x14ac:dyDescent="0.2">
      <c r="A5280" s="1135" t="str">
        <f>CONCATENATE(Programme!C5281,Programme!D5281,Programme!E5281,Programme!F5281,Programme!G5281,Programme!H5281,Programme!I5281)</f>
        <v>&lt;/cellule&gt;</v>
      </c>
    </row>
    <row r="5281" spans="1:1" x14ac:dyDescent="0.2">
      <c r="A5281" s="1135" t="str">
        <f>CONCATENATE(Programme!C5282,Programme!D5282,Programme!E5282,Programme!F5282,Programme!G5282,Programme!H5282,Programme!I5282)</f>
        <v>&lt;valeur&gt;353,3&lt;/valeur&gt;</v>
      </c>
    </row>
    <row r="5282" spans="1:1" x14ac:dyDescent="0.2">
      <c r="A5282" s="1135" t="str">
        <f>CONCATENATE(Programme!C5283,Programme!D5283,Programme!E5283,Programme!F5283,Programme!G5283,Programme!H5283,Programme!I5283)</f>
        <v>&lt;/ValeurCellule&gt;</v>
      </c>
    </row>
    <row r="5283" spans="1:1" x14ac:dyDescent="0.2">
      <c r="A5283" s="1135" t="str">
        <f>CONCATENATE(Programme!C5284,Programme!D5284,Programme!E5284,Programme!F5284,Programme!G5284,Programme!H5284,Programme!I5284)</f>
        <v>&lt;ValeurCellule&gt;</v>
      </c>
    </row>
    <row r="5284" spans="1:1" x14ac:dyDescent="0.2">
      <c r="A5284" s="1135" t="str">
        <f>CONCATENATE(Programme!C5285,Programme!D5285,Programme!E5285,Programme!F5285,Programme!G5285,Programme!H5285,Programme!I5285)</f>
        <v>&lt;cellule&gt;</v>
      </c>
    </row>
    <row r="5285" spans="1:1" x14ac:dyDescent="0.2">
      <c r="A5285" s="1135" t="str">
        <f>CONCATENATE(Programme!C5286,Programme!D5286,Programme!E5286,Programme!F5286,Programme!G5286,Programme!H5286,Programme!I5286)</f>
        <v>&lt;codeEdi&gt;1585&lt;/codeEdi&gt;</v>
      </c>
    </row>
    <row r="5286" spans="1:1" x14ac:dyDescent="0.2">
      <c r="A5286" s="1135" t="str">
        <f>CONCATENATE(Programme!C5287,Programme!D5287,Programme!E5287,Programme!F5287,Programme!G5287,Programme!H5287,Programme!I5287)</f>
        <v>&lt;/cellule&gt;</v>
      </c>
    </row>
    <row r="5287" spans="1:1" x14ac:dyDescent="0.2">
      <c r="A5287" s="1135" t="str">
        <f>CONCATENATE(Programme!C5288,Programme!D5288,Programme!E5288,Programme!F5288,Programme!G5288,Programme!H5288,Programme!I5288)</f>
        <v>&lt;valeur&gt;5353,3&lt;/valeur&gt;</v>
      </c>
    </row>
    <row r="5288" spans="1:1" x14ac:dyDescent="0.2">
      <c r="A5288" s="1135" t="str">
        <f>CONCATENATE(Programme!C5289,Programme!D5289,Programme!E5289,Programme!F5289,Programme!G5289,Programme!H5289,Programme!I5289)</f>
        <v>&lt;/ValeurCellule&gt;</v>
      </c>
    </row>
    <row r="5289" spans="1:1" x14ac:dyDescent="0.2">
      <c r="A5289" s="1135" t="str">
        <f>CONCATENATE(Programme!C5290,Programme!D5290,Programme!E5290,Programme!F5290,Programme!G5290,Programme!H5290,Programme!I5290)</f>
        <v>&lt;ValeurCellule&gt;</v>
      </c>
    </row>
    <row r="5290" spans="1:1" x14ac:dyDescent="0.2">
      <c r="A5290" s="1135" t="str">
        <f>CONCATENATE(Programme!C5291,Programme!D5291,Programme!E5291,Programme!F5291,Programme!G5291,Programme!H5291,Programme!I5291)</f>
        <v>&lt;cellule&gt;</v>
      </c>
    </row>
    <row r="5291" spans="1:1" x14ac:dyDescent="0.2">
      <c r="A5291" s="1135" t="str">
        <f>CONCATENATE(Programme!C5292,Programme!D5292,Programme!E5292,Programme!F5292,Programme!G5292,Programme!H5292,Programme!I5292)</f>
        <v>&lt;codeEdi&gt;1586&lt;/codeEdi&gt;</v>
      </c>
    </row>
    <row r="5292" spans="1:1" x14ac:dyDescent="0.2">
      <c r="A5292" s="1135" t="str">
        <f>CONCATENATE(Programme!C5293,Programme!D5293,Programme!E5293,Programme!F5293,Programme!G5293,Programme!H5293,Programme!I5293)</f>
        <v>&lt;/cellule&gt;</v>
      </c>
    </row>
    <row r="5293" spans="1:1" x14ac:dyDescent="0.2">
      <c r="A5293" s="1135" t="str">
        <f>CONCATENATE(Programme!C5294,Programme!D5294,Programme!E5294,Programme!F5294,Programme!G5294,Programme!H5294,Programme!I5294)</f>
        <v>&lt;valeur&gt;&lt;/valeur&gt;</v>
      </c>
    </row>
    <row r="5294" spans="1:1" x14ac:dyDescent="0.2">
      <c r="A5294" s="1135" t="str">
        <f>CONCATENATE(Programme!C5295,Programme!D5295,Programme!E5295,Programme!F5295,Programme!G5295,Programme!H5295,Programme!I5295)</f>
        <v>&lt;/ValeurCellule&gt;</v>
      </c>
    </row>
    <row r="5295" spans="1:1" x14ac:dyDescent="0.2">
      <c r="A5295" s="1135" t="str">
        <f>CONCATENATE(Programme!C5296,Programme!D5296,Programme!E5296,Programme!F5296,Programme!G5296,Programme!H5296,Programme!I5296)</f>
        <v>&lt;ValeurCellule&gt;</v>
      </c>
    </row>
    <row r="5296" spans="1:1" x14ac:dyDescent="0.2">
      <c r="A5296" s="1135" t="str">
        <f>CONCATENATE(Programme!C5297,Programme!D5297,Programme!E5297,Programme!F5297,Programme!G5297,Programme!H5297,Programme!I5297)</f>
        <v>&lt;cellule&gt;</v>
      </c>
    </row>
    <row r="5297" spans="1:1" x14ac:dyDescent="0.2">
      <c r="A5297" s="1135" t="str">
        <f>CONCATENATE(Programme!C5298,Programme!D5298,Programme!E5298,Programme!F5298,Programme!G5298,Programme!H5298,Programme!I5298)</f>
        <v>&lt;codeEdi&gt;1587&lt;/codeEdi&gt;</v>
      </c>
    </row>
    <row r="5298" spans="1:1" x14ac:dyDescent="0.2">
      <c r="A5298" s="1135" t="str">
        <f>CONCATENATE(Programme!C5299,Programme!D5299,Programme!E5299,Programme!F5299,Programme!G5299,Programme!H5299,Programme!I5299)</f>
        <v>&lt;/cellule&gt;</v>
      </c>
    </row>
    <row r="5299" spans="1:1" x14ac:dyDescent="0.2">
      <c r="A5299" s="1135" t="str">
        <f>CONCATENATE(Programme!C5300,Programme!D5300,Programme!E5300,Programme!F5300,Programme!G5300,Programme!H5300,Programme!I5300)</f>
        <v>&lt;valeur&gt;10762&lt;/valeur&gt;</v>
      </c>
    </row>
    <row r="5300" spans="1:1" x14ac:dyDescent="0.2">
      <c r="A5300" s="1135" t="str">
        <f>CONCATENATE(Programme!C5301,Programme!D5301,Programme!E5301,Programme!F5301,Programme!G5301,Programme!H5301,Programme!I5301)</f>
        <v>&lt;/ValeurCellule&gt;</v>
      </c>
    </row>
    <row r="5301" spans="1:1" x14ac:dyDescent="0.2">
      <c r="A5301" s="1135" t="str">
        <f>CONCATENATE(Programme!C5302,Programme!D5302,Programme!E5302,Programme!F5302,Programme!G5302,Programme!H5302,Programme!I5302)</f>
        <v>&lt;ValeurCellule&gt;</v>
      </c>
    </row>
    <row r="5302" spans="1:1" x14ac:dyDescent="0.2">
      <c r="A5302" s="1135" t="str">
        <f>CONCATENATE(Programme!C5303,Programme!D5303,Programme!E5303,Programme!F5303,Programme!G5303,Programme!H5303,Programme!I5303)</f>
        <v>&lt;cellule&gt;</v>
      </c>
    </row>
    <row r="5303" spans="1:1" x14ac:dyDescent="0.2">
      <c r="A5303" s="1135" t="str">
        <f>CONCATENATE(Programme!C5304,Programme!D5304,Programme!E5304,Programme!F5304,Programme!G5304,Programme!H5304,Programme!I5304)</f>
        <v>&lt;codeEdi&gt;1588&lt;/codeEdi&gt;</v>
      </c>
    </row>
    <row r="5304" spans="1:1" x14ac:dyDescent="0.2">
      <c r="A5304" s="1135" t="str">
        <f>CONCATENATE(Programme!C5305,Programme!D5305,Programme!E5305,Programme!F5305,Programme!G5305,Programme!H5305,Programme!I5305)</f>
        <v>&lt;/cellule&gt;</v>
      </c>
    </row>
    <row r="5305" spans="1:1" x14ac:dyDescent="0.2">
      <c r="A5305" s="1135" t="str">
        <f>CONCATENATE(Programme!C5306,Programme!D5306,Programme!E5306,Programme!F5306,Programme!G5306,Programme!H5306,Programme!I5306)</f>
        <v>&lt;valeur&gt;2109&lt;/valeur&gt;</v>
      </c>
    </row>
    <row r="5306" spans="1:1" x14ac:dyDescent="0.2">
      <c r="A5306" s="1135" t="str">
        <f>CONCATENATE(Programme!C5307,Programme!D5307,Programme!E5307,Programme!F5307,Programme!G5307,Programme!H5307,Programme!I5307)</f>
        <v>&lt;/ValeurCellule&gt;</v>
      </c>
    </row>
    <row r="5307" spans="1:1" x14ac:dyDescent="0.2">
      <c r="A5307" s="1135" t="str">
        <f>CONCATENATE(Programme!C5308,Programme!D5308,Programme!E5308,Programme!F5308,Programme!G5308,Programme!H5308,Programme!I5308)</f>
        <v>&lt;ValeurCellule&gt;</v>
      </c>
    </row>
    <row r="5308" spans="1:1" x14ac:dyDescent="0.2">
      <c r="A5308" s="1135" t="str">
        <f>CONCATENATE(Programme!C5309,Programme!D5309,Programme!E5309,Programme!F5309,Programme!G5309,Programme!H5309,Programme!I5309)</f>
        <v>&lt;cellule&gt;</v>
      </c>
    </row>
    <row r="5309" spans="1:1" x14ac:dyDescent="0.2">
      <c r="A5309" s="1135" t="str">
        <f>CONCATENATE(Programme!C5310,Programme!D5310,Programme!E5310,Programme!F5310,Programme!G5310,Programme!H5310,Programme!I5310)</f>
        <v>&lt;codeEdi&gt;1589&lt;/codeEdi&gt;</v>
      </c>
    </row>
    <row r="5310" spans="1:1" x14ac:dyDescent="0.2">
      <c r="A5310" s="1135" t="str">
        <f>CONCATENATE(Programme!C5311,Programme!D5311,Programme!E5311,Programme!F5311,Programme!G5311,Programme!H5311,Programme!I5311)</f>
        <v>&lt;/cellule&gt;</v>
      </c>
    </row>
    <row r="5311" spans="1:1" x14ac:dyDescent="0.2">
      <c r="A5311" s="1135" t="str">
        <f>CONCATENATE(Programme!C5312,Programme!D5312,Programme!E5312,Programme!F5312,Programme!G5312,Programme!H5312,Programme!I5312)</f>
        <v>&lt;valeur&gt;0&lt;/valeur&gt;</v>
      </c>
    </row>
    <row r="5312" spans="1:1" x14ac:dyDescent="0.2">
      <c r="A5312" s="1135" t="str">
        <f>CONCATENATE(Programme!C5313,Programme!D5313,Programme!E5313,Programme!F5313,Programme!G5313,Programme!H5313,Programme!I5313)</f>
        <v>&lt;/ValeurCellule&gt;</v>
      </c>
    </row>
    <row r="5313" spans="1:1" x14ac:dyDescent="0.2">
      <c r="A5313" s="1135" t="str">
        <f>CONCATENATE(Programme!C5314,Programme!D5314,Programme!E5314,Programme!F5314,Programme!G5314,Programme!H5314,Programme!I5314)</f>
        <v>&lt;ValeurCellule&gt;</v>
      </c>
    </row>
    <row r="5314" spans="1:1" x14ac:dyDescent="0.2">
      <c r="A5314" s="1135" t="str">
        <f>CONCATENATE(Programme!C5315,Programme!D5315,Programme!E5315,Programme!F5315,Programme!G5315,Programme!H5315,Programme!I5315)</f>
        <v>&lt;cellule&gt;</v>
      </c>
    </row>
    <row r="5315" spans="1:1" x14ac:dyDescent="0.2">
      <c r="A5315" s="1135" t="str">
        <f>CONCATENATE(Programme!C5316,Programme!D5316,Programme!E5316,Programme!F5316,Programme!G5316,Programme!H5316,Programme!I5316)</f>
        <v>&lt;codeEdi&gt;1590&lt;/codeEdi&gt;</v>
      </c>
    </row>
    <row r="5316" spans="1:1" x14ac:dyDescent="0.2">
      <c r="A5316" s="1135" t="str">
        <f>CONCATENATE(Programme!C5317,Programme!D5317,Programme!E5317,Programme!F5317,Programme!G5317,Programme!H5317,Programme!I5317)</f>
        <v>&lt;/cellule&gt;</v>
      </c>
    </row>
    <row r="5317" spans="1:1" x14ac:dyDescent="0.2">
      <c r="A5317" s="1135" t="str">
        <f>CONCATENATE(Programme!C5318,Programme!D5318,Programme!E5318,Programme!F5318,Programme!G5318,Programme!H5318,Programme!I5318)</f>
        <v>&lt;valeur&gt;12871&lt;/valeur&gt;</v>
      </c>
    </row>
    <row r="5318" spans="1:1" x14ac:dyDescent="0.2">
      <c r="A5318" s="1135" t="str">
        <f>CONCATENATE(Programme!C5319,Programme!D5319,Programme!E5319,Programme!F5319,Programme!G5319,Programme!H5319,Programme!I5319)</f>
        <v>&lt;/ValeurCellule&gt;</v>
      </c>
    </row>
    <row r="5319" spans="1:1" x14ac:dyDescent="0.2">
      <c r="A5319" s="1135" t="str">
        <f>CONCATENATE(Programme!C5320,Programme!D5320,Programme!E5320,Programme!F5320,Programme!G5320,Programme!H5320,Programme!I5320)</f>
        <v>&lt;ValeurCellule&gt;</v>
      </c>
    </row>
    <row r="5320" spans="1:1" x14ac:dyDescent="0.2">
      <c r="A5320" s="1135" t="str">
        <f>CONCATENATE(Programme!C5321,Programme!D5321,Programme!E5321,Programme!F5321,Programme!G5321,Programme!H5321,Programme!I5321)</f>
        <v>&lt;cellule&gt;</v>
      </c>
    </row>
    <row r="5321" spans="1:1" x14ac:dyDescent="0.2">
      <c r="A5321" s="1135" t="str">
        <f>CONCATENATE(Programme!C5322,Programme!D5322,Programme!E5322,Programme!F5322,Programme!G5322,Programme!H5322,Programme!I5322)</f>
        <v>&lt;codeEdi&gt;1591&lt;/codeEdi&gt;</v>
      </c>
    </row>
    <row r="5322" spans="1:1" x14ac:dyDescent="0.2">
      <c r="A5322" s="1135" t="str">
        <f>CONCATENATE(Programme!C5323,Programme!D5323,Programme!E5323,Programme!F5323,Programme!G5323,Programme!H5323,Programme!I5323)</f>
        <v>&lt;/cellule&gt;</v>
      </c>
    </row>
    <row r="5323" spans="1:1" x14ac:dyDescent="0.2">
      <c r="A5323" s="1135" t="str">
        <f>CONCATENATE(Programme!C5324,Programme!D5324,Programme!E5324,Programme!F5324,Programme!G5324,Programme!H5324,Programme!I5324)</f>
        <v>&lt;valeur&gt;&lt;/valeur&gt;</v>
      </c>
    </row>
    <row r="5324" spans="1:1" x14ac:dyDescent="0.2">
      <c r="A5324" s="1135" t="str">
        <f>CONCATENATE(Programme!C5325,Programme!D5325,Programme!E5325,Programme!F5325,Programme!G5325,Programme!H5325,Programme!I5325)</f>
        <v>&lt;/ValeurCellule&gt;</v>
      </c>
    </row>
    <row r="5325" spans="1:1" x14ac:dyDescent="0.2">
      <c r="A5325" s="1135" t="str">
        <f>CONCATENATE(Programme!C5326,Programme!D5326,Programme!E5326,Programme!F5326,Programme!G5326,Programme!H5326,Programme!I5326)</f>
        <v>&lt;ValeurCellule&gt;</v>
      </c>
    </row>
    <row r="5326" spans="1:1" x14ac:dyDescent="0.2">
      <c r="A5326" s="1135" t="str">
        <f>CONCATENATE(Programme!C5327,Programme!D5327,Programme!E5327,Programme!F5327,Programme!G5327,Programme!H5327,Programme!I5327)</f>
        <v>&lt;cellule&gt;</v>
      </c>
    </row>
    <row r="5327" spans="1:1" x14ac:dyDescent="0.2">
      <c r="A5327" s="1135" t="str">
        <f>CONCATENATE(Programme!C5328,Programme!D5328,Programme!E5328,Programme!F5328,Programme!G5328,Programme!H5328,Programme!I5328)</f>
        <v>&lt;codeEdi&gt;1592&lt;/codeEdi&gt;</v>
      </c>
    </row>
    <row r="5328" spans="1:1" x14ac:dyDescent="0.2">
      <c r="A5328" s="1135" t="str">
        <f>CONCATENATE(Programme!C5329,Programme!D5329,Programme!E5329,Programme!F5329,Programme!G5329,Programme!H5329,Programme!I5329)</f>
        <v>&lt;/cellule&gt;</v>
      </c>
    </row>
    <row r="5329" spans="1:1" x14ac:dyDescent="0.2">
      <c r="A5329" s="1135" t="str">
        <f>CONCATENATE(Programme!C5330,Programme!D5330,Programme!E5330,Programme!F5330,Programme!G5330,Programme!H5330,Programme!I5330)</f>
        <v>&lt;valeur&gt;0&lt;/valeur&gt;</v>
      </c>
    </row>
    <row r="5330" spans="1:1" x14ac:dyDescent="0.2">
      <c r="A5330" s="1135" t="str">
        <f>CONCATENATE(Programme!C5331,Programme!D5331,Programme!E5331,Programme!F5331,Programme!G5331,Programme!H5331,Programme!I5331)</f>
        <v>&lt;/ValeurCellule&gt;</v>
      </c>
    </row>
    <row r="5331" spans="1:1" x14ac:dyDescent="0.2">
      <c r="A5331" s="1135" t="str">
        <f>CONCATENATE(Programme!C5332,Programme!D5332,Programme!E5332,Programme!F5332,Programme!G5332,Programme!H5332,Programme!I5332)</f>
        <v>&lt;ValeurCellule&gt;</v>
      </c>
    </row>
    <row r="5332" spans="1:1" x14ac:dyDescent="0.2">
      <c r="A5332" s="1135" t="str">
        <f>CONCATENATE(Programme!C5333,Programme!D5333,Programme!E5333,Programme!F5333,Programme!G5333,Programme!H5333,Programme!I5333)</f>
        <v>&lt;cellule&gt;</v>
      </c>
    </row>
    <row r="5333" spans="1:1" x14ac:dyDescent="0.2">
      <c r="A5333" s="1135" t="str">
        <f>CONCATENATE(Programme!C5334,Programme!D5334,Programme!E5334,Programme!F5334,Programme!G5334,Programme!H5334,Programme!I5334)</f>
        <v>&lt;codeEdi&gt;1593&lt;/codeEdi&gt;</v>
      </c>
    </row>
    <row r="5334" spans="1:1" x14ac:dyDescent="0.2">
      <c r="A5334" s="1135" t="str">
        <f>CONCATENATE(Programme!C5335,Programme!D5335,Programme!E5335,Programme!F5335,Programme!G5335,Programme!H5335,Programme!I5335)</f>
        <v>&lt;/cellule&gt;</v>
      </c>
    </row>
    <row r="5335" spans="1:1" x14ac:dyDescent="0.2">
      <c r="A5335" s="1135" t="str">
        <f>CONCATENATE(Programme!C5336,Programme!D5336,Programme!E5336,Programme!F5336,Programme!G5336,Programme!H5336,Programme!I5336)</f>
        <v>&lt;valeur&gt;0&lt;/valeur&gt;</v>
      </c>
    </row>
    <row r="5336" spans="1:1" x14ac:dyDescent="0.2">
      <c r="A5336" s="1135" t="str">
        <f>CONCATENATE(Programme!C5337,Programme!D5337,Programme!E5337,Programme!F5337,Programme!G5337,Programme!H5337,Programme!I5337)</f>
        <v>&lt;/ValeurCellule&gt;</v>
      </c>
    </row>
    <row r="5337" spans="1:1" x14ac:dyDescent="0.2">
      <c r="A5337" s="1135" t="str">
        <f>CONCATENATE(Programme!C5338,Programme!D5338,Programme!E5338,Programme!F5338,Programme!G5338,Programme!H5338,Programme!I5338)</f>
        <v>&lt;ValeurCellule&gt;</v>
      </c>
    </row>
    <row r="5338" spans="1:1" x14ac:dyDescent="0.2">
      <c r="A5338" s="1135" t="str">
        <f>CONCATENATE(Programme!C5339,Programme!D5339,Programme!E5339,Programme!F5339,Programme!G5339,Programme!H5339,Programme!I5339)</f>
        <v>&lt;cellule&gt;</v>
      </c>
    </row>
    <row r="5339" spans="1:1" x14ac:dyDescent="0.2">
      <c r="A5339" s="1135" t="str">
        <f>CONCATENATE(Programme!C5340,Programme!D5340,Programme!E5340,Programme!F5340,Programme!G5340,Programme!H5340,Programme!I5340)</f>
        <v>&lt;codeEdi&gt;1594&lt;/codeEdi&gt;</v>
      </c>
    </row>
    <row r="5340" spans="1:1" x14ac:dyDescent="0.2">
      <c r="A5340" s="1135" t="str">
        <f>CONCATENATE(Programme!C5341,Programme!D5341,Programme!E5341,Programme!F5341,Programme!G5341,Programme!H5341,Programme!I5341)</f>
        <v>&lt;/cellule&gt;</v>
      </c>
    </row>
    <row r="5341" spans="1:1" x14ac:dyDescent="0.2">
      <c r="A5341" s="1135" t="str">
        <f>CONCATENATE(Programme!C5342,Programme!D5342,Programme!E5342,Programme!F5342,Programme!G5342,Programme!H5342,Programme!I5342)</f>
        <v>&lt;valeur&gt;0&lt;/valeur&gt;</v>
      </c>
    </row>
    <row r="5342" spans="1:1" x14ac:dyDescent="0.2">
      <c r="A5342" s="1135" t="str">
        <f>CONCATENATE(Programme!C5343,Programme!D5343,Programme!E5343,Programme!F5343,Programme!G5343,Programme!H5343,Programme!I5343)</f>
        <v>&lt;/ValeurCellule&gt;</v>
      </c>
    </row>
    <row r="5343" spans="1:1" x14ac:dyDescent="0.2">
      <c r="A5343" s="1135" t="str">
        <f>CONCATENATE(Programme!C5344,Programme!D5344,Programme!E5344,Programme!F5344,Programme!G5344,Programme!H5344,Programme!I5344)</f>
        <v>&lt;ValeurCellule&gt;</v>
      </c>
    </row>
    <row r="5344" spans="1:1" x14ac:dyDescent="0.2">
      <c r="A5344" s="1135" t="str">
        <f>CONCATENATE(Programme!C5345,Programme!D5345,Programme!E5345,Programme!F5345,Programme!G5345,Programme!H5345,Programme!I5345)</f>
        <v>&lt;cellule&gt;</v>
      </c>
    </row>
    <row r="5345" spans="1:1" x14ac:dyDescent="0.2">
      <c r="A5345" s="1135" t="str">
        <f>CONCATENATE(Programme!C5346,Programme!D5346,Programme!E5346,Programme!F5346,Programme!G5346,Programme!H5346,Programme!I5346)</f>
        <v>&lt;codeEdi&gt;1734&lt;/codeEdi&gt;</v>
      </c>
    </row>
    <row r="5346" spans="1:1" x14ac:dyDescent="0.2">
      <c r="A5346" s="1135" t="str">
        <f>CONCATENATE(Programme!C5347,Programme!D5347,Programme!E5347,Programme!F5347,Programme!G5347,Programme!H5347,Programme!I5347)</f>
        <v>&lt;/cellule&gt;</v>
      </c>
    </row>
    <row r="5347" spans="1:1" x14ac:dyDescent="0.2">
      <c r="A5347" s="1135" t="str">
        <f>CONCATENATE(Programme!C5348,Programme!D5348,Programme!E5348,Programme!F5348,Programme!G5348,Programme!H5348,Programme!I5348)</f>
        <v>&lt;valeur&gt;0&lt;/valeur&gt;</v>
      </c>
    </row>
    <row r="5348" spans="1:1" x14ac:dyDescent="0.2">
      <c r="A5348" s="1135" t="str">
        <f>CONCATENATE(Programme!C5349,Programme!D5349,Programme!E5349,Programme!F5349,Programme!G5349,Programme!H5349,Programme!I5349)</f>
        <v>&lt;/ValeurCellule&gt;</v>
      </c>
    </row>
    <row r="5349" spans="1:1" x14ac:dyDescent="0.2">
      <c r="A5349" s="1135" t="str">
        <f>CONCATENATE(Programme!C5350,Programme!D5350,Programme!E5350,Programme!F5350,Programme!G5350,Programme!H5350,Programme!I5350)</f>
        <v>&lt;ValeurCellule&gt;</v>
      </c>
    </row>
    <row r="5350" spans="1:1" x14ac:dyDescent="0.2">
      <c r="A5350" s="1135" t="str">
        <f>CONCATENATE(Programme!C5351,Programme!D5351,Programme!E5351,Programme!F5351,Programme!G5351,Programme!H5351,Programme!I5351)</f>
        <v>&lt;cellule&gt;</v>
      </c>
    </row>
    <row r="5351" spans="1:1" x14ac:dyDescent="0.2">
      <c r="A5351" s="1135" t="str">
        <f>CONCATENATE(Programme!C5352,Programme!D5352,Programme!E5352,Programme!F5352,Programme!G5352,Programme!H5352,Programme!I5352)</f>
        <v>&lt;codeEdi&gt;10091&lt;/codeEdi&gt;</v>
      </c>
    </row>
    <row r="5352" spans="1:1" x14ac:dyDescent="0.2">
      <c r="A5352" s="1135" t="str">
        <f>CONCATENATE(Programme!C5353,Programme!D5353,Programme!E5353,Programme!F5353,Programme!G5353,Programme!H5353,Programme!I5353)</f>
        <v>&lt;/cellule&gt;</v>
      </c>
    </row>
    <row r="5353" spans="1:1" x14ac:dyDescent="0.2">
      <c r="A5353" s="1135" t="str">
        <f>CONCATENATE(Programme!C5354,Programme!D5354,Programme!E5354,Programme!F5354,Programme!G5354,Programme!H5354,Programme!I5354)</f>
        <v>&lt;valeur&gt;0&lt;/valeur&gt;</v>
      </c>
    </row>
    <row r="5354" spans="1:1" x14ac:dyDescent="0.2">
      <c r="A5354" s="1135" t="str">
        <f>CONCATENATE(Programme!C5355,Programme!D5355,Programme!E5355,Programme!F5355,Programme!G5355,Programme!H5355,Programme!I5355)</f>
        <v>&lt;/ValeurCellule&gt;</v>
      </c>
    </row>
    <row r="5355" spans="1:1" x14ac:dyDescent="0.2">
      <c r="A5355" s="1135" t="str">
        <f>CONCATENATE(Programme!C5356,Programme!D5356,Programme!E5356,Programme!F5356,Programme!G5356,Programme!H5356,Programme!I5356)</f>
        <v>&lt;ValeurCellule&gt;</v>
      </c>
    </row>
    <row r="5356" spans="1:1" x14ac:dyDescent="0.2">
      <c r="A5356" s="1135" t="str">
        <f>CONCATENATE(Programme!C5357,Programme!D5357,Programme!E5357,Programme!F5357,Programme!G5357,Programme!H5357,Programme!I5357)</f>
        <v>&lt;cellule&gt;</v>
      </c>
    </row>
    <row r="5357" spans="1:1" x14ac:dyDescent="0.2">
      <c r="A5357" s="1135" t="str">
        <f>CONCATENATE(Programme!C5358,Programme!D5358,Programme!E5358,Programme!F5358,Programme!G5358,Programme!H5358,Programme!I5358)</f>
        <v>&lt;codeEdi&gt;10420&lt;/codeEdi&gt;</v>
      </c>
    </row>
    <row r="5358" spans="1:1" x14ac:dyDescent="0.2">
      <c r="A5358" s="1135" t="str">
        <f>CONCATENATE(Programme!C5359,Programme!D5359,Programme!E5359,Programme!F5359,Programme!G5359,Programme!H5359,Programme!I5359)</f>
        <v>&lt;/cellule&gt;</v>
      </c>
    </row>
    <row r="5359" spans="1:1" x14ac:dyDescent="0.2">
      <c r="A5359" s="1135" t="str">
        <f>CONCATENATE(Programme!C5360,Programme!D5360,Programme!E5360,Programme!F5360,Programme!G5360,Programme!H5360,Programme!I5360)</f>
        <v>&lt;valeur&gt;0&lt;/valeur&gt;</v>
      </c>
    </row>
    <row r="5360" spans="1:1" x14ac:dyDescent="0.2">
      <c r="A5360" s="1135" t="str">
        <f>CONCATENATE(Programme!C5361,Programme!D5361,Programme!E5361,Programme!F5361,Programme!G5361,Programme!H5361,Programme!I5361)</f>
        <v>&lt;/ValeurCellule&gt;</v>
      </c>
    </row>
    <row r="5361" spans="1:1" x14ac:dyDescent="0.2">
      <c r="A5361" s="1135" t="str">
        <f>CONCATENATE(Programme!C5362,Programme!D5362,Programme!E5362,Programme!F5362,Programme!G5362,Programme!H5362,Programme!I5362)</f>
        <v>&lt;ValeurCellule&gt;</v>
      </c>
    </row>
    <row r="5362" spans="1:1" x14ac:dyDescent="0.2">
      <c r="A5362" s="1135" t="str">
        <f>CONCATENATE(Programme!C5363,Programme!D5363,Programme!E5363,Programme!F5363,Programme!G5363,Programme!H5363,Programme!I5363)</f>
        <v>&lt;cellule&gt;</v>
      </c>
    </row>
    <row r="5363" spans="1:1" x14ac:dyDescent="0.2">
      <c r="A5363" s="1135" t="str">
        <f>CONCATENATE(Programme!C5364,Programme!D5364,Programme!E5364,Programme!F5364,Programme!G5364,Programme!H5364,Programme!I5364)</f>
        <v>&lt;codeEdi&gt;1764&lt;/codeEdi&gt;</v>
      </c>
    </row>
    <row r="5364" spans="1:1" x14ac:dyDescent="0.2">
      <c r="A5364" s="1135" t="str">
        <f>CONCATENATE(Programme!C5365,Programme!D5365,Programme!E5365,Programme!F5365,Programme!G5365,Programme!H5365,Programme!I5365)</f>
        <v>&lt;/cellule&gt;</v>
      </c>
    </row>
    <row r="5365" spans="1:1" x14ac:dyDescent="0.2">
      <c r="A5365" s="1135" t="str">
        <f>CONCATENATE(Programme!C5366,Programme!D5366,Programme!E5366,Programme!F5366,Programme!G5366,Programme!H5366,Programme!I5366)</f>
        <v>&lt;valeur&gt;&lt;/valeur&gt;</v>
      </c>
    </row>
    <row r="5366" spans="1:1" x14ac:dyDescent="0.2">
      <c r="A5366" s="1135" t="str">
        <f>CONCATENATE(Programme!C5367,Programme!D5367,Programme!E5367,Programme!F5367,Programme!G5367,Programme!H5367,Programme!I5367)</f>
        <v>&lt;/ValeurCellule&gt;</v>
      </c>
    </row>
    <row r="5367" spans="1:1" x14ac:dyDescent="0.2">
      <c r="A5367" s="1135" t="str">
        <f>CONCATENATE(Programme!C5368,Programme!D5368,Programme!E5368,Programme!F5368,Programme!G5368,Programme!H5368,Programme!I5368)</f>
        <v>&lt;ValeurCellule&gt;</v>
      </c>
    </row>
    <row r="5368" spans="1:1" x14ac:dyDescent="0.2">
      <c r="A5368" s="1135" t="str">
        <f>CONCATENATE(Programme!C5369,Programme!D5369,Programme!E5369,Programme!F5369,Programme!G5369,Programme!H5369,Programme!I5369)</f>
        <v>&lt;cellule&gt;</v>
      </c>
    </row>
    <row r="5369" spans="1:1" x14ac:dyDescent="0.2">
      <c r="A5369" s="1135" t="str">
        <f>CONCATENATE(Programme!C5370,Programme!D5370,Programme!E5370,Programme!F5370,Programme!G5370,Programme!H5370,Programme!I5370)</f>
        <v>&lt;codeEdi&gt;1765&lt;/codeEdi&gt;</v>
      </c>
    </row>
    <row r="5370" spans="1:1" x14ac:dyDescent="0.2">
      <c r="A5370" s="1135" t="str">
        <f>CONCATENATE(Programme!C5371,Programme!D5371,Programme!E5371,Programme!F5371,Programme!G5371,Programme!H5371,Programme!I5371)</f>
        <v>&lt;/cellule&gt;</v>
      </c>
    </row>
    <row r="5371" spans="1:1" x14ac:dyDescent="0.2">
      <c r="A5371" s="1135" t="str">
        <f>CONCATENATE(Programme!C5372,Programme!D5372,Programme!E5372,Programme!F5372,Programme!G5372,Programme!H5372,Programme!I5372)</f>
        <v>&lt;valeur&gt;0&lt;/valeur&gt;</v>
      </c>
    </row>
    <row r="5372" spans="1:1" x14ac:dyDescent="0.2">
      <c r="A5372" s="1135" t="str">
        <f>CONCATENATE(Programme!C5373,Programme!D5373,Programme!E5373,Programme!F5373,Programme!G5373,Programme!H5373,Programme!I5373)</f>
        <v>&lt;/ValeurCellule&gt;</v>
      </c>
    </row>
    <row r="5373" spans="1:1" x14ac:dyDescent="0.2">
      <c r="A5373" s="1135" t="str">
        <f>CONCATENATE(Programme!C5374,Programme!D5374,Programme!E5374,Programme!F5374,Programme!G5374,Programme!H5374,Programme!I5374)</f>
        <v>&lt;ValeurCellule&gt;</v>
      </c>
    </row>
    <row r="5374" spans="1:1" x14ac:dyDescent="0.2">
      <c r="A5374" s="1135" t="str">
        <f>CONCATENATE(Programme!C5375,Programme!D5375,Programme!E5375,Programme!F5375,Programme!G5375,Programme!H5375,Programme!I5375)</f>
        <v>&lt;cellule&gt;</v>
      </c>
    </row>
    <row r="5375" spans="1:1" x14ac:dyDescent="0.2">
      <c r="A5375" s="1135" t="str">
        <f>CONCATENATE(Programme!C5376,Programme!D5376,Programme!E5376,Programme!F5376,Programme!G5376,Programme!H5376,Programme!I5376)</f>
        <v>&lt;codeEdi&gt;1766&lt;/codeEdi&gt;</v>
      </c>
    </row>
    <row r="5376" spans="1:1" x14ac:dyDescent="0.2">
      <c r="A5376" s="1135" t="str">
        <f>CONCATENATE(Programme!C5377,Programme!D5377,Programme!E5377,Programme!F5377,Programme!G5377,Programme!H5377,Programme!I5377)</f>
        <v>&lt;/cellule&gt;</v>
      </c>
    </row>
    <row r="5377" spans="1:1" x14ac:dyDescent="0.2">
      <c r="A5377" s="1135" t="str">
        <f>CONCATENATE(Programme!C5378,Programme!D5378,Programme!E5378,Programme!F5378,Programme!G5378,Programme!H5378,Programme!I5378)</f>
        <v>&lt;valeur&gt;0&lt;/valeur&gt;</v>
      </c>
    </row>
    <row r="5378" spans="1:1" x14ac:dyDescent="0.2">
      <c r="A5378" s="1135" t="str">
        <f>CONCATENATE(Programme!C5379,Programme!D5379,Programme!E5379,Programme!F5379,Programme!G5379,Programme!H5379,Programme!I5379)</f>
        <v>&lt;/ValeurCellule&gt;</v>
      </c>
    </row>
    <row r="5379" spans="1:1" x14ac:dyDescent="0.2">
      <c r="A5379" s="1135" t="str">
        <f>CONCATENATE(Programme!C5380,Programme!D5380,Programme!E5380,Programme!F5380,Programme!G5380,Programme!H5380,Programme!I5380)</f>
        <v>&lt;ValeurCellule&gt;</v>
      </c>
    </row>
    <row r="5380" spans="1:1" x14ac:dyDescent="0.2">
      <c r="A5380" s="1135" t="str">
        <f>CONCATENATE(Programme!C5381,Programme!D5381,Programme!E5381,Programme!F5381,Programme!G5381,Programme!H5381,Programme!I5381)</f>
        <v>&lt;cellule&gt;</v>
      </c>
    </row>
    <row r="5381" spans="1:1" x14ac:dyDescent="0.2">
      <c r="A5381" s="1135" t="str">
        <f>CONCATENATE(Programme!C5382,Programme!D5382,Programme!E5382,Programme!F5382,Programme!G5382,Programme!H5382,Programme!I5382)</f>
        <v>&lt;codeEdi&gt;1767&lt;/codeEdi&gt;</v>
      </c>
    </row>
    <row r="5382" spans="1:1" x14ac:dyDescent="0.2">
      <c r="A5382" s="1135" t="str">
        <f>CONCATENATE(Programme!C5383,Programme!D5383,Programme!E5383,Programme!F5383,Programme!G5383,Programme!H5383,Programme!I5383)</f>
        <v>&lt;/cellule&gt;</v>
      </c>
    </row>
    <row r="5383" spans="1:1" x14ac:dyDescent="0.2">
      <c r="A5383" s="1135" t="str">
        <f>CONCATENATE(Programme!C5384,Programme!D5384,Programme!E5384,Programme!F5384,Programme!G5384,Programme!H5384,Programme!I5384)</f>
        <v>&lt;valeur&gt;0&lt;/valeur&gt;</v>
      </c>
    </row>
    <row r="5384" spans="1:1" x14ac:dyDescent="0.2">
      <c r="A5384" s="1135" t="str">
        <f>CONCATENATE(Programme!C5385,Programme!D5385,Programme!E5385,Programme!F5385,Programme!G5385,Programme!H5385,Programme!I5385)</f>
        <v>&lt;/ValeurCellule&gt;</v>
      </c>
    </row>
    <row r="5385" spans="1:1" x14ac:dyDescent="0.2">
      <c r="A5385" s="1135" t="str">
        <f>CONCATENATE(Programme!C5386,Programme!D5386,Programme!E5386,Programme!F5386,Programme!G5386,Programme!H5386,Programme!I5386)</f>
        <v>&lt;ValeurCellule&gt;</v>
      </c>
    </row>
    <row r="5386" spans="1:1" x14ac:dyDescent="0.2">
      <c r="A5386" s="1135" t="str">
        <f>CONCATENATE(Programme!C5387,Programme!D5387,Programme!E5387,Programme!F5387,Programme!G5387,Programme!H5387,Programme!I5387)</f>
        <v>&lt;cellule&gt;</v>
      </c>
    </row>
    <row r="5387" spans="1:1" x14ac:dyDescent="0.2">
      <c r="A5387" s="1135" t="str">
        <f>CONCATENATE(Programme!C5388,Programme!D5388,Programme!E5388,Programme!F5388,Programme!G5388,Programme!H5388,Programme!I5388)</f>
        <v>&lt;codeEdi&gt;1814&lt;/codeEdi&gt;</v>
      </c>
    </row>
    <row r="5388" spans="1:1" x14ac:dyDescent="0.2">
      <c r="A5388" s="1135" t="str">
        <f>CONCATENATE(Programme!C5389,Programme!D5389,Programme!E5389,Programme!F5389,Programme!G5389,Programme!H5389,Programme!I5389)</f>
        <v>&lt;/cellule&gt;</v>
      </c>
    </row>
    <row r="5389" spans="1:1" x14ac:dyDescent="0.2">
      <c r="A5389" s="1135" t="str">
        <f>CONCATENATE(Programme!C5390,Programme!D5390,Programme!E5390,Programme!F5390,Programme!G5390,Programme!H5390,Programme!I5390)</f>
        <v>&lt;valeur&gt;&lt;/valeur&gt;</v>
      </c>
    </row>
    <row r="5390" spans="1:1" x14ac:dyDescent="0.2">
      <c r="A5390" s="1135" t="str">
        <f>CONCATENATE(Programme!C5391,Programme!D5391,Programme!E5391,Programme!F5391,Programme!G5391,Programme!H5391,Programme!I5391)</f>
        <v>&lt;/ValeurCellule&gt;</v>
      </c>
    </row>
    <row r="5391" spans="1:1" x14ac:dyDescent="0.2">
      <c r="A5391" s="1135" t="str">
        <f>CONCATENATE(Programme!C5392,Programme!D5392,Programme!E5392,Programme!F5392,Programme!G5392,Programme!H5392,Programme!I5392)</f>
        <v>&lt;ValeurCellule&gt;</v>
      </c>
    </row>
    <row r="5392" spans="1:1" x14ac:dyDescent="0.2">
      <c r="A5392" s="1135" t="str">
        <f>CONCATENATE(Programme!C5393,Programme!D5393,Programme!E5393,Programme!F5393,Programme!G5393,Programme!H5393,Programme!I5393)</f>
        <v>&lt;cellule&gt;</v>
      </c>
    </row>
    <row r="5393" spans="1:1" x14ac:dyDescent="0.2">
      <c r="A5393" s="1135" t="str">
        <f>CONCATENATE(Programme!C5394,Programme!D5394,Programme!E5394,Programme!F5394,Programme!G5394,Programme!H5394,Programme!I5394)</f>
        <v>&lt;codeEdi&gt;1815&lt;/codeEdi&gt;</v>
      </c>
    </row>
    <row r="5394" spans="1:1" x14ac:dyDescent="0.2">
      <c r="A5394" s="1135" t="str">
        <f>CONCATENATE(Programme!C5395,Programme!D5395,Programme!E5395,Programme!F5395,Programme!G5395,Programme!H5395,Programme!I5395)</f>
        <v>&lt;/cellule&gt;</v>
      </c>
    </row>
    <row r="5395" spans="1:1" x14ac:dyDescent="0.2">
      <c r="A5395" s="1135" t="str">
        <f>CONCATENATE(Programme!C5396,Programme!D5396,Programme!E5396,Programme!F5396,Programme!G5396,Programme!H5396,Programme!I5396)</f>
        <v>&lt;valeur&gt;0&lt;/valeur&gt;</v>
      </c>
    </row>
    <row r="5396" spans="1:1" x14ac:dyDescent="0.2">
      <c r="A5396" s="1135" t="str">
        <f>CONCATENATE(Programme!C5397,Programme!D5397,Programme!E5397,Programme!F5397,Programme!G5397,Programme!H5397,Programme!I5397)</f>
        <v>&lt;/ValeurCellule&gt;</v>
      </c>
    </row>
    <row r="5397" spans="1:1" x14ac:dyDescent="0.2">
      <c r="A5397" s="1135" t="str">
        <f>CONCATENATE(Programme!C5398,Programme!D5398,Programme!E5398,Programme!F5398,Programme!G5398,Programme!H5398,Programme!I5398)</f>
        <v>&lt;ValeurCellule&gt;</v>
      </c>
    </row>
    <row r="5398" spans="1:1" x14ac:dyDescent="0.2">
      <c r="A5398" s="1135" t="str">
        <f>CONCATENATE(Programme!C5399,Programme!D5399,Programme!E5399,Programme!F5399,Programme!G5399,Programme!H5399,Programme!I5399)</f>
        <v>&lt;cellule&gt;</v>
      </c>
    </row>
    <row r="5399" spans="1:1" x14ac:dyDescent="0.2">
      <c r="A5399" s="1135" t="str">
        <f>CONCATENATE(Programme!C5400,Programme!D5400,Programme!E5400,Programme!F5400,Programme!G5400,Programme!H5400,Programme!I5400)</f>
        <v>&lt;codeEdi&gt;1816&lt;/codeEdi&gt;</v>
      </c>
    </row>
    <row r="5400" spans="1:1" x14ac:dyDescent="0.2">
      <c r="A5400" s="1135" t="str">
        <f>CONCATENATE(Programme!C5401,Programme!D5401,Programme!E5401,Programme!F5401,Programme!G5401,Programme!H5401,Programme!I5401)</f>
        <v>&lt;/cellule&gt;</v>
      </c>
    </row>
    <row r="5401" spans="1:1" x14ac:dyDescent="0.2">
      <c r="A5401" s="1135" t="str">
        <f>CONCATENATE(Programme!C5402,Programme!D5402,Programme!E5402,Programme!F5402,Programme!G5402,Programme!H5402,Programme!I5402)</f>
        <v>&lt;valeur&gt;0&lt;/valeur&gt;</v>
      </c>
    </row>
    <row r="5402" spans="1:1" x14ac:dyDescent="0.2">
      <c r="A5402" s="1135" t="str">
        <f>CONCATENATE(Programme!C5403,Programme!D5403,Programme!E5403,Programme!F5403,Programme!G5403,Programme!H5403,Programme!I5403)</f>
        <v>&lt;/ValeurCellule&gt;</v>
      </c>
    </row>
    <row r="5403" spans="1:1" x14ac:dyDescent="0.2">
      <c r="A5403" s="1135" t="str">
        <f>CONCATENATE(Programme!C5404,Programme!D5404,Programme!E5404,Programme!F5404,Programme!G5404,Programme!H5404,Programme!I5404)</f>
        <v>&lt;ValeurCellule&gt;</v>
      </c>
    </row>
    <row r="5404" spans="1:1" x14ac:dyDescent="0.2">
      <c r="A5404" s="1135" t="str">
        <f>CONCATENATE(Programme!C5405,Programme!D5405,Programme!E5405,Programme!F5405,Programme!G5405,Programme!H5405,Programme!I5405)</f>
        <v>&lt;cellule&gt;</v>
      </c>
    </row>
    <row r="5405" spans="1:1" x14ac:dyDescent="0.2">
      <c r="A5405" s="1135" t="str">
        <f>CONCATENATE(Programme!C5406,Programme!D5406,Programme!E5406,Programme!F5406,Programme!G5406,Programme!H5406,Programme!I5406)</f>
        <v>&lt;codeEdi&gt;1817&lt;/codeEdi&gt;</v>
      </c>
    </row>
    <row r="5406" spans="1:1" x14ac:dyDescent="0.2">
      <c r="A5406" s="1135" t="str">
        <f>CONCATENATE(Programme!C5407,Programme!D5407,Programme!E5407,Programme!F5407,Programme!G5407,Programme!H5407,Programme!I5407)</f>
        <v>&lt;/cellule&gt;</v>
      </c>
    </row>
    <row r="5407" spans="1:1" x14ac:dyDescent="0.2">
      <c r="A5407" s="1135" t="str">
        <f>CONCATENATE(Programme!C5408,Programme!D5408,Programme!E5408,Programme!F5408,Programme!G5408,Programme!H5408,Programme!I5408)</f>
        <v>&lt;valeur&gt;0&lt;/valeur&gt;</v>
      </c>
    </row>
    <row r="5408" spans="1:1" x14ac:dyDescent="0.2">
      <c r="A5408" s="1135" t="str">
        <f>CONCATENATE(Programme!C5409,Programme!D5409,Programme!E5409,Programme!F5409,Programme!G5409,Programme!H5409,Programme!I5409)</f>
        <v>&lt;/ValeurCellule&gt;</v>
      </c>
    </row>
    <row r="5409" spans="1:1" x14ac:dyDescent="0.2">
      <c r="A5409" s="1135" t="str">
        <f>CONCATENATE(Programme!C5410,Programme!D5410,Programme!E5410,Programme!F5410,Programme!G5410,Programme!H5410,Programme!I5410)</f>
        <v>&lt;ValeurCellule&gt;</v>
      </c>
    </row>
    <row r="5410" spans="1:1" x14ac:dyDescent="0.2">
      <c r="A5410" s="1135" t="str">
        <f>CONCATENATE(Programme!C5411,Programme!D5411,Programme!E5411,Programme!F5411,Programme!G5411,Programme!H5411,Programme!I5411)</f>
        <v>&lt;cellule&gt;</v>
      </c>
    </row>
    <row r="5411" spans="1:1" x14ac:dyDescent="0.2">
      <c r="A5411" s="1135" t="str">
        <f>CONCATENATE(Programme!C5412,Programme!D5412,Programme!E5412,Programme!F5412,Programme!G5412,Programme!H5412,Programme!I5412)</f>
        <v>&lt;codeEdi&gt;1794&lt;/codeEdi&gt;</v>
      </c>
    </row>
    <row r="5412" spans="1:1" x14ac:dyDescent="0.2">
      <c r="A5412" s="1135" t="str">
        <f>CONCATENATE(Programme!C5413,Programme!D5413,Programme!E5413,Programme!F5413,Programme!G5413,Programme!H5413,Programme!I5413)</f>
        <v>&lt;/cellule&gt;</v>
      </c>
    </row>
    <row r="5413" spans="1:1" x14ac:dyDescent="0.2">
      <c r="A5413" s="1135" t="str">
        <f>CONCATENATE(Programme!C5414,Programme!D5414,Programme!E5414,Programme!F5414,Programme!G5414,Programme!H5414,Programme!I5414)</f>
        <v>&lt;valeur&gt;0&lt;/valeur&gt;</v>
      </c>
    </row>
    <row r="5414" spans="1:1" x14ac:dyDescent="0.2">
      <c r="A5414" s="1135" t="str">
        <f>CONCATENATE(Programme!C5415,Programme!D5415,Programme!E5415,Programme!F5415,Programme!G5415,Programme!H5415,Programme!I5415)</f>
        <v>&lt;/ValeurCellule&gt;</v>
      </c>
    </row>
    <row r="5415" spans="1:1" x14ac:dyDescent="0.2">
      <c r="A5415" s="1135" t="str">
        <f>CONCATENATE(Programme!C5416,Programme!D5416,Programme!E5416,Programme!F5416,Programme!G5416,Programme!H5416,Programme!I5416)</f>
        <v>&lt;ValeurCellule&gt;</v>
      </c>
    </row>
    <row r="5416" spans="1:1" x14ac:dyDescent="0.2">
      <c r="A5416" s="1135" t="str">
        <f>CONCATENATE(Programme!C5417,Programme!D5417,Programme!E5417,Programme!F5417,Programme!G5417,Programme!H5417,Programme!I5417)</f>
        <v>&lt;cellule&gt;</v>
      </c>
    </row>
    <row r="5417" spans="1:1" x14ac:dyDescent="0.2">
      <c r="A5417" s="1135" t="str">
        <f>CONCATENATE(Programme!C5418,Programme!D5418,Programme!E5418,Programme!F5418,Programme!G5418,Programme!H5418,Programme!I5418)</f>
        <v>&lt;codeEdi&gt;1795&lt;/codeEdi&gt;</v>
      </c>
    </row>
    <row r="5418" spans="1:1" x14ac:dyDescent="0.2">
      <c r="A5418" s="1135" t="str">
        <f>CONCATENATE(Programme!C5419,Programme!D5419,Programme!E5419,Programme!F5419,Programme!G5419,Programme!H5419,Programme!I5419)</f>
        <v>&lt;/cellule&gt;</v>
      </c>
    </row>
    <row r="5419" spans="1:1" x14ac:dyDescent="0.2">
      <c r="A5419" s="1135" t="str">
        <f>CONCATENATE(Programme!C5420,Programme!D5420,Programme!E5420,Programme!F5420,Programme!G5420,Programme!H5420,Programme!I5420)</f>
        <v>&lt;valeur&gt;0&lt;/valeur&gt;</v>
      </c>
    </row>
    <row r="5420" spans="1:1" x14ac:dyDescent="0.2">
      <c r="A5420" s="1135" t="str">
        <f>CONCATENATE(Programme!C5421,Programme!D5421,Programme!E5421,Programme!F5421,Programme!G5421,Programme!H5421,Programme!I5421)</f>
        <v>&lt;/ValeurCellule&gt;</v>
      </c>
    </row>
    <row r="5421" spans="1:1" x14ac:dyDescent="0.2">
      <c r="A5421" s="1135" t="str">
        <f>CONCATENATE(Programme!C5422,Programme!D5422,Programme!E5422,Programme!F5422,Programme!G5422,Programme!H5422,Programme!I5422)</f>
        <v>&lt;ValeurCellule&gt;</v>
      </c>
    </row>
    <row r="5422" spans="1:1" x14ac:dyDescent="0.2">
      <c r="A5422" s="1135" t="str">
        <f>CONCATENATE(Programme!C5423,Programme!D5423,Programme!E5423,Programme!F5423,Programme!G5423,Programme!H5423,Programme!I5423)</f>
        <v>&lt;cellule&gt;</v>
      </c>
    </row>
    <row r="5423" spans="1:1" x14ac:dyDescent="0.2">
      <c r="A5423" s="1135" t="str">
        <f>CONCATENATE(Programme!C5424,Programme!D5424,Programme!E5424,Programme!F5424,Programme!G5424,Programme!H5424,Programme!I5424)</f>
        <v>&lt;codeEdi&gt;1796&lt;/codeEdi&gt;</v>
      </c>
    </row>
    <row r="5424" spans="1:1" x14ac:dyDescent="0.2">
      <c r="A5424" s="1135" t="str">
        <f>CONCATENATE(Programme!C5425,Programme!D5425,Programme!E5425,Programme!F5425,Programme!G5425,Programme!H5425,Programme!I5425)</f>
        <v>&lt;/cellule&gt;</v>
      </c>
    </row>
    <row r="5425" spans="1:1" x14ac:dyDescent="0.2">
      <c r="A5425" s="1135" t="str">
        <f>CONCATENATE(Programme!C5426,Programme!D5426,Programme!E5426,Programme!F5426,Programme!G5426,Programme!H5426,Programme!I5426)</f>
        <v>&lt;valeur&gt;0&lt;/valeur&gt;</v>
      </c>
    </row>
    <row r="5426" spans="1:1" x14ac:dyDescent="0.2">
      <c r="A5426" s="1135" t="str">
        <f>CONCATENATE(Programme!C5427,Programme!D5427,Programme!E5427,Programme!F5427,Programme!G5427,Programme!H5427,Programme!I5427)</f>
        <v>&lt;/ValeurCellule&gt;</v>
      </c>
    </row>
    <row r="5427" spans="1:1" x14ac:dyDescent="0.2">
      <c r="A5427" s="1135" t="str">
        <f>CONCATENATE(Programme!C5428,Programme!D5428,Programme!E5428,Programme!F5428,Programme!G5428,Programme!H5428,Programme!I5428)</f>
        <v>&lt;ValeurCellule&gt;</v>
      </c>
    </row>
    <row r="5428" spans="1:1" x14ac:dyDescent="0.2">
      <c r="A5428" s="1135" t="str">
        <f>CONCATENATE(Programme!C5429,Programme!D5429,Programme!E5429,Programme!F5429,Programme!G5429,Programme!H5429,Programme!I5429)</f>
        <v>&lt;cellule&gt;</v>
      </c>
    </row>
    <row r="5429" spans="1:1" x14ac:dyDescent="0.2">
      <c r="A5429" s="1135" t="str">
        <f>CONCATENATE(Programme!C5430,Programme!D5430,Programme!E5430,Programme!F5430,Programme!G5430,Programme!H5430,Programme!I5430)</f>
        <v>&lt;codeEdi&gt;1797&lt;/codeEdi&gt;</v>
      </c>
    </row>
    <row r="5430" spans="1:1" x14ac:dyDescent="0.2">
      <c r="A5430" s="1135" t="str">
        <f>CONCATENATE(Programme!C5431,Programme!D5431,Programme!E5431,Programme!F5431,Programme!G5431,Programme!H5431,Programme!I5431)</f>
        <v>&lt;/cellule&gt;</v>
      </c>
    </row>
    <row r="5431" spans="1:1" x14ac:dyDescent="0.2">
      <c r="A5431" s="1135" t="str">
        <f>CONCATENATE(Programme!C5432,Programme!D5432,Programme!E5432,Programme!F5432,Programme!G5432,Programme!H5432,Programme!I5432)</f>
        <v>&lt;valeur&gt;0&lt;/valeur&gt;</v>
      </c>
    </row>
    <row r="5432" spans="1:1" x14ac:dyDescent="0.2">
      <c r="A5432" s="1135" t="str">
        <f>CONCATENATE(Programme!C5433,Programme!D5433,Programme!E5433,Programme!F5433,Programme!G5433,Programme!H5433,Programme!I5433)</f>
        <v>&lt;/ValeurCellule&gt;</v>
      </c>
    </row>
    <row r="5433" spans="1:1" x14ac:dyDescent="0.2">
      <c r="A5433" s="1135" t="str">
        <f>CONCATENATE(Programme!C5434,Programme!D5434,Programme!E5434,Programme!F5434,Programme!G5434,Programme!H5434,Programme!I5434)</f>
        <v>&lt;ValeurCellule&gt;</v>
      </c>
    </row>
    <row r="5434" spans="1:1" x14ac:dyDescent="0.2">
      <c r="A5434" s="1135" t="str">
        <f>CONCATENATE(Programme!C5435,Programme!D5435,Programme!E5435,Programme!F5435,Programme!G5435,Programme!H5435,Programme!I5435)</f>
        <v>&lt;cellule&gt;</v>
      </c>
    </row>
    <row r="5435" spans="1:1" x14ac:dyDescent="0.2">
      <c r="A5435" s="1135" t="str">
        <f>CONCATENATE(Programme!C5436,Programme!D5436,Programme!E5436,Programme!F5436,Programme!G5436,Programme!H5436,Programme!I5436)</f>
        <v>&lt;codeEdi&gt;1798&lt;/codeEdi&gt;</v>
      </c>
    </row>
    <row r="5436" spans="1:1" x14ac:dyDescent="0.2">
      <c r="A5436" s="1135" t="str">
        <f>CONCATENATE(Programme!C5437,Programme!D5437,Programme!E5437,Programme!F5437,Programme!G5437,Programme!H5437,Programme!I5437)</f>
        <v>&lt;/cellule&gt;</v>
      </c>
    </row>
    <row r="5437" spans="1:1" x14ac:dyDescent="0.2">
      <c r="A5437" s="1135" t="str">
        <f>CONCATENATE(Programme!C5438,Programme!D5438,Programme!E5438,Programme!F5438,Programme!G5438,Programme!H5438,Programme!I5438)</f>
        <v>&lt;valeur&gt;0&lt;/valeur&gt;</v>
      </c>
    </row>
    <row r="5438" spans="1:1" x14ac:dyDescent="0.2">
      <c r="A5438" s="1135" t="str">
        <f>CONCATENATE(Programme!C5439,Programme!D5439,Programme!E5439,Programme!F5439,Programme!G5439,Programme!H5439,Programme!I5439)</f>
        <v>&lt;/ValeurCellule&gt;</v>
      </c>
    </row>
    <row r="5439" spans="1:1" x14ac:dyDescent="0.2">
      <c r="A5439" s="1135" t="str">
        <f>CONCATENATE(Programme!C5440,Programme!D5440,Programme!E5440,Programme!F5440,Programme!G5440,Programme!H5440,Programme!I5440)</f>
        <v>&lt;ValeurCellule&gt;</v>
      </c>
    </row>
    <row r="5440" spans="1:1" x14ac:dyDescent="0.2">
      <c r="A5440" s="1135" t="str">
        <f>CONCATENATE(Programme!C5441,Programme!D5441,Programme!E5441,Programme!F5441,Programme!G5441,Programme!H5441,Programme!I5441)</f>
        <v>&lt;cellule&gt;</v>
      </c>
    </row>
    <row r="5441" spans="1:1" x14ac:dyDescent="0.2">
      <c r="A5441" s="1135" t="str">
        <f>CONCATENATE(Programme!C5442,Programme!D5442,Programme!E5442,Programme!F5442,Programme!G5442,Programme!H5442,Programme!I5442)</f>
        <v>&lt;codeEdi&gt;1792&lt;/codeEdi&gt;</v>
      </c>
    </row>
    <row r="5442" spans="1:1" x14ac:dyDescent="0.2">
      <c r="A5442" s="1135" t="str">
        <f>CONCATENATE(Programme!C5443,Programme!D5443,Programme!E5443,Programme!F5443,Programme!G5443,Programme!H5443,Programme!I5443)</f>
        <v>&lt;/cellule&gt;</v>
      </c>
    </row>
    <row r="5443" spans="1:1" x14ac:dyDescent="0.2">
      <c r="A5443" s="1135" t="str">
        <f>CONCATENATE(Programme!C5444,Programme!D5444,Programme!E5444,Programme!F5444,Programme!G5444,Programme!H5444,Programme!I5444)</f>
        <v>&lt;valeur&gt;&lt;/valeur&gt;</v>
      </c>
    </row>
    <row r="5444" spans="1:1" x14ac:dyDescent="0.2">
      <c r="A5444" s="1135" t="str">
        <f>CONCATENATE(Programme!C5445,Programme!D5445,Programme!E5445,Programme!F5445,Programme!G5445,Programme!H5445,Programme!I5445)</f>
        <v>&lt;/ValeurCellule&gt;</v>
      </c>
    </row>
    <row r="5445" spans="1:1" x14ac:dyDescent="0.2">
      <c r="A5445" s="1135" t="str">
        <f>CONCATENATE(Programme!C5446,Programme!D5446,Programme!E5446,Programme!F5446,Programme!G5446,Programme!H5446,Programme!I5446)</f>
        <v>&lt;ValeurCellule&gt;</v>
      </c>
    </row>
    <row r="5446" spans="1:1" x14ac:dyDescent="0.2">
      <c r="A5446" s="1135" t="str">
        <f>CONCATENATE(Programme!C5447,Programme!D5447,Programme!E5447,Programme!F5447,Programme!G5447,Programme!H5447,Programme!I5447)</f>
        <v>&lt;cellule&gt;</v>
      </c>
    </row>
    <row r="5447" spans="1:1" x14ac:dyDescent="0.2">
      <c r="A5447" s="1135" t="str">
        <f>CONCATENATE(Programme!C5448,Programme!D5448,Programme!E5448,Programme!F5448,Programme!G5448,Programme!H5448,Programme!I5448)</f>
        <v>&lt;codeEdi&gt;1793&lt;/codeEdi&gt;</v>
      </c>
    </row>
    <row r="5448" spans="1:1" x14ac:dyDescent="0.2">
      <c r="A5448" s="1135" t="str">
        <f>CONCATENATE(Programme!C5449,Programme!D5449,Programme!E5449,Programme!F5449,Programme!G5449,Programme!H5449,Programme!I5449)</f>
        <v>&lt;/cellule&gt;</v>
      </c>
    </row>
    <row r="5449" spans="1:1" x14ac:dyDescent="0.2">
      <c r="A5449" s="1135" t="str">
        <f>CONCATENATE(Programme!C5450,Programme!D5450,Programme!E5450,Programme!F5450,Programme!G5450,Programme!H5450,Programme!I5450)</f>
        <v>&lt;valeur&gt;0&lt;/valeur&gt;</v>
      </c>
    </row>
    <row r="5450" spans="1:1" x14ac:dyDescent="0.2">
      <c r="A5450" s="1135" t="str">
        <f>CONCATENATE(Programme!C5451,Programme!D5451,Programme!E5451,Programme!F5451,Programme!G5451,Programme!H5451,Programme!I5451)</f>
        <v>&lt;/ValeurCellule&gt;</v>
      </c>
    </row>
    <row r="5451" spans="1:1" x14ac:dyDescent="0.2">
      <c r="A5451" s="1135" t="str">
        <f>CONCATENATE(Programme!C5452,Programme!D5452,Programme!E5452,Programme!F5452,Programme!G5452,Programme!H5452,Programme!I5452)</f>
        <v>&lt;ValeurCellule&gt;</v>
      </c>
    </row>
    <row r="5452" spans="1:1" x14ac:dyDescent="0.2">
      <c r="A5452" s="1135" t="str">
        <f>CONCATENATE(Programme!C5453,Programme!D5453,Programme!E5453,Programme!F5453,Programme!G5453,Programme!H5453,Programme!I5453)</f>
        <v>&lt;cellule&gt;</v>
      </c>
    </row>
    <row r="5453" spans="1:1" x14ac:dyDescent="0.2">
      <c r="A5453" s="1135" t="str">
        <f>CONCATENATE(Programme!C5454,Programme!D5454,Programme!E5454,Programme!F5454,Programme!G5454,Programme!H5454,Programme!I5454)</f>
        <v>&lt;codeEdi&gt;1807&lt;/codeEdi&gt;</v>
      </c>
    </row>
    <row r="5454" spans="1:1" x14ac:dyDescent="0.2">
      <c r="A5454" s="1135" t="str">
        <f>CONCATENATE(Programme!C5455,Programme!D5455,Programme!E5455,Programme!F5455,Programme!G5455,Programme!H5455,Programme!I5455)</f>
        <v>&lt;/cellule&gt;</v>
      </c>
    </row>
    <row r="5455" spans="1:1" x14ac:dyDescent="0.2">
      <c r="A5455" s="1135" t="str">
        <f>CONCATENATE(Programme!C5456,Programme!D5456,Programme!E5456,Programme!F5456,Programme!G5456,Programme!H5456,Programme!I5456)</f>
        <v>&lt;valeur&gt;&lt;/valeur&gt;</v>
      </c>
    </row>
    <row r="5456" spans="1:1" x14ac:dyDescent="0.2">
      <c r="A5456" s="1135" t="str">
        <f>CONCATENATE(Programme!C5457,Programme!D5457,Programme!E5457,Programme!F5457,Programme!G5457,Programme!H5457,Programme!I5457)</f>
        <v>&lt;/ValeurCellule&gt;</v>
      </c>
    </row>
    <row r="5457" spans="1:1" x14ac:dyDescent="0.2">
      <c r="A5457" s="1135" t="str">
        <f>CONCATENATE(Programme!C5458,Programme!D5458,Programme!E5458,Programme!F5458,Programme!G5458,Programme!H5458,Programme!I5458)</f>
        <v>&lt;ValeurCellule&gt;</v>
      </c>
    </row>
    <row r="5458" spans="1:1" x14ac:dyDescent="0.2">
      <c r="A5458" s="1135" t="str">
        <f>CONCATENATE(Programme!C5459,Programme!D5459,Programme!E5459,Programme!F5459,Programme!G5459,Programme!H5459,Programme!I5459)</f>
        <v>&lt;cellule&gt;</v>
      </c>
    </row>
    <row r="5459" spans="1:1" x14ac:dyDescent="0.2">
      <c r="A5459" s="1135" t="str">
        <f>CONCATENATE(Programme!C5460,Programme!D5460,Programme!E5460,Programme!F5460,Programme!G5460,Programme!H5460,Programme!I5460)</f>
        <v>&lt;codeEdi&gt;1808&lt;/codeEdi&gt;</v>
      </c>
    </row>
    <row r="5460" spans="1:1" x14ac:dyDescent="0.2">
      <c r="A5460" s="1135" t="str">
        <f>CONCATENATE(Programme!C5461,Programme!D5461,Programme!E5461,Programme!F5461,Programme!G5461,Programme!H5461,Programme!I5461)</f>
        <v>&lt;/cellule&gt;</v>
      </c>
    </row>
    <row r="5461" spans="1:1" x14ac:dyDescent="0.2">
      <c r="A5461" s="1135" t="str">
        <f>CONCATENATE(Programme!C5462,Programme!D5462,Programme!E5462,Programme!F5462,Programme!G5462,Programme!H5462,Programme!I5462)</f>
        <v>&lt;valeur&gt;0&lt;/valeur&gt;</v>
      </c>
    </row>
    <row r="5462" spans="1:1" x14ac:dyDescent="0.2">
      <c r="A5462" s="1135" t="str">
        <f>CONCATENATE(Programme!C5463,Programme!D5463,Programme!E5463,Programme!F5463,Programme!G5463,Programme!H5463,Programme!I5463)</f>
        <v>&lt;/ValeurCellule&gt;</v>
      </c>
    </row>
    <row r="5463" spans="1:1" x14ac:dyDescent="0.2">
      <c r="A5463" s="1135" t="str">
        <f>CONCATENATE(Programme!C5464,Programme!D5464,Programme!E5464,Programme!F5464,Programme!G5464,Programme!H5464,Programme!I5464)</f>
        <v>&lt;ValeurCellule&gt;</v>
      </c>
    </row>
    <row r="5464" spans="1:1" x14ac:dyDescent="0.2">
      <c r="A5464" s="1135" t="str">
        <f>CONCATENATE(Programme!C5465,Programme!D5465,Programme!E5465,Programme!F5465,Programme!G5465,Programme!H5465,Programme!I5465)</f>
        <v>&lt;cellule&gt;</v>
      </c>
    </row>
    <row r="5465" spans="1:1" x14ac:dyDescent="0.2">
      <c r="A5465" s="1135" t="str">
        <f>CONCATENATE(Programme!C5466,Programme!D5466,Programme!E5466,Programme!F5466,Programme!G5466,Programme!H5466,Programme!I5466)</f>
        <v>&lt;codeEdi&gt;1809&lt;/codeEdi&gt;</v>
      </c>
    </row>
    <row r="5466" spans="1:1" x14ac:dyDescent="0.2">
      <c r="A5466" s="1135" t="str">
        <f>CONCATENATE(Programme!C5467,Programme!D5467,Programme!E5467,Programme!F5467,Programme!G5467,Programme!H5467,Programme!I5467)</f>
        <v>&lt;/cellule&gt;</v>
      </c>
    </row>
    <row r="5467" spans="1:1" x14ac:dyDescent="0.2">
      <c r="A5467" s="1135" t="str">
        <f>CONCATENATE(Programme!C5468,Programme!D5468,Programme!E5468,Programme!F5468,Programme!G5468,Programme!H5468,Programme!I5468)</f>
        <v>&lt;valeur&gt;0&lt;/valeur&gt;</v>
      </c>
    </row>
    <row r="5468" spans="1:1" x14ac:dyDescent="0.2">
      <c r="A5468" s="1135" t="str">
        <f>CONCATENATE(Programme!C5469,Programme!D5469,Programme!E5469,Programme!F5469,Programme!G5469,Programme!H5469,Programme!I5469)</f>
        <v>&lt;/ValeurCellule&gt;</v>
      </c>
    </row>
    <row r="5469" spans="1:1" x14ac:dyDescent="0.2">
      <c r="A5469" s="1135" t="str">
        <f>CONCATENATE(Programme!C5470,Programme!D5470,Programme!E5470,Programme!F5470,Programme!G5470,Programme!H5470,Programme!I5470)</f>
        <v>&lt;ValeurCellule&gt;</v>
      </c>
    </row>
    <row r="5470" spans="1:1" x14ac:dyDescent="0.2">
      <c r="A5470" s="1135" t="str">
        <f>CONCATENATE(Programme!C5471,Programme!D5471,Programme!E5471,Programme!F5471,Programme!G5471,Programme!H5471,Programme!I5471)</f>
        <v>&lt;cellule&gt;</v>
      </c>
    </row>
    <row r="5471" spans="1:1" x14ac:dyDescent="0.2">
      <c r="A5471" s="1135" t="str">
        <f>CONCATENATE(Programme!C5472,Programme!D5472,Programme!E5472,Programme!F5472,Programme!G5472,Programme!H5472,Programme!I5472)</f>
        <v>&lt;codeEdi&gt;1810&lt;/codeEdi&gt;</v>
      </c>
    </row>
    <row r="5472" spans="1:1" x14ac:dyDescent="0.2">
      <c r="A5472" s="1135" t="str">
        <f>CONCATENATE(Programme!C5473,Programme!D5473,Programme!E5473,Programme!F5473,Programme!G5473,Programme!H5473,Programme!I5473)</f>
        <v>&lt;/cellule&gt;</v>
      </c>
    </row>
    <row r="5473" spans="1:1" x14ac:dyDescent="0.2">
      <c r="A5473" s="1135" t="str">
        <f>CONCATENATE(Programme!C5474,Programme!D5474,Programme!E5474,Programme!F5474,Programme!G5474,Programme!H5474,Programme!I5474)</f>
        <v>&lt;valeur&gt;0&lt;/valeur&gt;</v>
      </c>
    </row>
    <row r="5474" spans="1:1" x14ac:dyDescent="0.2">
      <c r="A5474" s="1135" t="str">
        <f>CONCATENATE(Programme!C5475,Programme!D5475,Programme!E5475,Programme!F5475,Programme!G5475,Programme!H5475,Programme!I5475)</f>
        <v>&lt;/ValeurCellule&gt;</v>
      </c>
    </row>
    <row r="5475" spans="1:1" x14ac:dyDescent="0.2">
      <c r="A5475" s="1135" t="str">
        <f>CONCATENATE(Programme!C5476,Programme!D5476,Programme!E5476,Programme!F5476,Programme!G5476,Programme!H5476,Programme!I5476)</f>
        <v>&lt;ValeurCellule&gt;</v>
      </c>
    </row>
    <row r="5476" spans="1:1" x14ac:dyDescent="0.2">
      <c r="A5476" s="1135" t="str">
        <f>CONCATENATE(Programme!C5477,Programme!D5477,Programme!E5477,Programme!F5477,Programme!G5477,Programme!H5477,Programme!I5477)</f>
        <v>&lt;cellule&gt;</v>
      </c>
    </row>
    <row r="5477" spans="1:1" x14ac:dyDescent="0.2">
      <c r="A5477" s="1135" t="str">
        <f>CONCATENATE(Programme!C5478,Programme!D5478,Programme!E5478,Programme!F5478,Programme!G5478,Programme!H5478,Programme!I5478)</f>
        <v>&lt;codeEdi&gt;1811&lt;/codeEdi&gt;</v>
      </c>
    </row>
    <row r="5478" spans="1:1" x14ac:dyDescent="0.2">
      <c r="A5478" s="1135" t="str">
        <f>CONCATENATE(Programme!C5479,Programme!D5479,Programme!E5479,Programme!F5479,Programme!G5479,Programme!H5479,Programme!I5479)</f>
        <v>&lt;/cellule&gt;</v>
      </c>
    </row>
    <row r="5479" spans="1:1" x14ac:dyDescent="0.2">
      <c r="A5479" s="1135" t="str">
        <f>CONCATENATE(Programme!C5480,Programme!D5480,Programme!E5480,Programme!F5480,Programme!G5480,Programme!H5480,Programme!I5480)</f>
        <v>&lt;valeur&gt;0&lt;/valeur&gt;</v>
      </c>
    </row>
    <row r="5480" spans="1:1" x14ac:dyDescent="0.2">
      <c r="A5480" s="1135" t="str">
        <f>CONCATENATE(Programme!C5481,Programme!D5481,Programme!E5481,Programme!F5481,Programme!G5481,Programme!H5481,Programme!I5481)</f>
        <v>&lt;/ValeurCellule&gt;</v>
      </c>
    </row>
    <row r="5481" spans="1:1" x14ac:dyDescent="0.2">
      <c r="A5481" s="1135" t="str">
        <f>CONCATENATE(Programme!C5482,Programme!D5482,Programme!E5482,Programme!F5482,Programme!G5482,Programme!H5482,Programme!I5482)</f>
        <v>&lt;ValeurCellule&gt;</v>
      </c>
    </row>
    <row r="5482" spans="1:1" x14ac:dyDescent="0.2">
      <c r="A5482" s="1135" t="str">
        <f>CONCATENATE(Programme!C5483,Programme!D5483,Programme!E5483,Programme!F5483,Programme!G5483,Programme!H5483,Programme!I5483)</f>
        <v>&lt;cellule&gt;</v>
      </c>
    </row>
    <row r="5483" spans="1:1" x14ac:dyDescent="0.2">
      <c r="A5483" s="1135" t="str">
        <f>CONCATENATE(Programme!C5484,Programme!D5484,Programme!E5484,Programme!F5484,Programme!G5484,Programme!H5484,Programme!I5484)</f>
        <v>&lt;codeEdi&gt;1812&lt;/codeEdi&gt;</v>
      </c>
    </row>
    <row r="5484" spans="1:1" x14ac:dyDescent="0.2">
      <c r="A5484" s="1135" t="str">
        <f>CONCATENATE(Programme!C5485,Programme!D5485,Programme!E5485,Programme!F5485,Programme!G5485,Programme!H5485,Programme!I5485)</f>
        <v>&lt;/cellule&gt;</v>
      </c>
    </row>
    <row r="5485" spans="1:1" x14ac:dyDescent="0.2">
      <c r="A5485" s="1135" t="str">
        <f>CONCATENATE(Programme!C5486,Programme!D5486,Programme!E5486,Programme!F5486,Programme!G5486,Programme!H5486,Programme!I5486)</f>
        <v>&lt;valeur&gt;0&lt;/valeur&gt;</v>
      </c>
    </row>
    <row r="5486" spans="1:1" x14ac:dyDescent="0.2">
      <c r="A5486" s="1135" t="str">
        <f>CONCATENATE(Programme!C5487,Programme!D5487,Programme!E5487,Programme!F5487,Programme!G5487,Programme!H5487,Programme!I5487)</f>
        <v>&lt;/ValeurCellule&gt;</v>
      </c>
    </row>
    <row r="5487" spans="1:1" x14ac:dyDescent="0.2">
      <c r="A5487" s="1135" t="str">
        <f>CONCATENATE(Programme!C5488,Programme!D5488,Programme!E5488,Programme!F5488,Programme!G5488,Programme!H5488,Programme!I5488)</f>
        <v>&lt;ValeurCellule&gt;</v>
      </c>
    </row>
    <row r="5488" spans="1:1" x14ac:dyDescent="0.2">
      <c r="A5488" s="1135" t="str">
        <f>CONCATENATE(Programme!C5489,Programme!D5489,Programme!E5489,Programme!F5489,Programme!G5489,Programme!H5489,Programme!I5489)</f>
        <v>&lt;cellule&gt;</v>
      </c>
    </row>
    <row r="5489" spans="1:1" x14ac:dyDescent="0.2">
      <c r="A5489" s="1135" t="str">
        <f>CONCATENATE(Programme!C5490,Programme!D5490,Programme!E5490,Programme!F5490,Programme!G5490,Programme!H5490,Programme!I5490)</f>
        <v>&lt;codeEdi&gt;1813&lt;/codeEdi&gt;</v>
      </c>
    </row>
    <row r="5490" spans="1:1" x14ac:dyDescent="0.2">
      <c r="A5490" s="1135" t="str">
        <f>CONCATENATE(Programme!C5491,Programme!D5491,Programme!E5491,Programme!F5491,Programme!G5491,Programme!H5491,Programme!I5491)</f>
        <v>&lt;/cellule&gt;</v>
      </c>
    </row>
    <row r="5491" spans="1:1" x14ac:dyDescent="0.2">
      <c r="A5491" s="1135" t="str">
        <f>CONCATENATE(Programme!C5492,Programme!D5492,Programme!E5492,Programme!F5492,Programme!G5492,Programme!H5492,Programme!I5492)</f>
        <v>&lt;valeur&gt;0&lt;/valeur&gt;</v>
      </c>
    </row>
    <row r="5492" spans="1:1" x14ac:dyDescent="0.2">
      <c r="A5492" s="1135" t="str">
        <f>CONCATENATE(Programme!C5493,Programme!D5493,Programme!E5493,Programme!F5493,Programme!G5493,Programme!H5493,Programme!I5493)</f>
        <v>&lt;/ValeurCellule&gt;</v>
      </c>
    </row>
    <row r="5493" spans="1:1" x14ac:dyDescent="0.2">
      <c r="A5493" s="1135" t="str">
        <f>CONCATENATE(Programme!C5494,Programme!D5494,Programme!E5494,Programme!F5494,Programme!G5494,Programme!H5494,Programme!I5494)</f>
        <v>&lt;ValeurCellule&gt;</v>
      </c>
    </row>
    <row r="5494" spans="1:1" x14ac:dyDescent="0.2">
      <c r="A5494" s="1135" t="str">
        <f>CONCATENATE(Programme!C5495,Programme!D5495,Programme!E5495,Programme!F5495,Programme!G5495,Programme!H5495,Programme!I5495)</f>
        <v>&lt;cellule&gt;</v>
      </c>
    </row>
    <row r="5495" spans="1:1" x14ac:dyDescent="0.2">
      <c r="A5495" s="1135" t="str">
        <f>CONCATENATE(Programme!C5496,Programme!D5496,Programme!E5496,Programme!F5496,Programme!G5496,Programme!H5496,Programme!I5496)</f>
        <v>&lt;codeEdi&gt;1963&lt;/codeEdi&gt;</v>
      </c>
    </row>
    <row r="5496" spans="1:1" x14ac:dyDescent="0.2">
      <c r="A5496" s="1135" t="str">
        <f>CONCATENATE(Programme!C5497,Programme!D5497,Programme!E5497,Programme!F5497,Programme!G5497,Programme!H5497,Programme!I5497)</f>
        <v>&lt;/cellule&gt;</v>
      </c>
    </row>
    <row r="5497" spans="1:1" x14ac:dyDescent="0.2">
      <c r="A5497" s="1135" t="str">
        <f>CONCATENATE(Programme!C5498,Programme!D5498,Programme!E5498,Programme!F5498,Programme!G5498,Programme!H5498,Programme!I5498)</f>
        <v>&lt;valeur&gt;&lt;/valeur&gt;</v>
      </c>
    </row>
    <row r="5498" spans="1:1" x14ac:dyDescent="0.2">
      <c r="A5498" s="1135" t="str">
        <f>CONCATENATE(Programme!C5499,Programme!D5499,Programme!E5499,Programme!F5499,Programme!G5499,Programme!H5499,Programme!I5499)</f>
        <v>&lt;/ValeurCellule&gt;</v>
      </c>
    </row>
    <row r="5499" spans="1:1" x14ac:dyDescent="0.2">
      <c r="A5499" s="1135" t="str">
        <f>CONCATENATE(Programme!C5500,Programme!D5500,Programme!E5500,Programme!F5500,Programme!G5500,Programme!H5500,Programme!I5500)</f>
        <v>&lt;ValeurCellule&gt;</v>
      </c>
    </row>
    <row r="5500" spans="1:1" x14ac:dyDescent="0.2">
      <c r="A5500" s="1135" t="str">
        <f>CONCATENATE(Programme!C5501,Programme!D5501,Programme!E5501,Programme!F5501,Programme!G5501,Programme!H5501,Programme!I5501)</f>
        <v>&lt;cellule&gt;</v>
      </c>
    </row>
    <row r="5501" spans="1:1" x14ac:dyDescent="0.2">
      <c r="A5501" s="1135" t="str">
        <f>CONCATENATE(Programme!C5502,Programme!D5502,Programme!E5502,Programme!F5502,Programme!G5502,Programme!H5502,Programme!I5502)</f>
        <v>&lt;codeEdi&gt;1964&lt;/codeEdi&gt;</v>
      </c>
    </row>
    <row r="5502" spans="1:1" x14ac:dyDescent="0.2">
      <c r="A5502" s="1135" t="str">
        <f>CONCATENATE(Programme!C5503,Programme!D5503,Programme!E5503,Programme!F5503,Programme!G5503,Programme!H5503,Programme!I5503)</f>
        <v>&lt;/cellule&gt;</v>
      </c>
    </row>
    <row r="5503" spans="1:1" x14ac:dyDescent="0.2">
      <c r="A5503" s="1135" t="str">
        <f>CONCATENATE(Programme!C5504,Programme!D5504,Programme!E5504,Programme!F5504,Programme!G5504,Programme!H5504,Programme!I5504)</f>
        <v>&lt;valeur&gt;0&lt;/valeur&gt;</v>
      </c>
    </row>
    <row r="5504" spans="1:1" x14ac:dyDescent="0.2">
      <c r="A5504" s="1135" t="str">
        <f>CONCATENATE(Programme!C5505,Programme!D5505,Programme!E5505,Programme!F5505,Programme!G5505,Programme!H5505,Programme!I5505)</f>
        <v>&lt;/ValeurCellule&gt;</v>
      </c>
    </row>
    <row r="5505" spans="1:1" x14ac:dyDescent="0.2">
      <c r="A5505" s="1135" t="str">
        <f>CONCATENATE(Programme!C5506,Programme!D5506,Programme!E5506,Programme!F5506,Programme!G5506,Programme!H5506,Programme!I5506)</f>
        <v>&lt;ValeurCellule&gt;</v>
      </c>
    </row>
    <row r="5506" spans="1:1" x14ac:dyDescent="0.2">
      <c r="A5506" s="1135" t="str">
        <f>CONCATENATE(Programme!C5507,Programme!D5507,Programme!E5507,Programme!F5507,Programme!G5507,Programme!H5507,Programme!I5507)</f>
        <v>&lt;cellule&gt;</v>
      </c>
    </row>
    <row r="5507" spans="1:1" x14ac:dyDescent="0.2">
      <c r="A5507" s="1135" t="str">
        <f>CONCATENATE(Programme!C5508,Programme!D5508,Programme!E5508,Programme!F5508,Programme!G5508,Programme!H5508,Programme!I5508)</f>
        <v>&lt;codeEdi&gt;1965&lt;/codeEdi&gt;</v>
      </c>
    </row>
    <row r="5508" spans="1:1" x14ac:dyDescent="0.2">
      <c r="A5508" s="1135" t="str">
        <f>CONCATENATE(Programme!C5509,Programme!D5509,Programme!E5509,Programme!F5509,Programme!G5509,Programme!H5509,Programme!I5509)</f>
        <v>&lt;/cellule&gt;</v>
      </c>
    </row>
    <row r="5509" spans="1:1" x14ac:dyDescent="0.2">
      <c r="A5509" s="1135" t="str">
        <f>CONCATENATE(Programme!C5510,Programme!D5510,Programme!E5510,Programme!F5510,Programme!G5510,Programme!H5510,Programme!I5510)</f>
        <v>&lt;valeur&gt;0&lt;/valeur&gt;</v>
      </c>
    </row>
    <row r="5510" spans="1:1" x14ac:dyDescent="0.2">
      <c r="A5510" s="1135" t="str">
        <f>CONCATENATE(Programme!C5511,Programme!D5511,Programme!E5511,Programme!F5511,Programme!G5511,Programme!H5511,Programme!I5511)</f>
        <v>&lt;/ValeurCellule&gt;</v>
      </c>
    </row>
    <row r="5511" spans="1:1" x14ac:dyDescent="0.2">
      <c r="A5511" s="1135" t="str">
        <f>CONCATENATE(Programme!C5512,Programme!D5512,Programme!E5512,Programme!F5512,Programme!G5512,Programme!H5512,Programme!I5512)</f>
        <v>&lt;ValeurCellule&gt;</v>
      </c>
    </row>
    <row r="5512" spans="1:1" x14ac:dyDescent="0.2">
      <c r="A5512" s="1135" t="str">
        <f>CONCATENATE(Programme!C5513,Programme!D5513,Programme!E5513,Programme!F5513,Programme!G5513,Programme!H5513,Programme!I5513)</f>
        <v>&lt;cellule&gt;</v>
      </c>
    </row>
    <row r="5513" spans="1:1" x14ac:dyDescent="0.2">
      <c r="A5513" s="1135" t="str">
        <f>CONCATENATE(Programme!C5514,Programme!D5514,Programme!E5514,Programme!F5514,Programme!G5514,Programme!H5514,Programme!I5514)</f>
        <v>&lt;codeEdi&gt;1966&lt;/codeEdi&gt;</v>
      </c>
    </row>
    <row r="5514" spans="1:1" x14ac:dyDescent="0.2">
      <c r="A5514" s="1135" t="str">
        <f>CONCATENATE(Programme!C5515,Programme!D5515,Programme!E5515,Programme!F5515,Programme!G5515,Programme!H5515,Programme!I5515)</f>
        <v>&lt;/cellule&gt;</v>
      </c>
    </row>
    <row r="5515" spans="1:1" x14ac:dyDescent="0.2">
      <c r="A5515" s="1135" t="str">
        <f>CONCATENATE(Programme!C5516,Programme!D5516,Programme!E5516,Programme!F5516,Programme!G5516,Programme!H5516,Programme!I5516)</f>
        <v>&lt;valeur&gt;0&lt;/valeur&gt;</v>
      </c>
    </row>
    <row r="5516" spans="1:1" x14ac:dyDescent="0.2">
      <c r="A5516" s="1135" t="str">
        <f>CONCATENATE(Programme!C5517,Programme!D5517,Programme!E5517,Programme!F5517,Programme!G5517,Programme!H5517,Programme!I5517)</f>
        <v>&lt;/ValeurCellule&gt;</v>
      </c>
    </row>
    <row r="5517" spans="1:1" x14ac:dyDescent="0.2">
      <c r="A5517" s="1135" t="str">
        <f>CONCATENATE(Programme!C5518,Programme!D5518,Programme!E5518,Programme!F5518,Programme!G5518,Programme!H5518,Programme!I5518)</f>
        <v>&lt;ValeurCellule&gt;</v>
      </c>
    </row>
    <row r="5518" spans="1:1" x14ac:dyDescent="0.2">
      <c r="A5518" s="1135" t="str">
        <f>CONCATENATE(Programme!C5519,Programme!D5519,Programme!E5519,Programme!F5519,Programme!G5519,Programme!H5519,Programme!I5519)</f>
        <v>&lt;cellule&gt;</v>
      </c>
    </row>
    <row r="5519" spans="1:1" x14ac:dyDescent="0.2">
      <c r="A5519" s="1135" t="str">
        <f>CONCATENATE(Programme!C5520,Programme!D5520,Programme!E5520,Programme!F5520,Programme!G5520,Programme!H5520,Programme!I5520)</f>
        <v>&lt;codeEdi&gt;1967&lt;/codeEdi&gt;</v>
      </c>
    </row>
    <row r="5520" spans="1:1" x14ac:dyDescent="0.2">
      <c r="A5520" s="1135" t="str">
        <f>CONCATENATE(Programme!C5521,Programme!D5521,Programme!E5521,Programme!F5521,Programme!G5521,Programme!H5521,Programme!I5521)</f>
        <v>&lt;/cellule&gt;</v>
      </c>
    </row>
    <row r="5521" spans="1:1" x14ac:dyDescent="0.2">
      <c r="A5521" s="1135" t="str">
        <f>CONCATENATE(Programme!C5522,Programme!D5522,Programme!E5522,Programme!F5522,Programme!G5522,Programme!H5522,Programme!I5522)</f>
        <v>&lt;valeur&gt;0&lt;/valeur&gt;</v>
      </c>
    </row>
    <row r="5522" spans="1:1" x14ac:dyDescent="0.2">
      <c r="A5522" s="1135" t="str">
        <f>CONCATENATE(Programme!C5523,Programme!D5523,Programme!E5523,Programme!F5523,Programme!G5523,Programme!H5523,Programme!I5523)</f>
        <v>&lt;/ValeurCellule&gt;</v>
      </c>
    </row>
    <row r="5523" spans="1:1" x14ac:dyDescent="0.2">
      <c r="A5523" s="1135" t="str">
        <f>CONCATENATE(Programme!C5524,Programme!D5524,Programme!E5524,Programme!F5524,Programme!G5524,Programme!H5524,Programme!I5524)</f>
        <v>&lt;ValeurCellule&gt;</v>
      </c>
    </row>
    <row r="5524" spans="1:1" x14ac:dyDescent="0.2">
      <c r="A5524" s="1135" t="str">
        <f>CONCATENATE(Programme!C5525,Programme!D5525,Programme!E5525,Programme!F5525,Programme!G5525,Programme!H5525,Programme!I5525)</f>
        <v>&lt;cellule&gt;</v>
      </c>
    </row>
    <row r="5525" spans="1:1" x14ac:dyDescent="0.2">
      <c r="A5525" s="1135" t="str">
        <f>CONCATENATE(Programme!C5526,Programme!D5526,Programme!E5526,Programme!F5526,Programme!G5526,Programme!H5526,Programme!I5526)</f>
        <v>&lt;codeEdi&gt;1968&lt;/codeEdi&gt;</v>
      </c>
    </row>
    <row r="5526" spans="1:1" x14ac:dyDescent="0.2">
      <c r="A5526" s="1135" t="str">
        <f>CONCATENATE(Programme!C5527,Programme!D5527,Programme!E5527,Programme!F5527,Programme!G5527,Programme!H5527,Programme!I5527)</f>
        <v>&lt;/cellule&gt;</v>
      </c>
    </row>
    <row r="5527" spans="1:1" x14ac:dyDescent="0.2">
      <c r="A5527" s="1135" t="str">
        <f>CONCATENATE(Programme!C5528,Programme!D5528,Programme!E5528,Programme!F5528,Programme!G5528,Programme!H5528,Programme!I5528)</f>
        <v>&lt;valeur&gt;&lt;/valeur&gt;</v>
      </c>
    </row>
    <row r="5528" spans="1:1" x14ac:dyDescent="0.2">
      <c r="A5528" s="1135" t="str">
        <f>CONCATENATE(Programme!C5529,Programme!D5529,Programme!E5529,Programme!F5529,Programme!G5529,Programme!H5529,Programme!I5529)</f>
        <v>&lt;/ValeurCellule&gt;</v>
      </c>
    </row>
    <row r="5529" spans="1:1" x14ac:dyDescent="0.2">
      <c r="A5529" s="1135" t="str">
        <f>CONCATENATE(Programme!C5530,Programme!D5530,Programme!E5530,Programme!F5530,Programme!G5530,Programme!H5530,Programme!I5530)</f>
        <v>&lt;ValeurCellule&gt;</v>
      </c>
    </row>
    <row r="5530" spans="1:1" x14ac:dyDescent="0.2">
      <c r="A5530" s="1135" t="str">
        <f>CONCATENATE(Programme!C5531,Programme!D5531,Programme!E5531,Programme!F5531,Programme!G5531,Programme!H5531,Programme!I5531)</f>
        <v>&lt;cellule&gt;</v>
      </c>
    </row>
    <row r="5531" spans="1:1" x14ac:dyDescent="0.2">
      <c r="A5531" s="1135" t="str">
        <f>CONCATENATE(Programme!C5532,Programme!D5532,Programme!E5532,Programme!F5532,Programme!G5532,Programme!H5532,Programme!I5532)</f>
        <v>&lt;codeEdi&gt;1969&lt;/codeEdi&gt;</v>
      </c>
    </row>
    <row r="5532" spans="1:1" x14ac:dyDescent="0.2">
      <c r="A5532" s="1135" t="str">
        <f>CONCATENATE(Programme!C5533,Programme!D5533,Programme!E5533,Programme!F5533,Programme!G5533,Programme!H5533,Programme!I5533)</f>
        <v>&lt;/cellule&gt;</v>
      </c>
    </row>
    <row r="5533" spans="1:1" x14ac:dyDescent="0.2">
      <c r="A5533" s="1135" t="str">
        <f>CONCATENATE(Programme!C5534,Programme!D5534,Programme!E5534,Programme!F5534,Programme!G5534,Programme!H5534,Programme!I5534)</f>
        <v>&lt;valeur&gt;0&lt;/valeur&gt;</v>
      </c>
    </row>
    <row r="5534" spans="1:1" x14ac:dyDescent="0.2">
      <c r="A5534" s="1135" t="str">
        <f>CONCATENATE(Programme!C5535,Programme!D5535,Programme!E5535,Programme!F5535,Programme!G5535,Programme!H5535,Programme!I5535)</f>
        <v>&lt;/ValeurCellule&gt;</v>
      </c>
    </row>
    <row r="5535" spans="1:1" x14ac:dyDescent="0.2">
      <c r="A5535" s="1135" t="str">
        <f>CONCATENATE(Programme!C5536,Programme!D5536,Programme!E5536,Programme!F5536,Programme!G5536,Programme!H5536,Programme!I5536)</f>
        <v>&lt;ValeurCellule&gt;</v>
      </c>
    </row>
    <row r="5536" spans="1:1" x14ac:dyDescent="0.2">
      <c r="A5536" s="1135" t="str">
        <f>CONCATENATE(Programme!C5537,Programme!D5537,Programme!E5537,Programme!F5537,Programme!G5537,Programme!H5537,Programme!I5537)</f>
        <v>&lt;cellule&gt;</v>
      </c>
    </row>
    <row r="5537" spans="1:1" x14ac:dyDescent="0.2">
      <c r="A5537" s="1135" t="str">
        <f>CONCATENATE(Programme!C5538,Programme!D5538,Programme!E5538,Programme!F5538,Programme!G5538,Programme!H5538,Programme!I5538)</f>
        <v>&lt;codeEdi&gt;1970&lt;/codeEdi&gt;</v>
      </c>
    </row>
    <row r="5538" spans="1:1" x14ac:dyDescent="0.2">
      <c r="A5538" s="1135" t="str">
        <f>CONCATENATE(Programme!C5539,Programme!D5539,Programme!E5539,Programme!F5539,Programme!G5539,Programme!H5539,Programme!I5539)</f>
        <v>&lt;/cellule&gt;</v>
      </c>
    </row>
    <row r="5539" spans="1:1" x14ac:dyDescent="0.2">
      <c r="A5539" s="1135" t="str">
        <f>CONCATENATE(Programme!C5540,Programme!D5540,Programme!E5540,Programme!F5540,Programme!G5540,Programme!H5540,Programme!I5540)</f>
        <v>&lt;valeur&gt;0&lt;/valeur&gt;</v>
      </c>
    </row>
    <row r="5540" spans="1:1" x14ac:dyDescent="0.2">
      <c r="A5540" s="1135" t="str">
        <f>CONCATENATE(Programme!C5541,Programme!D5541,Programme!E5541,Programme!F5541,Programme!G5541,Programme!H5541,Programme!I5541)</f>
        <v>&lt;/ValeurCellule&gt;</v>
      </c>
    </row>
    <row r="5541" spans="1:1" x14ac:dyDescent="0.2">
      <c r="A5541" s="1135" t="str">
        <f>CONCATENATE(Programme!C5542,Programme!D5542,Programme!E5542,Programme!F5542,Programme!G5542,Programme!H5542,Programme!I5542)</f>
        <v>&lt;ValeurCellule&gt;</v>
      </c>
    </row>
    <row r="5542" spans="1:1" x14ac:dyDescent="0.2">
      <c r="A5542" s="1135" t="str">
        <f>CONCATENATE(Programme!C5543,Programme!D5543,Programme!E5543,Programme!F5543,Programme!G5543,Programme!H5543,Programme!I5543)</f>
        <v>&lt;cellule&gt;</v>
      </c>
    </row>
    <row r="5543" spans="1:1" x14ac:dyDescent="0.2">
      <c r="A5543" s="1135" t="str">
        <f>CONCATENATE(Programme!C5544,Programme!D5544,Programme!E5544,Programme!F5544,Programme!G5544,Programme!H5544,Programme!I5544)</f>
        <v>&lt;codeEdi&gt;1971&lt;/codeEdi&gt;</v>
      </c>
    </row>
    <row r="5544" spans="1:1" x14ac:dyDescent="0.2">
      <c r="A5544" s="1135" t="str">
        <f>CONCATENATE(Programme!C5545,Programme!D5545,Programme!E5545,Programme!F5545,Programme!G5545,Programme!H5545,Programme!I5545)</f>
        <v>&lt;/cellule&gt;</v>
      </c>
    </row>
    <row r="5545" spans="1:1" x14ac:dyDescent="0.2">
      <c r="A5545" s="1135" t="str">
        <f>CONCATENATE(Programme!C5546,Programme!D5546,Programme!E5546,Programme!F5546,Programme!G5546,Programme!H5546,Programme!I5546)</f>
        <v>&lt;valeur&gt;381666,67&lt;/valeur&gt;</v>
      </c>
    </row>
    <row r="5546" spans="1:1" x14ac:dyDescent="0.2">
      <c r="A5546" s="1135" t="str">
        <f>CONCATENATE(Programme!C5547,Programme!D5547,Programme!E5547,Programme!F5547,Programme!G5547,Programme!H5547,Programme!I5547)</f>
        <v>&lt;/ValeurCellule&gt;</v>
      </c>
    </row>
    <row r="5547" spans="1:1" x14ac:dyDescent="0.2">
      <c r="A5547" s="1135" t="str">
        <f>CONCATENATE(Programme!C5548,Programme!D5548,Programme!E5548,Programme!F5548,Programme!G5548,Programme!H5548,Programme!I5548)</f>
        <v>&lt;ValeurCellule&gt;</v>
      </c>
    </row>
    <row r="5548" spans="1:1" x14ac:dyDescent="0.2">
      <c r="A5548" s="1135" t="str">
        <f>CONCATENATE(Programme!C5549,Programme!D5549,Programme!E5549,Programme!F5549,Programme!G5549,Programme!H5549,Programme!I5549)</f>
        <v>&lt;cellule&gt;</v>
      </c>
    </row>
    <row r="5549" spans="1:1" x14ac:dyDescent="0.2">
      <c r="A5549" s="1135" t="str">
        <f>CONCATENATE(Programme!C5550,Programme!D5550,Programme!E5550,Programme!F5550,Programme!G5550,Programme!H5550,Programme!I5550)</f>
        <v>&lt;codeEdi&gt;1974&lt;/codeEdi&gt;</v>
      </c>
    </row>
    <row r="5550" spans="1:1" x14ac:dyDescent="0.2">
      <c r="A5550" s="1135" t="str">
        <f>CONCATENATE(Programme!C5551,Programme!D5551,Programme!E5551,Programme!F5551,Programme!G5551,Programme!H5551,Programme!I5551)</f>
        <v>&lt;/cellule&gt;</v>
      </c>
    </row>
    <row r="5551" spans="1:1" x14ac:dyDescent="0.2">
      <c r="A5551" s="1135" t="str">
        <f>CONCATENATE(Programme!C5552,Programme!D5552,Programme!E5552,Programme!F5552,Programme!G5552,Programme!H5552,Programme!I5552)</f>
        <v>&lt;valeur&gt;0&lt;/valeur&gt;</v>
      </c>
    </row>
    <row r="5552" spans="1:1" x14ac:dyDescent="0.2">
      <c r="A5552" s="1135" t="str">
        <f>CONCATENATE(Programme!C5553,Programme!D5553,Programme!E5553,Programme!F5553,Programme!G5553,Programme!H5553,Programme!I5553)</f>
        <v>&lt;/ValeurCellule&gt;</v>
      </c>
    </row>
    <row r="5553" spans="1:1" x14ac:dyDescent="0.2">
      <c r="A5553" s="1135" t="str">
        <f>CONCATENATE(Programme!C5554,Programme!D5554,Programme!E5554,Programme!F5554,Programme!G5554,Programme!H5554,Programme!I5554)</f>
        <v>&lt;ValeurCellule&gt;</v>
      </c>
    </row>
    <row r="5554" spans="1:1" x14ac:dyDescent="0.2">
      <c r="A5554" s="1135" t="str">
        <f>CONCATENATE(Programme!C5555,Programme!D5555,Programme!E5555,Programme!F5555,Programme!G5555,Programme!H5555,Programme!I5555)</f>
        <v>&lt;cellule&gt;</v>
      </c>
    </row>
    <row r="5555" spans="1:1" x14ac:dyDescent="0.2">
      <c r="A5555" s="1135" t="str">
        <f>CONCATENATE(Programme!C5556,Programme!D5556,Programme!E5556,Programme!F5556,Programme!G5556,Programme!H5556,Programme!I5556)</f>
        <v>&lt;codeEdi&gt;1975&lt;/codeEdi&gt;</v>
      </c>
    </row>
    <row r="5556" spans="1:1" x14ac:dyDescent="0.2">
      <c r="A5556" s="1135" t="str">
        <f>CONCATENATE(Programme!C5557,Programme!D5557,Programme!E5557,Programme!F5557,Programme!G5557,Programme!H5557,Programme!I5557)</f>
        <v>&lt;/cellule&gt;</v>
      </c>
    </row>
    <row r="5557" spans="1:1" x14ac:dyDescent="0.2">
      <c r="A5557" s="1135" t="str">
        <f>CONCATENATE(Programme!C5558,Programme!D5558,Programme!E5558,Programme!F5558,Programme!G5558,Programme!H5558,Programme!I5558)</f>
        <v>&lt;valeur&gt;381666,67&lt;/valeur&gt;</v>
      </c>
    </row>
    <row r="5558" spans="1:1" x14ac:dyDescent="0.2">
      <c r="A5558" s="1135" t="str">
        <f>CONCATENATE(Programme!C5559,Programme!D5559,Programme!E5559,Programme!F5559,Programme!G5559,Programme!H5559,Programme!I5559)</f>
        <v>&lt;/ValeurCellule&gt;</v>
      </c>
    </row>
    <row r="5559" spans="1:1" x14ac:dyDescent="0.2">
      <c r="A5559" s="1135" t="str">
        <f>CONCATENATE(Programme!C5560,Programme!D5560,Programme!E5560,Programme!F5560,Programme!G5560,Programme!H5560,Programme!I5560)</f>
        <v>&lt;ValeurCellule&gt;</v>
      </c>
    </row>
    <row r="5560" spans="1:1" x14ac:dyDescent="0.2">
      <c r="A5560" s="1135" t="str">
        <f>CONCATENATE(Programme!C5561,Programme!D5561,Programme!E5561,Programme!F5561,Programme!G5561,Programme!H5561,Programme!I5561)</f>
        <v>&lt;cellule&gt;</v>
      </c>
    </row>
    <row r="5561" spans="1:1" x14ac:dyDescent="0.2">
      <c r="A5561" s="1135" t="str">
        <f>CONCATENATE(Programme!C5562,Programme!D5562,Programme!E5562,Programme!F5562,Programme!G5562,Programme!H5562,Programme!I5562)</f>
        <v>&lt;codeEdi&gt;1976&lt;/codeEdi&gt;</v>
      </c>
    </row>
    <row r="5562" spans="1:1" x14ac:dyDescent="0.2">
      <c r="A5562" s="1135" t="str">
        <f>CONCATENATE(Programme!C5563,Programme!D5563,Programme!E5563,Programme!F5563,Programme!G5563,Programme!H5563,Programme!I5563)</f>
        <v>&lt;/cellule&gt;</v>
      </c>
    </row>
    <row r="5563" spans="1:1" x14ac:dyDescent="0.2">
      <c r="A5563" s="1135" t="str">
        <f>CONCATENATE(Programme!C5564,Programme!D5564,Programme!E5564,Programme!F5564,Programme!G5564,Programme!H5564,Programme!I5564)</f>
        <v>&lt;valeur&gt;&lt;/valeur&gt;</v>
      </c>
    </row>
    <row r="5564" spans="1:1" x14ac:dyDescent="0.2">
      <c r="A5564" s="1135" t="str">
        <f>CONCATENATE(Programme!C5565,Programme!D5565,Programme!E5565,Programme!F5565,Programme!G5565,Programme!H5565,Programme!I5565)</f>
        <v>&lt;/ValeurCellule&gt;</v>
      </c>
    </row>
    <row r="5565" spans="1:1" x14ac:dyDescent="0.2">
      <c r="A5565" s="1135" t="str">
        <f>CONCATENATE(Programme!C5566,Programme!D5566,Programme!E5566,Programme!F5566,Programme!G5566,Programme!H5566,Programme!I5566)</f>
        <v>&lt;ValeurCellule&gt;</v>
      </c>
    </row>
    <row r="5566" spans="1:1" x14ac:dyDescent="0.2">
      <c r="A5566" s="1135" t="str">
        <f>CONCATENATE(Programme!C5567,Programme!D5567,Programme!E5567,Programme!F5567,Programme!G5567,Programme!H5567,Programme!I5567)</f>
        <v>&lt;cellule&gt;</v>
      </c>
    </row>
    <row r="5567" spans="1:1" x14ac:dyDescent="0.2">
      <c r="A5567" s="1135" t="str">
        <f>CONCATENATE(Programme!C5568,Programme!D5568,Programme!E5568,Programme!F5568,Programme!G5568,Programme!H5568,Programme!I5568)</f>
        <v>&lt;codeEdi&gt;1977&lt;/codeEdi&gt;</v>
      </c>
    </row>
    <row r="5568" spans="1:1" x14ac:dyDescent="0.2">
      <c r="A5568" s="1135" t="str">
        <f>CONCATENATE(Programme!C5569,Programme!D5569,Programme!E5569,Programme!F5569,Programme!G5569,Programme!H5569,Programme!I5569)</f>
        <v>&lt;/cellule&gt;</v>
      </c>
    </row>
    <row r="5569" spans="1:1" x14ac:dyDescent="0.2">
      <c r="A5569" s="1135" t="str">
        <f>CONCATENATE(Programme!C5570,Programme!D5570,Programme!E5570,Programme!F5570,Programme!G5570,Programme!H5570,Programme!I5570)</f>
        <v>&lt;valeur&gt;0&lt;/valeur&gt;</v>
      </c>
    </row>
    <row r="5570" spans="1:1" x14ac:dyDescent="0.2">
      <c r="A5570" s="1135" t="str">
        <f>CONCATENATE(Programme!C5571,Programme!D5571,Programme!E5571,Programme!F5571,Programme!G5571,Programme!H5571,Programme!I5571)</f>
        <v>&lt;/ValeurCellule&gt;</v>
      </c>
    </row>
    <row r="5571" spans="1:1" x14ac:dyDescent="0.2">
      <c r="A5571" s="1135" t="str">
        <f>CONCATENATE(Programme!C5572,Programme!D5572,Programme!E5572,Programme!F5572,Programme!G5572,Programme!H5572,Programme!I5572)</f>
        <v>&lt;ValeurCellule&gt;</v>
      </c>
    </row>
    <row r="5572" spans="1:1" x14ac:dyDescent="0.2">
      <c r="A5572" s="1135" t="str">
        <f>CONCATENATE(Programme!C5573,Programme!D5573,Programme!E5573,Programme!F5573,Programme!G5573,Programme!H5573,Programme!I5573)</f>
        <v>&lt;cellule&gt;</v>
      </c>
    </row>
    <row r="5573" spans="1:1" x14ac:dyDescent="0.2">
      <c r="A5573" s="1135" t="str">
        <f>CONCATENATE(Programme!C5574,Programme!D5574,Programme!E5574,Programme!F5574,Programme!G5574,Programme!H5574,Programme!I5574)</f>
        <v>&lt;codeEdi&gt;1978&lt;/codeEdi&gt;</v>
      </c>
    </row>
    <row r="5574" spans="1:1" x14ac:dyDescent="0.2">
      <c r="A5574" s="1135" t="str">
        <f>CONCATENATE(Programme!C5575,Programme!D5575,Programme!E5575,Programme!F5575,Programme!G5575,Programme!H5575,Programme!I5575)</f>
        <v>&lt;/cellule&gt;</v>
      </c>
    </row>
    <row r="5575" spans="1:1" x14ac:dyDescent="0.2">
      <c r="A5575" s="1135" t="str">
        <f>CONCATENATE(Programme!C5576,Programme!D5576,Programme!E5576,Programme!F5576,Programme!G5576,Programme!H5576,Programme!I5576)</f>
        <v>&lt;valeur&gt;0&lt;/valeur&gt;</v>
      </c>
    </row>
    <row r="5576" spans="1:1" x14ac:dyDescent="0.2">
      <c r="A5576" s="1135" t="str">
        <f>CONCATENATE(Programme!C5577,Programme!D5577,Programme!E5577,Programme!F5577,Programme!G5577,Programme!H5577,Programme!I5577)</f>
        <v>&lt;/ValeurCellule&gt;</v>
      </c>
    </row>
    <row r="5577" spans="1:1" x14ac:dyDescent="0.2">
      <c r="A5577" s="1135" t="str">
        <f>CONCATENATE(Programme!C5578,Programme!D5578,Programme!E5578,Programme!F5578,Programme!G5578,Programme!H5578,Programme!I5578)</f>
        <v>&lt;ValeurCellule&gt;</v>
      </c>
    </row>
    <row r="5578" spans="1:1" x14ac:dyDescent="0.2">
      <c r="A5578" s="1135" t="str">
        <f>CONCATENATE(Programme!C5579,Programme!D5579,Programme!E5579,Programme!F5579,Programme!G5579,Programme!H5579,Programme!I5579)</f>
        <v>&lt;cellule&gt;</v>
      </c>
    </row>
    <row r="5579" spans="1:1" x14ac:dyDescent="0.2">
      <c r="A5579" s="1135" t="str">
        <f>CONCATENATE(Programme!C5580,Programme!D5580,Programme!E5580,Programme!F5580,Programme!G5580,Programme!H5580,Programme!I5580)</f>
        <v>&lt;codeEdi&gt;1979&lt;/codeEdi&gt;</v>
      </c>
    </row>
    <row r="5580" spans="1:1" x14ac:dyDescent="0.2">
      <c r="A5580" s="1135" t="str">
        <f>CONCATENATE(Programme!C5581,Programme!D5581,Programme!E5581,Programme!F5581,Programme!G5581,Programme!H5581,Programme!I5581)</f>
        <v>&lt;/cellule&gt;</v>
      </c>
    </row>
    <row r="5581" spans="1:1" x14ac:dyDescent="0.2">
      <c r="A5581" s="1135" t="str">
        <f>CONCATENATE(Programme!C5582,Programme!D5582,Programme!E5582,Programme!F5582,Programme!G5582,Programme!H5582,Programme!I5582)</f>
        <v>&lt;valeur&gt;0&lt;/valeur&gt;</v>
      </c>
    </row>
    <row r="5582" spans="1:1" x14ac:dyDescent="0.2">
      <c r="A5582" s="1135" t="str">
        <f>CONCATENATE(Programme!C5583,Programme!D5583,Programme!E5583,Programme!F5583,Programme!G5583,Programme!H5583,Programme!I5583)</f>
        <v>&lt;/ValeurCellule&gt;</v>
      </c>
    </row>
    <row r="5583" spans="1:1" x14ac:dyDescent="0.2">
      <c r="A5583" s="1135" t="str">
        <f>CONCATENATE(Programme!C5584,Programme!D5584,Programme!E5584,Programme!F5584,Programme!G5584,Programme!H5584,Programme!I5584)</f>
        <v>&lt;ValeurCellule&gt;</v>
      </c>
    </row>
    <row r="5584" spans="1:1" x14ac:dyDescent="0.2">
      <c r="A5584" s="1135" t="str">
        <f>CONCATENATE(Programme!C5585,Programme!D5585,Programme!E5585,Programme!F5585,Programme!G5585,Programme!H5585,Programme!I5585)</f>
        <v>&lt;cellule&gt;</v>
      </c>
    </row>
    <row r="5585" spans="1:1" x14ac:dyDescent="0.2">
      <c r="A5585" s="1135" t="str">
        <f>CONCATENATE(Programme!C5586,Programme!D5586,Programme!E5586,Programme!F5586,Programme!G5586,Programme!H5586,Programme!I5586)</f>
        <v>&lt;codeEdi&gt;1980&lt;/codeEdi&gt;</v>
      </c>
    </row>
    <row r="5586" spans="1:1" x14ac:dyDescent="0.2">
      <c r="A5586" s="1135" t="str">
        <f>CONCATENATE(Programme!C5587,Programme!D5587,Programme!E5587,Programme!F5587,Programme!G5587,Programme!H5587,Programme!I5587)</f>
        <v>&lt;/cellule&gt;</v>
      </c>
    </row>
    <row r="5587" spans="1:1" x14ac:dyDescent="0.2">
      <c r="A5587" s="1135" t="str">
        <f>CONCATENATE(Programme!C5588,Programme!D5588,Programme!E5588,Programme!F5588,Programme!G5588,Programme!H5588,Programme!I5588)</f>
        <v>&lt;valeur&gt;0&lt;/valeur&gt;</v>
      </c>
    </row>
    <row r="5588" spans="1:1" x14ac:dyDescent="0.2">
      <c r="A5588" s="1135" t="str">
        <f>CONCATENATE(Programme!C5589,Programme!D5589,Programme!E5589,Programme!F5589,Programme!G5589,Programme!H5589,Programme!I5589)</f>
        <v>&lt;/ValeurCellule&gt;</v>
      </c>
    </row>
    <row r="5589" spans="1:1" x14ac:dyDescent="0.2">
      <c r="A5589" s="1135" t="str">
        <f>CONCATENATE(Programme!C5590,Programme!D5590,Programme!E5590,Programme!F5590,Programme!G5590,Programme!H5590,Programme!I5590)</f>
        <v>&lt;ValeurCellule&gt;</v>
      </c>
    </row>
    <row r="5590" spans="1:1" x14ac:dyDescent="0.2">
      <c r="A5590" s="1135" t="str">
        <f>CONCATENATE(Programme!C5591,Programme!D5591,Programme!E5591,Programme!F5591,Programme!G5591,Programme!H5591,Programme!I5591)</f>
        <v>&lt;cellule&gt;</v>
      </c>
    </row>
    <row r="5591" spans="1:1" x14ac:dyDescent="0.2">
      <c r="A5591" s="1135" t="str">
        <f>CONCATENATE(Programme!C5592,Programme!D5592,Programme!E5592,Programme!F5592,Programme!G5592,Programme!H5592,Programme!I5592)</f>
        <v>&lt;codeEdi&gt;1981&lt;/codeEdi&gt;</v>
      </c>
    </row>
    <row r="5592" spans="1:1" x14ac:dyDescent="0.2">
      <c r="A5592" s="1135" t="str">
        <f>CONCATENATE(Programme!C5593,Programme!D5593,Programme!E5593,Programme!F5593,Programme!G5593,Programme!H5593,Programme!I5593)</f>
        <v>&lt;/cellule&gt;</v>
      </c>
    </row>
    <row r="5593" spans="1:1" x14ac:dyDescent="0.2">
      <c r="A5593" s="1135" t="str">
        <f>CONCATENATE(Programme!C5594,Programme!D5594,Programme!E5594,Programme!F5594,Programme!G5594,Programme!H5594,Programme!I5594)</f>
        <v>&lt;valeur&gt;&lt;/valeur&gt;</v>
      </c>
    </row>
    <row r="5594" spans="1:1" x14ac:dyDescent="0.2">
      <c r="A5594" s="1135" t="str">
        <f>CONCATENATE(Programme!C5595,Programme!D5595,Programme!E5595,Programme!F5595,Programme!G5595,Programme!H5595,Programme!I5595)</f>
        <v>&lt;/ValeurCellule&gt;</v>
      </c>
    </row>
    <row r="5595" spans="1:1" x14ac:dyDescent="0.2">
      <c r="A5595" s="1135" t="str">
        <f>CONCATENATE(Programme!C5596,Programme!D5596,Programme!E5596,Programme!F5596,Programme!G5596,Programme!H5596,Programme!I5596)</f>
        <v>&lt;ValeurCellule&gt;</v>
      </c>
    </row>
    <row r="5596" spans="1:1" x14ac:dyDescent="0.2">
      <c r="A5596" s="1135" t="str">
        <f>CONCATENATE(Programme!C5597,Programme!D5597,Programme!E5597,Programme!F5597,Programme!G5597,Programme!H5597,Programme!I5597)</f>
        <v>&lt;cellule&gt;</v>
      </c>
    </row>
    <row r="5597" spans="1:1" x14ac:dyDescent="0.2">
      <c r="A5597" s="1135" t="str">
        <f>CONCATENATE(Programme!C5598,Programme!D5598,Programme!E5598,Programme!F5598,Programme!G5598,Programme!H5598,Programme!I5598)</f>
        <v>&lt;codeEdi&gt;1982&lt;/codeEdi&gt;</v>
      </c>
    </row>
    <row r="5598" spans="1:1" x14ac:dyDescent="0.2">
      <c r="A5598" s="1135" t="str">
        <f>CONCATENATE(Programme!C5599,Programme!D5599,Programme!E5599,Programme!F5599,Programme!G5599,Programme!H5599,Programme!I5599)</f>
        <v>&lt;/cellule&gt;</v>
      </c>
    </row>
    <row r="5599" spans="1:1" x14ac:dyDescent="0.2">
      <c r="A5599" s="1135" t="str">
        <f>CONCATENATE(Programme!C5600,Programme!D5600,Programme!E5600,Programme!F5600,Programme!G5600,Programme!H5600,Programme!I5600)</f>
        <v>&lt;valeur&gt;0&lt;/valeur&gt;</v>
      </c>
    </row>
    <row r="5600" spans="1:1" x14ac:dyDescent="0.2">
      <c r="A5600" s="1135" t="str">
        <f>CONCATENATE(Programme!C5601,Programme!D5601,Programme!E5601,Programme!F5601,Programme!G5601,Programme!H5601,Programme!I5601)</f>
        <v>&lt;/ValeurCellule&gt;</v>
      </c>
    </row>
    <row r="5601" spans="1:1" x14ac:dyDescent="0.2">
      <c r="A5601" s="1135" t="str">
        <f>CONCATENATE(Programme!C5602,Programme!D5602,Programme!E5602,Programme!F5602,Programme!G5602,Programme!H5602,Programme!I5602)</f>
        <v>&lt;ValeurCellule&gt;</v>
      </c>
    </row>
    <row r="5602" spans="1:1" x14ac:dyDescent="0.2">
      <c r="A5602" s="1135" t="str">
        <f>CONCATENATE(Programme!C5603,Programme!D5603,Programme!E5603,Programme!F5603,Programme!G5603,Programme!H5603,Programme!I5603)</f>
        <v>&lt;cellule&gt;</v>
      </c>
    </row>
    <row r="5603" spans="1:1" x14ac:dyDescent="0.2">
      <c r="A5603" s="1135" t="str">
        <f>CONCATENATE(Programme!C5604,Programme!D5604,Programme!E5604,Programme!F5604,Programme!G5604,Programme!H5604,Programme!I5604)</f>
        <v>&lt;codeEdi&gt;1983&lt;/codeEdi&gt;</v>
      </c>
    </row>
    <row r="5604" spans="1:1" x14ac:dyDescent="0.2">
      <c r="A5604" s="1135" t="str">
        <f>CONCATENATE(Programme!C5605,Programme!D5605,Programme!E5605,Programme!F5605,Programme!G5605,Programme!H5605,Programme!I5605)</f>
        <v>&lt;/cellule&gt;</v>
      </c>
    </row>
    <row r="5605" spans="1:1" x14ac:dyDescent="0.2">
      <c r="A5605" s="1135" t="str">
        <f>CONCATENATE(Programme!C5606,Programme!D5606,Programme!E5606,Programme!F5606,Programme!G5606,Programme!H5606,Programme!I5606)</f>
        <v>&lt;valeur&gt;0&lt;/valeur&gt;</v>
      </c>
    </row>
    <row r="5606" spans="1:1" x14ac:dyDescent="0.2">
      <c r="A5606" s="1135" t="str">
        <f>CONCATENATE(Programme!C5607,Programme!D5607,Programme!E5607,Programme!F5607,Programme!G5607,Programme!H5607,Programme!I5607)</f>
        <v>&lt;/ValeurCellule&gt;</v>
      </c>
    </row>
    <row r="5607" spans="1:1" x14ac:dyDescent="0.2">
      <c r="A5607" s="1135" t="str">
        <f>CONCATENATE(Programme!C5608,Programme!D5608,Programme!E5608,Programme!F5608,Programme!G5608,Programme!H5608,Programme!I5608)</f>
        <v>&lt;ValeurCellule&gt;</v>
      </c>
    </row>
    <row r="5608" spans="1:1" x14ac:dyDescent="0.2">
      <c r="A5608" s="1135" t="str">
        <f>CONCATENATE(Programme!C5609,Programme!D5609,Programme!E5609,Programme!F5609,Programme!G5609,Programme!H5609,Programme!I5609)</f>
        <v>&lt;cellule&gt;</v>
      </c>
    </row>
    <row r="5609" spans="1:1" x14ac:dyDescent="0.2">
      <c r="A5609" s="1135" t="str">
        <f>CONCATENATE(Programme!C5610,Programme!D5610,Programme!E5610,Programme!F5610,Programme!G5610,Programme!H5610,Programme!I5610)</f>
        <v>&lt;codeEdi&gt;1984&lt;/codeEdi&gt;</v>
      </c>
    </row>
    <row r="5610" spans="1:1" x14ac:dyDescent="0.2">
      <c r="A5610" s="1135" t="str">
        <f>CONCATENATE(Programme!C5611,Programme!D5611,Programme!E5611,Programme!F5611,Programme!G5611,Programme!H5611,Programme!I5611)</f>
        <v>&lt;/cellule&gt;</v>
      </c>
    </row>
    <row r="5611" spans="1:1" x14ac:dyDescent="0.2">
      <c r="A5611" s="1135" t="str">
        <f>CONCATENATE(Programme!C5612,Programme!D5612,Programme!E5612,Programme!F5612,Programme!G5612,Programme!H5612,Programme!I5612)</f>
        <v>&lt;valeur&gt;0&lt;/valeur&gt;</v>
      </c>
    </row>
    <row r="5612" spans="1:1" x14ac:dyDescent="0.2">
      <c r="A5612" s="1135" t="str">
        <f>CONCATENATE(Programme!C5613,Programme!D5613,Programme!E5613,Programme!F5613,Programme!G5613,Programme!H5613,Programme!I5613)</f>
        <v>&lt;/ValeurCellule&gt;</v>
      </c>
    </row>
    <row r="5613" spans="1:1" x14ac:dyDescent="0.2">
      <c r="A5613" s="1135" t="str">
        <f>CONCATENATE(Programme!C5614,Programme!D5614,Programme!E5614,Programme!F5614,Programme!G5614,Programme!H5614,Programme!I5614)</f>
        <v>&lt;ValeurCellule&gt;</v>
      </c>
    </row>
    <row r="5614" spans="1:1" x14ac:dyDescent="0.2">
      <c r="A5614" s="1135" t="str">
        <f>CONCATENATE(Programme!C5615,Programme!D5615,Programme!E5615,Programme!F5615,Programme!G5615,Programme!H5615,Programme!I5615)</f>
        <v>&lt;cellule&gt;</v>
      </c>
    </row>
    <row r="5615" spans="1:1" x14ac:dyDescent="0.2">
      <c r="A5615" s="1135" t="str">
        <f>CONCATENATE(Programme!C5616,Programme!D5616,Programme!E5616,Programme!F5616,Programme!G5616,Programme!H5616,Programme!I5616)</f>
        <v>&lt;codeEdi&gt;1985&lt;/codeEdi&gt;</v>
      </c>
    </row>
    <row r="5616" spans="1:1" x14ac:dyDescent="0.2">
      <c r="A5616" s="1135" t="str">
        <f>CONCATENATE(Programme!C5617,Programme!D5617,Programme!E5617,Programme!F5617,Programme!G5617,Programme!H5617,Programme!I5617)</f>
        <v>&lt;/cellule&gt;</v>
      </c>
    </row>
    <row r="5617" spans="1:1" x14ac:dyDescent="0.2">
      <c r="A5617" s="1135" t="str">
        <f>CONCATENATE(Programme!C5618,Programme!D5618,Programme!E5618,Programme!F5618,Programme!G5618,Programme!H5618,Programme!I5618)</f>
        <v>&lt;valeur&gt;&lt;/valeur&gt;</v>
      </c>
    </row>
    <row r="5618" spans="1:1" x14ac:dyDescent="0.2">
      <c r="A5618" s="1135" t="str">
        <f>CONCATENATE(Programme!C5619,Programme!D5619,Programme!E5619,Programme!F5619,Programme!G5619,Programme!H5619,Programme!I5619)</f>
        <v>&lt;/ValeurCellule&gt;</v>
      </c>
    </row>
    <row r="5619" spans="1:1" x14ac:dyDescent="0.2">
      <c r="A5619" s="1135" t="str">
        <f>CONCATENATE(Programme!C5620,Programme!D5620,Programme!E5620,Programme!F5620,Programme!G5620,Programme!H5620,Programme!I5620)</f>
        <v>&lt;ValeurCellule&gt;</v>
      </c>
    </row>
    <row r="5620" spans="1:1" x14ac:dyDescent="0.2">
      <c r="A5620" s="1135" t="str">
        <f>CONCATENATE(Programme!C5621,Programme!D5621,Programme!E5621,Programme!F5621,Programme!G5621,Programme!H5621,Programme!I5621)</f>
        <v>&lt;cellule&gt;</v>
      </c>
    </row>
    <row r="5621" spans="1:1" x14ac:dyDescent="0.2">
      <c r="A5621" s="1135" t="str">
        <f>CONCATENATE(Programme!C5622,Programme!D5622,Programme!E5622,Programme!F5622,Programme!G5622,Programme!H5622,Programme!I5622)</f>
        <v>&lt;codeEdi&gt;1986&lt;/codeEdi&gt;</v>
      </c>
    </row>
    <row r="5622" spans="1:1" x14ac:dyDescent="0.2">
      <c r="A5622" s="1135" t="str">
        <f>CONCATENATE(Programme!C5623,Programme!D5623,Programme!E5623,Programme!F5623,Programme!G5623,Programme!H5623,Programme!I5623)</f>
        <v>&lt;/cellule&gt;</v>
      </c>
    </row>
    <row r="5623" spans="1:1" x14ac:dyDescent="0.2">
      <c r="A5623" s="1135" t="str">
        <f>CONCATENATE(Programme!C5624,Programme!D5624,Programme!E5624,Programme!F5624,Programme!G5624,Programme!H5624,Programme!I5624)</f>
        <v>&lt;valeur&gt;0&lt;/valeur&gt;</v>
      </c>
    </row>
    <row r="5624" spans="1:1" x14ac:dyDescent="0.2">
      <c r="A5624" s="1135" t="str">
        <f>CONCATENATE(Programme!C5625,Programme!D5625,Programme!E5625,Programme!F5625,Programme!G5625,Programme!H5625,Programme!I5625)</f>
        <v>&lt;/ValeurCellule&gt;</v>
      </c>
    </row>
    <row r="5625" spans="1:1" x14ac:dyDescent="0.2">
      <c r="A5625" s="1135" t="str">
        <f>CONCATENATE(Programme!C5626,Programme!D5626,Programme!E5626,Programme!F5626,Programme!G5626,Programme!H5626,Programme!I5626)</f>
        <v>&lt;ValeurCellule&gt;</v>
      </c>
    </row>
    <row r="5626" spans="1:1" x14ac:dyDescent="0.2">
      <c r="A5626" s="1135" t="str">
        <f>CONCATENATE(Programme!C5627,Programme!D5627,Programme!E5627,Programme!F5627,Programme!G5627,Programme!H5627,Programme!I5627)</f>
        <v>&lt;cellule&gt;</v>
      </c>
    </row>
    <row r="5627" spans="1:1" x14ac:dyDescent="0.2">
      <c r="A5627" s="1135" t="str">
        <f>CONCATENATE(Programme!C5628,Programme!D5628,Programme!E5628,Programme!F5628,Programme!G5628,Programme!H5628,Programme!I5628)</f>
        <v>&lt;codeEdi&gt;1987&lt;/codeEdi&gt;</v>
      </c>
    </row>
    <row r="5628" spans="1:1" x14ac:dyDescent="0.2">
      <c r="A5628" s="1135" t="str">
        <f>CONCATENATE(Programme!C5629,Programme!D5629,Programme!E5629,Programme!F5629,Programme!G5629,Programme!H5629,Programme!I5629)</f>
        <v>&lt;/cellule&gt;</v>
      </c>
    </row>
    <row r="5629" spans="1:1" x14ac:dyDescent="0.2">
      <c r="A5629" s="1135" t="str">
        <f>CONCATENATE(Programme!C5630,Programme!D5630,Programme!E5630,Programme!F5630,Programme!G5630,Programme!H5630,Programme!I5630)</f>
        <v>&lt;valeur&gt;0&lt;/valeur&gt;</v>
      </c>
    </row>
    <row r="5630" spans="1:1" x14ac:dyDescent="0.2">
      <c r="A5630" s="1135" t="str">
        <f>CONCATENATE(Programme!C5631,Programme!D5631,Programme!E5631,Programme!F5631,Programme!G5631,Programme!H5631,Programme!I5631)</f>
        <v>&lt;/ValeurCellule&gt;</v>
      </c>
    </row>
    <row r="5631" spans="1:1" x14ac:dyDescent="0.2">
      <c r="A5631" s="1135" t="str">
        <f>CONCATENATE(Programme!C5632,Programme!D5632,Programme!E5632,Programme!F5632,Programme!G5632,Programme!H5632,Programme!I5632)</f>
        <v>&lt;ValeurCellule&gt;</v>
      </c>
    </row>
    <row r="5632" spans="1:1" x14ac:dyDescent="0.2">
      <c r="A5632" s="1135" t="str">
        <f>CONCATENATE(Programme!C5633,Programme!D5633,Programme!E5633,Programme!F5633,Programme!G5633,Programme!H5633,Programme!I5633)</f>
        <v>&lt;cellule&gt;</v>
      </c>
    </row>
    <row r="5633" spans="1:1" x14ac:dyDescent="0.2">
      <c r="A5633" s="1135" t="str">
        <f>CONCATENATE(Programme!C5634,Programme!D5634,Programme!E5634,Programme!F5634,Programme!G5634,Programme!H5634,Programme!I5634)</f>
        <v>&lt;codeEdi&gt;1988&lt;/codeEdi&gt;</v>
      </c>
    </row>
    <row r="5634" spans="1:1" x14ac:dyDescent="0.2">
      <c r="A5634" s="1135" t="str">
        <f>CONCATENATE(Programme!C5635,Programme!D5635,Programme!E5635,Programme!F5635,Programme!G5635,Programme!H5635,Programme!I5635)</f>
        <v>&lt;/cellule&gt;</v>
      </c>
    </row>
    <row r="5635" spans="1:1" x14ac:dyDescent="0.2">
      <c r="A5635" s="1135" t="str">
        <f>CONCATENATE(Programme!C5636,Programme!D5636,Programme!E5636,Programme!F5636,Programme!G5636,Programme!H5636,Programme!I5636)</f>
        <v>&lt;valeur&gt;0&lt;/valeur&gt;</v>
      </c>
    </row>
    <row r="5636" spans="1:1" x14ac:dyDescent="0.2">
      <c r="A5636" s="1135" t="str">
        <f>CONCATENATE(Programme!C5637,Programme!D5637,Programme!E5637,Programme!F5637,Programme!G5637,Programme!H5637,Programme!I5637)</f>
        <v>&lt;/ValeurCellule&gt;</v>
      </c>
    </row>
    <row r="5637" spans="1:1" x14ac:dyDescent="0.2">
      <c r="A5637" s="1135" t="str">
        <f>CONCATENATE(Programme!C5638,Programme!D5638,Programme!E5638,Programme!F5638,Programme!G5638,Programme!H5638,Programme!I5638)</f>
        <v>&lt;ValeurCellule&gt;</v>
      </c>
    </row>
    <row r="5638" spans="1:1" x14ac:dyDescent="0.2">
      <c r="A5638" s="1135" t="str">
        <f>CONCATENATE(Programme!C5639,Programme!D5639,Programme!E5639,Programme!F5639,Programme!G5639,Programme!H5639,Programme!I5639)</f>
        <v>&lt;cellule&gt;</v>
      </c>
    </row>
    <row r="5639" spans="1:1" x14ac:dyDescent="0.2">
      <c r="A5639" s="1135" t="str">
        <f>CONCATENATE(Programme!C5640,Programme!D5640,Programme!E5640,Programme!F5640,Programme!G5640,Programme!H5640,Programme!I5640)</f>
        <v>&lt;codeEdi&gt;1972&lt;/codeEdi&gt;</v>
      </c>
    </row>
    <row r="5640" spans="1:1" x14ac:dyDescent="0.2">
      <c r="A5640" s="1135" t="str">
        <f>CONCATENATE(Programme!C5641,Programme!D5641,Programme!E5641,Programme!F5641,Programme!G5641,Programme!H5641,Programme!I5641)</f>
        <v>&lt;/cellule&gt;</v>
      </c>
    </row>
    <row r="5641" spans="1:1" x14ac:dyDescent="0.2">
      <c r="A5641" s="1135" t="str">
        <f>CONCATENATE(Programme!C5642,Programme!D5642,Programme!E5642,Programme!F5642,Programme!G5642,Programme!H5642,Programme!I5642)</f>
        <v>&lt;valeur&gt;0&lt;/valeur&gt;</v>
      </c>
    </row>
    <row r="5642" spans="1:1" x14ac:dyDescent="0.2">
      <c r="A5642" s="1135" t="str">
        <f>CONCATENATE(Programme!C5643,Programme!D5643,Programme!E5643,Programme!F5643,Programme!G5643,Programme!H5643,Programme!I5643)</f>
        <v>&lt;/ValeurCellule&gt;</v>
      </c>
    </row>
    <row r="5643" spans="1:1" x14ac:dyDescent="0.2">
      <c r="A5643" s="1135" t="str">
        <f>CONCATENATE(Programme!C5644,Programme!D5644,Programme!E5644,Programme!F5644,Programme!G5644,Programme!H5644,Programme!I5644)</f>
        <v>&lt;ValeurCellule&gt;</v>
      </c>
    </row>
    <row r="5644" spans="1:1" x14ac:dyDescent="0.2">
      <c r="A5644" s="1135" t="str">
        <f>CONCATENATE(Programme!C5645,Programme!D5645,Programme!E5645,Programme!F5645,Programme!G5645,Programme!H5645,Programme!I5645)</f>
        <v>&lt;cellule&gt;</v>
      </c>
    </row>
    <row r="5645" spans="1:1" x14ac:dyDescent="0.2">
      <c r="A5645" s="1135" t="str">
        <f>CONCATENATE(Programme!C5646,Programme!D5646,Programme!E5646,Programme!F5646,Programme!G5646,Programme!H5646,Programme!I5646)</f>
        <v>&lt;codeEdi&gt;1973&lt;/codeEdi&gt;</v>
      </c>
    </row>
    <row r="5646" spans="1:1" x14ac:dyDescent="0.2">
      <c r="A5646" s="1135" t="str">
        <f>CONCATENATE(Programme!C5647,Programme!D5647,Programme!E5647,Programme!F5647,Programme!G5647,Programme!H5647,Programme!I5647)</f>
        <v>&lt;/cellule&gt;</v>
      </c>
    </row>
    <row r="5647" spans="1:1" x14ac:dyDescent="0.2">
      <c r="A5647" s="1135" t="str">
        <f>CONCATENATE(Programme!C5648,Programme!D5648,Programme!E5648,Programme!F5648,Programme!G5648,Programme!H5648,Programme!I5648)</f>
        <v>&lt;valeur&gt;0&lt;/valeur&gt;</v>
      </c>
    </row>
    <row r="5648" spans="1:1" x14ac:dyDescent="0.2">
      <c r="A5648" s="1135" t="str">
        <f>CONCATENATE(Programme!C5649,Programme!D5649,Programme!E5649,Programme!F5649,Programme!G5649,Programme!H5649,Programme!I5649)</f>
        <v>&lt;/ValeurCellule&gt;</v>
      </c>
    </row>
    <row r="5649" spans="1:1" x14ac:dyDescent="0.2">
      <c r="A5649" s="1135" t="str">
        <f>CONCATENATE(Programme!C5650,Programme!D5650,Programme!E5650,Programme!F5650,Programme!G5650,Programme!H5650,Programme!I5650)</f>
        <v>&lt;ValeurCellule&gt;</v>
      </c>
    </row>
    <row r="5650" spans="1:1" x14ac:dyDescent="0.2">
      <c r="A5650" s="1135" t="str">
        <f>CONCATENATE(Programme!C5651,Programme!D5651,Programme!E5651,Programme!F5651,Programme!G5651,Programme!H5651,Programme!I5651)</f>
        <v>&lt;cellule&gt;</v>
      </c>
    </row>
    <row r="5651" spans="1:1" x14ac:dyDescent="0.2">
      <c r="A5651" s="1135" t="str">
        <f>CONCATENATE(Programme!C5652,Programme!D5652,Programme!E5652,Programme!F5652,Programme!G5652,Programme!H5652,Programme!I5652)</f>
        <v>&lt;codeEdi&gt;1989&lt;/codeEdi&gt;</v>
      </c>
    </row>
    <row r="5652" spans="1:1" x14ac:dyDescent="0.2">
      <c r="A5652" s="1135" t="str">
        <f>CONCATENATE(Programme!C5653,Programme!D5653,Programme!E5653,Programme!F5653,Programme!G5653,Programme!H5653,Programme!I5653)</f>
        <v>&lt;/cellule&gt;</v>
      </c>
    </row>
    <row r="5653" spans="1:1" x14ac:dyDescent="0.2">
      <c r="A5653" s="1135" t="str">
        <f>CONCATENATE(Programme!C5654,Programme!D5654,Programme!E5654,Programme!F5654,Programme!G5654,Programme!H5654,Programme!I5654)</f>
        <v>&lt;valeur&gt;&lt;/valeur&gt;</v>
      </c>
    </row>
    <row r="5654" spans="1:1" x14ac:dyDescent="0.2">
      <c r="A5654" s="1135" t="str">
        <f>CONCATENATE(Programme!C5655,Programme!D5655,Programme!E5655,Programme!F5655,Programme!G5655,Programme!H5655,Programme!I5655)</f>
        <v>&lt;/ValeurCellule&gt;</v>
      </c>
    </row>
    <row r="5655" spans="1:1" x14ac:dyDescent="0.2">
      <c r="A5655" s="1135" t="str">
        <f>CONCATENATE(Programme!C5656,Programme!D5656,Programme!E5656,Programme!F5656,Programme!G5656,Programme!H5656,Programme!I5656)</f>
        <v>&lt;ValeurCellule&gt;</v>
      </c>
    </row>
    <row r="5656" spans="1:1" x14ac:dyDescent="0.2">
      <c r="A5656" s="1135" t="str">
        <f>CONCATENATE(Programme!C5657,Programme!D5657,Programme!E5657,Programme!F5657,Programme!G5657,Programme!H5657,Programme!I5657)</f>
        <v>&lt;cellule&gt;</v>
      </c>
    </row>
    <row r="5657" spans="1:1" x14ac:dyDescent="0.2">
      <c r="A5657" s="1135" t="str">
        <f>CONCATENATE(Programme!C5658,Programme!D5658,Programme!E5658,Programme!F5658,Programme!G5658,Programme!H5658,Programme!I5658)</f>
        <v>&lt;codeEdi&gt;1990&lt;/codeEdi&gt;</v>
      </c>
    </row>
    <row r="5658" spans="1:1" x14ac:dyDescent="0.2">
      <c r="A5658" s="1135" t="str">
        <f>CONCATENATE(Programme!C5659,Programme!D5659,Programme!E5659,Programme!F5659,Programme!G5659,Programme!H5659,Programme!I5659)</f>
        <v>&lt;/cellule&gt;</v>
      </c>
    </row>
    <row r="5659" spans="1:1" x14ac:dyDescent="0.2">
      <c r="A5659" s="1135" t="str">
        <f>CONCATENATE(Programme!C5660,Programme!D5660,Programme!E5660,Programme!F5660,Programme!G5660,Programme!H5660,Programme!I5660)</f>
        <v>&lt;valeur&gt;0&lt;/valeur&gt;</v>
      </c>
    </row>
    <row r="5660" spans="1:1" x14ac:dyDescent="0.2">
      <c r="A5660" s="1135" t="str">
        <f>CONCATENATE(Programme!C5661,Programme!D5661,Programme!E5661,Programme!F5661,Programme!G5661,Programme!H5661,Programme!I5661)</f>
        <v>&lt;/ValeurCellule&gt;</v>
      </c>
    </row>
    <row r="5661" spans="1:1" x14ac:dyDescent="0.2">
      <c r="A5661" s="1135" t="str">
        <f>CONCATENATE(Programme!C5662,Programme!D5662,Programme!E5662,Programme!F5662,Programme!G5662,Programme!H5662,Programme!I5662)</f>
        <v>&lt;ValeurCellule&gt;</v>
      </c>
    </row>
    <row r="5662" spans="1:1" x14ac:dyDescent="0.2">
      <c r="A5662" s="1135" t="str">
        <f>CONCATENATE(Programme!C5663,Programme!D5663,Programme!E5663,Programme!F5663,Programme!G5663,Programme!H5663,Programme!I5663)</f>
        <v>&lt;cellule&gt;</v>
      </c>
    </row>
    <row r="5663" spans="1:1" x14ac:dyDescent="0.2">
      <c r="A5663" s="1135" t="str">
        <f>CONCATENATE(Programme!C5664,Programme!D5664,Programme!E5664,Programme!F5664,Programme!G5664,Programme!H5664,Programme!I5664)</f>
        <v>&lt;codeEdi&gt;1991&lt;/codeEdi&gt;</v>
      </c>
    </row>
    <row r="5664" spans="1:1" x14ac:dyDescent="0.2">
      <c r="A5664" s="1135" t="str">
        <f>CONCATENATE(Programme!C5665,Programme!D5665,Programme!E5665,Programme!F5665,Programme!G5665,Programme!H5665,Programme!I5665)</f>
        <v>&lt;/cellule&gt;</v>
      </c>
    </row>
    <row r="5665" spans="1:1" x14ac:dyDescent="0.2">
      <c r="A5665" s="1135" t="str">
        <f>CONCATENATE(Programme!C5666,Programme!D5666,Programme!E5666,Programme!F5666,Programme!G5666,Programme!H5666,Programme!I5666)</f>
        <v>&lt;valeur&gt;0&lt;/valeur&gt;</v>
      </c>
    </row>
    <row r="5666" spans="1:1" x14ac:dyDescent="0.2">
      <c r="A5666" s="1135" t="str">
        <f>CONCATENATE(Programme!C5667,Programme!D5667,Programme!E5667,Programme!F5667,Programme!G5667,Programme!H5667,Programme!I5667)</f>
        <v>&lt;/ValeurCellule&gt;</v>
      </c>
    </row>
    <row r="5667" spans="1:1" x14ac:dyDescent="0.2">
      <c r="A5667" s="1135" t="str">
        <f>CONCATENATE(Programme!C5668,Programme!D5668,Programme!E5668,Programme!F5668,Programme!G5668,Programme!H5668,Programme!I5668)</f>
        <v>&lt;ValeurCellule&gt;</v>
      </c>
    </row>
    <row r="5668" spans="1:1" x14ac:dyDescent="0.2">
      <c r="A5668" s="1135" t="str">
        <f>CONCATENATE(Programme!C5669,Programme!D5669,Programme!E5669,Programme!F5669,Programme!G5669,Programme!H5669,Programme!I5669)</f>
        <v>&lt;cellule&gt;</v>
      </c>
    </row>
    <row r="5669" spans="1:1" x14ac:dyDescent="0.2">
      <c r="A5669" s="1135" t="str">
        <f>CONCATENATE(Programme!C5670,Programme!D5670,Programme!E5670,Programme!F5670,Programme!G5670,Programme!H5670,Programme!I5670)</f>
        <v>&lt;codeEdi&gt;1992&lt;/codeEdi&gt;</v>
      </c>
    </row>
    <row r="5670" spans="1:1" x14ac:dyDescent="0.2">
      <c r="A5670" s="1135" t="str">
        <f>CONCATENATE(Programme!C5671,Programme!D5671,Programme!E5671,Programme!F5671,Programme!G5671,Programme!H5671,Programme!I5671)</f>
        <v>&lt;/cellule&gt;</v>
      </c>
    </row>
    <row r="5671" spans="1:1" x14ac:dyDescent="0.2">
      <c r="A5671" s="1135" t="str">
        <f>CONCATENATE(Programme!C5672,Programme!D5672,Programme!E5672,Programme!F5672,Programme!G5672,Programme!H5672,Programme!I5672)</f>
        <v>&lt;valeur&gt;0&lt;/valeur&gt;</v>
      </c>
    </row>
    <row r="5672" spans="1:1" x14ac:dyDescent="0.2">
      <c r="A5672" s="1135" t="str">
        <f>CONCATENATE(Programme!C5673,Programme!D5673,Programme!E5673,Programme!F5673,Programme!G5673,Programme!H5673,Programme!I5673)</f>
        <v>&lt;/ValeurCellule&gt;</v>
      </c>
    </row>
    <row r="5673" spans="1:1" x14ac:dyDescent="0.2">
      <c r="A5673" s="1135" t="str">
        <f>CONCATENATE(Programme!C5674,Programme!D5674,Programme!E5674,Programme!F5674,Programme!G5674,Programme!H5674,Programme!I5674)</f>
        <v>&lt;ValeurCellule&gt;</v>
      </c>
    </row>
    <row r="5674" spans="1:1" x14ac:dyDescent="0.2">
      <c r="A5674" s="1135" t="str">
        <f>CONCATENATE(Programme!C5675,Programme!D5675,Programme!E5675,Programme!F5675,Programme!G5675,Programme!H5675,Programme!I5675)</f>
        <v>&lt;cellule&gt;</v>
      </c>
    </row>
    <row r="5675" spans="1:1" x14ac:dyDescent="0.2">
      <c r="A5675" s="1135" t="str">
        <f>CONCATENATE(Programme!C5676,Programme!D5676,Programme!E5676,Programme!F5676,Programme!G5676,Programme!H5676,Programme!I5676)</f>
        <v>&lt;codeEdi&gt;1993&lt;/codeEdi&gt;</v>
      </c>
    </row>
    <row r="5676" spans="1:1" x14ac:dyDescent="0.2">
      <c r="A5676" s="1135" t="str">
        <f>CONCATENATE(Programme!C5677,Programme!D5677,Programme!E5677,Programme!F5677,Programme!G5677,Programme!H5677,Programme!I5677)</f>
        <v>&lt;/cellule&gt;</v>
      </c>
    </row>
    <row r="5677" spans="1:1" x14ac:dyDescent="0.2">
      <c r="A5677" s="1135" t="str">
        <f>CONCATENATE(Programme!C5678,Programme!D5678,Programme!E5678,Programme!F5678,Programme!G5678,Programme!H5678,Programme!I5678)</f>
        <v>&lt;valeur&gt;0&lt;/valeur&gt;</v>
      </c>
    </row>
    <row r="5678" spans="1:1" x14ac:dyDescent="0.2">
      <c r="A5678" s="1135" t="str">
        <f>CONCATENATE(Programme!C5679,Programme!D5679,Programme!E5679,Programme!F5679,Programme!G5679,Programme!H5679,Programme!I5679)</f>
        <v>&lt;/ValeurCellule&gt;</v>
      </c>
    </row>
    <row r="5679" spans="1:1" x14ac:dyDescent="0.2">
      <c r="A5679" s="1135" t="str">
        <f>CONCATENATE(Programme!C5680,Programme!D5680,Programme!E5680,Programme!F5680,Programme!G5680,Programme!H5680,Programme!I5680)</f>
        <v>&lt;ValeurCellule&gt;</v>
      </c>
    </row>
    <row r="5680" spans="1:1" x14ac:dyDescent="0.2">
      <c r="A5680" s="1135" t="str">
        <f>CONCATENATE(Programme!C5681,Programme!D5681,Programme!E5681,Programme!F5681,Programme!G5681,Programme!H5681,Programme!I5681)</f>
        <v>&lt;cellule&gt;</v>
      </c>
    </row>
    <row r="5681" spans="1:1" x14ac:dyDescent="0.2">
      <c r="A5681" s="1135" t="str">
        <f>CONCATENATE(Programme!C5682,Programme!D5682,Programme!E5682,Programme!F5682,Programme!G5682,Programme!H5682,Programme!I5682)</f>
        <v>&lt;codeEdi&gt;1994&lt;/codeEdi&gt;</v>
      </c>
    </row>
    <row r="5682" spans="1:1" x14ac:dyDescent="0.2">
      <c r="A5682" s="1135" t="str">
        <f>CONCATENATE(Programme!C5683,Programme!D5683,Programme!E5683,Programme!F5683,Programme!G5683,Programme!H5683,Programme!I5683)</f>
        <v>&lt;/cellule&gt;</v>
      </c>
    </row>
    <row r="5683" spans="1:1" x14ac:dyDescent="0.2">
      <c r="A5683" s="1135" t="str">
        <f>CONCATENATE(Programme!C5684,Programme!D5684,Programme!E5684,Programme!F5684,Programme!G5684,Programme!H5684,Programme!I5684)</f>
        <v>&lt;valeur&gt;&lt;/valeur&gt;</v>
      </c>
    </row>
    <row r="5684" spans="1:1" x14ac:dyDescent="0.2">
      <c r="A5684" s="1135" t="str">
        <f>CONCATENATE(Programme!C5685,Programme!D5685,Programme!E5685,Programme!F5685,Programme!G5685,Programme!H5685,Programme!I5685)</f>
        <v>&lt;/ValeurCellule&gt;</v>
      </c>
    </row>
    <row r="5685" spans="1:1" x14ac:dyDescent="0.2">
      <c r="A5685" s="1135" t="str">
        <f>CONCATENATE(Programme!C5686,Programme!D5686,Programme!E5686,Programme!F5686,Programme!G5686,Programme!H5686,Programme!I5686)</f>
        <v>&lt;ValeurCellule&gt;</v>
      </c>
    </row>
    <row r="5686" spans="1:1" x14ac:dyDescent="0.2">
      <c r="A5686" s="1135" t="str">
        <f>CONCATENATE(Programme!C5687,Programme!D5687,Programme!E5687,Programme!F5687,Programme!G5687,Programme!H5687,Programme!I5687)</f>
        <v>&lt;cellule&gt;</v>
      </c>
    </row>
    <row r="5687" spans="1:1" x14ac:dyDescent="0.2">
      <c r="A5687" s="1135" t="str">
        <f>CONCATENATE(Programme!C5688,Programme!D5688,Programme!E5688,Programme!F5688,Programme!G5688,Programme!H5688,Programme!I5688)</f>
        <v>&lt;codeEdi&gt;1995&lt;/codeEdi&gt;</v>
      </c>
    </row>
    <row r="5688" spans="1:1" x14ac:dyDescent="0.2">
      <c r="A5688" s="1135" t="str">
        <f>CONCATENATE(Programme!C5689,Programme!D5689,Programme!E5689,Programme!F5689,Programme!G5689,Programme!H5689,Programme!I5689)</f>
        <v>&lt;/cellule&gt;</v>
      </c>
    </row>
    <row r="5689" spans="1:1" x14ac:dyDescent="0.2">
      <c r="A5689" s="1135" t="str">
        <f>CONCATENATE(Programme!C5690,Programme!D5690,Programme!E5690,Programme!F5690,Programme!G5690,Programme!H5690,Programme!I5690)</f>
        <v>&lt;valeur&gt;0&lt;/valeur&gt;</v>
      </c>
    </row>
    <row r="5690" spans="1:1" x14ac:dyDescent="0.2">
      <c r="A5690" s="1135" t="str">
        <f>CONCATENATE(Programme!C5691,Programme!D5691,Programme!E5691,Programme!F5691,Programme!G5691,Programme!H5691,Programme!I5691)</f>
        <v>&lt;/ValeurCellule&gt;</v>
      </c>
    </row>
    <row r="5691" spans="1:1" x14ac:dyDescent="0.2">
      <c r="A5691" s="1135" t="str">
        <f>CONCATENATE(Programme!C5692,Programme!D5692,Programme!E5692,Programme!F5692,Programme!G5692,Programme!H5692,Programme!I5692)</f>
        <v>&lt;ValeurCellule&gt;</v>
      </c>
    </row>
    <row r="5692" spans="1:1" x14ac:dyDescent="0.2">
      <c r="A5692" s="1135" t="str">
        <f>CONCATENATE(Programme!C5693,Programme!D5693,Programme!E5693,Programme!F5693,Programme!G5693,Programme!H5693,Programme!I5693)</f>
        <v>&lt;cellule&gt;</v>
      </c>
    </row>
    <row r="5693" spans="1:1" x14ac:dyDescent="0.2">
      <c r="A5693" s="1135" t="str">
        <f>CONCATENATE(Programme!C5694,Programme!D5694,Programme!E5694,Programme!F5694,Programme!G5694,Programme!H5694,Programme!I5694)</f>
        <v>&lt;codeEdi&gt;1996&lt;/codeEdi&gt;</v>
      </c>
    </row>
    <row r="5694" spans="1:1" x14ac:dyDescent="0.2">
      <c r="A5694" s="1135" t="str">
        <f>CONCATENATE(Programme!C5695,Programme!D5695,Programme!E5695,Programme!F5695,Programme!G5695,Programme!H5695,Programme!I5695)</f>
        <v>&lt;/cellule&gt;</v>
      </c>
    </row>
    <row r="5695" spans="1:1" x14ac:dyDescent="0.2">
      <c r="A5695" s="1135" t="str">
        <f>CONCATENATE(Programme!C5696,Programme!D5696,Programme!E5696,Programme!F5696,Programme!G5696,Programme!H5696,Programme!I5696)</f>
        <v>&lt;valeur&gt;0&lt;/valeur&gt;</v>
      </c>
    </row>
    <row r="5696" spans="1:1" x14ac:dyDescent="0.2">
      <c r="A5696" s="1135" t="str">
        <f>CONCATENATE(Programme!C5697,Programme!D5697,Programme!E5697,Programme!F5697,Programme!G5697,Programme!H5697,Programme!I5697)</f>
        <v>&lt;/ValeurCellule&gt;</v>
      </c>
    </row>
    <row r="5697" spans="1:1" x14ac:dyDescent="0.2">
      <c r="A5697" s="1135" t="str">
        <f>CONCATENATE(Programme!C5698,Programme!D5698,Programme!E5698,Programme!F5698,Programme!G5698,Programme!H5698,Programme!I5698)</f>
        <v>&lt;ValeurCellule&gt;</v>
      </c>
    </row>
    <row r="5698" spans="1:1" x14ac:dyDescent="0.2">
      <c r="A5698" s="1135" t="str">
        <f>CONCATENATE(Programme!C5699,Programme!D5699,Programme!E5699,Programme!F5699,Programme!G5699,Programme!H5699,Programme!I5699)</f>
        <v>&lt;cellule&gt;</v>
      </c>
    </row>
    <row r="5699" spans="1:1" x14ac:dyDescent="0.2">
      <c r="A5699" s="1135" t="str">
        <f>CONCATENATE(Programme!C5700,Programme!D5700,Programme!E5700,Programme!F5700,Programme!G5700,Programme!H5700,Programme!I5700)</f>
        <v>&lt;codeEdi&gt;1997&lt;/codeEdi&gt;</v>
      </c>
    </row>
    <row r="5700" spans="1:1" x14ac:dyDescent="0.2">
      <c r="A5700" s="1135" t="str">
        <f>CONCATENATE(Programme!C5701,Programme!D5701,Programme!E5701,Programme!F5701,Programme!G5701,Programme!H5701,Programme!I5701)</f>
        <v>&lt;/cellule&gt;</v>
      </c>
    </row>
    <row r="5701" spans="1:1" x14ac:dyDescent="0.2">
      <c r="A5701" s="1135" t="str">
        <f>CONCATENATE(Programme!C5702,Programme!D5702,Programme!E5702,Programme!F5702,Programme!G5702,Programme!H5702,Programme!I5702)</f>
        <v>&lt;valeur&gt;0&lt;/valeur&gt;</v>
      </c>
    </row>
    <row r="5702" spans="1:1" x14ac:dyDescent="0.2">
      <c r="A5702" s="1135" t="str">
        <f>CONCATENATE(Programme!C5703,Programme!D5703,Programme!E5703,Programme!F5703,Programme!G5703,Programme!H5703,Programme!I5703)</f>
        <v>&lt;/ValeurCellule&gt;</v>
      </c>
    </row>
    <row r="5703" spans="1:1" x14ac:dyDescent="0.2">
      <c r="A5703" s="1135" t="str">
        <f>CONCATENATE(Programme!C5704,Programme!D5704,Programme!E5704,Programme!F5704,Programme!G5704,Programme!H5704,Programme!I5704)</f>
        <v>&lt;ValeurCellule&gt;</v>
      </c>
    </row>
    <row r="5704" spans="1:1" x14ac:dyDescent="0.2">
      <c r="A5704" s="1135" t="str">
        <f>CONCATENATE(Programme!C5705,Programme!D5705,Programme!E5705,Programme!F5705,Programme!G5705,Programme!H5705,Programme!I5705)</f>
        <v>&lt;cellule&gt;</v>
      </c>
    </row>
    <row r="5705" spans="1:1" x14ac:dyDescent="0.2">
      <c r="A5705" s="1135" t="str">
        <f>CONCATENATE(Programme!C5706,Programme!D5706,Programme!E5706,Programme!F5706,Programme!G5706,Programme!H5706,Programme!I5706)</f>
        <v>&lt;codeEdi&gt;1998&lt;/codeEdi&gt;</v>
      </c>
    </row>
    <row r="5706" spans="1:1" x14ac:dyDescent="0.2">
      <c r="A5706" s="1135" t="str">
        <f>CONCATENATE(Programme!C5707,Programme!D5707,Programme!E5707,Programme!F5707,Programme!G5707,Programme!H5707,Programme!I5707)</f>
        <v>&lt;/cellule&gt;</v>
      </c>
    </row>
    <row r="5707" spans="1:1" x14ac:dyDescent="0.2">
      <c r="A5707" s="1135" t="str">
        <f>CONCATENATE(Programme!C5708,Programme!D5708,Programme!E5708,Programme!F5708,Programme!G5708,Programme!H5708,Programme!I5708)</f>
        <v>&lt;valeur&gt;0&lt;/valeur&gt;</v>
      </c>
    </row>
    <row r="5708" spans="1:1" x14ac:dyDescent="0.2">
      <c r="A5708" s="1135" t="str">
        <f>CONCATENATE(Programme!C5709,Programme!D5709,Programme!E5709,Programme!F5709,Programme!G5709,Programme!H5709,Programme!I5709)</f>
        <v>&lt;/ValeurCellule&gt;</v>
      </c>
    </row>
    <row r="5709" spans="1:1" x14ac:dyDescent="0.2">
      <c r="A5709" s="1135" t="str">
        <f>CONCATENATE(Programme!C5710,Programme!D5710,Programme!E5710,Programme!F5710,Programme!G5710,Programme!H5710,Programme!I5710)</f>
        <v>&lt;ValeurCellule&gt;</v>
      </c>
    </row>
    <row r="5710" spans="1:1" x14ac:dyDescent="0.2">
      <c r="A5710" s="1135" t="str">
        <f>CONCATENATE(Programme!C5711,Programme!D5711,Programme!E5711,Programme!F5711,Programme!G5711,Programme!H5711,Programme!I5711)</f>
        <v>&lt;cellule&gt;</v>
      </c>
    </row>
    <row r="5711" spans="1:1" x14ac:dyDescent="0.2">
      <c r="A5711" s="1135" t="str">
        <f>CONCATENATE(Programme!C5712,Programme!D5712,Programme!E5712,Programme!F5712,Programme!G5712,Programme!H5712,Programme!I5712)</f>
        <v>&lt;codeEdi&gt;1999&lt;/codeEdi&gt;</v>
      </c>
    </row>
    <row r="5712" spans="1:1" x14ac:dyDescent="0.2">
      <c r="A5712" s="1135" t="str">
        <f>CONCATENATE(Programme!C5713,Programme!D5713,Programme!E5713,Programme!F5713,Programme!G5713,Programme!H5713,Programme!I5713)</f>
        <v>&lt;/cellule&gt;</v>
      </c>
    </row>
    <row r="5713" spans="1:1" x14ac:dyDescent="0.2">
      <c r="A5713" s="1135" t="str">
        <f>CONCATENATE(Programme!C5714,Programme!D5714,Programme!E5714,Programme!F5714,Programme!G5714,Programme!H5714,Programme!I5714)</f>
        <v>&lt;valeur&gt;0&lt;/valeur&gt;</v>
      </c>
    </row>
    <row r="5714" spans="1:1" x14ac:dyDescent="0.2">
      <c r="A5714" s="1135" t="str">
        <f>CONCATENATE(Programme!C5715,Programme!D5715,Programme!E5715,Programme!F5715,Programme!G5715,Programme!H5715,Programme!I5715)</f>
        <v>&lt;/ValeurCellule&gt;</v>
      </c>
    </row>
    <row r="5715" spans="1:1" x14ac:dyDescent="0.2">
      <c r="A5715" s="1135" t="str">
        <f>CONCATENATE(Programme!C5716,Programme!D5716,Programme!E5716,Programme!F5716,Programme!G5716,Programme!H5716,Programme!I5716)</f>
        <v>&lt;ValeurCellule&gt;</v>
      </c>
    </row>
    <row r="5716" spans="1:1" x14ac:dyDescent="0.2">
      <c r="A5716" s="1135" t="str">
        <f>CONCATENATE(Programme!C5717,Programme!D5717,Programme!E5717,Programme!F5717,Programme!G5717,Programme!H5717,Programme!I5717)</f>
        <v>&lt;cellule&gt;</v>
      </c>
    </row>
    <row r="5717" spans="1:1" x14ac:dyDescent="0.2">
      <c r="A5717" s="1135" t="str">
        <f>CONCATENATE(Programme!C5718,Programme!D5718,Programme!E5718,Programme!F5718,Programme!G5718,Programme!H5718,Programme!I5718)</f>
        <v>&lt;codeEdi&gt;2000&lt;/codeEdi&gt;</v>
      </c>
    </row>
    <row r="5718" spans="1:1" x14ac:dyDescent="0.2">
      <c r="A5718" s="1135" t="str">
        <f>CONCATENATE(Programme!C5719,Programme!D5719,Programme!E5719,Programme!F5719,Programme!G5719,Programme!H5719,Programme!I5719)</f>
        <v>&lt;/cellule&gt;</v>
      </c>
    </row>
    <row r="5719" spans="1:1" x14ac:dyDescent="0.2">
      <c r="A5719" s="1135" t="str">
        <f>CONCATENATE(Programme!C5720,Programme!D5720,Programme!E5720,Programme!F5720,Programme!G5720,Programme!H5720,Programme!I5720)</f>
        <v>&lt;valeur&gt;0&lt;/valeur&gt;</v>
      </c>
    </row>
    <row r="5720" spans="1:1" x14ac:dyDescent="0.2">
      <c r="A5720" s="1135" t="str">
        <f>CONCATENATE(Programme!C5721,Programme!D5721,Programme!E5721,Programme!F5721,Programme!G5721,Programme!H5721,Programme!I5721)</f>
        <v>&lt;/ValeurCellule&gt;</v>
      </c>
    </row>
    <row r="5721" spans="1:1" x14ac:dyDescent="0.2">
      <c r="A5721" s="1135" t="str">
        <f>CONCATENATE(Programme!C5722,Programme!D5722,Programme!E5722,Programme!F5722,Programme!G5722,Programme!H5722,Programme!I5722)</f>
        <v>&lt;ValeurCellule&gt;</v>
      </c>
    </row>
    <row r="5722" spans="1:1" x14ac:dyDescent="0.2">
      <c r="A5722" s="1135" t="str">
        <f>CONCATENATE(Programme!C5723,Programme!D5723,Programme!E5723,Programme!F5723,Programme!G5723,Programme!H5723,Programme!I5723)</f>
        <v>&lt;cellule&gt;</v>
      </c>
    </row>
    <row r="5723" spans="1:1" x14ac:dyDescent="0.2">
      <c r="A5723" s="1135" t="str">
        <f>CONCATENATE(Programme!C5724,Programme!D5724,Programme!E5724,Programme!F5724,Programme!G5724,Programme!H5724,Programme!I5724)</f>
        <v>&lt;codeEdi&gt;2001&lt;/codeEdi&gt;</v>
      </c>
    </row>
    <row r="5724" spans="1:1" x14ac:dyDescent="0.2">
      <c r="A5724" s="1135" t="str">
        <f>CONCATENATE(Programme!C5725,Programme!D5725,Programme!E5725,Programme!F5725,Programme!G5725,Programme!H5725,Programme!I5725)</f>
        <v>&lt;/cellule&gt;</v>
      </c>
    </row>
    <row r="5725" spans="1:1" x14ac:dyDescent="0.2">
      <c r="A5725" s="1135" t="str">
        <f>CONCATENATE(Programme!C5726,Programme!D5726,Programme!E5726,Programme!F5726,Programme!G5726,Programme!H5726,Programme!I5726)</f>
        <v>&lt;valeur&gt;0&lt;/valeur&gt;</v>
      </c>
    </row>
    <row r="5726" spans="1:1" x14ac:dyDescent="0.2">
      <c r="A5726" s="1135" t="str">
        <f>CONCATENATE(Programme!C5727,Programme!D5727,Programme!E5727,Programme!F5727,Programme!G5727,Programme!H5727,Programme!I5727)</f>
        <v>&lt;/ValeurCellule&gt;</v>
      </c>
    </row>
    <row r="5727" spans="1:1" x14ac:dyDescent="0.2">
      <c r="A5727" s="1135" t="str">
        <f>CONCATENATE(Programme!C5728,Programme!D5728,Programme!E5728,Programme!F5728,Programme!G5728,Programme!H5728,Programme!I5728)</f>
        <v>&lt;ValeurCellule&gt;</v>
      </c>
    </row>
    <row r="5728" spans="1:1" x14ac:dyDescent="0.2">
      <c r="A5728" s="1135" t="str">
        <f>CONCATENATE(Programme!C5729,Programme!D5729,Programme!E5729,Programme!F5729,Programme!G5729,Programme!H5729,Programme!I5729)</f>
        <v>&lt;cellule&gt;</v>
      </c>
    </row>
    <row r="5729" spans="1:1" x14ac:dyDescent="0.2">
      <c r="A5729" s="1135" t="str">
        <f>CONCATENATE(Programme!C5730,Programme!D5730,Programme!E5730,Programme!F5730,Programme!G5730,Programme!H5730,Programme!I5730)</f>
        <v>&lt;codeEdi&gt;2002&lt;/codeEdi&gt;</v>
      </c>
    </row>
    <row r="5730" spans="1:1" x14ac:dyDescent="0.2">
      <c r="A5730" s="1135" t="str">
        <f>CONCATENATE(Programme!C5731,Programme!D5731,Programme!E5731,Programme!F5731,Programme!G5731,Programme!H5731,Programme!I5731)</f>
        <v>&lt;/cellule&gt;</v>
      </c>
    </row>
    <row r="5731" spans="1:1" x14ac:dyDescent="0.2">
      <c r="A5731" s="1135" t="str">
        <f>CONCATENATE(Programme!C5732,Programme!D5732,Programme!E5732,Programme!F5732,Programme!G5732,Programme!H5732,Programme!I5732)</f>
        <v>&lt;valeur&gt;&lt;/valeur&gt;</v>
      </c>
    </row>
    <row r="5732" spans="1:1" x14ac:dyDescent="0.2">
      <c r="A5732" s="1135" t="str">
        <f>CONCATENATE(Programme!C5733,Programme!D5733,Programme!E5733,Programme!F5733,Programme!G5733,Programme!H5733,Programme!I5733)</f>
        <v>&lt;/ValeurCellule&gt;</v>
      </c>
    </row>
    <row r="5733" spans="1:1" x14ac:dyDescent="0.2">
      <c r="A5733" s="1135" t="str">
        <f>CONCATENATE(Programme!C5734,Programme!D5734,Programme!E5734,Programme!F5734,Programme!G5734,Programme!H5734,Programme!I5734)</f>
        <v>&lt;ValeurCellule&gt;</v>
      </c>
    </row>
    <row r="5734" spans="1:1" x14ac:dyDescent="0.2">
      <c r="A5734" s="1135" t="str">
        <f>CONCATENATE(Programme!C5735,Programme!D5735,Programme!E5735,Programme!F5735,Programme!G5735,Programme!H5735,Programme!I5735)</f>
        <v>&lt;cellule&gt;</v>
      </c>
    </row>
    <row r="5735" spans="1:1" x14ac:dyDescent="0.2">
      <c r="A5735" s="1135" t="str">
        <f>CONCATENATE(Programme!C5736,Programme!D5736,Programme!E5736,Programme!F5736,Programme!G5736,Programme!H5736,Programme!I5736)</f>
        <v>&lt;codeEdi&gt;2003&lt;/codeEdi&gt;</v>
      </c>
    </row>
    <row r="5736" spans="1:1" x14ac:dyDescent="0.2">
      <c r="A5736" s="1135" t="str">
        <f>CONCATENATE(Programme!C5737,Programme!D5737,Programme!E5737,Programme!F5737,Programme!G5737,Programme!H5737,Programme!I5737)</f>
        <v>&lt;/cellule&gt;</v>
      </c>
    </row>
    <row r="5737" spans="1:1" x14ac:dyDescent="0.2">
      <c r="A5737" s="1135" t="str">
        <f>CONCATENATE(Programme!C5738,Programme!D5738,Programme!E5738,Programme!F5738,Programme!G5738,Programme!H5738,Programme!I5738)</f>
        <v>&lt;valeur&gt;0&lt;/valeur&gt;</v>
      </c>
    </row>
    <row r="5738" spans="1:1" x14ac:dyDescent="0.2">
      <c r="A5738" s="1135" t="str">
        <f>CONCATENATE(Programme!C5739,Programme!D5739,Programme!E5739,Programme!F5739,Programme!G5739,Programme!H5739,Programme!I5739)</f>
        <v>&lt;/ValeurCellule&gt;</v>
      </c>
    </row>
    <row r="5739" spans="1:1" x14ac:dyDescent="0.2">
      <c r="A5739" s="1135" t="str">
        <f>CONCATENATE(Programme!C5740,Programme!D5740,Programme!E5740,Programme!F5740,Programme!G5740,Programme!H5740,Programme!I5740)</f>
        <v>&lt;ValeurCellule&gt;</v>
      </c>
    </row>
    <row r="5740" spans="1:1" x14ac:dyDescent="0.2">
      <c r="A5740" s="1135" t="str">
        <f>CONCATENATE(Programme!C5741,Programme!D5741,Programme!E5741,Programme!F5741,Programme!G5741,Programme!H5741,Programme!I5741)</f>
        <v>&lt;cellule&gt;</v>
      </c>
    </row>
    <row r="5741" spans="1:1" x14ac:dyDescent="0.2">
      <c r="A5741" s="1135" t="str">
        <f>CONCATENATE(Programme!C5742,Programme!D5742,Programme!E5742,Programme!F5742,Programme!G5742,Programme!H5742,Programme!I5742)</f>
        <v>&lt;codeEdi&gt;2004&lt;/codeEdi&gt;</v>
      </c>
    </row>
    <row r="5742" spans="1:1" x14ac:dyDescent="0.2">
      <c r="A5742" s="1135" t="str">
        <f>CONCATENATE(Programme!C5743,Programme!D5743,Programme!E5743,Programme!F5743,Programme!G5743,Programme!H5743,Programme!I5743)</f>
        <v>&lt;/cellule&gt;</v>
      </c>
    </row>
    <row r="5743" spans="1:1" x14ac:dyDescent="0.2">
      <c r="A5743" s="1135" t="str">
        <f>CONCATENATE(Programme!C5744,Programme!D5744,Programme!E5744,Programme!F5744,Programme!G5744,Programme!H5744,Programme!I5744)</f>
        <v>&lt;valeur&gt;0&lt;/valeur&gt;</v>
      </c>
    </row>
    <row r="5744" spans="1:1" x14ac:dyDescent="0.2">
      <c r="A5744" s="1135" t="str">
        <f>CONCATENATE(Programme!C5745,Programme!D5745,Programme!E5745,Programme!F5745,Programme!G5745,Programme!H5745,Programme!I5745)</f>
        <v>&lt;/ValeurCellule&gt;</v>
      </c>
    </row>
    <row r="5745" spans="1:1" x14ac:dyDescent="0.2">
      <c r="A5745" s="1135" t="str">
        <f>CONCATENATE(Programme!C5746,Programme!D5746,Programme!E5746,Programme!F5746,Programme!G5746,Programme!H5746,Programme!I5746)</f>
        <v>&lt;ValeurCellule&gt;</v>
      </c>
    </row>
    <row r="5746" spans="1:1" x14ac:dyDescent="0.2">
      <c r="A5746" s="1135" t="str">
        <f>CONCATENATE(Programme!C5747,Programme!D5747,Programme!E5747,Programme!F5747,Programme!G5747,Programme!H5747,Programme!I5747)</f>
        <v>&lt;cellule&gt;</v>
      </c>
    </row>
    <row r="5747" spans="1:1" x14ac:dyDescent="0.2">
      <c r="A5747" s="1135" t="str">
        <f>CONCATENATE(Programme!C5748,Programme!D5748,Programme!E5748,Programme!F5748,Programme!G5748,Programme!H5748,Programme!I5748)</f>
        <v>&lt;codeEdi&gt;2005&lt;/codeEdi&gt;</v>
      </c>
    </row>
    <row r="5748" spans="1:1" x14ac:dyDescent="0.2">
      <c r="A5748" s="1135" t="str">
        <f>CONCATENATE(Programme!C5749,Programme!D5749,Programme!E5749,Programme!F5749,Programme!G5749,Programme!H5749,Programme!I5749)</f>
        <v>&lt;/cellule&gt;</v>
      </c>
    </row>
    <row r="5749" spans="1:1" x14ac:dyDescent="0.2">
      <c r="A5749" s="1135" t="str">
        <f>CONCATENATE(Programme!C5750,Programme!D5750,Programme!E5750,Programme!F5750,Programme!G5750,Programme!H5750,Programme!I5750)</f>
        <v>&lt;valeur&gt;0&lt;/valeur&gt;</v>
      </c>
    </row>
    <row r="5750" spans="1:1" x14ac:dyDescent="0.2">
      <c r="A5750" s="1135" t="str">
        <f>CONCATENATE(Programme!C5751,Programme!D5751,Programme!E5751,Programme!F5751,Programme!G5751,Programme!H5751,Programme!I5751)</f>
        <v>&lt;/ValeurCellule&gt;</v>
      </c>
    </row>
    <row r="5751" spans="1:1" x14ac:dyDescent="0.2">
      <c r="A5751" s="1135" t="str">
        <f>CONCATENATE(Programme!C5752,Programme!D5752,Programme!E5752,Programme!F5752,Programme!G5752,Programme!H5752,Programme!I5752)</f>
        <v>&lt;ValeurCellule&gt;</v>
      </c>
    </row>
    <row r="5752" spans="1:1" x14ac:dyDescent="0.2">
      <c r="A5752" s="1135" t="str">
        <f>CONCATENATE(Programme!C5753,Programme!D5753,Programme!E5753,Programme!F5753,Programme!G5753,Programme!H5753,Programme!I5753)</f>
        <v>&lt;cellule&gt;</v>
      </c>
    </row>
    <row r="5753" spans="1:1" x14ac:dyDescent="0.2">
      <c r="A5753" s="1135" t="str">
        <f>CONCATENATE(Programme!C5754,Programme!D5754,Programme!E5754,Programme!F5754,Programme!G5754,Programme!H5754,Programme!I5754)</f>
        <v>&lt;codeEdi&gt;2006&lt;/codeEdi&gt;</v>
      </c>
    </row>
    <row r="5754" spans="1:1" x14ac:dyDescent="0.2">
      <c r="A5754" s="1135" t="str">
        <f>CONCATENATE(Programme!C5755,Programme!D5755,Programme!E5755,Programme!F5755,Programme!G5755,Programme!H5755,Programme!I5755)</f>
        <v>&lt;/cellule&gt;</v>
      </c>
    </row>
    <row r="5755" spans="1:1" x14ac:dyDescent="0.2">
      <c r="A5755" s="1135" t="str">
        <f>CONCATENATE(Programme!C5756,Programme!D5756,Programme!E5756,Programme!F5756,Programme!G5756,Programme!H5756,Programme!I5756)</f>
        <v>&lt;valeur&gt;0&lt;/valeur&gt;</v>
      </c>
    </row>
    <row r="5756" spans="1:1" x14ac:dyDescent="0.2">
      <c r="A5756" s="1135" t="str">
        <f>CONCATENATE(Programme!C5757,Programme!D5757,Programme!E5757,Programme!F5757,Programme!G5757,Programme!H5757,Programme!I5757)</f>
        <v>&lt;/ValeurCellule&gt;</v>
      </c>
    </row>
    <row r="5757" spans="1:1" x14ac:dyDescent="0.2">
      <c r="A5757" s="1135" t="str">
        <f>CONCATENATE(Programme!C5758,Programme!D5758,Programme!E5758,Programme!F5758,Programme!G5758,Programme!H5758,Programme!I5758)</f>
        <v>&lt;ValeurCellule&gt;</v>
      </c>
    </row>
    <row r="5758" spans="1:1" x14ac:dyDescent="0.2">
      <c r="A5758" s="1135" t="str">
        <f>CONCATENATE(Programme!C5759,Programme!D5759,Programme!E5759,Programme!F5759,Programme!G5759,Programme!H5759,Programme!I5759)</f>
        <v>&lt;cellule&gt;</v>
      </c>
    </row>
    <row r="5759" spans="1:1" x14ac:dyDescent="0.2">
      <c r="A5759" s="1135" t="str">
        <f>CONCATENATE(Programme!C5760,Programme!D5760,Programme!E5760,Programme!F5760,Programme!G5760,Programme!H5760,Programme!I5760)</f>
        <v>&lt;codeEdi&gt;2007&lt;/codeEdi&gt;</v>
      </c>
    </row>
    <row r="5760" spans="1:1" x14ac:dyDescent="0.2">
      <c r="A5760" s="1135" t="str">
        <f>CONCATENATE(Programme!C5761,Programme!D5761,Programme!E5761,Programme!F5761,Programme!G5761,Programme!H5761,Programme!I5761)</f>
        <v>&lt;/cellule&gt;</v>
      </c>
    </row>
    <row r="5761" spans="1:1" x14ac:dyDescent="0.2">
      <c r="A5761" s="1135" t="str">
        <f>CONCATENATE(Programme!C5762,Programme!D5762,Programme!E5762,Programme!F5762,Programme!G5762,Programme!H5762,Programme!I5762)</f>
        <v>&lt;valeur&gt;&lt;/valeur&gt;</v>
      </c>
    </row>
    <row r="5762" spans="1:1" x14ac:dyDescent="0.2">
      <c r="A5762" s="1135" t="str">
        <f>CONCATENATE(Programme!C5763,Programme!D5763,Programme!E5763,Programme!F5763,Programme!G5763,Programme!H5763,Programme!I5763)</f>
        <v>&lt;/ValeurCellule&gt;</v>
      </c>
    </row>
    <row r="5763" spans="1:1" x14ac:dyDescent="0.2">
      <c r="A5763" s="1135" t="str">
        <f>CONCATENATE(Programme!C5764,Programme!D5764,Programme!E5764,Programme!F5764,Programme!G5764,Programme!H5764,Programme!I5764)</f>
        <v>&lt;ValeurCellule&gt;</v>
      </c>
    </row>
    <row r="5764" spans="1:1" x14ac:dyDescent="0.2">
      <c r="A5764" s="1135" t="str">
        <f>CONCATENATE(Programme!C5765,Programme!D5765,Programme!E5765,Programme!F5765,Programme!G5765,Programme!H5765,Programme!I5765)</f>
        <v>&lt;cellule&gt;</v>
      </c>
    </row>
    <row r="5765" spans="1:1" x14ac:dyDescent="0.2">
      <c r="A5765" s="1135" t="str">
        <f>CONCATENATE(Programme!C5766,Programme!D5766,Programme!E5766,Programme!F5766,Programme!G5766,Programme!H5766,Programme!I5766)</f>
        <v>&lt;codeEdi&gt;2008&lt;/codeEdi&gt;</v>
      </c>
    </row>
    <row r="5766" spans="1:1" x14ac:dyDescent="0.2">
      <c r="A5766" s="1135" t="str">
        <f>CONCATENATE(Programme!C5767,Programme!D5767,Programme!E5767,Programme!F5767,Programme!G5767,Programme!H5767,Programme!I5767)</f>
        <v>&lt;/cellule&gt;</v>
      </c>
    </row>
    <row r="5767" spans="1:1" x14ac:dyDescent="0.2">
      <c r="A5767" s="1135" t="str">
        <f>CONCATENATE(Programme!C5768,Programme!D5768,Programme!E5768,Programme!F5768,Programme!G5768,Programme!H5768,Programme!I5768)</f>
        <v>&lt;valeur&gt;0&lt;/valeur&gt;</v>
      </c>
    </row>
    <row r="5768" spans="1:1" x14ac:dyDescent="0.2">
      <c r="A5768" s="1135" t="str">
        <f>CONCATENATE(Programme!C5769,Programme!D5769,Programme!E5769,Programme!F5769,Programme!G5769,Programme!H5769,Programme!I5769)</f>
        <v>&lt;/ValeurCellule&gt;</v>
      </c>
    </row>
    <row r="5769" spans="1:1" x14ac:dyDescent="0.2">
      <c r="A5769" s="1135" t="str">
        <f>CONCATENATE(Programme!C5770,Programme!D5770,Programme!E5770,Programme!F5770,Programme!G5770,Programme!H5770,Programme!I5770)</f>
        <v>&lt;ValeurCellule&gt;</v>
      </c>
    </row>
    <row r="5770" spans="1:1" x14ac:dyDescent="0.2">
      <c r="A5770" s="1135" t="str">
        <f>CONCATENATE(Programme!C5771,Programme!D5771,Programme!E5771,Programme!F5771,Programme!G5771,Programme!H5771,Programme!I5771)</f>
        <v>&lt;cellule&gt;</v>
      </c>
    </row>
    <row r="5771" spans="1:1" x14ac:dyDescent="0.2">
      <c r="A5771" s="1135" t="str">
        <f>CONCATENATE(Programme!C5772,Programme!D5772,Programme!E5772,Programme!F5772,Programme!G5772,Programme!H5772,Programme!I5772)</f>
        <v>&lt;codeEdi&gt;2009&lt;/codeEdi&gt;</v>
      </c>
    </row>
    <row r="5772" spans="1:1" x14ac:dyDescent="0.2">
      <c r="A5772" s="1135" t="str">
        <f>CONCATENATE(Programme!C5773,Programme!D5773,Programme!E5773,Programme!F5773,Programme!G5773,Programme!H5773,Programme!I5773)</f>
        <v>&lt;/cellule&gt;</v>
      </c>
    </row>
    <row r="5773" spans="1:1" x14ac:dyDescent="0.2">
      <c r="A5773" s="1135" t="str">
        <f>CONCATENATE(Programme!C5774,Programme!D5774,Programme!E5774,Programme!F5774,Programme!G5774,Programme!H5774,Programme!I5774)</f>
        <v>&lt;valeur&gt;0&lt;/valeur&gt;</v>
      </c>
    </row>
    <row r="5774" spans="1:1" x14ac:dyDescent="0.2">
      <c r="A5774" s="1135" t="str">
        <f>CONCATENATE(Programme!C5775,Programme!D5775,Programme!E5775,Programme!F5775,Programme!G5775,Programme!H5775,Programme!I5775)</f>
        <v>&lt;/ValeurCellule&gt;</v>
      </c>
    </row>
    <row r="5775" spans="1:1" x14ac:dyDescent="0.2">
      <c r="A5775" s="1135" t="str">
        <f>CONCATENATE(Programme!C5776,Programme!D5776,Programme!E5776,Programme!F5776,Programme!G5776,Programme!H5776,Programme!I5776)</f>
        <v>&lt;ValeurCellule&gt;</v>
      </c>
    </row>
    <row r="5776" spans="1:1" x14ac:dyDescent="0.2">
      <c r="A5776" s="1135" t="str">
        <f>CONCATENATE(Programme!C5777,Programme!D5777,Programme!E5777,Programme!F5777,Programme!G5777,Programme!H5777,Programme!I5777)</f>
        <v>&lt;cellule&gt;</v>
      </c>
    </row>
    <row r="5777" spans="1:1" x14ac:dyDescent="0.2">
      <c r="A5777" s="1135" t="str">
        <f>CONCATENATE(Programme!C5778,Programme!D5778,Programme!E5778,Programme!F5778,Programme!G5778,Programme!H5778,Programme!I5778)</f>
        <v>&lt;codeEdi&gt;2010&lt;/codeEdi&gt;</v>
      </c>
    </row>
    <row r="5778" spans="1:1" x14ac:dyDescent="0.2">
      <c r="A5778" s="1135" t="str">
        <f>CONCATENATE(Programme!C5779,Programme!D5779,Programme!E5779,Programme!F5779,Programme!G5779,Programme!H5779,Programme!I5779)</f>
        <v>&lt;/cellule&gt;</v>
      </c>
    </row>
    <row r="5779" spans="1:1" x14ac:dyDescent="0.2">
      <c r="A5779" s="1135" t="str">
        <f>CONCATENATE(Programme!C5780,Programme!D5780,Programme!E5780,Programme!F5780,Programme!G5780,Programme!H5780,Programme!I5780)</f>
        <v>&lt;valeur&gt;0&lt;/valeur&gt;</v>
      </c>
    </row>
    <row r="5780" spans="1:1" x14ac:dyDescent="0.2">
      <c r="A5780" s="1135" t="str">
        <f>CONCATENATE(Programme!C5781,Programme!D5781,Programme!E5781,Programme!F5781,Programme!G5781,Programme!H5781,Programme!I5781)</f>
        <v>&lt;/ValeurCellule&gt;</v>
      </c>
    </row>
    <row r="5781" spans="1:1" x14ac:dyDescent="0.2">
      <c r="A5781" s="1135" t="str">
        <f>CONCATENATE(Programme!C5782,Programme!D5782,Programme!E5782,Programme!F5782,Programme!G5782,Programme!H5782,Programme!I5782)</f>
        <v>&lt;ValeurCellule&gt;</v>
      </c>
    </row>
    <row r="5782" spans="1:1" x14ac:dyDescent="0.2">
      <c r="A5782" s="1135" t="str">
        <f>CONCATENATE(Programme!C5783,Programme!D5783,Programme!E5783,Programme!F5783,Programme!G5783,Programme!H5783,Programme!I5783)</f>
        <v>&lt;cellule&gt;</v>
      </c>
    </row>
    <row r="5783" spans="1:1" x14ac:dyDescent="0.2">
      <c r="A5783" s="1135" t="str">
        <f>CONCATENATE(Programme!C5784,Programme!D5784,Programme!E5784,Programme!F5784,Programme!G5784,Programme!H5784,Programme!I5784)</f>
        <v>&lt;codeEdi&gt;2011&lt;/codeEdi&gt;</v>
      </c>
    </row>
    <row r="5784" spans="1:1" x14ac:dyDescent="0.2">
      <c r="A5784" s="1135" t="str">
        <f>CONCATENATE(Programme!C5785,Programme!D5785,Programme!E5785,Programme!F5785,Programme!G5785,Programme!H5785,Programme!I5785)</f>
        <v>&lt;/cellule&gt;</v>
      </c>
    </row>
    <row r="5785" spans="1:1" x14ac:dyDescent="0.2">
      <c r="A5785" s="1135" t="str">
        <f>CONCATENATE(Programme!C5786,Programme!D5786,Programme!E5786,Programme!F5786,Programme!G5786,Programme!H5786,Programme!I5786)</f>
        <v>&lt;valeur&gt;&lt;/valeur&gt;</v>
      </c>
    </row>
    <row r="5786" spans="1:1" x14ac:dyDescent="0.2">
      <c r="A5786" s="1135" t="str">
        <f>CONCATENATE(Programme!C5787,Programme!D5787,Programme!E5787,Programme!F5787,Programme!G5787,Programme!H5787,Programme!I5787)</f>
        <v>&lt;/ValeurCellule&gt;</v>
      </c>
    </row>
    <row r="5787" spans="1:1" x14ac:dyDescent="0.2">
      <c r="A5787" s="1135" t="str">
        <f>CONCATENATE(Programme!C5788,Programme!D5788,Programme!E5788,Programme!F5788,Programme!G5788,Programme!H5788,Programme!I5788)</f>
        <v>&lt;ValeurCellule&gt;</v>
      </c>
    </row>
    <row r="5788" spans="1:1" x14ac:dyDescent="0.2">
      <c r="A5788" s="1135" t="str">
        <f>CONCATENATE(Programme!C5789,Programme!D5789,Programme!E5789,Programme!F5789,Programme!G5789,Programme!H5789,Programme!I5789)</f>
        <v>&lt;cellule&gt;</v>
      </c>
    </row>
    <row r="5789" spans="1:1" x14ac:dyDescent="0.2">
      <c r="A5789" s="1135" t="str">
        <f>CONCATENATE(Programme!C5790,Programme!D5790,Programme!E5790,Programme!F5790,Programme!G5790,Programme!H5790,Programme!I5790)</f>
        <v>&lt;codeEdi&gt;2012&lt;/codeEdi&gt;</v>
      </c>
    </row>
    <row r="5790" spans="1:1" x14ac:dyDescent="0.2">
      <c r="A5790" s="1135" t="str">
        <f>CONCATENATE(Programme!C5791,Programme!D5791,Programme!E5791,Programme!F5791,Programme!G5791,Programme!H5791,Programme!I5791)</f>
        <v>&lt;/cellule&gt;</v>
      </c>
    </row>
    <row r="5791" spans="1:1" x14ac:dyDescent="0.2">
      <c r="A5791" s="1135" t="str">
        <f>CONCATENATE(Programme!C5792,Programme!D5792,Programme!E5792,Programme!F5792,Programme!G5792,Programme!H5792,Programme!I5792)</f>
        <v>&lt;valeur&gt;0&lt;/valeur&gt;</v>
      </c>
    </row>
    <row r="5792" spans="1:1" x14ac:dyDescent="0.2">
      <c r="A5792" s="1135" t="str">
        <f>CONCATENATE(Programme!C5793,Programme!D5793,Programme!E5793,Programme!F5793,Programme!G5793,Programme!H5793,Programme!I5793)</f>
        <v>&lt;/ValeurCellule&gt;</v>
      </c>
    </row>
    <row r="5793" spans="1:1" x14ac:dyDescent="0.2">
      <c r="A5793" s="1135" t="str">
        <f>CONCATENATE(Programme!C5794,Programme!D5794,Programme!E5794,Programme!F5794,Programme!G5794,Programme!H5794,Programme!I5794)</f>
        <v>&lt;ValeurCellule&gt;</v>
      </c>
    </row>
    <row r="5794" spans="1:1" x14ac:dyDescent="0.2">
      <c r="A5794" s="1135" t="str">
        <f>CONCATENATE(Programme!C5795,Programme!D5795,Programme!E5795,Programme!F5795,Programme!G5795,Programme!H5795,Programme!I5795)</f>
        <v>&lt;cellule&gt;</v>
      </c>
    </row>
    <row r="5795" spans="1:1" x14ac:dyDescent="0.2">
      <c r="A5795" s="1135" t="str">
        <f>CONCATENATE(Programme!C5796,Programme!D5796,Programme!E5796,Programme!F5796,Programme!G5796,Programme!H5796,Programme!I5796)</f>
        <v>&lt;codeEdi&gt;2013&lt;/codeEdi&gt;</v>
      </c>
    </row>
    <row r="5796" spans="1:1" x14ac:dyDescent="0.2">
      <c r="A5796" s="1135" t="str">
        <f>CONCATENATE(Programme!C5797,Programme!D5797,Programme!E5797,Programme!F5797,Programme!G5797,Programme!H5797,Programme!I5797)</f>
        <v>&lt;/cellule&gt;</v>
      </c>
    </row>
    <row r="5797" spans="1:1" x14ac:dyDescent="0.2">
      <c r="A5797" s="1135" t="str">
        <f>CONCATENATE(Programme!C5798,Programme!D5798,Programme!E5798,Programme!F5798,Programme!G5798,Programme!H5798,Programme!I5798)</f>
        <v>&lt;valeur&gt;0&lt;/valeur&gt;</v>
      </c>
    </row>
    <row r="5798" spans="1:1" x14ac:dyDescent="0.2">
      <c r="A5798" s="1135" t="str">
        <f>CONCATENATE(Programme!C5799,Programme!D5799,Programme!E5799,Programme!F5799,Programme!G5799,Programme!H5799,Programme!I5799)</f>
        <v>&lt;/ValeurCellule&gt;</v>
      </c>
    </row>
    <row r="5799" spans="1:1" x14ac:dyDescent="0.2">
      <c r="A5799" s="1135" t="str">
        <f>CONCATENATE(Programme!C5800,Programme!D5800,Programme!E5800,Programme!F5800,Programme!G5800,Programme!H5800,Programme!I5800)</f>
        <v>&lt;ValeurCellule&gt;</v>
      </c>
    </row>
    <row r="5800" spans="1:1" x14ac:dyDescent="0.2">
      <c r="A5800" s="1135" t="str">
        <f>CONCATENATE(Programme!C5801,Programme!D5801,Programme!E5801,Programme!F5801,Programme!G5801,Programme!H5801,Programme!I5801)</f>
        <v>&lt;cellule&gt;</v>
      </c>
    </row>
    <row r="5801" spans="1:1" x14ac:dyDescent="0.2">
      <c r="A5801" s="1135" t="str">
        <f>CONCATENATE(Programme!C5802,Programme!D5802,Programme!E5802,Programme!F5802,Programme!G5802,Programme!H5802,Programme!I5802)</f>
        <v>&lt;codeEdi&gt;2014&lt;/codeEdi&gt;</v>
      </c>
    </row>
    <row r="5802" spans="1:1" x14ac:dyDescent="0.2">
      <c r="A5802" s="1135" t="str">
        <f>CONCATENATE(Programme!C5803,Programme!D5803,Programme!E5803,Programme!F5803,Programme!G5803,Programme!H5803,Programme!I5803)</f>
        <v>&lt;/cellule&gt;</v>
      </c>
    </row>
    <row r="5803" spans="1:1" x14ac:dyDescent="0.2">
      <c r="A5803" s="1135" t="str">
        <f>CONCATENATE(Programme!C5804,Programme!D5804,Programme!E5804,Programme!F5804,Programme!G5804,Programme!H5804,Programme!I5804)</f>
        <v>&lt;valeur&gt;0&lt;/valeur&gt;</v>
      </c>
    </row>
    <row r="5804" spans="1:1" x14ac:dyDescent="0.2">
      <c r="A5804" s="1135" t="str">
        <f>CONCATENATE(Programme!C5805,Programme!D5805,Programme!E5805,Programme!F5805,Programme!G5805,Programme!H5805,Programme!I5805)</f>
        <v>&lt;/ValeurCellule&gt;</v>
      </c>
    </row>
    <row r="5805" spans="1:1" x14ac:dyDescent="0.2">
      <c r="A5805" s="1135" t="str">
        <f>CONCATENATE(Programme!C5806,Programme!D5806,Programme!E5806,Programme!F5806,Programme!G5806,Programme!H5806,Programme!I5806)</f>
        <v>&lt;ValeurCellule&gt;</v>
      </c>
    </row>
    <row r="5806" spans="1:1" x14ac:dyDescent="0.2">
      <c r="A5806" s="1135" t="str">
        <f>CONCATENATE(Programme!C5807,Programme!D5807,Programme!E5807,Programme!F5807,Programme!G5807,Programme!H5807,Programme!I5807)</f>
        <v>&lt;cellule&gt;</v>
      </c>
    </row>
    <row r="5807" spans="1:1" x14ac:dyDescent="0.2">
      <c r="A5807" s="1135" t="str">
        <f>CONCATENATE(Programme!C5808,Programme!D5808,Programme!E5808,Programme!F5808,Programme!G5808,Programme!H5808,Programme!I5808)</f>
        <v>&lt;codeEdi&gt;2022&lt;/codeEdi&gt;</v>
      </c>
    </row>
    <row r="5808" spans="1:1" x14ac:dyDescent="0.2">
      <c r="A5808" s="1135" t="str">
        <f>CONCATENATE(Programme!C5809,Programme!D5809,Programme!E5809,Programme!F5809,Programme!G5809,Programme!H5809,Programme!I5809)</f>
        <v>&lt;/cellule&gt;</v>
      </c>
    </row>
    <row r="5809" spans="1:1" x14ac:dyDescent="0.2">
      <c r="A5809" s="1135" t="str">
        <f>CONCATENATE(Programme!C5810,Programme!D5810,Programme!E5810,Programme!F5810,Programme!G5810,Programme!H5810,Programme!I5810)</f>
        <v>&lt;valeur&gt;&lt;/valeur&gt;</v>
      </c>
    </row>
    <row r="5810" spans="1:1" x14ac:dyDescent="0.2">
      <c r="A5810" s="1135" t="str">
        <f>CONCATENATE(Programme!C5811,Programme!D5811,Programme!E5811,Programme!F5811,Programme!G5811,Programme!H5811,Programme!I5811)</f>
        <v>&lt;/ValeurCellule&gt;</v>
      </c>
    </row>
    <row r="5811" spans="1:1" x14ac:dyDescent="0.2">
      <c r="A5811" s="1135" t="str">
        <f>CONCATENATE(Programme!C5812,Programme!D5812,Programme!E5812,Programme!F5812,Programme!G5812,Programme!H5812,Programme!I5812)</f>
        <v>&lt;ValeurCellule&gt;</v>
      </c>
    </row>
    <row r="5812" spans="1:1" x14ac:dyDescent="0.2">
      <c r="A5812" s="1135" t="str">
        <f>CONCATENATE(Programme!C5813,Programme!D5813,Programme!E5813,Programme!F5813,Programme!G5813,Programme!H5813,Programme!I5813)</f>
        <v>&lt;cellule&gt;</v>
      </c>
    </row>
    <row r="5813" spans="1:1" x14ac:dyDescent="0.2">
      <c r="A5813" s="1135" t="str">
        <f>CONCATENATE(Programme!C5814,Programme!D5814,Programme!E5814,Programme!F5814,Programme!G5814,Programme!H5814,Programme!I5814)</f>
        <v>&lt;codeEdi&gt;2024&lt;/codeEdi&gt;</v>
      </c>
    </row>
    <row r="5814" spans="1:1" x14ac:dyDescent="0.2">
      <c r="A5814" s="1135" t="str">
        <f>CONCATENATE(Programme!C5815,Programme!D5815,Programme!E5815,Programme!F5815,Programme!G5815,Programme!H5815,Programme!I5815)</f>
        <v>&lt;/cellule&gt;</v>
      </c>
    </row>
    <row r="5815" spans="1:1" x14ac:dyDescent="0.2">
      <c r="A5815" s="1135" t="str">
        <f>CONCATENATE(Programme!C5816,Programme!D5816,Programme!E5816,Programme!F5816,Programme!G5816,Programme!H5816,Programme!I5816)</f>
        <v>&lt;valeur&gt;0&lt;/valeur&gt;</v>
      </c>
    </row>
    <row r="5816" spans="1:1" x14ac:dyDescent="0.2">
      <c r="A5816" s="1135" t="str">
        <f>CONCATENATE(Programme!C5817,Programme!D5817,Programme!E5817,Programme!F5817,Programme!G5817,Programme!H5817,Programme!I5817)</f>
        <v>&lt;/ValeurCellule&gt;</v>
      </c>
    </row>
    <row r="5817" spans="1:1" x14ac:dyDescent="0.2">
      <c r="A5817" s="1135" t="str">
        <f>CONCATENATE(Programme!C5818,Programme!D5818,Programme!E5818,Programme!F5818,Programme!G5818,Programme!H5818,Programme!I5818)</f>
        <v>&lt;ValeurCellule&gt;</v>
      </c>
    </row>
    <row r="5818" spans="1:1" x14ac:dyDescent="0.2">
      <c r="A5818" s="1135" t="str">
        <f>CONCATENATE(Programme!C5819,Programme!D5819,Programme!E5819,Programme!F5819,Programme!G5819,Programme!H5819,Programme!I5819)</f>
        <v>&lt;cellule&gt;</v>
      </c>
    </row>
    <row r="5819" spans="1:1" x14ac:dyDescent="0.2">
      <c r="A5819" s="1135" t="str">
        <f>CONCATENATE(Programme!C5820,Programme!D5820,Programme!E5820,Programme!F5820,Programme!G5820,Programme!H5820,Programme!I5820)</f>
        <v>&lt;codeEdi&gt;2025&lt;/codeEdi&gt;</v>
      </c>
    </row>
    <row r="5820" spans="1:1" x14ac:dyDescent="0.2">
      <c r="A5820" s="1135" t="str">
        <f>CONCATENATE(Programme!C5821,Programme!D5821,Programme!E5821,Programme!F5821,Programme!G5821,Programme!H5821,Programme!I5821)</f>
        <v>&lt;/cellule&gt;</v>
      </c>
    </row>
    <row r="5821" spans="1:1" x14ac:dyDescent="0.2">
      <c r="A5821" s="1135" t="str">
        <f>CONCATENATE(Programme!C5822,Programme!D5822,Programme!E5822,Programme!F5822,Programme!G5822,Programme!H5822,Programme!I5822)</f>
        <v>&lt;valeur&gt;0&lt;/valeur&gt;</v>
      </c>
    </row>
    <row r="5822" spans="1:1" x14ac:dyDescent="0.2">
      <c r="A5822" s="1135" t="str">
        <f>CONCATENATE(Programme!C5823,Programme!D5823,Programme!E5823,Programme!F5823,Programme!G5823,Programme!H5823,Programme!I5823)</f>
        <v>&lt;/ValeurCellule&gt;</v>
      </c>
    </row>
    <row r="5823" spans="1:1" x14ac:dyDescent="0.2">
      <c r="A5823" s="1135" t="str">
        <f>CONCATENATE(Programme!C5824,Programme!D5824,Programme!E5824,Programme!F5824,Programme!G5824,Programme!H5824,Programme!I5824)</f>
        <v>&lt;ValeurCellule&gt;</v>
      </c>
    </row>
    <row r="5824" spans="1:1" x14ac:dyDescent="0.2">
      <c r="A5824" s="1135" t="str">
        <f>CONCATENATE(Programme!C5825,Programme!D5825,Programme!E5825,Programme!F5825,Programme!G5825,Programme!H5825,Programme!I5825)</f>
        <v>&lt;cellule&gt;</v>
      </c>
    </row>
    <row r="5825" spans="1:1" x14ac:dyDescent="0.2">
      <c r="A5825" s="1135" t="str">
        <f>CONCATENATE(Programme!C5826,Programme!D5826,Programme!E5826,Programme!F5826,Programme!G5826,Programme!H5826,Programme!I5826)</f>
        <v>&lt;codeEdi&gt;2026&lt;/codeEdi&gt;</v>
      </c>
    </row>
    <row r="5826" spans="1:1" x14ac:dyDescent="0.2">
      <c r="A5826" s="1135" t="str">
        <f>CONCATENATE(Programme!C5827,Programme!D5827,Programme!E5827,Programme!F5827,Programme!G5827,Programme!H5827,Programme!I5827)</f>
        <v>&lt;/cellule&gt;</v>
      </c>
    </row>
    <row r="5827" spans="1:1" x14ac:dyDescent="0.2">
      <c r="A5827" s="1135" t="str">
        <f>CONCATENATE(Programme!C5828,Programme!D5828,Programme!E5828,Programme!F5828,Programme!G5828,Programme!H5828,Programme!I5828)</f>
        <v>&lt;valeur&gt;0&lt;/valeur&gt;</v>
      </c>
    </row>
    <row r="5828" spans="1:1" x14ac:dyDescent="0.2">
      <c r="A5828" s="1135" t="str">
        <f>CONCATENATE(Programme!C5829,Programme!D5829,Programme!E5829,Programme!F5829,Programme!G5829,Programme!H5829,Programme!I5829)</f>
        <v>&lt;/ValeurCellule&gt;</v>
      </c>
    </row>
    <row r="5829" spans="1:1" x14ac:dyDescent="0.2">
      <c r="A5829" s="1135" t="str">
        <f>CONCATENATE(Programme!C5830,Programme!D5830,Programme!E5830,Programme!F5830,Programme!G5830,Programme!H5830,Programme!I5830)</f>
        <v>&lt;ValeurCellule&gt;</v>
      </c>
    </row>
    <row r="5830" spans="1:1" x14ac:dyDescent="0.2">
      <c r="A5830" s="1135" t="str">
        <f>CONCATENATE(Programme!C5831,Programme!D5831,Programme!E5831,Programme!F5831,Programme!G5831,Programme!H5831,Programme!I5831)</f>
        <v>&lt;cellule&gt;</v>
      </c>
    </row>
    <row r="5831" spans="1:1" x14ac:dyDescent="0.2">
      <c r="A5831" s="1135" t="str">
        <f>CONCATENATE(Programme!C5832,Programme!D5832,Programme!E5832,Programme!F5832,Programme!G5832,Programme!H5832,Programme!I5832)</f>
        <v>&lt;codeEdi&gt;2027&lt;/codeEdi&gt;</v>
      </c>
    </row>
    <row r="5832" spans="1:1" x14ac:dyDescent="0.2">
      <c r="A5832" s="1135" t="str">
        <f>CONCATENATE(Programme!C5833,Programme!D5833,Programme!E5833,Programme!F5833,Programme!G5833,Programme!H5833,Programme!I5833)</f>
        <v>&lt;/cellule&gt;</v>
      </c>
    </row>
    <row r="5833" spans="1:1" x14ac:dyDescent="0.2">
      <c r="A5833" s="1135" t="str">
        <f>CONCATENATE(Programme!C5834,Programme!D5834,Programme!E5834,Programme!F5834,Programme!G5834,Programme!H5834,Programme!I5834)</f>
        <v>&lt;valeur&gt;0&lt;/valeur&gt;</v>
      </c>
    </row>
    <row r="5834" spans="1:1" x14ac:dyDescent="0.2">
      <c r="A5834" s="1135" t="str">
        <f>CONCATENATE(Programme!C5835,Programme!D5835,Programme!E5835,Programme!F5835,Programme!G5835,Programme!H5835,Programme!I5835)</f>
        <v>&lt;/ValeurCellule&gt;</v>
      </c>
    </row>
    <row r="5835" spans="1:1" x14ac:dyDescent="0.2">
      <c r="A5835" s="1135" t="str">
        <f>CONCATENATE(Programme!C5836,Programme!D5836,Programme!E5836,Programme!F5836,Programme!G5836,Programme!H5836,Programme!I5836)</f>
        <v>&lt;ValeurCellule&gt;</v>
      </c>
    </row>
    <row r="5836" spans="1:1" x14ac:dyDescent="0.2">
      <c r="A5836" s="1135" t="str">
        <f>CONCATENATE(Programme!C5837,Programme!D5837,Programme!E5837,Programme!F5837,Programme!G5837,Programme!H5837,Programme!I5837)</f>
        <v>&lt;cellule&gt;</v>
      </c>
    </row>
    <row r="5837" spans="1:1" x14ac:dyDescent="0.2">
      <c r="A5837" s="1135" t="str">
        <f>CONCATENATE(Programme!C5838,Programme!D5838,Programme!E5838,Programme!F5838,Programme!G5838,Programme!H5838,Programme!I5838)</f>
        <v>&lt;codeEdi&gt;2028&lt;/codeEdi&gt;</v>
      </c>
    </row>
    <row r="5838" spans="1:1" x14ac:dyDescent="0.2">
      <c r="A5838" s="1135" t="str">
        <f>CONCATENATE(Programme!C5839,Programme!D5839,Programme!E5839,Programme!F5839,Programme!G5839,Programme!H5839,Programme!I5839)</f>
        <v>&lt;/cellule&gt;</v>
      </c>
    </row>
    <row r="5839" spans="1:1" x14ac:dyDescent="0.2">
      <c r="A5839" s="1135" t="str">
        <f>CONCATENATE(Programme!C5840,Programme!D5840,Programme!E5840,Programme!F5840,Programme!G5840,Programme!H5840,Programme!I5840)</f>
        <v>&lt;valeur&gt;0&lt;/valeur&gt;</v>
      </c>
    </row>
    <row r="5840" spans="1:1" x14ac:dyDescent="0.2">
      <c r="A5840" s="1135" t="str">
        <f>CONCATENATE(Programme!C5841,Programme!D5841,Programme!E5841,Programme!F5841,Programme!G5841,Programme!H5841,Programme!I5841)</f>
        <v>&lt;/ValeurCellule&gt;</v>
      </c>
    </row>
    <row r="5841" spans="1:1" x14ac:dyDescent="0.2">
      <c r="A5841" s="1135" t="str">
        <f>CONCATENATE(Programme!C5842,Programme!D5842,Programme!E5842,Programme!F5842,Programme!G5842,Programme!H5842,Programme!I5842)</f>
        <v>&lt;ValeurCellule&gt;</v>
      </c>
    </row>
    <row r="5842" spans="1:1" x14ac:dyDescent="0.2">
      <c r="A5842" s="1135" t="str">
        <f>CONCATENATE(Programme!C5843,Programme!D5843,Programme!E5843,Programme!F5843,Programme!G5843,Programme!H5843,Programme!I5843)</f>
        <v>&lt;cellule&gt;</v>
      </c>
    </row>
    <row r="5843" spans="1:1" x14ac:dyDescent="0.2">
      <c r="A5843" s="1135" t="str">
        <f>CONCATENATE(Programme!C5844,Programme!D5844,Programme!E5844,Programme!F5844,Programme!G5844,Programme!H5844,Programme!I5844)</f>
        <v>&lt;codeEdi&gt;2029&lt;/codeEdi&gt;</v>
      </c>
    </row>
    <row r="5844" spans="1:1" x14ac:dyDescent="0.2">
      <c r="A5844" s="1135" t="str">
        <f>CONCATENATE(Programme!C5845,Programme!D5845,Programme!E5845,Programme!F5845,Programme!G5845,Programme!H5845,Programme!I5845)</f>
        <v>&lt;/cellule&gt;</v>
      </c>
    </row>
    <row r="5845" spans="1:1" x14ac:dyDescent="0.2">
      <c r="A5845" s="1135" t="str">
        <f>CONCATENATE(Programme!C5846,Programme!D5846,Programme!E5846,Programme!F5846,Programme!G5846,Programme!H5846,Programme!I5846)</f>
        <v>&lt;valeur&gt;&lt;/valeur&gt;</v>
      </c>
    </row>
    <row r="5846" spans="1:1" x14ac:dyDescent="0.2">
      <c r="A5846" s="1135" t="str">
        <f>CONCATENATE(Programme!C5847,Programme!D5847,Programme!E5847,Programme!F5847,Programme!G5847,Programme!H5847,Programme!I5847)</f>
        <v>&lt;/ValeurCellule&gt;</v>
      </c>
    </row>
    <row r="5847" spans="1:1" x14ac:dyDescent="0.2">
      <c r="A5847" s="1135" t="str">
        <f>CONCATENATE(Programme!C5848,Programme!D5848,Programme!E5848,Programme!F5848,Programme!G5848,Programme!H5848,Programme!I5848)</f>
        <v>&lt;ValeurCellule&gt;</v>
      </c>
    </row>
    <row r="5848" spans="1:1" x14ac:dyDescent="0.2">
      <c r="A5848" s="1135" t="str">
        <f>CONCATENATE(Programme!C5849,Programme!D5849,Programme!E5849,Programme!F5849,Programme!G5849,Programme!H5849,Programme!I5849)</f>
        <v>&lt;cellule&gt;</v>
      </c>
    </row>
    <row r="5849" spans="1:1" x14ac:dyDescent="0.2">
      <c r="A5849" s="1135" t="str">
        <f>CONCATENATE(Programme!C5850,Programme!D5850,Programme!E5850,Programme!F5850,Programme!G5850,Programme!H5850,Programme!I5850)</f>
        <v>&lt;codeEdi&gt;2031&lt;/codeEdi&gt;</v>
      </c>
    </row>
    <row r="5850" spans="1:1" x14ac:dyDescent="0.2">
      <c r="A5850" s="1135" t="str">
        <f>CONCATENATE(Programme!C5851,Programme!D5851,Programme!E5851,Programme!F5851,Programme!G5851,Programme!H5851,Programme!I5851)</f>
        <v>&lt;/cellule&gt;</v>
      </c>
    </row>
    <row r="5851" spans="1:1" x14ac:dyDescent="0.2">
      <c r="A5851" s="1135" t="str">
        <f>CONCATENATE(Programme!C5852,Programme!D5852,Programme!E5852,Programme!F5852,Programme!G5852,Programme!H5852,Programme!I5852)</f>
        <v>&lt;valeur&gt;0&lt;/valeur&gt;</v>
      </c>
    </row>
    <row r="5852" spans="1:1" x14ac:dyDescent="0.2">
      <c r="A5852" s="1135" t="str">
        <f>CONCATENATE(Programme!C5853,Programme!D5853,Programme!E5853,Programme!F5853,Programme!G5853,Programme!H5853,Programme!I5853)</f>
        <v>&lt;/ValeurCellule&gt;</v>
      </c>
    </row>
    <row r="5853" spans="1:1" x14ac:dyDescent="0.2">
      <c r="A5853" s="1135" t="str">
        <f>CONCATENATE(Programme!C5854,Programme!D5854,Programme!E5854,Programme!F5854,Programme!G5854,Programme!H5854,Programme!I5854)</f>
        <v>&lt;ValeurCellule&gt;</v>
      </c>
    </row>
    <row r="5854" spans="1:1" x14ac:dyDescent="0.2">
      <c r="A5854" s="1135" t="str">
        <f>CONCATENATE(Programme!C5855,Programme!D5855,Programme!E5855,Programme!F5855,Programme!G5855,Programme!H5855,Programme!I5855)</f>
        <v>&lt;cellule&gt;</v>
      </c>
    </row>
    <row r="5855" spans="1:1" x14ac:dyDescent="0.2">
      <c r="A5855" s="1135" t="str">
        <f>CONCATENATE(Programme!C5856,Programme!D5856,Programme!E5856,Programme!F5856,Programme!G5856,Programme!H5856,Programme!I5856)</f>
        <v>&lt;codeEdi&gt;2032&lt;/codeEdi&gt;</v>
      </c>
    </row>
    <row r="5856" spans="1:1" x14ac:dyDescent="0.2">
      <c r="A5856" s="1135" t="str">
        <f>CONCATENATE(Programme!C5857,Programme!D5857,Programme!E5857,Programme!F5857,Programme!G5857,Programme!H5857,Programme!I5857)</f>
        <v>&lt;/cellule&gt;</v>
      </c>
    </row>
    <row r="5857" spans="1:1" x14ac:dyDescent="0.2">
      <c r="A5857" s="1135" t="str">
        <f>CONCATENATE(Programme!C5858,Programme!D5858,Programme!E5858,Programme!F5858,Programme!G5858,Programme!H5858,Programme!I5858)</f>
        <v>&lt;valeur&gt;0&lt;/valeur&gt;</v>
      </c>
    </row>
    <row r="5858" spans="1:1" x14ac:dyDescent="0.2">
      <c r="A5858" s="1135" t="str">
        <f>CONCATENATE(Programme!C5859,Programme!D5859,Programme!E5859,Programme!F5859,Programme!G5859,Programme!H5859,Programme!I5859)</f>
        <v>&lt;/ValeurCellule&gt;</v>
      </c>
    </row>
    <row r="5859" spans="1:1" x14ac:dyDescent="0.2">
      <c r="A5859" s="1135" t="str">
        <f>CONCATENATE(Programme!C5860,Programme!D5860,Programme!E5860,Programme!F5860,Programme!G5860,Programme!H5860,Programme!I5860)</f>
        <v>&lt;ValeurCellule&gt;</v>
      </c>
    </row>
    <row r="5860" spans="1:1" x14ac:dyDescent="0.2">
      <c r="A5860" s="1135" t="str">
        <f>CONCATENATE(Programme!C5861,Programme!D5861,Programme!E5861,Programme!F5861,Programme!G5861,Programme!H5861,Programme!I5861)</f>
        <v>&lt;cellule&gt;</v>
      </c>
    </row>
    <row r="5861" spans="1:1" x14ac:dyDescent="0.2">
      <c r="A5861" s="1135" t="str">
        <f>CONCATENATE(Programme!C5862,Programme!D5862,Programme!E5862,Programme!F5862,Programme!G5862,Programme!H5862,Programme!I5862)</f>
        <v>&lt;codeEdi&gt;2033&lt;/codeEdi&gt;</v>
      </c>
    </row>
    <row r="5862" spans="1:1" x14ac:dyDescent="0.2">
      <c r="A5862" s="1135" t="str">
        <f>CONCATENATE(Programme!C5863,Programme!D5863,Programme!E5863,Programme!F5863,Programme!G5863,Programme!H5863,Programme!I5863)</f>
        <v>&lt;/cellule&gt;</v>
      </c>
    </row>
    <row r="5863" spans="1:1" x14ac:dyDescent="0.2">
      <c r="A5863" s="1135" t="str">
        <f>CONCATENATE(Programme!C5864,Programme!D5864,Programme!E5864,Programme!F5864,Programme!G5864,Programme!H5864,Programme!I5864)</f>
        <v>&lt;valeur&gt;0&lt;/valeur&gt;</v>
      </c>
    </row>
    <row r="5864" spans="1:1" x14ac:dyDescent="0.2">
      <c r="A5864" s="1135" t="str">
        <f>CONCATENATE(Programme!C5865,Programme!D5865,Programme!E5865,Programme!F5865,Programme!G5865,Programme!H5865,Programme!I5865)</f>
        <v>&lt;/ValeurCellule&gt;</v>
      </c>
    </row>
    <row r="5865" spans="1:1" x14ac:dyDescent="0.2">
      <c r="A5865" s="1135" t="str">
        <f>CONCATENATE(Programme!C5866,Programme!D5866,Programme!E5866,Programme!F5866,Programme!G5866,Programme!H5866,Programme!I5866)</f>
        <v>&lt;ValeurCellule&gt;</v>
      </c>
    </row>
    <row r="5866" spans="1:1" x14ac:dyDescent="0.2">
      <c r="A5866" s="1135" t="str">
        <f>CONCATENATE(Programme!C5867,Programme!D5867,Programme!E5867,Programme!F5867,Programme!G5867,Programme!H5867,Programme!I5867)</f>
        <v>&lt;cellule&gt;</v>
      </c>
    </row>
    <row r="5867" spans="1:1" x14ac:dyDescent="0.2">
      <c r="A5867" s="1135" t="str">
        <f>CONCATENATE(Programme!C5868,Programme!D5868,Programme!E5868,Programme!F5868,Programme!G5868,Programme!H5868,Programme!I5868)</f>
        <v>&lt;codeEdi&gt;2034&lt;/codeEdi&gt;</v>
      </c>
    </row>
    <row r="5868" spans="1:1" x14ac:dyDescent="0.2">
      <c r="A5868" s="1135" t="str">
        <f>CONCATENATE(Programme!C5869,Programme!D5869,Programme!E5869,Programme!F5869,Programme!G5869,Programme!H5869,Programme!I5869)</f>
        <v>&lt;/cellule&gt;</v>
      </c>
    </row>
    <row r="5869" spans="1:1" x14ac:dyDescent="0.2">
      <c r="A5869" s="1135" t="str">
        <f>CONCATENATE(Programme!C5870,Programme!D5870,Programme!E5870,Programme!F5870,Programme!G5870,Programme!H5870,Programme!I5870)</f>
        <v>&lt;valeur&gt;0&lt;/valeur&gt;</v>
      </c>
    </row>
    <row r="5870" spans="1:1" x14ac:dyDescent="0.2">
      <c r="A5870" s="1135" t="str">
        <f>CONCATENATE(Programme!C5871,Programme!D5871,Programme!E5871,Programme!F5871,Programme!G5871,Programme!H5871,Programme!I5871)</f>
        <v>&lt;/ValeurCellule&gt;</v>
      </c>
    </row>
    <row r="5871" spans="1:1" x14ac:dyDescent="0.2">
      <c r="A5871" s="1135" t="str">
        <f>CONCATENATE(Programme!C5872,Programme!D5872,Programme!E5872,Programme!F5872,Programme!G5872,Programme!H5872,Programme!I5872)</f>
        <v>&lt;ValeurCellule&gt;</v>
      </c>
    </row>
    <row r="5872" spans="1:1" x14ac:dyDescent="0.2">
      <c r="A5872" s="1135" t="str">
        <f>CONCATENATE(Programme!C5873,Programme!D5873,Programme!E5873,Programme!F5873,Programme!G5873,Programme!H5873,Programme!I5873)</f>
        <v>&lt;cellule&gt;</v>
      </c>
    </row>
    <row r="5873" spans="1:1" x14ac:dyDescent="0.2">
      <c r="A5873" s="1135" t="str">
        <f>CONCATENATE(Programme!C5874,Programme!D5874,Programme!E5874,Programme!F5874,Programme!G5874,Programme!H5874,Programme!I5874)</f>
        <v>&lt;codeEdi&gt;2035&lt;/codeEdi&gt;</v>
      </c>
    </row>
    <row r="5874" spans="1:1" x14ac:dyDescent="0.2">
      <c r="A5874" s="1135" t="str">
        <f>CONCATENATE(Programme!C5875,Programme!D5875,Programme!E5875,Programme!F5875,Programme!G5875,Programme!H5875,Programme!I5875)</f>
        <v>&lt;/cellule&gt;</v>
      </c>
    </row>
    <row r="5875" spans="1:1" x14ac:dyDescent="0.2">
      <c r="A5875" s="1135" t="str">
        <f>CONCATENATE(Programme!C5876,Programme!D5876,Programme!E5876,Programme!F5876,Programme!G5876,Programme!H5876,Programme!I5876)</f>
        <v>&lt;valeur&gt;0&lt;/valeur&gt;</v>
      </c>
    </row>
    <row r="5876" spans="1:1" x14ac:dyDescent="0.2">
      <c r="A5876" s="1135" t="str">
        <f>CONCATENATE(Programme!C5877,Programme!D5877,Programme!E5877,Programme!F5877,Programme!G5877,Programme!H5877,Programme!I5877)</f>
        <v>&lt;/ValeurCellule&gt;</v>
      </c>
    </row>
    <row r="5877" spans="1:1" x14ac:dyDescent="0.2">
      <c r="A5877" s="1135" t="str">
        <f>CONCATENATE(Programme!C5878,Programme!D5878,Programme!E5878,Programme!F5878,Programme!G5878,Programme!H5878,Programme!I5878)</f>
        <v>&lt;/groupeValeurs&gt;</v>
      </c>
    </row>
    <row r="5878" spans="1:1" x14ac:dyDescent="0.2">
      <c r="A5878" s="1135" t="str">
        <f>CONCATENATE(Programme!C5879,Programme!D5879,Programme!E5879,Programme!F5879,Programme!G5879,Programme!H5879,Programme!I5879)</f>
        <v>&lt;extraFieldvaleurs&gt;</v>
      </c>
    </row>
    <row r="5879" spans="1:1" x14ac:dyDescent="0.2">
      <c r="A5879" s="1135" t="str">
        <f>CONCATENATE(Programme!C5880,Programme!D5880,Programme!E5880,Programme!F5880,Programme!G5880,Programme!H5880,Programme!I5880)</f>
        <v>&lt;ExtraFieldValeur&gt;</v>
      </c>
    </row>
    <row r="5880" spans="1:1" x14ac:dyDescent="0.2">
      <c r="A5880" s="1135" t="str">
        <f>CONCATENATE(Programme!C5881,Programme!D5881,Programme!E5881,Programme!F5881,Programme!G5881,Programme!H5881,Programme!I5881)</f>
        <v xml:space="preserve"> &lt;extraField&gt;</v>
      </c>
    </row>
    <row r="5881" spans="1:1" x14ac:dyDescent="0.2">
      <c r="A5881" s="1135" t="str">
        <f>CONCATENATE(Programme!C5882,Programme!D5882,Programme!E5882,Programme!F5882,Programme!G5882,Programme!H5882,Programme!I5882)</f>
        <v>&lt;code&gt;70&lt;/code&gt;</v>
      </c>
    </row>
    <row r="5882" spans="1:1" x14ac:dyDescent="0.2">
      <c r="A5882" s="1135" t="str">
        <f>CONCATENATE(Programme!C5883,Programme!D5883,Programme!E5883,Programme!F5883,Programme!G5883,Programme!H5883,Programme!I5883)</f>
        <v xml:space="preserve">&lt;/extraField&gt; </v>
      </c>
    </row>
    <row r="5883" spans="1:1" x14ac:dyDescent="0.2">
      <c r="A5883" s="1135" t="str">
        <f>CONCATENATE(Programme!C5884,Programme!D5884,Programme!E5884,Programme!F5884,Programme!G5884,Programme!H5884,Programme!I5884)</f>
        <v>&lt;valeur&gt;31/12/2022&lt;/valeur&gt;</v>
      </c>
    </row>
    <row r="5884" spans="1:1" x14ac:dyDescent="0.2">
      <c r="A5884" s="1135" t="str">
        <f>CONCATENATE(Programme!C5885,Programme!D5885,Programme!E5885,Programme!F5885,Programme!G5885,Programme!H5885,Programme!I5885)</f>
        <v>&lt;/ExtraFieldValeur&gt;</v>
      </c>
    </row>
    <row r="5885" spans="1:1" x14ac:dyDescent="0.2">
      <c r="A5885" s="1135" t="str">
        <f>CONCATENATE(Programme!C5886,Programme!D5886,Programme!E5886,Programme!F5886,Programme!G5886,Programme!H5886,Programme!I5886)</f>
        <v>&lt;/extraFieldvaleurs&gt;</v>
      </c>
    </row>
    <row r="5886" spans="1:1" x14ac:dyDescent="0.2">
      <c r="A5886" s="1135" t="str">
        <f>CONCATENATE(Programme!C5887,Programme!D5887,Programme!E5887,Programme!F5887,Programme!G5887,Programme!H5887,Programme!I5887)</f>
        <v>&lt;/ValeursTableau&gt;</v>
      </c>
    </row>
    <row r="5887" spans="1:1" x14ac:dyDescent="0.2">
      <c r="A5887" s="1135" t="str">
        <f>CONCATENATE(Programme!C5888,Programme!D5888,Programme!E5888,Programme!F5888,Programme!G5888,Programme!H5888,Programme!I5888)</f>
        <v>&lt;ValeursTableau&gt;</v>
      </c>
    </row>
    <row r="5888" spans="1:1" x14ac:dyDescent="0.2">
      <c r="A5888" s="1135" t="str">
        <f>CONCATENATE(Programme!C5889,Programme!D5889,Programme!E5889,Programme!F5889,Programme!G5889,Programme!H5889,Programme!I5889)</f>
        <v>&lt;tableau&gt;&lt;id&gt;23&lt;/id&gt;&lt;/tableau&gt;</v>
      </c>
    </row>
    <row r="5889" spans="1:1" x14ac:dyDescent="0.2">
      <c r="A5889" s="1135" t="str">
        <f>CONCATENATE(Programme!C5890,Programme!D5890,Programme!E5890,Programme!F5890,Programme!G5890,Programme!H5890,Programme!I5890)</f>
        <v>&lt;groupeValeurs&gt;</v>
      </c>
    </row>
    <row r="5890" spans="1:1" x14ac:dyDescent="0.2">
      <c r="A5890" s="1135" t="str">
        <f>CONCATENATE(Programme!C5891,Programme!D5891,Programme!E5891,Programme!F5891,Programme!G5891,Programme!H5891,Programme!I5891)</f>
        <v>&lt;ValeurCellule&gt;</v>
      </c>
    </row>
    <row r="5891" spans="1:1" x14ac:dyDescent="0.2">
      <c r="A5891" s="1135" t="str">
        <f>CONCATENATE(Programme!C5892,Programme!D5892,Programme!E5892,Programme!F5892,Programme!G5892,Programme!H5892,Programme!I5892)</f>
        <v>&lt;cellule&gt;&lt;codeEdi&gt;1098&lt;/codeEdi&gt;&lt;/cellule&gt;</v>
      </c>
    </row>
    <row r="5892" spans="1:1" x14ac:dyDescent="0.2">
      <c r="A5892" s="1135" t="str">
        <f>CONCATENATE(Programme!C5893,Programme!D5893,Programme!E5893,Programme!F5893,Programme!G5893,Programme!H5893,Programme!I5893)</f>
        <v>&lt;valeur&gt;&lt;/valeur&gt;</v>
      </c>
    </row>
    <row r="5893" spans="1:1" x14ac:dyDescent="0.2">
      <c r="A5893" s="1135" t="str">
        <f>CONCATENATE(Programme!C5894,Programme!D5894,Programme!E5894,Programme!F5894,Programme!G5894,Programme!H5894,Programme!I5894)</f>
        <v>&lt;numeroLigne&gt;1&lt;/numeroLigne&gt;</v>
      </c>
    </row>
    <row r="5894" spans="1:1" x14ac:dyDescent="0.2">
      <c r="A5894" s="1135" t="str">
        <f>CONCATENATE(Programme!C5895,Programme!D5895,Programme!E5895,Programme!F5895,Programme!G5895,Programme!H5895,Programme!I5895)</f>
        <v>&lt;/ValeurCellule&gt;</v>
      </c>
    </row>
    <row r="5895" spans="1:1" x14ac:dyDescent="0.2">
      <c r="A5895" s="1135" t="str">
        <f>CONCATENATE(Programme!C5896,Programme!D5896,Programme!E5896,Programme!F5896,Programme!G5896,Programme!H5896,Programme!I5896)</f>
        <v>&lt;ValeurCellule&gt;</v>
      </c>
    </row>
    <row r="5896" spans="1:1" x14ac:dyDescent="0.2">
      <c r="A5896" s="1135" t="str">
        <f>CONCATENATE(Programme!C5897,Programme!D5897,Programme!E5897,Programme!F5897,Programme!G5897,Programme!H5897,Programme!I5897)</f>
        <v>&lt;cellule&gt;&lt;codeEdi&gt;1099&lt;/codeEdi&gt;&lt;/cellule&gt;</v>
      </c>
    </row>
    <row r="5897" spans="1:1" x14ac:dyDescent="0.2">
      <c r="A5897" s="1135" t="str">
        <f>CONCATENATE(Programme!C5898,Programme!D5898,Programme!E5898,Programme!F5898,Programme!G5898,Programme!H5898,Programme!I5898)</f>
        <v>&lt;valeur&gt;&lt;/valeur&gt;</v>
      </c>
    </row>
    <row r="5898" spans="1:1" x14ac:dyDescent="0.2">
      <c r="A5898" s="1135" t="str">
        <f>CONCATENATE(Programme!C5899,Programme!D5899,Programme!E5899,Programme!F5899,Programme!G5899,Programme!H5899,Programme!I5899)</f>
        <v>&lt;numeroLigne&gt;1&lt;/numeroLigne&gt;</v>
      </c>
    </row>
    <row r="5899" spans="1:1" x14ac:dyDescent="0.2">
      <c r="A5899" s="1135" t="str">
        <f>CONCATENATE(Programme!C5900,Programme!D5900,Programme!E5900,Programme!F5900,Programme!G5900,Programme!H5900,Programme!I5900)</f>
        <v>&lt;/ValeurCellule&gt;</v>
      </c>
    </row>
    <row r="5900" spans="1:1" x14ac:dyDescent="0.2">
      <c r="A5900" s="1135" t="str">
        <f>CONCATENATE(Programme!C5901,Programme!D5901,Programme!E5901,Programme!F5901,Programme!G5901,Programme!H5901,Programme!I5901)</f>
        <v>&lt;ValeurCellule&gt;</v>
      </c>
    </row>
    <row r="5901" spans="1:1" x14ac:dyDescent="0.2">
      <c r="A5901" s="1135" t="str">
        <f>CONCATENATE(Programme!C5902,Programme!D5902,Programme!E5902,Programme!F5902,Programme!G5902,Programme!H5902,Programme!I5902)</f>
        <v>&lt;cellule&gt;&lt;codeEdi&gt;1100&lt;/codeEdi&gt;&lt;/cellule&gt;</v>
      </c>
    </row>
    <row r="5902" spans="1:1" x14ac:dyDescent="0.2">
      <c r="A5902" s="1135" t="str">
        <f>CONCATENATE(Programme!C5903,Programme!D5903,Programme!E5903,Programme!F5903,Programme!G5903,Programme!H5903,Programme!I5903)</f>
        <v>&lt;valeur&gt;&lt;/valeur&gt;</v>
      </c>
    </row>
    <row r="5903" spans="1:1" x14ac:dyDescent="0.2">
      <c r="A5903" s="1135" t="str">
        <f>CONCATENATE(Programme!C5904,Programme!D5904,Programme!E5904,Programme!F5904,Programme!G5904,Programme!H5904,Programme!I5904)</f>
        <v>&lt;numeroLigne&gt;1&lt;/numeroLigne&gt;</v>
      </c>
    </row>
    <row r="5904" spans="1:1" x14ac:dyDescent="0.2">
      <c r="A5904" s="1135" t="str">
        <f>CONCATENATE(Programme!C5905,Programme!D5905,Programme!E5905,Programme!F5905,Programme!G5905,Programme!H5905,Programme!I5905)</f>
        <v>&lt;/ValeurCellule&gt;</v>
      </c>
    </row>
    <row r="5905" spans="1:1" x14ac:dyDescent="0.2">
      <c r="A5905" s="1135" t="str">
        <f>CONCATENATE(Programme!C5906,Programme!D5906,Programme!E5906,Programme!F5906,Programme!G5906,Programme!H5906,Programme!I5906)</f>
        <v>&lt;ValeurCellule&gt;</v>
      </c>
    </row>
    <row r="5906" spans="1:1" x14ac:dyDescent="0.2">
      <c r="A5906" s="1135" t="str">
        <f>CONCATENATE(Programme!C5907,Programme!D5907,Programme!E5907,Programme!F5907,Programme!G5907,Programme!H5907,Programme!I5907)</f>
        <v>&lt;cellule&gt;&lt;codeEdi&gt;1101&lt;/codeEdi&gt;&lt;/cellule&gt;</v>
      </c>
    </row>
    <row r="5907" spans="1:1" x14ac:dyDescent="0.2">
      <c r="A5907" s="1135" t="str">
        <f>CONCATENATE(Programme!C5908,Programme!D5908,Programme!E5908,Programme!F5908,Programme!G5908,Programme!H5908,Programme!I5908)</f>
        <v>&lt;valeur&gt;&lt;/valeur&gt;</v>
      </c>
    </row>
    <row r="5908" spans="1:1" x14ac:dyDescent="0.2">
      <c r="A5908" s="1135" t="str">
        <f>CONCATENATE(Programme!C5909,Programme!D5909,Programme!E5909,Programme!F5909,Programme!G5909,Programme!H5909,Programme!I5909)</f>
        <v>&lt;numeroLigne&gt;1&lt;/numeroLigne&gt;</v>
      </c>
    </row>
    <row r="5909" spans="1:1" x14ac:dyDescent="0.2">
      <c r="A5909" s="1135" t="str">
        <f>CONCATENATE(Programme!C5910,Programme!D5910,Programme!E5910,Programme!F5910,Programme!G5910,Programme!H5910,Programme!I5910)</f>
        <v>&lt;/ValeurCellule&gt;</v>
      </c>
    </row>
    <row r="5910" spans="1:1" x14ac:dyDescent="0.2">
      <c r="A5910" s="1135" t="str">
        <f>CONCATENATE(Programme!C5911,Programme!D5911,Programme!E5911,Programme!F5911,Programme!G5911,Programme!H5911,Programme!I5911)</f>
        <v>&lt;ValeurCellule&gt;</v>
      </c>
    </row>
    <row r="5911" spans="1:1" x14ac:dyDescent="0.2">
      <c r="A5911" s="1135" t="str">
        <f>CONCATENATE(Programme!C5912,Programme!D5912,Programme!E5912,Programme!F5912,Programme!G5912,Programme!H5912,Programme!I5912)</f>
        <v>&lt;cellule&gt;&lt;codeEdi&gt;1102&lt;/codeEdi&gt;&lt;/cellule&gt;</v>
      </c>
    </row>
    <row r="5912" spans="1:1" x14ac:dyDescent="0.2">
      <c r="A5912" s="1135" t="str">
        <f>CONCATENATE(Programme!C5913,Programme!D5913,Programme!E5913,Programme!F5913,Programme!G5913,Programme!H5913,Programme!I5913)</f>
        <v>&lt;valeur&gt;&lt;/valeur&gt;</v>
      </c>
    </row>
    <row r="5913" spans="1:1" x14ac:dyDescent="0.2">
      <c r="A5913" s="1135" t="str">
        <f>CONCATENATE(Programme!C5914,Programme!D5914,Programme!E5914,Programme!F5914,Programme!G5914,Programme!H5914,Programme!I5914)</f>
        <v>&lt;numeroLigne&gt;1&lt;/numeroLigne&gt;</v>
      </c>
    </row>
    <row r="5914" spans="1:1" x14ac:dyDescent="0.2">
      <c r="A5914" s="1135" t="str">
        <f>CONCATENATE(Programme!C5915,Programme!D5915,Programme!E5915,Programme!F5915,Programme!G5915,Programme!H5915,Programme!I5915)</f>
        <v>&lt;/ValeurCellule&gt;</v>
      </c>
    </row>
    <row r="5915" spans="1:1" x14ac:dyDescent="0.2">
      <c r="A5915" s="1135" t="str">
        <f>CONCATENATE(Programme!C5916,Programme!D5916,Programme!E5916,Programme!F5916,Programme!G5916,Programme!H5916,Programme!I5916)</f>
        <v>&lt;ValeurCellule&gt;</v>
      </c>
    </row>
    <row r="5916" spans="1:1" x14ac:dyDescent="0.2">
      <c r="A5916" s="1135" t="str">
        <f>CONCATENATE(Programme!C5917,Programme!D5917,Programme!E5917,Programme!F5917,Programme!G5917,Programme!H5917,Programme!I5917)</f>
        <v>&lt;cellule&gt;&lt;codeEdi&gt;1103&lt;/codeEdi&gt;&lt;/cellule&gt;</v>
      </c>
    </row>
    <row r="5917" spans="1:1" x14ac:dyDescent="0.2">
      <c r="A5917" s="1135" t="str">
        <f>CONCATENATE(Programme!C5918,Programme!D5918,Programme!E5918,Programme!F5918,Programme!G5918,Programme!H5918,Programme!I5918)</f>
        <v>&lt;valeur&gt;&lt;/valeur&gt;</v>
      </c>
    </row>
    <row r="5918" spans="1:1" x14ac:dyDescent="0.2">
      <c r="A5918" s="1135" t="str">
        <f>CONCATENATE(Programme!C5919,Programme!D5919,Programme!E5919,Programme!F5919,Programme!G5919,Programme!H5919,Programme!I5919)</f>
        <v>&lt;numeroLigne&gt;1&lt;/numeroLigne&gt;</v>
      </c>
    </row>
    <row r="5919" spans="1:1" x14ac:dyDescent="0.2">
      <c r="A5919" s="1135" t="str">
        <f>CONCATENATE(Programme!C5920,Programme!D5920,Programme!E5920,Programme!F5920,Programme!G5920,Programme!H5920,Programme!I5920)</f>
        <v>&lt;/ValeurCellule&gt;</v>
      </c>
    </row>
    <row r="5920" spans="1:1" x14ac:dyDescent="0.2">
      <c r="A5920" s="1135" t="str">
        <f>CONCATENATE(Programme!C5921,Programme!D5921,Programme!E5921,Programme!F5921,Programme!G5921,Programme!H5921,Programme!I5921)</f>
        <v>&lt;ValeurCellule&gt;</v>
      </c>
    </row>
    <row r="5921" spans="1:1" x14ac:dyDescent="0.2">
      <c r="A5921" s="1135" t="str">
        <f>CONCATENATE(Programme!C5922,Programme!D5922,Programme!E5922,Programme!F5922,Programme!G5922,Programme!H5922,Programme!I5922)</f>
        <v>&lt;cellule&gt;&lt;codeEdi&gt;1104&lt;/codeEdi&gt;&lt;/cellule&gt;</v>
      </c>
    </row>
    <row r="5922" spans="1:1" x14ac:dyDescent="0.2">
      <c r="A5922" s="1135" t="str">
        <f>CONCATENATE(Programme!C5923,Programme!D5923,Programme!E5923,Programme!F5923,Programme!G5923,Programme!H5923,Programme!I5923)</f>
        <v>&lt;valeur&gt;&lt;/valeur&gt;</v>
      </c>
    </row>
    <row r="5923" spans="1:1" x14ac:dyDescent="0.2">
      <c r="A5923" s="1135" t="str">
        <f>CONCATENATE(Programme!C5924,Programme!D5924,Programme!E5924,Programme!F5924,Programme!G5924,Programme!H5924,Programme!I5924)</f>
        <v>&lt;numeroLigne&gt;1&lt;/numeroLigne&gt;</v>
      </c>
    </row>
    <row r="5924" spans="1:1" x14ac:dyDescent="0.2">
      <c r="A5924" s="1135" t="str">
        <f>CONCATENATE(Programme!C5925,Programme!D5925,Programme!E5925,Programme!F5925,Programme!G5925,Programme!H5925,Programme!I5925)</f>
        <v>&lt;/ValeurCellule&gt;</v>
      </c>
    </row>
    <row r="5925" spans="1:1" x14ac:dyDescent="0.2">
      <c r="A5925" s="1135" t="str">
        <f>CONCATENATE(Programme!C5926,Programme!D5926,Programme!E5926,Programme!F5926,Programme!G5926,Programme!H5926,Programme!I5926)</f>
        <v>&lt;ValeurCellule&gt;</v>
      </c>
    </row>
    <row r="5926" spans="1:1" x14ac:dyDescent="0.2">
      <c r="A5926" s="1135" t="str">
        <f>CONCATENATE(Programme!C5927,Programme!D5927,Programme!E5927,Programme!F5927,Programme!G5927,Programme!H5927,Programme!I5927)</f>
        <v>&lt;cellule&gt;&lt;codeEdi&gt;1105&lt;/codeEdi&gt;&lt;/cellule&gt;</v>
      </c>
    </row>
    <row r="5927" spans="1:1" x14ac:dyDescent="0.2">
      <c r="A5927" s="1135" t="str">
        <f>CONCATENATE(Programme!C5928,Programme!D5928,Programme!E5928,Programme!F5928,Programme!G5928,Programme!H5928,Programme!I5928)</f>
        <v>&lt;valeur&gt;&lt;/valeur&gt;</v>
      </c>
    </row>
    <row r="5928" spans="1:1" x14ac:dyDescent="0.2">
      <c r="A5928" s="1135" t="str">
        <f>CONCATENATE(Programme!C5929,Programme!D5929,Programme!E5929,Programme!F5929,Programme!G5929,Programme!H5929,Programme!I5929)</f>
        <v>&lt;numeroLigne&gt;1&lt;/numeroLigne&gt;</v>
      </c>
    </row>
    <row r="5929" spans="1:1" x14ac:dyDescent="0.2">
      <c r="A5929" s="1135" t="str">
        <f>CONCATENATE(Programme!C5930,Programme!D5930,Programme!E5930,Programme!F5930,Programme!G5930,Programme!H5930,Programme!I5930)</f>
        <v>&lt;/ValeurCellule&gt;</v>
      </c>
    </row>
    <row r="5930" spans="1:1" x14ac:dyDescent="0.2">
      <c r="A5930" s="1135" t="str">
        <f>CONCATENATE(Programme!C5931,Programme!D5931,Programme!E5931,Programme!F5931,Programme!G5931,Programme!H5931,Programme!I5931)</f>
        <v>&lt;ValeurCellule&gt;</v>
      </c>
    </row>
    <row r="5931" spans="1:1" x14ac:dyDescent="0.2">
      <c r="A5931" s="1135" t="str">
        <f>CONCATENATE(Programme!C5932,Programme!D5932,Programme!E5932,Programme!F5932,Programme!G5932,Programme!H5932,Programme!I5932)</f>
        <v>&lt;cellule&gt;&lt;codeEdi&gt;1106&lt;/codeEdi&gt;&lt;/cellule&gt;</v>
      </c>
    </row>
    <row r="5932" spans="1:1" x14ac:dyDescent="0.2">
      <c r="A5932" s="1135" t="str">
        <f>CONCATENATE(Programme!C5933,Programme!D5933,Programme!E5933,Programme!F5933,Programme!G5933,Programme!H5933,Programme!I5933)</f>
        <v>&lt;valeur&gt;&lt;/valeur&gt;</v>
      </c>
    </row>
    <row r="5933" spans="1:1" x14ac:dyDescent="0.2">
      <c r="A5933" s="1135" t="str">
        <f>CONCATENATE(Programme!C5934,Programme!D5934,Programme!E5934,Programme!F5934,Programme!G5934,Programme!H5934,Programme!I5934)</f>
        <v>&lt;numeroLigne&gt;1&lt;/numeroLigne&gt;</v>
      </c>
    </row>
    <row r="5934" spans="1:1" x14ac:dyDescent="0.2">
      <c r="A5934" s="1135" t="str">
        <f>CONCATENATE(Programme!C5935,Programme!D5935,Programme!E5935,Programme!F5935,Programme!G5935,Programme!H5935,Programme!I5935)</f>
        <v>&lt;/ValeurCellule&gt;</v>
      </c>
    </row>
    <row r="5935" spans="1:1" x14ac:dyDescent="0.2">
      <c r="A5935" s="1135" t="str">
        <f>CONCATENATE(Programme!C5936,Programme!D5936,Programme!E5936,Programme!F5936,Programme!G5936,Programme!H5936,Programme!I5936)</f>
        <v>&lt;ValeurCellule&gt;</v>
      </c>
    </row>
    <row r="5936" spans="1:1" x14ac:dyDescent="0.2">
      <c r="A5936" s="1135" t="str">
        <f>CONCATENATE(Programme!C5937,Programme!D5937,Programme!E5937,Programme!F5937,Programme!G5937,Programme!H5937,Programme!I5937)</f>
        <v>&lt;cellule&gt;&lt;codeEdi&gt;1107&lt;/codeEdi&gt;&lt;/cellule&gt;</v>
      </c>
    </row>
    <row r="5937" spans="1:1" x14ac:dyDescent="0.2">
      <c r="A5937" s="1135" t="str">
        <f>CONCATENATE(Programme!C5938,Programme!D5938,Programme!E5938,Programme!F5938,Programme!G5938,Programme!H5938,Programme!I5938)</f>
        <v>&lt;valeur&gt;&lt;/valeur&gt;</v>
      </c>
    </row>
    <row r="5938" spans="1:1" x14ac:dyDescent="0.2">
      <c r="A5938" s="1135" t="str">
        <f>CONCATENATE(Programme!C5939,Programme!D5939,Programme!E5939,Programme!F5939,Programme!G5939,Programme!H5939,Programme!I5939)</f>
        <v>&lt;numeroLigne&gt;1&lt;/numeroLigne&gt;</v>
      </c>
    </row>
    <row r="5939" spans="1:1" x14ac:dyDescent="0.2">
      <c r="A5939" s="1135" t="str">
        <f>CONCATENATE(Programme!C5940,Programme!D5940,Programme!E5940,Programme!F5940,Programme!G5940,Programme!H5940,Programme!I5940)</f>
        <v>&lt;/ValeurCellule&gt;</v>
      </c>
    </row>
    <row r="5940" spans="1:1" x14ac:dyDescent="0.2">
      <c r="A5940" s="1135" t="str">
        <f>CONCATENATE(Programme!C5941,Programme!D5941,Programme!E5941,Programme!F5941,Programme!G5941,Programme!H5941,Programme!I5941)</f>
        <v>&lt;ValeurCellule&gt;</v>
      </c>
    </row>
    <row r="5941" spans="1:1" x14ac:dyDescent="0.2">
      <c r="A5941" s="1135" t="str">
        <f>CONCATENATE(Programme!C5942,Programme!D5942,Programme!E5942,Programme!F5942,Programme!G5942,Programme!H5942,Programme!I5942)</f>
        <v>&lt;cellule&gt;&lt;codeEdi&gt;1108&lt;/codeEdi&gt;&lt;/cellule&gt;</v>
      </c>
    </row>
    <row r="5942" spans="1:1" x14ac:dyDescent="0.2">
      <c r="A5942" s="1135" t="str">
        <f>CONCATENATE(Programme!C5943,Programme!D5943,Programme!E5943,Programme!F5943,Programme!G5943,Programme!H5943,Programme!I5943)</f>
        <v>&lt;valeur&gt;&lt;/valeur&gt;</v>
      </c>
    </row>
    <row r="5943" spans="1:1" x14ac:dyDescent="0.2">
      <c r="A5943" s="1135" t="str">
        <f>CONCATENATE(Programme!C5944,Programme!D5944,Programme!E5944,Programme!F5944,Programme!G5944,Programme!H5944,Programme!I5944)</f>
        <v>&lt;numeroLigne&gt;1&lt;/numeroLigne&gt;</v>
      </c>
    </row>
    <row r="5944" spans="1:1" x14ac:dyDescent="0.2">
      <c r="A5944" s="1135" t="str">
        <f>CONCATENATE(Programme!C5945,Programme!D5945,Programme!E5945,Programme!F5945,Programme!G5945,Programme!H5945,Programme!I5945)</f>
        <v>&lt;/ValeurCellule&gt;</v>
      </c>
    </row>
    <row r="5945" spans="1:1" x14ac:dyDescent="0.2">
      <c r="A5945" s="1135" t="str">
        <f>CONCATENATE(Programme!C5946,Programme!D5946,Programme!E5946,Programme!F5946,Programme!G5946,Programme!H5946,Programme!I5946)</f>
        <v>&lt;ValeurCellule&gt;</v>
      </c>
    </row>
    <row r="5946" spans="1:1" x14ac:dyDescent="0.2">
      <c r="A5946" s="1135" t="str">
        <f>CONCATENATE(Programme!C5947,Programme!D5947,Programme!E5947,Programme!F5947,Programme!G5947,Programme!H5947,Programme!I5947)</f>
        <v>&lt;cellule&gt;&lt;codeEdi&gt;1098&lt;/codeEdi&gt;&lt;/cellule&gt;</v>
      </c>
    </row>
    <row r="5947" spans="1:1" x14ac:dyDescent="0.2">
      <c r="A5947" s="1135" t="str">
        <f>CONCATENATE(Programme!C5948,Programme!D5948,Programme!E5948,Programme!F5948,Programme!G5948,Programme!H5948,Programme!I5948)</f>
        <v>&lt;valeur&gt;&lt;/valeur&gt;</v>
      </c>
    </row>
    <row r="5948" spans="1:1" x14ac:dyDescent="0.2">
      <c r="A5948" s="1135" t="str">
        <f>CONCATENATE(Programme!C5949,Programme!D5949,Programme!E5949,Programme!F5949,Programme!G5949,Programme!H5949,Programme!I5949)</f>
        <v>&lt;numeroLigne&gt;2&lt;/numeroLigne&gt;</v>
      </c>
    </row>
    <row r="5949" spans="1:1" x14ac:dyDescent="0.2">
      <c r="A5949" s="1135" t="str">
        <f>CONCATENATE(Programme!C5950,Programme!D5950,Programme!E5950,Programme!F5950,Programme!G5950,Programme!H5950,Programme!I5950)</f>
        <v>&lt;/ValeurCellule&gt;</v>
      </c>
    </row>
    <row r="5950" spans="1:1" x14ac:dyDescent="0.2">
      <c r="A5950" s="1135" t="str">
        <f>CONCATENATE(Programme!C5951,Programme!D5951,Programme!E5951,Programme!F5951,Programme!G5951,Programme!H5951,Programme!I5951)</f>
        <v>&lt;ValeurCellule&gt;</v>
      </c>
    </row>
    <row r="5951" spans="1:1" x14ac:dyDescent="0.2">
      <c r="A5951" s="1135" t="str">
        <f>CONCATENATE(Programme!C5952,Programme!D5952,Programme!E5952,Programme!F5952,Programme!G5952,Programme!H5952,Programme!I5952)</f>
        <v>&lt;cellule&gt;&lt;codeEdi&gt;1099&lt;/codeEdi&gt;&lt;/cellule&gt;</v>
      </c>
    </row>
    <row r="5952" spans="1:1" x14ac:dyDescent="0.2">
      <c r="A5952" s="1135" t="str">
        <f>CONCATENATE(Programme!C5953,Programme!D5953,Programme!E5953,Programme!F5953,Programme!G5953,Programme!H5953,Programme!I5953)</f>
        <v>&lt;valeur&gt;&lt;/valeur&gt;</v>
      </c>
    </row>
    <row r="5953" spans="1:1" x14ac:dyDescent="0.2">
      <c r="A5953" s="1135" t="str">
        <f>CONCATENATE(Programme!C5954,Programme!D5954,Programme!E5954,Programme!F5954,Programme!G5954,Programme!H5954,Programme!I5954)</f>
        <v>&lt;numeroLigne&gt;2&lt;/numeroLigne&gt;</v>
      </c>
    </row>
    <row r="5954" spans="1:1" x14ac:dyDescent="0.2">
      <c r="A5954" s="1135" t="str">
        <f>CONCATENATE(Programme!C5955,Programme!D5955,Programme!E5955,Programme!F5955,Programme!G5955,Programme!H5955,Programme!I5955)</f>
        <v>&lt;/ValeurCellule&gt;</v>
      </c>
    </row>
    <row r="5955" spans="1:1" x14ac:dyDescent="0.2">
      <c r="A5955" s="1135" t="str">
        <f>CONCATENATE(Programme!C5956,Programme!D5956,Programme!E5956,Programme!F5956,Programme!G5956,Programme!H5956,Programme!I5956)</f>
        <v>&lt;ValeurCellule&gt;</v>
      </c>
    </row>
    <row r="5956" spans="1:1" x14ac:dyDescent="0.2">
      <c r="A5956" s="1135" t="str">
        <f>CONCATENATE(Programme!C5957,Programme!D5957,Programme!E5957,Programme!F5957,Programme!G5957,Programme!H5957,Programme!I5957)</f>
        <v>&lt;cellule&gt;&lt;codeEdi&gt;1100&lt;/codeEdi&gt;&lt;/cellule&gt;</v>
      </c>
    </row>
    <row r="5957" spans="1:1" x14ac:dyDescent="0.2">
      <c r="A5957" s="1135" t="str">
        <f>CONCATENATE(Programme!C5958,Programme!D5958,Programme!E5958,Programme!F5958,Programme!G5958,Programme!H5958,Programme!I5958)</f>
        <v>&lt;valeur&gt;&lt;/valeur&gt;</v>
      </c>
    </row>
    <row r="5958" spans="1:1" x14ac:dyDescent="0.2">
      <c r="A5958" s="1135" t="str">
        <f>CONCATENATE(Programme!C5959,Programme!D5959,Programme!E5959,Programme!F5959,Programme!G5959,Programme!H5959,Programme!I5959)</f>
        <v>&lt;numeroLigne&gt;2&lt;/numeroLigne&gt;</v>
      </c>
    </row>
    <row r="5959" spans="1:1" x14ac:dyDescent="0.2">
      <c r="A5959" s="1135" t="str">
        <f>CONCATENATE(Programme!C5960,Programme!D5960,Programme!E5960,Programme!F5960,Programme!G5960,Programme!H5960,Programme!I5960)</f>
        <v>&lt;/ValeurCellule&gt;</v>
      </c>
    </row>
    <row r="5960" spans="1:1" x14ac:dyDescent="0.2">
      <c r="A5960" s="1135" t="str">
        <f>CONCATENATE(Programme!C5961,Programme!D5961,Programme!E5961,Programme!F5961,Programme!G5961,Programme!H5961,Programme!I5961)</f>
        <v>&lt;ValeurCellule&gt;</v>
      </c>
    </row>
    <row r="5961" spans="1:1" x14ac:dyDescent="0.2">
      <c r="A5961" s="1135" t="str">
        <f>CONCATENATE(Programme!C5962,Programme!D5962,Programme!E5962,Programme!F5962,Programme!G5962,Programme!H5962,Programme!I5962)</f>
        <v>&lt;cellule&gt;&lt;codeEdi&gt;1101&lt;/codeEdi&gt;&lt;/cellule&gt;</v>
      </c>
    </row>
    <row r="5962" spans="1:1" x14ac:dyDescent="0.2">
      <c r="A5962" s="1135" t="str">
        <f>CONCATENATE(Programme!C5963,Programme!D5963,Programme!E5963,Programme!F5963,Programme!G5963,Programme!H5963,Programme!I5963)</f>
        <v>&lt;valeur&gt;&lt;/valeur&gt;</v>
      </c>
    </row>
    <row r="5963" spans="1:1" x14ac:dyDescent="0.2">
      <c r="A5963" s="1135" t="str">
        <f>CONCATENATE(Programme!C5964,Programme!D5964,Programme!E5964,Programme!F5964,Programme!G5964,Programme!H5964,Programme!I5964)</f>
        <v>&lt;numeroLigne&gt;2&lt;/numeroLigne&gt;</v>
      </c>
    </row>
    <row r="5964" spans="1:1" x14ac:dyDescent="0.2">
      <c r="A5964" s="1135" t="str">
        <f>CONCATENATE(Programme!C5965,Programme!D5965,Programme!E5965,Programme!F5965,Programme!G5965,Programme!H5965,Programme!I5965)</f>
        <v>&lt;/ValeurCellule&gt;</v>
      </c>
    </row>
    <row r="5965" spans="1:1" x14ac:dyDescent="0.2">
      <c r="A5965" s="1135" t="str">
        <f>CONCATENATE(Programme!C5966,Programme!D5966,Programme!E5966,Programme!F5966,Programme!G5966,Programme!H5966,Programme!I5966)</f>
        <v>&lt;ValeurCellule&gt;</v>
      </c>
    </row>
    <row r="5966" spans="1:1" x14ac:dyDescent="0.2">
      <c r="A5966" s="1135" t="str">
        <f>CONCATENATE(Programme!C5967,Programme!D5967,Programme!E5967,Programme!F5967,Programme!G5967,Programme!H5967,Programme!I5967)</f>
        <v>&lt;cellule&gt;&lt;codeEdi&gt;1102&lt;/codeEdi&gt;&lt;/cellule&gt;</v>
      </c>
    </row>
    <row r="5967" spans="1:1" x14ac:dyDescent="0.2">
      <c r="A5967" s="1135" t="str">
        <f>CONCATENATE(Programme!C5968,Programme!D5968,Programme!E5968,Programme!F5968,Programme!G5968,Programme!H5968,Programme!I5968)</f>
        <v>&lt;valeur&gt;&lt;/valeur&gt;</v>
      </c>
    </row>
    <row r="5968" spans="1:1" x14ac:dyDescent="0.2">
      <c r="A5968" s="1135" t="str">
        <f>CONCATENATE(Programme!C5969,Programme!D5969,Programme!E5969,Programme!F5969,Programme!G5969,Programme!H5969,Programme!I5969)</f>
        <v>&lt;numeroLigne&gt;2&lt;/numeroLigne&gt;</v>
      </c>
    </row>
    <row r="5969" spans="1:1" x14ac:dyDescent="0.2">
      <c r="A5969" s="1135" t="str">
        <f>CONCATENATE(Programme!C5970,Programme!D5970,Programme!E5970,Programme!F5970,Programme!G5970,Programme!H5970,Programme!I5970)</f>
        <v>&lt;/ValeurCellule&gt;</v>
      </c>
    </row>
    <row r="5970" spans="1:1" x14ac:dyDescent="0.2">
      <c r="A5970" s="1135" t="str">
        <f>CONCATENATE(Programme!C5971,Programme!D5971,Programme!E5971,Programme!F5971,Programme!G5971,Programme!H5971,Programme!I5971)</f>
        <v>&lt;ValeurCellule&gt;</v>
      </c>
    </row>
    <row r="5971" spans="1:1" x14ac:dyDescent="0.2">
      <c r="A5971" s="1135" t="str">
        <f>CONCATENATE(Programme!C5972,Programme!D5972,Programme!E5972,Programme!F5972,Programme!G5972,Programme!H5972,Programme!I5972)</f>
        <v>&lt;cellule&gt;&lt;codeEdi&gt;1103&lt;/codeEdi&gt;&lt;/cellule&gt;</v>
      </c>
    </row>
    <row r="5972" spans="1:1" x14ac:dyDescent="0.2">
      <c r="A5972" s="1135" t="str">
        <f>CONCATENATE(Programme!C5973,Programme!D5973,Programme!E5973,Programme!F5973,Programme!G5973,Programme!H5973,Programme!I5973)</f>
        <v>&lt;valeur&gt;&lt;/valeur&gt;</v>
      </c>
    </row>
    <row r="5973" spans="1:1" x14ac:dyDescent="0.2">
      <c r="A5973" s="1135" t="str">
        <f>CONCATENATE(Programme!C5974,Programme!D5974,Programme!E5974,Programme!F5974,Programme!G5974,Programme!H5974,Programme!I5974)</f>
        <v>&lt;numeroLigne&gt;2&lt;/numeroLigne&gt;</v>
      </c>
    </row>
    <row r="5974" spans="1:1" x14ac:dyDescent="0.2">
      <c r="A5974" s="1135" t="str">
        <f>CONCATENATE(Programme!C5975,Programme!D5975,Programme!E5975,Programme!F5975,Programme!G5975,Programme!H5975,Programme!I5975)</f>
        <v>&lt;/ValeurCellule&gt;</v>
      </c>
    </row>
    <row r="5975" spans="1:1" x14ac:dyDescent="0.2">
      <c r="A5975" s="1135" t="str">
        <f>CONCATENATE(Programme!C5976,Programme!D5976,Programme!E5976,Programme!F5976,Programme!G5976,Programme!H5976,Programme!I5976)</f>
        <v>&lt;ValeurCellule&gt;</v>
      </c>
    </row>
    <row r="5976" spans="1:1" x14ac:dyDescent="0.2">
      <c r="A5976" s="1135" t="str">
        <f>CONCATENATE(Programme!C5977,Programme!D5977,Programme!E5977,Programme!F5977,Programme!G5977,Programme!H5977,Programme!I5977)</f>
        <v>&lt;cellule&gt;&lt;codeEdi&gt;1104&lt;/codeEdi&gt;&lt;/cellule&gt;</v>
      </c>
    </row>
    <row r="5977" spans="1:1" x14ac:dyDescent="0.2">
      <c r="A5977" s="1135" t="str">
        <f>CONCATENATE(Programme!C5978,Programme!D5978,Programme!E5978,Programme!F5978,Programme!G5978,Programme!H5978,Programme!I5978)</f>
        <v>&lt;valeur&gt;&lt;/valeur&gt;</v>
      </c>
    </row>
    <row r="5978" spans="1:1" x14ac:dyDescent="0.2">
      <c r="A5978" s="1135" t="str">
        <f>CONCATENATE(Programme!C5979,Programme!D5979,Programme!E5979,Programme!F5979,Programme!G5979,Programme!H5979,Programme!I5979)</f>
        <v>&lt;numeroLigne&gt;2&lt;/numeroLigne&gt;</v>
      </c>
    </row>
    <row r="5979" spans="1:1" x14ac:dyDescent="0.2">
      <c r="A5979" s="1135" t="str">
        <f>CONCATENATE(Programme!C5980,Programme!D5980,Programme!E5980,Programme!F5980,Programme!G5980,Programme!H5980,Programme!I5980)</f>
        <v>&lt;/ValeurCellule&gt;</v>
      </c>
    </row>
    <row r="5980" spans="1:1" x14ac:dyDescent="0.2">
      <c r="A5980" s="1135" t="str">
        <f>CONCATENATE(Programme!C5981,Programme!D5981,Programme!E5981,Programme!F5981,Programme!G5981,Programme!H5981,Programme!I5981)</f>
        <v>&lt;ValeurCellule&gt;</v>
      </c>
    </row>
    <row r="5981" spans="1:1" x14ac:dyDescent="0.2">
      <c r="A5981" s="1135" t="str">
        <f>CONCATENATE(Programme!C5982,Programme!D5982,Programme!E5982,Programme!F5982,Programme!G5982,Programme!H5982,Programme!I5982)</f>
        <v>&lt;cellule&gt;&lt;codeEdi&gt;1105&lt;/codeEdi&gt;&lt;/cellule&gt;</v>
      </c>
    </row>
    <row r="5982" spans="1:1" x14ac:dyDescent="0.2">
      <c r="A5982" s="1135" t="str">
        <f>CONCATENATE(Programme!C5983,Programme!D5983,Programme!E5983,Programme!F5983,Programme!G5983,Programme!H5983,Programme!I5983)</f>
        <v>&lt;valeur&gt;&lt;/valeur&gt;</v>
      </c>
    </row>
    <row r="5983" spans="1:1" x14ac:dyDescent="0.2">
      <c r="A5983" s="1135" t="str">
        <f>CONCATENATE(Programme!C5984,Programme!D5984,Programme!E5984,Programme!F5984,Programme!G5984,Programme!H5984,Programme!I5984)</f>
        <v>&lt;numeroLigne&gt;2&lt;/numeroLigne&gt;</v>
      </c>
    </row>
    <row r="5984" spans="1:1" x14ac:dyDescent="0.2">
      <c r="A5984" s="1135" t="str">
        <f>CONCATENATE(Programme!C5985,Programme!D5985,Programme!E5985,Programme!F5985,Programme!G5985,Programme!H5985,Programme!I5985)</f>
        <v>&lt;/ValeurCellule&gt;</v>
      </c>
    </row>
    <row r="5985" spans="1:1" x14ac:dyDescent="0.2">
      <c r="A5985" s="1135" t="str">
        <f>CONCATENATE(Programme!C5986,Programme!D5986,Programme!E5986,Programme!F5986,Programme!G5986,Programme!H5986,Programme!I5986)</f>
        <v>&lt;ValeurCellule&gt;</v>
      </c>
    </row>
    <row r="5986" spans="1:1" x14ac:dyDescent="0.2">
      <c r="A5986" s="1135" t="str">
        <f>CONCATENATE(Programme!C5987,Programme!D5987,Programme!E5987,Programme!F5987,Programme!G5987,Programme!H5987,Programme!I5987)</f>
        <v>&lt;cellule&gt;&lt;codeEdi&gt;1106&lt;/codeEdi&gt;&lt;/cellule&gt;</v>
      </c>
    </row>
    <row r="5987" spans="1:1" x14ac:dyDescent="0.2">
      <c r="A5987" s="1135" t="str">
        <f>CONCATENATE(Programme!C5988,Programme!D5988,Programme!E5988,Programme!F5988,Programme!G5988,Programme!H5988,Programme!I5988)</f>
        <v>&lt;valeur&gt;&lt;/valeur&gt;</v>
      </c>
    </row>
    <row r="5988" spans="1:1" x14ac:dyDescent="0.2">
      <c r="A5988" s="1135" t="str">
        <f>CONCATENATE(Programme!C5989,Programme!D5989,Programme!E5989,Programme!F5989,Programme!G5989,Programme!H5989,Programme!I5989)</f>
        <v>&lt;numeroLigne&gt;2&lt;/numeroLigne&gt;</v>
      </c>
    </row>
    <row r="5989" spans="1:1" x14ac:dyDescent="0.2">
      <c r="A5989" s="1135" t="str">
        <f>CONCATENATE(Programme!C5990,Programme!D5990,Programme!E5990,Programme!F5990,Programme!G5990,Programme!H5990,Programme!I5990)</f>
        <v>&lt;/ValeurCellule&gt;</v>
      </c>
    </row>
    <row r="5990" spans="1:1" x14ac:dyDescent="0.2">
      <c r="A5990" s="1135" t="str">
        <f>CONCATENATE(Programme!C5991,Programme!D5991,Programme!E5991,Programme!F5991,Programme!G5991,Programme!H5991,Programme!I5991)</f>
        <v>&lt;ValeurCellule&gt;</v>
      </c>
    </row>
    <row r="5991" spans="1:1" x14ac:dyDescent="0.2">
      <c r="A5991" s="1135" t="str">
        <f>CONCATENATE(Programme!C5992,Programme!D5992,Programme!E5992,Programme!F5992,Programme!G5992,Programme!H5992,Programme!I5992)</f>
        <v>&lt;cellule&gt;&lt;codeEdi&gt;1107&lt;/codeEdi&gt;&lt;/cellule&gt;</v>
      </c>
    </row>
    <row r="5992" spans="1:1" x14ac:dyDescent="0.2">
      <c r="A5992" s="1135" t="str">
        <f>CONCATENATE(Programme!C5993,Programme!D5993,Programme!E5993,Programme!F5993,Programme!G5993,Programme!H5993,Programme!I5993)</f>
        <v>&lt;valeur&gt;&lt;/valeur&gt;</v>
      </c>
    </row>
    <row r="5993" spans="1:1" x14ac:dyDescent="0.2">
      <c r="A5993" s="1135" t="str">
        <f>CONCATENATE(Programme!C5994,Programme!D5994,Programme!E5994,Programme!F5994,Programme!G5994,Programme!H5994,Programme!I5994)</f>
        <v>&lt;numeroLigne&gt;2&lt;/numeroLigne&gt;</v>
      </c>
    </row>
    <row r="5994" spans="1:1" x14ac:dyDescent="0.2">
      <c r="A5994" s="1135" t="str">
        <f>CONCATENATE(Programme!C5995,Programme!D5995,Programme!E5995,Programme!F5995,Programme!G5995,Programme!H5995,Programme!I5995)</f>
        <v>&lt;/ValeurCellule&gt;</v>
      </c>
    </row>
    <row r="5995" spans="1:1" x14ac:dyDescent="0.2">
      <c r="A5995" s="1135" t="str">
        <f>CONCATENATE(Programme!C5996,Programme!D5996,Programme!E5996,Programme!F5996,Programme!G5996,Programme!H5996,Programme!I5996)</f>
        <v>&lt;ValeurCellule&gt;</v>
      </c>
    </row>
    <row r="5996" spans="1:1" x14ac:dyDescent="0.2">
      <c r="A5996" s="1135" t="str">
        <f>CONCATENATE(Programme!C5997,Programme!D5997,Programme!E5997,Programme!F5997,Programme!G5997,Programme!H5997,Programme!I5997)</f>
        <v>&lt;cellule&gt;&lt;codeEdi&gt;1108&lt;/codeEdi&gt;&lt;/cellule&gt;</v>
      </c>
    </row>
    <row r="5997" spans="1:1" x14ac:dyDescent="0.2">
      <c r="A5997" s="1135" t="str">
        <f>CONCATENATE(Programme!C5998,Programme!D5998,Programme!E5998,Programme!F5998,Programme!G5998,Programme!H5998,Programme!I5998)</f>
        <v>&lt;valeur&gt;&lt;/valeur&gt;</v>
      </c>
    </row>
    <row r="5998" spans="1:1" x14ac:dyDescent="0.2">
      <c r="A5998" s="1135" t="str">
        <f>CONCATENATE(Programme!C5999,Programme!D5999,Programme!E5999,Programme!F5999,Programme!G5999,Programme!H5999,Programme!I5999)</f>
        <v>&lt;numeroLigne&gt;2&lt;/numeroLigne&gt;</v>
      </c>
    </row>
    <row r="5999" spans="1:1" x14ac:dyDescent="0.2">
      <c r="A5999" s="1135" t="str">
        <f>CONCATENATE(Programme!C6000,Programme!D6000,Programme!E6000,Programme!F6000,Programme!G6000,Programme!H6000,Programme!I6000)</f>
        <v>&lt;/ValeurCellule&gt;</v>
      </c>
    </row>
    <row r="6000" spans="1:1" x14ac:dyDescent="0.2">
      <c r="A6000" s="1135" t="str">
        <f>CONCATENATE(Programme!C6001,Programme!D6001,Programme!E6001,Programme!F6001,Programme!G6001,Programme!H6001,Programme!I6001)</f>
        <v>&lt;ValeurCellule&gt;</v>
      </c>
    </row>
    <row r="6001" spans="1:1" x14ac:dyDescent="0.2">
      <c r="A6001" s="1135" t="str">
        <f>CONCATENATE(Programme!C6002,Programme!D6002,Programme!E6002,Programme!F6002,Programme!G6002,Programme!H6002,Programme!I6002)</f>
        <v>&lt;cellule&gt;&lt;codeEdi&gt;1098&lt;/codeEdi&gt;&lt;/cellule&gt;</v>
      </c>
    </row>
    <row r="6002" spans="1:1" x14ac:dyDescent="0.2">
      <c r="A6002" s="1135" t="str">
        <f>CONCATENATE(Programme!C6003,Programme!D6003,Programme!E6003,Programme!F6003,Programme!G6003,Programme!H6003,Programme!I6003)</f>
        <v>&lt;valeur&gt;&lt;/valeur&gt;</v>
      </c>
    </row>
    <row r="6003" spans="1:1" x14ac:dyDescent="0.2">
      <c r="A6003" s="1135" t="str">
        <f>CONCATENATE(Programme!C6004,Programme!D6004,Programme!E6004,Programme!F6004,Programme!G6004,Programme!H6004,Programme!I6004)</f>
        <v>&lt;numeroLigne&gt;3&lt;/numeroLigne&gt;</v>
      </c>
    </row>
    <row r="6004" spans="1:1" x14ac:dyDescent="0.2">
      <c r="A6004" s="1135" t="str">
        <f>CONCATENATE(Programme!C6005,Programme!D6005,Programme!E6005,Programme!F6005,Programme!G6005,Programme!H6005,Programme!I6005)</f>
        <v>&lt;/ValeurCellule&gt;</v>
      </c>
    </row>
    <row r="6005" spans="1:1" x14ac:dyDescent="0.2">
      <c r="A6005" s="1135" t="str">
        <f>CONCATENATE(Programme!C6006,Programme!D6006,Programme!E6006,Programme!F6006,Programme!G6006,Programme!H6006,Programme!I6006)</f>
        <v>&lt;ValeurCellule&gt;</v>
      </c>
    </row>
    <row r="6006" spans="1:1" x14ac:dyDescent="0.2">
      <c r="A6006" s="1135" t="str">
        <f>CONCATENATE(Programme!C6007,Programme!D6007,Programme!E6007,Programme!F6007,Programme!G6007,Programme!H6007,Programme!I6007)</f>
        <v>&lt;cellule&gt;&lt;codeEdi&gt;1099&lt;/codeEdi&gt;&lt;/cellule&gt;</v>
      </c>
    </row>
    <row r="6007" spans="1:1" x14ac:dyDescent="0.2">
      <c r="A6007" s="1135" t="str">
        <f>CONCATENATE(Programme!C6008,Programme!D6008,Programme!E6008,Programme!F6008,Programme!G6008,Programme!H6008,Programme!I6008)</f>
        <v>&lt;valeur&gt;&lt;/valeur&gt;</v>
      </c>
    </row>
    <row r="6008" spans="1:1" x14ac:dyDescent="0.2">
      <c r="A6008" s="1135" t="str">
        <f>CONCATENATE(Programme!C6009,Programme!D6009,Programme!E6009,Programme!F6009,Programme!G6009,Programme!H6009,Programme!I6009)</f>
        <v>&lt;numeroLigne&gt;3&lt;/numeroLigne&gt;</v>
      </c>
    </row>
    <row r="6009" spans="1:1" x14ac:dyDescent="0.2">
      <c r="A6009" s="1135" t="str">
        <f>CONCATENATE(Programme!C6010,Programme!D6010,Programme!E6010,Programme!F6010,Programme!G6010,Programme!H6010,Programme!I6010)</f>
        <v>&lt;/ValeurCellule&gt;</v>
      </c>
    </row>
    <row r="6010" spans="1:1" x14ac:dyDescent="0.2">
      <c r="A6010" s="1135" t="str">
        <f>CONCATENATE(Programme!C6011,Programme!D6011,Programme!E6011,Programme!F6011,Programme!G6011,Programme!H6011,Programme!I6011)</f>
        <v>&lt;ValeurCellule&gt;</v>
      </c>
    </row>
    <row r="6011" spans="1:1" x14ac:dyDescent="0.2">
      <c r="A6011" s="1135" t="str">
        <f>CONCATENATE(Programme!C6012,Programme!D6012,Programme!E6012,Programme!F6012,Programme!G6012,Programme!H6012,Programme!I6012)</f>
        <v>&lt;cellule&gt;&lt;codeEdi&gt;1100&lt;/codeEdi&gt;&lt;/cellule&gt;</v>
      </c>
    </row>
    <row r="6012" spans="1:1" x14ac:dyDescent="0.2">
      <c r="A6012" s="1135" t="str">
        <f>CONCATENATE(Programme!C6013,Programme!D6013,Programme!E6013,Programme!F6013,Programme!G6013,Programme!H6013,Programme!I6013)</f>
        <v>&lt;valeur&gt;&lt;/valeur&gt;</v>
      </c>
    </row>
    <row r="6013" spans="1:1" x14ac:dyDescent="0.2">
      <c r="A6013" s="1135" t="str">
        <f>CONCATENATE(Programme!C6014,Programme!D6014,Programme!E6014,Programme!F6014,Programme!G6014,Programme!H6014,Programme!I6014)</f>
        <v>&lt;numeroLigne&gt;3&lt;/numeroLigne&gt;</v>
      </c>
    </row>
    <row r="6014" spans="1:1" x14ac:dyDescent="0.2">
      <c r="A6014" s="1135" t="str">
        <f>CONCATENATE(Programme!C6015,Programme!D6015,Programme!E6015,Programme!F6015,Programme!G6015,Programme!H6015,Programme!I6015)</f>
        <v>&lt;/ValeurCellule&gt;</v>
      </c>
    </row>
    <row r="6015" spans="1:1" x14ac:dyDescent="0.2">
      <c r="A6015" s="1135" t="str">
        <f>CONCATENATE(Programme!C6016,Programme!D6016,Programme!E6016,Programme!F6016,Programme!G6016,Programme!H6016,Programme!I6016)</f>
        <v>&lt;ValeurCellule&gt;</v>
      </c>
    </row>
    <row r="6016" spans="1:1" x14ac:dyDescent="0.2">
      <c r="A6016" s="1135" t="str">
        <f>CONCATENATE(Programme!C6017,Programme!D6017,Programme!E6017,Programme!F6017,Programme!G6017,Programme!H6017,Programme!I6017)</f>
        <v>&lt;cellule&gt;&lt;codeEdi&gt;1101&lt;/codeEdi&gt;&lt;/cellule&gt;</v>
      </c>
    </row>
    <row r="6017" spans="1:1" x14ac:dyDescent="0.2">
      <c r="A6017" s="1135" t="str">
        <f>CONCATENATE(Programme!C6018,Programme!D6018,Programme!E6018,Programme!F6018,Programme!G6018,Programme!H6018,Programme!I6018)</f>
        <v>&lt;valeur&gt;&lt;/valeur&gt;</v>
      </c>
    </row>
    <row r="6018" spans="1:1" x14ac:dyDescent="0.2">
      <c r="A6018" s="1135" t="str">
        <f>CONCATENATE(Programme!C6019,Programme!D6019,Programme!E6019,Programme!F6019,Programme!G6019,Programme!H6019,Programme!I6019)</f>
        <v>&lt;numeroLigne&gt;3&lt;/numeroLigne&gt;</v>
      </c>
    </row>
    <row r="6019" spans="1:1" x14ac:dyDescent="0.2">
      <c r="A6019" s="1135" t="str">
        <f>CONCATENATE(Programme!C6020,Programme!D6020,Programme!E6020,Programme!F6020,Programme!G6020,Programme!H6020,Programme!I6020)</f>
        <v>&lt;/ValeurCellule&gt;</v>
      </c>
    </row>
    <row r="6020" spans="1:1" x14ac:dyDescent="0.2">
      <c r="A6020" s="1135" t="str">
        <f>CONCATENATE(Programme!C6021,Programme!D6021,Programme!E6021,Programme!F6021,Programme!G6021,Programme!H6021,Programme!I6021)</f>
        <v>&lt;ValeurCellule&gt;</v>
      </c>
    </row>
    <row r="6021" spans="1:1" x14ac:dyDescent="0.2">
      <c r="A6021" s="1135" t="str">
        <f>CONCATENATE(Programme!C6022,Programme!D6022,Programme!E6022,Programme!F6022,Programme!G6022,Programme!H6022,Programme!I6022)</f>
        <v>&lt;cellule&gt;&lt;codeEdi&gt;1102&lt;/codeEdi&gt;&lt;/cellule&gt;</v>
      </c>
    </row>
    <row r="6022" spans="1:1" x14ac:dyDescent="0.2">
      <c r="A6022" s="1135" t="str">
        <f>CONCATENATE(Programme!C6023,Programme!D6023,Programme!E6023,Programme!F6023,Programme!G6023,Programme!H6023,Programme!I6023)</f>
        <v>&lt;valeur&gt;&lt;/valeur&gt;</v>
      </c>
    </row>
    <row r="6023" spans="1:1" x14ac:dyDescent="0.2">
      <c r="A6023" s="1135" t="str">
        <f>CONCATENATE(Programme!C6024,Programme!D6024,Programme!E6024,Programme!F6024,Programme!G6024,Programme!H6024,Programme!I6024)</f>
        <v>&lt;numeroLigne&gt;3&lt;/numeroLigne&gt;</v>
      </c>
    </row>
    <row r="6024" spans="1:1" x14ac:dyDescent="0.2">
      <c r="A6024" s="1135" t="str">
        <f>CONCATENATE(Programme!C6025,Programme!D6025,Programme!E6025,Programme!F6025,Programme!G6025,Programme!H6025,Programme!I6025)</f>
        <v>&lt;/ValeurCellule&gt;</v>
      </c>
    </row>
    <row r="6025" spans="1:1" x14ac:dyDescent="0.2">
      <c r="A6025" s="1135" t="str">
        <f>CONCATENATE(Programme!C6026,Programme!D6026,Programme!E6026,Programme!F6026,Programme!G6026,Programme!H6026,Programme!I6026)</f>
        <v>&lt;ValeurCellule&gt;</v>
      </c>
    </row>
    <row r="6026" spans="1:1" x14ac:dyDescent="0.2">
      <c r="A6026" s="1135" t="str">
        <f>CONCATENATE(Programme!C6027,Programme!D6027,Programme!E6027,Programme!F6027,Programme!G6027,Programme!H6027,Programme!I6027)</f>
        <v>&lt;cellule&gt;&lt;codeEdi&gt;1103&lt;/codeEdi&gt;&lt;/cellule&gt;</v>
      </c>
    </row>
    <row r="6027" spans="1:1" x14ac:dyDescent="0.2">
      <c r="A6027" s="1135" t="str">
        <f>CONCATENATE(Programme!C6028,Programme!D6028,Programme!E6028,Programme!F6028,Programme!G6028,Programme!H6028,Programme!I6028)</f>
        <v>&lt;valeur&gt;&lt;/valeur&gt;</v>
      </c>
    </row>
    <row r="6028" spans="1:1" x14ac:dyDescent="0.2">
      <c r="A6028" s="1135" t="str">
        <f>CONCATENATE(Programme!C6029,Programme!D6029,Programme!E6029,Programme!F6029,Programme!G6029,Programme!H6029,Programme!I6029)</f>
        <v>&lt;numeroLigne&gt;3&lt;/numeroLigne&gt;</v>
      </c>
    </row>
    <row r="6029" spans="1:1" x14ac:dyDescent="0.2">
      <c r="A6029" s="1135" t="str">
        <f>CONCATENATE(Programme!C6030,Programme!D6030,Programme!E6030,Programme!F6030,Programme!G6030,Programme!H6030,Programme!I6030)</f>
        <v>&lt;/ValeurCellule&gt;</v>
      </c>
    </row>
    <row r="6030" spans="1:1" x14ac:dyDescent="0.2">
      <c r="A6030" s="1135" t="str">
        <f>CONCATENATE(Programme!C6031,Programme!D6031,Programme!E6031,Programme!F6031,Programme!G6031,Programme!H6031,Programme!I6031)</f>
        <v>&lt;ValeurCellule&gt;</v>
      </c>
    </row>
    <row r="6031" spans="1:1" x14ac:dyDescent="0.2">
      <c r="A6031" s="1135" t="str">
        <f>CONCATENATE(Programme!C6032,Programme!D6032,Programme!E6032,Programme!F6032,Programme!G6032,Programme!H6032,Programme!I6032)</f>
        <v>&lt;cellule&gt;&lt;codeEdi&gt;1104&lt;/codeEdi&gt;&lt;/cellule&gt;</v>
      </c>
    </row>
    <row r="6032" spans="1:1" x14ac:dyDescent="0.2">
      <c r="A6032" s="1135" t="str">
        <f>CONCATENATE(Programme!C6033,Programme!D6033,Programme!E6033,Programme!F6033,Programme!G6033,Programme!H6033,Programme!I6033)</f>
        <v>&lt;valeur&gt;&lt;/valeur&gt;</v>
      </c>
    </row>
    <row r="6033" spans="1:1" x14ac:dyDescent="0.2">
      <c r="A6033" s="1135" t="str">
        <f>CONCATENATE(Programme!C6034,Programme!D6034,Programme!E6034,Programme!F6034,Programme!G6034,Programme!H6034,Programme!I6034)</f>
        <v>&lt;numeroLigne&gt;3&lt;/numeroLigne&gt;</v>
      </c>
    </row>
    <row r="6034" spans="1:1" x14ac:dyDescent="0.2">
      <c r="A6034" s="1135" t="str">
        <f>CONCATENATE(Programme!C6035,Programme!D6035,Programme!E6035,Programme!F6035,Programme!G6035,Programme!H6035,Programme!I6035)</f>
        <v>&lt;/ValeurCellule&gt;</v>
      </c>
    </row>
    <row r="6035" spans="1:1" x14ac:dyDescent="0.2">
      <c r="A6035" s="1135" t="str">
        <f>CONCATENATE(Programme!C6036,Programme!D6036,Programme!E6036,Programme!F6036,Programme!G6036,Programme!H6036,Programme!I6036)</f>
        <v>&lt;ValeurCellule&gt;</v>
      </c>
    </row>
    <row r="6036" spans="1:1" x14ac:dyDescent="0.2">
      <c r="A6036" s="1135" t="str">
        <f>CONCATENATE(Programme!C6037,Programme!D6037,Programme!E6037,Programme!F6037,Programme!G6037,Programme!H6037,Programme!I6037)</f>
        <v>&lt;cellule&gt;&lt;codeEdi&gt;1105&lt;/codeEdi&gt;&lt;/cellule&gt;</v>
      </c>
    </row>
    <row r="6037" spans="1:1" x14ac:dyDescent="0.2">
      <c r="A6037" s="1135" t="str">
        <f>CONCATENATE(Programme!C6038,Programme!D6038,Programme!E6038,Programme!F6038,Programme!G6038,Programme!H6038,Programme!I6038)</f>
        <v>&lt;valeur&gt;&lt;/valeur&gt;</v>
      </c>
    </row>
    <row r="6038" spans="1:1" x14ac:dyDescent="0.2">
      <c r="A6038" s="1135" t="str">
        <f>CONCATENATE(Programme!C6039,Programme!D6039,Programme!E6039,Programme!F6039,Programme!G6039,Programme!H6039,Programme!I6039)</f>
        <v>&lt;numeroLigne&gt;3&lt;/numeroLigne&gt;</v>
      </c>
    </row>
    <row r="6039" spans="1:1" x14ac:dyDescent="0.2">
      <c r="A6039" s="1135" t="str">
        <f>CONCATENATE(Programme!C6040,Programme!D6040,Programme!E6040,Programme!F6040,Programme!G6040,Programme!H6040,Programme!I6040)</f>
        <v>&lt;/ValeurCellule&gt;</v>
      </c>
    </row>
    <row r="6040" spans="1:1" x14ac:dyDescent="0.2">
      <c r="A6040" s="1135" t="str">
        <f>CONCATENATE(Programme!C6041,Programme!D6041,Programme!E6041,Programme!F6041,Programme!G6041,Programme!H6041,Programme!I6041)</f>
        <v>&lt;ValeurCellule&gt;</v>
      </c>
    </row>
    <row r="6041" spans="1:1" x14ac:dyDescent="0.2">
      <c r="A6041" s="1135" t="str">
        <f>CONCATENATE(Programme!C6042,Programme!D6042,Programme!E6042,Programme!F6042,Programme!G6042,Programme!H6042,Programme!I6042)</f>
        <v>&lt;cellule&gt;&lt;codeEdi&gt;1106&lt;/codeEdi&gt;&lt;/cellule&gt;</v>
      </c>
    </row>
    <row r="6042" spans="1:1" x14ac:dyDescent="0.2">
      <c r="A6042" s="1135" t="str">
        <f>CONCATENATE(Programme!C6043,Programme!D6043,Programme!E6043,Programme!F6043,Programme!G6043,Programme!H6043,Programme!I6043)</f>
        <v>&lt;valeur&gt;&lt;/valeur&gt;</v>
      </c>
    </row>
    <row r="6043" spans="1:1" x14ac:dyDescent="0.2">
      <c r="A6043" s="1135" t="str">
        <f>CONCATENATE(Programme!C6044,Programme!D6044,Programme!E6044,Programme!F6044,Programme!G6044,Programme!H6044,Programme!I6044)</f>
        <v>&lt;numeroLigne&gt;3&lt;/numeroLigne&gt;</v>
      </c>
    </row>
    <row r="6044" spans="1:1" x14ac:dyDescent="0.2">
      <c r="A6044" s="1135" t="str">
        <f>CONCATENATE(Programme!C6045,Programme!D6045,Programme!E6045,Programme!F6045,Programme!G6045,Programme!H6045,Programme!I6045)</f>
        <v>&lt;/ValeurCellule&gt;</v>
      </c>
    </row>
    <row r="6045" spans="1:1" x14ac:dyDescent="0.2">
      <c r="A6045" s="1135" t="str">
        <f>CONCATENATE(Programme!C6046,Programme!D6046,Programme!E6046,Programme!F6046,Programme!G6046,Programme!H6046,Programme!I6046)</f>
        <v>&lt;ValeurCellule&gt;</v>
      </c>
    </row>
    <row r="6046" spans="1:1" x14ac:dyDescent="0.2">
      <c r="A6046" s="1135" t="str">
        <f>CONCATENATE(Programme!C6047,Programme!D6047,Programme!E6047,Programme!F6047,Programme!G6047,Programme!H6047,Programme!I6047)</f>
        <v>&lt;cellule&gt;&lt;codeEdi&gt;1107&lt;/codeEdi&gt;&lt;/cellule&gt;</v>
      </c>
    </row>
    <row r="6047" spans="1:1" x14ac:dyDescent="0.2">
      <c r="A6047" s="1135" t="str">
        <f>CONCATENATE(Programme!C6048,Programme!D6048,Programme!E6048,Programme!F6048,Programme!G6048,Programme!H6048,Programme!I6048)</f>
        <v>&lt;valeur&gt;&lt;/valeur&gt;</v>
      </c>
    </row>
    <row r="6048" spans="1:1" x14ac:dyDescent="0.2">
      <c r="A6048" s="1135" t="str">
        <f>CONCATENATE(Programme!C6049,Programme!D6049,Programme!E6049,Programme!F6049,Programme!G6049,Programme!H6049,Programme!I6049)</f>
        <v>&lt;numeroLigne&gt;3&lt;/numeroLigne&gt;</v>
      </c>
    </row>
    <row r="6049" spans="1:1" x14ac:dyDescent="0.2">
      <c r="A6049" s="1135" t="str">
        <f>CONCATENATE(Programme!C6050,Programme!D6050,Programme!E6050,Programme!F6050,Programme!G6050,Programme!H6050,Programme!I6050)</f>
        <v>&lt;/ValeurCellule&gt;</v>
      </c>
    </row>
    <row r="6050" spans="1:1" x14ac:dyDescent="0.2">
      <c r="A6050" s="1135" t="str">
        <f>CONCATENATE(Programme!C6051,Programme!D6051,Programme!E6051,Programme!F6051,Programme!G6051,Programme!H6051,Programme!I6051)</f>
        <v>&lt;ValeurCellule&gt;</v>
      </c>
    </row>
    <row r="6051" spans="1:1" x14ac:dyDescent="0.2">
      <c r="A6051" s="1135" t="str">
        <f>CONCATENATE(Programme!C6052,Programme!D6052,Programme!E6052,Programme!F6052,Programme!G6052,Programme!H6052,Programme!I6052)</f>
        <v>&lt;cellule&gt;&lt;codeEdi&gt;1108&lt;/codeEdi&gt;&lt;/cellule&gt;</v>
      </c>
    </row>
    <row r="6052" spans="1:1" x14ac:dyDescent="0.2">
      <c r="A6052" s="1135" t="str">
        <f>CONCATENATE(Programme!C6053,Programme!D6053,Programme!E6053,Programme!F6053,Programme!G6053,Programme!H6053,Programme!I6053)</f>
        <v>&lt;valeur&gt;&lt;/valeur&gt;</v>
      </c>
    </row>
    <row r="6053" spans="1:1" x14ac:dyDescent="0.2">
      <c r="A6053" s="1135" t="str">
        <f>CONCATENATE(Programme!C6054,Programme!D6054,Programme!E6054,Programme!F6054,Programme!G6054,Programme!H6054,Programme!I6054)</f>
        <v>&lt;numeroLigne&gt;3&lt;/numeroLigne&gt;</v>
      </c>
    </row>
    <row r="6054" spans="1:1" x14ac:dyDescent="0.2">
      <c r="A6054" s="1135" t="str">
        <f>CONCATENATE(Programme!C6055,Programme!D6055,Programme!E6055,Programme!F6055,Programme!G6055,Programme!H6055,Programme!I6055)</f>
        <v>&lt;/ValeurCellule&gt;</v>
      </c>
    </row>
    <row r="6055" spans="1:1" x14ac:dyDescent="0.2">
      <c r="A6055" s="1135" t="str">
        <f>CONCATENATE(Programme!C6056,Programme!D6056,Programme!E6056,Programme!F6056,Programme!G6056,Programme!H6056,Programme!I6056)</f>
        <v>&lt;ValeurCellule&gt;</v>
      </c>
    </row>
    <row r="6056" spans="1:1" x14ac:dyDescent="0.2">
      <c r="A6056" s="1135" t="str">
        <f>CONCATENATE(Programme!C6057,Programme!D6057,Programme!E6057,Programme!F6057,Programme!G6057,Programme!H6057,Programme!I6057)</f>
        <v>&lt;cellule&gt;&lt;codeEdi&gt;1098&lt;/codeEdi&gt;&lt;/cellule&gt;</v>
      </c>
    </row>
    <row r="6057" spans="1:1" x14ac:dyDescent="0.2">
      <c r="A6057" s="1135" t="str">
        <f>CONCATENATE(Programme!C6058,Programme!D6058,Programme!E6058,Programme!F6058,Programme!G6058,Programme!H6058,Programme!I6058)</f>
        <v>&lt;valeur&gt;&lt;/valeur&gt;</v>
      </c>
    </row>
    <row r="6058" spans="1:1" x14ac:dyDescent="0.2">
      <c r="A6058" s="1135" t="str">
        <f>CONCATENATE(Programme!C6059,Programme!D6059,Programme!E6059,Programme!F6059,Programme!G6059,Programme!H6059,Programme!I6059)</f>
        <v>&lt;numeroLigne&gt;4&lt;/numeroLigne&gt;</v>
      </c>
    </row>
    <row r="6059" spans="1:1" x14ac:dyDescent="0.2">
      <c r="A6059" s="1135" t="str">
        <f>CONCATENATE(Programme!C6060,Programme!D6060,Programme!E6060,Programme!F6060,Programme!G6060,Programme!H6060,Programme!I6060)</f>
        <v>&lt;/ValeurCellule&gt;</v>
      </c>
    </row>
    <row r="6060" spans="1:1" x14ac:dyDescent="0.2">
      <c r="A6060" s="1135" t="str">
        <f>CONCATENATE(Programme!C6061,Programme!D6061,Programme!E6061,Programme!F6061,Programme!G6061,Programme!H6061,Programme!I6061)</f>
        <v>&lt;ValeurCellule&gt;</v>
      </c>
    </row>
    <row r="6061" spans="1:1" x14ac:dyDescent="0.2">
      <c r="A6061" s="1135" t="str">
        <f>CONCATENATE(Programme!C6062,Programme!D6062,Programme!E6062,Programme!F6062,Programme!G6062,Programme!H6062,Programme!I6062)</f>
        <v>&lt;cellule&gt;&lt;codeEdi&gt;1099&lt;/codeEdi&gt;&lt;/cellule&gt;</v>
      </c>
    </row>
    <row r="6062" spans="1:1" x14ac:dyDescent="0.2">
      <c r="A6062" s="1135" t="str">
        <f>CONCATENATE(Programme!C6063,Programme!D6063,Programme!E6063,Programme!F6063,Programme!G6063,Programme!H6063,Programme!I6063)</f>
        <v>&lt;valeur&gt;&lt;/valeur&gt;</v>
      </c>
    </row>
    <row r="6063" spans="1:1" x14ac:dyDescent="0.2">
      <c r="A6063" s="1135" t="str">
        <f>CONCATENATE(Programme!C6064,Programme!D6064,Programme!E6064,Programme!F6064,Programme!G6064,Programme!H6064,Programme!I6064)</f>
        <v>&lt;numeroLigne&gt;4&lt;/numeroLigne&gt;</v>
      </c>
    </row>
    <row r="6064" spans="1:1" x14ac:dyDescent="0.2">
      <c r="A6064" s="1135" t="str">
        <f>CONCATENATE(Programme!C6065,Programme!D6065,Programme!E6065,Programme!F6065,Programme!G6065,Programme!H6065,Programme!I6065)</f>
        <v>&lt;/ValeurCellule&gt;</v>
      </c>
    </row>
    <row r="6065" spans="1:1" x14ac:dyDescent="0.2">
      <c r="A6065" s="1135" t="str">
        <f>CONCATENATE(Programme!C6066,Programme!D6066,Programme!E6066,Programme!F6066,Programme!G6066,Programme!H6066,Programme!I6066)</f>
        <v>&lt;ValeurCellule&gt;</v>
      </c>
    </row>
    <row r="6066" spans="1:1" x14ac:dyDescent="0.2">
      <c r="A6066" s="1135" t="str">
        <f>CONCATENATE(Programme!C6067,Programme!D6067,Programme!E6067,Programme!F6067,Programme!G6067,Programme!H6067,Programme!I6067)</f>
        <v>&lt;cellule&gt;&lt;codeEdi&gt;1100&lt;/codeEdi&gt;&lt;/cellule&gt;</v>
      </c>
    </row>
    <row r="6067" spans="1:1" x14ac:dyDescent="0.2">
      <c r="A6067" s="1135" t="str">
        <f>CONCATENATE(Programme!C6068,Programme!D6068,Programme!E6068,Programme!F6068,Programme!G6068,Programme!H6068,Programme!I6068)</f>
        <v>&lt;valeur&gt;&lt;/valeur&gt;</v>
      </c>
    </row>
    <row r="6068" spans="1:1" x14ac:dyDescent="0.2">
      <c r="A6068" s="1135" t="str">
        <f>CONCATENATE(Programme!C6069,Programme!D6069,Programme!E6069,Programme!F6069,Programme!G6069,Programme!H6069,Programme!I6069)</f>
        <v>&lt;numeroLigne&gt;4&lt;/numeroLigne&gt;</v>
      </c>
    </row>
    <row r="6069" spans="1:1" x14ac:dyDescent="0.2">
      <c r="A6069" s="1135" t="str">
        <f>CONCATENATE(Programme!C6070,Programme!D6070,Programme!E6070,Programme!F6070,Programme!G6070,Programme!H6070,Programme!I6070)</f>
        <v>&lt;/ValeurCellule&gt;</v>
      </c>
    </row>
    <row r="6070" spans="1:1" x14ac:dyDescent="0.2">
      <c r="A6070" s="1135" t="str">
        <f>CONCATENATE(Programme!C6071,Programme!D6071,Programme!E6071,Programme!F6071,Programme!G6071,Programme!H6071,Programme!I6071)</f>
        <v>&lt;ValeurCellule&gt;</v>
      </c>
    </row>
    <row r="6071" spans="1:1" x14ac:dyDescent="0.2">
      <c r="A6071" s="1135" t="str">
        <f>CONCATENATE(Programme!C6072,Programme!D6072,Programme!E6072,Programme!F6072,Programme!G6072,Programme!H6072,Programme!I6072)</f>
        <v>&lt;cellule&gt;&lt;codeEdi&gt;1101&lt;/codeEdi&gt;&lt;/cellule&gt;</v>
      </c>
    </row>
    <row r="6072" spans="1:1" x14ac:dyDescent="0.2">
      <c r="A6072" s="1135" t="str">
        <f>CONCATENATE(Programme!C6073,Programme!D6073,Programme!E6073,Programme!F6073,Programme!G6073,Programme!H6073,Programme!I6073)</f>
        <v>&lt;valeur&gt;&lt;/valeur&gt;</v>
      </c>
    </row>
    <row r="6073" spans="1:1" x14ac:dyDescent="0.2">
      <c r="A6073" s="1135" t="str">
        <f>CONCATENATE(Programme!C6074,Programme!D6074,Programme!E6074,Programme!F6074,Programme!G6074,Programme!H6074,Programme!I6074)</f>
        <v>&lt;numeroLigne&gt;4&lt;/numeroLigne&gt;</v>
      </c>
    </row>
    <row r="6074" spans="1:1" x14ac:dyDescent="0.2">
      <c r="A6074" s="1135" t="str">
        <f>CONCATENATE(Programme!C6075,Programme!D6075,Programme!E6075,Programme!F6075,Programme!G6075,Programme!H6075,Programme!I6075)</f>
        <v>&lt;/ValeurCellule&gt;</v>
      </c>
    </row>
    <row r="6075" spans="1:1" x14ac:dyDescent="0.2">
      <c r="A6075" s="1135" t="str">
        <f>CONCATENATE(Programme!C6076,Programme!D6076,Programme!E6076,Programme!F6076,Programme!G6076,Programme!H6076,Programme!I6076)</f>
        <v>&lt;ValeurCellule&gt;</v>
      </c>
    </row>
    <row r="6076" spans="1:1" x14ac:dyDescent="0.2">
      <c r="A6076" s="1135" t="str">
        <f>CONCATENATE(Programme!C6077,Programme!D6077,Programme!E6077,Programme!F6077,Programme!G6077,Programme!H6077,Programme!I6077)</f>
        <v>&lt;cellule&gt;&lt;codeEdi&gt;1102&lt;/codeEdi&gt;&lt;/cellule&gt;</v>
      </c>
    </row>
    <row r="6077" spans="1:1" x14ac:dyDescent="0.2">
      <c r="A6077" s="1135" t="str">
        <f>CONCATENATE(Programme!C6078,Programme!D6078,Programme!E6078,Programme!F6078,Programme!G6078,Programme!H6078,Programme!I6078)</f>
        <v>&lt;valeur&gt;&lt;/valeur&gt;</v>
      </c>
    </row>
    <row r="6078" spans="1:1" x14ac:dyDescent="0.2">
      <c r="A6078" s="1135" t="str">
        <f>CONCATENATE(Programme!C6079,Programme!D6079,Programme!E6079,Programme!F6079,Programme!G6079,Programme!H6079,Programme!I6079)</f>
        <v>&lt;numeroLigne&gt;4&lt;/numeroLigne&gt;</v>
      </c>
    </row>
    <row r="6079" spans="1:1" x14ac:dyDescent="0.2">
      <c r="A6079" s="1135" t="str">
        <f>CONCATENATE(Programme!C6080,Programme!D6080,Programme!E6080,Programme!F6080,Programme!G6080,Programme!H6080,Programme!I6080)</f>
        <v>&lt;/ValeurCellule&gt;</v>
      </c>
    </row>
    <row r="6080" spans="1:1" x14ac:dyDescent="0.2">
      <c r="A6080" s="1135" t="str">
        <f>CONCATENATE(Programme!C6081,Programme!D6081,Programme!E6081,Programme!F6081,Programme!G6081,Programme!H6081,Programme!I6081)</f>
        <v>&lt;ValeurCellule&gt;</v>
      </c>
    </row>
    <row r="6081" spans="1:1" x14ac:dyDescent="0.2">
      <c r="A6081" s="1135" t="str">
        <f>CONCATENATE(Programme!C6082,Programme!D6082,Programme!E6082,Programme!F6082,Programme!G6082,Programme!H6082,Programme!I6082)</f>
        <v>&lt;cellule&gt;&lt;codeEdi&gt;1103&lt;/codeEdi&gt;&lt;/cellule&gt;</v>
      </c>
    </row>
    <row r="6082" spans="1:1" x14ac:dyDescent="0.2">
      <c r="A6082" s="1135" t="str">
        <f>CONCATENATE(Programme!C6083,Programme!D6083,Programme!E6083,Programme!F6083,Programme!G6083,Programme!H6083,Programme!I6083)</f>
        <v>&lt;valeur&gt;&lt;/valeur&gt;</v>
      </c>
    </row>
    <row r="6083" spans="1:1" x14ac:dyDescent="0.2">
      <c r="A6083" s="1135" t="str">
        <f>CONCATENATE(Programme!C6084,Programme!D6084,Programme!E6084,Programme!F6084,Programme!G6084,Programme!H6084,Programme!I6084)</f>
        <v>&lt;numeroLigne&gt;4&lt;/numeroLigne&gt;</v>
      </c>
    </row>
    <row r="6084" spans="1:1" x14ac:dyDescent="0.2">
      <c r="A6084" s="1135" t="str">
        <f>CONCATENATE(Programme!C6085,Programme!D6085,Programme!E6085,Programme!F6085,Programme!G6085,Programme!H6085,Programme!I6085)</f>
        <v>&lt;/ValeurCellule&gt;</v>
      </c>
    </row>
    <row r="6085" spans="1:1" x14ac:dyDescent="0.2">
      <c r="A6085" s="1135" t="str">
        <f>CONCATENATE(Programme!C6086,Programme!D6086,Programme!E6086,Programme!F6086,Programme!G6086,Programme!H6086,Programme!I6086)</f>
        <v>&lt;ValeurCellule&gt;</v>
      </c>
    </row>
    <row r="6086" spans="1:1" x14ac:dyDescent="0.2">
      <c r="A6086" s="1135" t="str">
        <f>CONCATENATE(Programme!C6087,Programme!D6087,Programme!E6087,Programme!F6087,Programme!G6087,Programme!H6087,Programme!I6087)</f>
        <v>&lt;cellule&gt;&lt;codeEdi&gt;1104&lt;/codeEdi&gt;&lt;/cellule&gt;</v>
      </c>
    </row>
    <row r="6087" spans="1:1" x14ac:dyDescent="0.2">
      <c r="A6087" s="1135" t="str">
        <f>CONCATENATE(Programme!C6088,Programme!D6088,Programme!E6088,Programme!F6088,Programme!G6088,Programme!H6088,Programme!I6088)</f>
        <v>&lt;valeur&gt;&lt;/valeur&gt;</v>
      </c>
    </row>
    <row r="6088" spans="1:1" x14ac:dyDescent="0.2">
      <c r="A6088" s="1135" t="str">
        <f>CONCATENATE(Programme!C6089,Programme!D6089,Programme!E6089,Programme!F6089,Programme!G6089,Programme!H6089,Programme!I6089)</f>
        <v>&lt;numeroLigne&gt;4&lt;/numeroLigne&gt;</v>
      </c>
    </row>
    <row r="6089" spans="1:1" x14ac:dyDescent="0.2">
      <c r="A6089" s="1135" t="str">
        <f>CONCATENATE(Programme!C6090,Programme!D6090,Programme!E6090,Programme!F6090,Programme!G6090,Programme!H6090,Programme!I6090)</f>
        <v>&lt;/ValeurCellule&gt;</v>
      </c>
    </row>
    <row r="6090" spans="1:1" x14ac:dyDescent="0.2">
      <c r="A6090" s="1135" t="str">
        <f>CONCATENATE(Programme!C6091,Programme!D6091,Programme!E6091,Programme!F6091,Programme!G6091,Programme!H6091,Programme!I6091)</f>
        <v>&lt;ValeurCellule&gt;</v>
      </c>
    </row>
    <row r="6091" spans="1:1" x14ac:dyDescent="0.2">
      <c r="A6091" s="1135" t="str">
        <f>CONCATENATE(Programme!C6092,Programme!D6092,Programme!E6092,Programme!F6092,Programme!G6092,Programme!H6092,Programme!I6092)</f>
        <v>&lt;cellule&gt;&lt;codeEdi&gt;1105&lt;/codeEdi&gt;&lt;/cellule&gt;</v>
      </c>
    </row>
    <row r="6092" spans="1:1" x14ac:dyDescent="0.2">
      <c r="A6092" s="1135" t="str">
        <f>CONCATENATE(Programme!C6093,Programme!D6093,Programme!E6093,Programme!F6093,Programme!G6093,Programme!H6093,Programme!I6093)</f>
        <v>&lt;valeur&gt;&lt;/valeur&gt;</v>
      </c>
    </row>
    <row r="6093" spans="1:1" x14ac:dyDescent="0.2">
      <c r="A6093" s="1135" t="str">
        <f>CONCATENATE(Programme!C6094,Programme!D6094,Programme!E6094,Programme!F6094,Programme!G6094,Programme!H6094,Programme!I6094)</f>
        <v>&lt;numeroLigne&gt;4&lt;/numeroLigne&gt;</v>
      </c>
    </row>
    <row r="6094" spans="1:1" x14ac:dyDescent="0.2">
      <c r="A6094" s="1135" t="str">
        <f>CONCATENATE(Programme!C6095,Programme!D6095,Programme!E6095,Programme!F6095,Programme!G6095,Programme!H6095,Programme!I6095)</f>
        <v>&lt;/ValeurCellule&gt;</v>
      </c>
    </row>
    <row r="6095" spans="1:1" x14ac:dyDescent="0.2">
      <c r="A6095" s="1135" t="str">
        <f>CONCATENATE(Programme!C6096,Programme!D6096,Programme!E6096,Programme!F6096,Programme!G6096,Programme!H6096,Programme!I6096)</f>
        <v>&lt;ValeurCellule&gt;</v>
      </c>
    </row>
    <row r="6096" spans="1:1" x14ac:dyDescent="0.2">
      <c r="A6096" s="1135" t="str">
        <f>CONCATENATE(Programme!C6097,Programme!D6097,Programme!E6097,Programme!F6097,Programme!G6097,Programme!H6097,Programme!I6097)</f>
        <v>&lt;cellule&gt;&lt;codeEdi&gt;1106&lt;/codeEdi&gt;&lt;/cellule&gt;</v>
      </c>
    </row>
    <row r="6097" spans="1:1" x14ac:dyDescent="0.2">
      <c r="A6097" s="1135" t="str">
        <f>CONCATENATE(Programme!C6098,Programme!D6098,Programme!E6098,Programme!F6098,Programme!G6098,Programme!H6098,Programme!I6098)</f>
        <v>&lt;valeur&gt;&lt;/valeur&gt;</v>
      </c>
    </row>
    <row r="6098" spans="1:1" x14ac:dyDescent="0.2">
      <c r="A6098" s="1135" t="str">
        <f>CONCATENATE(Programme!C6099,Programme!D6099,Programme!E6099,Programme!F6099,Programme!G6099,Programme!H6099,Programme!I6099)</f>
        <v>&lt;numeroLigne&gt;4&lt;/numeroLigne&gt;</v>
      </c>
    </row>
    <row r="6099" spans="1:1" x14ac:dyDescent="0.2">
      <c r="A6099" s="1135" t="str">
        <f>CONCATENATE(Programme!C6100,Programme!D6100,Programme!E6100,Programme!F6100,Programme!G6100,Programme!H6100,Programme!I6100)</f>
        <v>&lt;/ValeurCellule&gt;</v>
      </c>
    </row>
    <row r="6100" spans="1:1" x14ac:dyDescent="0.2">
      <c r="A6100" s="1135" t="str">
        <f>CONCATENATE(Programme!C6101,Programme!D6101,Programme!E6101,Programme!F6101,Programme!G6101,Programme!H6101,Programme!I6101)</f>
        <v>&lt;ValeurCellule&gt;</v>
      </c>
    </row>
    <row r="6101" spans="1:1" x14ac:dyDescent="0.2">
      <c r="A6101" s="1135" t="str">
        <f>CONCATENATE(Programme!C6102,Programme!D6102,Programme!E6102,Programme!F6102,Programme!G6102,Programme!H6102,Programme!I6102)</f>
        <v>&lt;cellule&gt;&lt;codeEdi&gt;1107&lt;/codeEdi&gt;&lt;/cellule&gt;</v>
      </c>
    </row>
    <row r="6102" spans="1:1" x14ac:dyDescent="0.2">
      <c r="A6102" s="1135" t="str">
        <f>CONCATENATE(Programme!C6103,Programme!D6103,Programme!E6103,Programme!F6103,Programme!G6103,Programme!H6103,Programme!I6103)</f>
        <v>&lt;valeur&gt;&lt;/valeur&gt;</v>
      </c>
    </row>
    <row r="6103" spans="1:1" x14ac:dyDescent="0.2">
      <c r="A6103" s="1135" t="str">
        <f>CONCATENATE(Programme!C6104,Programme!D6104,Programme!E6104,Programme!F6104,Programme!G6104,Programme!H6104,Programme!I6104)</f>
        <v>&lt;numeroLigne&gt;4&lt;/numeroLigne&gt;</v>
      </c>
    </row>
    <row r="6104" spans="1:1" x14ac:dyDescent="0.2">
      <c r="A6104" s="1135" t="str">
        <f>CONCATENATE(Programme!C6105,Programme!D6105,Programme!E6105,Programme!F6105,Programme!G6105,Programme!H6105,Programme!I6105)</f>
        <v>&lt;/ValeurCellule&gt;</v>
      </c>
    </row>
    <row r="6105" spans="1:1" x14ac:dyDescent="0.2">
      <c r="A6105" s="1135" t="str">
        <f>CONCATENATE(Programme!C6106,Programme!D6106,Programme!E6106,Programme!F6106,Programme!G6106,Programme!H6106,Programme!I6106)</f>
        <v>&lt;ValeurCellule&gt;</v>
      </c>
    </row>
    <row r="6106" spans="1:1" x14ac:dyDescent="0.2">
      <c r="A6106" s="1135" t="str">
        <f>CONCATENATE(Programme!C6107,Programme!D6107,Programme!E6107,Programme!F6107,Programme!G6107,Programme!H6107,Programme!I6107)</f>
        <v>&lt;cellule&gt;&lt;codeEdi&gt;1108&lt;/codeEdi&gt;&lt;/cellule&gt;</v>
      </c>
    </row>
    <row r="6107" spans="1:1" x14ac:dyDescent="0.2">
      <c r="A6107" s="1135" t="str">
        <f>CONCATENATE(Programme!C6108,Programme!D6108,Programme!E6108,Programme!F6108,Programme!G6108,Programme!H6108,Programme!I6108)</f>
        <v>&lt;valeur&gt;&lt;/valeur&gt;</v>
      </c>
    </row>
    <row r="6108" spans="1:1" x14ac:dyDescent="0.2">
      <c r="A6108" s="1135" t="str">
        <f>CONCATENATE(Programme!C6109,Programme!D6109,Programme!E6109,Programme!F6109,Programme!G6109,Programme!H6109,Programme!I6109)</f>
        <v>&lt;numeroLigne&gt;4&lt;/numeroLigne&gt;</v>
      </c>
    </row>
    <row r="6109" spans="1:1" x14ac:dyDescent="0.2">
      <c r="A6109" s="1135" t="str">
        <f>CONCATENATE(Programme!C6110,Programme!D6110,Programme!E6110,Programme!F6110,Programme!G6110,Programme!H6110,Programme!I6110)</f>
        <v>&lt;/ValeurCellule&gt;</v>
      </c>
    </row>
    <row r="6110" spans="1:1" x14ac:dyDescent="0.2">
      <c r="A6110" s="1135" t="str">
        <f>CONCATENATE(Programme!C6111,Programme!D6111,Programme!E6111,Programme!F6111,Programme!G6111,Programme!H6111,Programme!I6111)</f>
        <v>&lt;ValeurCellule&gt;</v>
      </c>
    </row>
    <row r="6111" spans="1:1" x14ac:dyDescent="0.2">
      <c r="A6111" s="1135" t="str">
        <f>CONCATENATE(Programme!C6112,Programme!D6112,Programme!E6112,Programme!F6112,Programme!G6112,Programme!H6112,Programme!I6112)</f>
        <v>&lt;cellule&gt;&lt;codeEdi&gt;1098&lt;/codeEdi&gt;&lt;/cellule&gt;</v>
      </c>
    </row>
    <row r="6112" spans="1:1" x14ac:dyDescent="0.2">
      <c r="A6112" s="1135" t="str">
        <f>CONCATENATE(Programme!C6113,Programme!D6113,Programme!E6113,Programme!F6113,Programme!G6113,Programme!H6113,Programme!I6113)</f>
        <v>&lt;valeur&gt;&lt;/valeur&gt;</v>
      </c>
    </row>
    <row r="6113" spans="1:1" x14ac:dyDescent="0.2">
      <c r="A6113" s="1135" t="str">
        <f>CONCATENATE(Programme!C6114,Programme!D6114,Programme!E6114,Programme!F6114,Programme!G6114,Programme!H6114,Programme!I6114)</f>
        <v>&lt;numeroLigne&gt;5&lt;/numeroLigne&gt;</v>
      </c>
    </row>
    <row r="6114" spans="1:1" x14ac:dyDescent="0.2">
      <c r="A6114" s="1135" t="str">
        <f>CONCATENATE(Programme!C6115,Programme!D6115,Programme!E6115,Programme!F6115,Programme!G6115,Programme!H6115,Programme!I6115)</f>
        <v>&lt;/ValeurCellule&gt;</v>
      </c>
    </row>
    <row r="6115" spans="1:1" x14ac:dyDescent="0.2">
      <c r="A6115" s="1135" t="str">
        <f>CONCATENATE(Programme!C6116,Programme!D6116,Programme!E6116,Programme!F6116,Programme!G6116,Programme!H6116,Programme!I6116)</f>
        <v>&lt;ValeurCellule&gt;</v>
      </c>
    </row>
    <row r="6116" spans="1:1" x14ac:dyDescent="0.2">
      <c r="A6116" s="1135" t="str">
        <f>CONCATENATE(Programme!C6117,Programme!D6117,Programme!E6117,Programme!F6117,Programme!G6117,Programme!H6117,Programme!I6117)</f>
        <v>&lt;cellule&gt;&lt;codeEdi&gt;1099&lt;/codeEdi&gt;&lt;/cellule&gt;</v>
      </c>
    </row>
    <row r="6117" spans="1:1" x14ac:dyDescent="0.2">
      <c r="A6117" s="1135" t="str">
        <f>CONCATENATE(Programme!C6118,Programme!D6118,Programme!E6118,Programme!F6118,Programme!G6118,Programme!H6118,Programme!I6118)</f>
        <v>&lt;valeur&gt;&lt;/valeur&gt;</v>
      </c>
    </row>
    <row r="6118" spans="1:1" x14ac:dyDescent="0.2">
      <c r="A6118" s="1135" t="str">
        <f>CONCATENATE(Programme!C6119,Programme!D6119,Programme!E6119,Programme!F6119,Programme!G6119,Programme!H6119,Programme!I6119)</f>
        <v>&lt;numeroLigne&gt;5&lt;/numeroLigne&gt;</v>
      </c>
    </row>
    <row r="6119" spans="1:1" x14ac:dyDescent="0.2">
      <c r="A6119" s="1135" t="str">
        <f>CONCATENATE(Programme!C6120,Programme!D6120,Programme!E6120,Programme!F6120,Programme!G6120,Programme!H6120,Programme!I6120)</f>
        <v>&lt;/ValeurCellule&gt;</v>
      </c>
    </row>
    <row r="6120" spans="1:1" x14ac:dyDescent="0.2">
      <c r="A6120" s="1135" t="str">
        <f>CONCATENATE(Programme!C6121,Programme!D6121,Programme!E6121,Programme!F6121,Programme!G6121,Programme!H6121,Programme!I6121)</f>
        <v>&lt;ValeurCellule&gt;</v>
      </c>
    </row>
    <row r="6121" spans="1:1" x14ac:dyDescent="0.2">
      <c r="A6121" s="1135" t="str">
        <f>CONCATENATE(Programme!C6122,Programme!D6122,Programme!E6122,Programme!F6122,Programme!G6122,Programme!H6122,Programme!I6122)</f>
        <v>&lt;cellule&gt;&lt;codeEdi&gt;1100&lt;/codeEdi&gt;&lt;/cellule&gt;</v>
      </c>
    </row>
    <row r="6122" spans="1:1" x14ac:dyDescent="0.2">
      <c r="A6122" s="1135" t="str">
        <f>CONCATENATE(Programme!C6123,Programme!D6123,Programme!E6123,Programme!F6123,Programme!G6123,Programme!H6123,Programme!I6123)</f>
        <v>&lt;valeur&gt;&lt;/valeur&gt;</v>
      </c>
    </row>
    <row r="6123" spans="1:1" x14ac:dyDescent="0.2">
      <c r="A6123" s="1135" t="str">
        <f>CONCATENATE(Programme!C6124,Programme!D6124,Programme!E6124,Programme!F6124,Programme!G6124,Programme!H6124,Programme!I6124)</f>
        <v>&lt;numeroLigne&gt;5&lt;/numeroLigne&gt;</v>
      </c>
    </row>
    <row r="6124" spans="1:1" x14ac:dyDescent="0.2">
      <c r="A6124" s="1135" t="str">
        <f>CONCATENATE(Programme!C6125,Programme!D6125,Programme!E6125,Programme!F6125,Programme!G6125,Programme!H6125,Programme!I6125)</f>
        <v>&lt;/ValeurCellule&gt;</v>
      </c>
    </row>
    <row r="6125" spans="1:1" x14ac:dyDescent="0.2">
      <c r="A6125" s="1135" t="str">
        <f>CONCATENATE(Programme!C6126,Programme!D6126,Programme!E6126,Programme!F6126,Programme!G6126,Programme!H6126,Programme!I6126)</f>
        <v>&lt;ValeurCellule&gt;</v>
      </c>
    </row>
    <row r="6126" spans="1:1" x14ac:dyDescent="0.2">
      <c r="A6126" s="1135" t="str">
        <f>CONCATENATE(Programme!C6127,Programme!D6127,Programme!E6127,Programme!F6127,Programme!G6127,Programme!H6127,Programme!I6127)</f>
        <v>&lt;cellule&gt;&lt;codeEdi&gt;1101&lt;/codeEdi&gt;&lt;/cellule&gt;</v>
      </c>
    </row>
    <row r="6127" spans="1:1" x14ac:dyDescent="0.2">
      <c r="A6127" s="1135" t="str">
        <f>CONCATENATE(Programme!C6128,Programme!D6128,Programme!E6128,Programme!F6128,Programme!G6128,Programme!H6128,Programme!I6128)</f>
        <v>&lt;valeur&gt;&lt;/valeur&gt;</v>
      </c>
    </row>
    <row r="6128" spans="1:1" x14ac:dyDescent="0.2">
      <c r="A6128" s="1135" t="str">
        <f>CONCATENATE(Programme!C6129,Programme!D6129,Programme!E6129,Programme!F6129,Programme!G6129,Programme!H6129,Programme!I6129)</f>
        <v>&lt;numeroLigne&gt;5&lt;/numeroLigne&gt;</v>
      </c>
    </row>
    <row r="6129" spans="1:1" x14ac:dyDescent="0.2">
      <c r="A6129" s="1135" t="str">
        <f>CONCATENATE(Programme!C6130,Programme!D6130,Programme!E6130,Programme!F6130,Programme!G6130,Programme!H6130,Programme!I6130)</f>
        <v>&lt;/ValeurCellule&gt;</v>
      </c>
    </row>
    <row r="6130" spans="1:1" x14ac:dyDescent="0.2">
      <c r="A6130" s="1135" t="str">
        <f>CONCATENATE(Programme!C6131,Programme!D6131,Programme!E6131,Programme!F6131,Programme!G6131,Programme!H6131,Programme!I6131)</f>
        <v>&lt;ValeurCellule&gt;</v>
      </c>
    </row>
    <row r="6131" spans="1:1" x14ac:dyDescent="0.2">
      <c r="A6131" s="1135" t="str">
        <f>CONCATENATE(Programme!C6132,Programme!D6132,Programme!E6132,Programme!F6132,Programme!G6132,Programme!H6132,Programme!I6132)</f>
        <v>&lt;cellule&gt;&lt;codeEdi&gt;1102&lt;/codeEdi&gt;&lt;/cellule&gt;</v>
      </c>
    </row>
    <row r="6132" spans="1:1" x14ac:dyDescent="0.2">
      <c r="A6132" s="1135" t="str">
        <f>CONCATENATE(Programme!C6133,Programme!D6133,Programme!E6133,Programme!F6133,Programme!G6133,Programme!H6133,Programme!I6133)</f>
        <v>&lt;valeur&gt;&lt;/valeur&gt;</v>
      </c>
    </row>
    <row r="6133" spans="1:1" x14ac:dyDescent="0.2">
      <c r="A6133" s="1135" t="str">
        <f>CONCATENATE(Programme!C6134,Programme!D6134,Programme!E6134,Programme!F6134,Programme!G6134,Programme!H6134,Programme!I6134)</f>
        <v>&lt;numeroLigne&gt;5&lt;/numeroLigne&gt;</v>
      </c>
    </row>
    <row r="6134" spans="1:1" x14ac:dyDescent="0.2">
      <c r="A6134" s="1135" t="str">
        <f>CONCATENATE(Programme!C6135,Programme!D6135,Programme!E6135,Programme!F6135,Programme!G6135,Programme!H6135,Programme!I6135)</f>
        <v>&lt;/ValeurCellule&gt;</v>
      </c>
    </row>
    <row r="6135" spans="1:1" x14ac:dyDescent="0.2">
      <c r="A6135" s="1135" t="str">
        <f>CONCATENATE(Programme!C6136,Programme!D6136,Programme!E6136,Programme!F6136,Programme!G6136,Programme!H6136,Programme!I6136)</f>
        <v>&lt;ValeurCellule&gt;</v>
      </c>
    </row>
    <row r="6136" spans="1:1" x14ac:dyDescent="0.2">
      <c r="A6136" s="1135" t="str">
        <f>CONCATENATE(Programme!C6137,Programme!D6137,Programme!E6137,Programme!F6137,Programme!G6137,Programme!H6137,Programme!I6137)</f>
        <v>&lt;cellule&gt;&lt;codeEdi&gt;1103&lt;/codeEdi&gt;&lt;/cellule&gt;</v>
      </c>
    </row>
    <row r="6137" spans="1:1" x14ac:dyDescent="0.2">
      <c r="A6137" s="1135" t="str">
        <f>CONCATENATE(Programme!C6138,Programme!D6138,Programme!E6138,Programme!F6138,Programme!G6138,Programme!H6138,Programme!I6138)</f>
        <v>&lt;valeur&gt;&lt;/valeur&gt;</v>
      </c>
    </row>
    <row r="6138" spans="1:1" x14ac:dyDescent="0.2">
      <c r="A6138" s="1135" t="str">
        <f>CONCATENATE(Programme!C6139,Programme!D6139,Programme!E6139,Programme!F6139,Programme!G6139,Programme!H6139,Programme!I6139)</f>
        <v>&lt;numeroLigne&gt;5&lt;/numeroLigne&gt;</v>
      </c>
    </row>
    <row r="6139" spans="1:1" x14ac:dyDescent="0.2">
      <c r="A6139" s="1135" t="str">
        <f>CONCATENATE(Programme!C6140,Programme!D6140,Programme!E6140,Programme!F6140,Programme!G6140,Programme!H6140,Programme!I6140)</f>
        <v>&lt;/ValeurCellule&gt;</v>
      </c>
    </row>
    <row r="6140" spans="1:1" x14ac:dyDescent="0.2">
      <c r="A6140" s="1135" t="str">
        <f>CONCATENATE(Programme!C6141,Programme!D6141,Programme!E6141,Programme!F6141,Programme!G6141,Programme!H6141,Programme!I6141)</f>
        <v>&lt;ValeurCellule&gt;</v>
      </c>
    </row>
    <row r="6141" spans="1:1" x14ac:dyDescent="0.2">
      <c r="A6141" s="1135" t="str">
        <f>CONCATENATE(Programme!C6142,Programme!D6142,Programme!E6142,Programme!F6142,Programme!G6142,Programme!H6142,Programme!I6142)</f>
        <v>&lt;cellule&gt;&lt;codeEdi&gt;1104&lt;/codeEdi&gt;&lt;/cellule&gt;</v>
      </c>
    </row>
    <row r="6142" spans="1:1" x14ac:dyDescent="0.2">
      <c r="A6142" s="1135" t="str">
        <f>CONCATENATE(Programme!C6143,Programme!D6143,Programme!E6143,Programme!F6143,Programme!G6143,Programme!H6143,Programme!I6143)</f>
        <v>&lt;valeur&gt;&lt;/valeur&gt;</v>
      </c>
    </row>
    <row r="6143" spans="1:1" x14ac:dyDescent="0.2">
      <c r="A6143" s="1135" t="str">
        <f>CONCATENATE(Programme!C6144,Programme!D6144,Programme!E6144,Programme!F6144,Programme!G6144,Programme!H6144,Programme!I6144)</f>
        <v>&lt;numeroLigne&gt;5&lt;/numeroLigne&gt;</v>
      </c>
    </row>
    <row r="6144" spans="1:1" x14ac:dyDescent="0.2">
      <c r="A6144" s="1135" t="str">
        <f>CONCATENATE(Programme!C6145,Programme!D6145,Programme!E6145,Programme!F6145,Programme!G6145,Programme!H6145,Programme!I6145)</f>
        <v>&lt;/ValeurCellule&gt;</v>
      </c>
    </row>
    <row r="6145" spans="1:1" x14ac:dyDescent="0.2">
      <c r="A6145" s="1135" t="str">
        <f>CONCATENATE(Programme!C6146,Programme!D6146,Programme!E6146,Programme!F6146,Programme!G6146,Programme!H6146,Programme!I6146)</f>
        <v>&lt;ValeurCellule&gt;</v>
      </c>
    </row>
    <row r="6146" spans="1:1" x14ac:dyDescent="0.2">
      <c r="A6146" s="1135" t="str">
        <f>CONCATENATE(Programme!C6147,Programme!D6147,Programme!E6147,Programme!F6147,Programme!G6147,Programme!H6147,Programme!I6147)</f>
        <v>&lt;cellule&gt;&lt;codeEdi&gt;1105&lt;/codeEdi&gt;&lt;/cellule&gt;</v>
      </c>
    </row>
    <row r="6147" spans="1:1" x14ac:dyDescent="0.2">
      <c r="A6147" s="1135" t="str">
        <f>CONCATENATE(Programme!C6148,Programme!D6148,Programme!E6148,Programme!F6148,Programme!G6148,Programme!H6148,Programme!I6148)</f>
        <v>&lt;valeur&gt;&lt;/valeur&gt;</v>
      </c>
    </row>
    <row r="6148" spans="1:1" x14ac:dyDescent="0.2">
      <c r="A6148" s="1135" t="str">
        <f>CONCATENATE(Programme!C6149,Programme!D6149,Programme!E6149,Programme!F6149,Programme!G6149,Programme!H6149,Programme!I6149)</f>
        <v>&lt;numeroLigne&gt;5&lt;/numeroLigne&gt;</v>
      </c>
    </row>
    <row r="6149" spans="1:1" x14ac:dyDescent="0.2">
      <c r="A6149" s="1135" t="str">
        <f>CONCATENATE(Programme!C6150,Programme!D6150,Programme!E6150,Programme!F6150,Programme!G6150,Programme!H6150,Programme!I6150)</f>
        <v>&lt;/ValeurCellule&gt;</v>
      </c>
    </row>
    <row r="6150" spans="1:1" x14ac:dyDescent="0.2">
      <c r="A6150" s="1135" t="str">
        <f>CONCATENATE(Programme!C6151,Programme!D6151,Programme!E6151,Programme!F6151,Programme!G6151,Programme!H6151,Programme!I6151)</f>
        <v>&lt;ValeurCellule&gt;</v>
      </c>
    </row>
    <row r="6151" spans="1:1" x14ac:dyDescent="0.2">
      <c r="A6151" s="1135" t="str">
        <f>CONCATENATE(Programme!C6152,Programme!D6152,Programme!E6152,Programme!F6152,Programme!G6152,Programme!H6152,Programme!I6152)</f>
        <v>&lt;cellule&gt;&lt;codeEdi&gt;1106&lt;/codeEdi&gt;&lt;/cellule&gt;</v>
      </c>
    </row>
    <row r="6152" spans="1:1" x14ac:dyDescent="0.2">
      <c r="A6152" s="1135" t="str">
        <f>CONCATENATE(Programme!C6153,Programme!D6153,Programme!E6153,Programme!F6153,Programme!G6153,Programme!H6153,Programme!I6153)</f>
        <v>&lt;valeur&gt;&lt;/valeur&gt;</v>
      </c>
    </row>
    <row r="6153" spans="1:1" x14ac:dyDescent="0.2">
      <c r="A6153" s="1135" t="str">
        <f>CONCATENATE(Programme!C6154,Programme!D6154,Programme!E6154,Programme!F6154,Programme!G6154,Programme!H6154,Programme!I6154)</f>
        <v>&lt;numeroLigne&gt;5&lt;/numeroLigne&gt;</v>
      </c>
    </row>
    <row r="6154" spans="1:1" x14ac:dyDescent="0.2">
      <c r="A6154" s="1135" t="str">
        <f>CONCATENATE(Programme!C6155,Programme!D6155,Programme!E6155,Programme!F6155,Programme!G6155,Programme!H6155,Programme!I6155)</f>
        <v>&lt;/ValeurCellule&gt;</v>
      </c>
    </row>
    <row r="6155" spans="1:1" x14ac:dyDescent="0.2">
      <c r="A6155" s="1135" t="str">
        <f>CONCATENATE(Programme!C6156,Programme!D6156,Programme!E6156,Programme!F6156,Programme!G6156,Programme!H6156,Programme!I6156)</f>
        <v>&lt;ValeurCellule&gt;</v>
      </c>
    </row>
    <row r="6156" spans="1:1" x14ac:dyDescent="0.2">
      <c r="A6156" s="1135" t="str">
        <f>CONCATENATE(Programme!C6157,Programme!D6157,Programme!E6157,Programme!F6157,Programme!G6157,Programme!H6157,Programme!I6157)</f>
        <v>&lt;cellule&gt;&lt;codeEdi&gt;1107&lt;/codeEdi&gt;&lt;/cellule&gt;</v>
      </c>
    </row>
    <row r="6157" spans="1:1" x14ac:dyDescent="0.2">
      <c r="A6157" s="1135" t="str">
        <f>CONCATENATE(Programme!C6158,Programme!D6158,Programme!E6158,Programme!F6158,Programme!G6158,Programme!H6158,Programme!I6158)</f>
        <v>&lt;valeur&gt;&lt;/valeur&gt;</v>
      </c>
    </row>
    <row r="6158" spans="1:1" x14ac:dyDescent="0.2">
      <c r="A6158" s="1135" t="str">
        <f>CONCATENATE(Programme!C6159,Programme!D6159,Programme!E6159,Programme!F6159,Programme!G6159,Programme!H6159,Programme!I6159)</f>
        <v>&lt;numeroLigne&gt;5&lt;/numeroLigne&gt;</v>
      </c>
    </row>
    <row r="6159" spans="1:1" x14ac:dyDescent="0.2">
      <c r="A6159" s="1135" t="str">
        <f>CONCATENATE(Programme!C6160,Programme!D6160,Programme!E6160,Programme!F6160,Programme!G6160,Programme!H6160,Programme!I6160)</f>
        <v>&lt;/ValeurCellule&gt;</v>
      </c>
    </row>
    <row r="6160" spans="1:1" x14ac:dyDescent="0.2">
      <c r="A6160" s="1135" t="str">
        <f>CONCATENATE(Programme!C6161,Programme!D6161,Programme!E6161,Programme!F6161,Programme!G6161,Programme!H6161,Programme!I6161)</f>
        <v>&lt;ValeurCellule&gt;</v>
      </c>
    </row>
    <row r="6161" spans="1:1" x14ac:dyDescent="0.2">
      <c r="A6161" s="1135" t="str">
        <f>CONCATENATE(Programme!C6162,Programme!D6162,Programme!E6162,Programme!F6162,Programme!G6162,Programme!H6162,Programme!I6162)</f>
        <v>&lt;cellule&gt;&lt;codeEdi&gt;1108&lt;/codeEdi&gt;&lt;/cellule&gt;</v>
      </c>
    </row>
    <row r="6162" spans="1:1" x14ac:dyDescent="0.2">
      <c r="A6162" s="1135" t="str">
        <f>CONCATENATE(Programme!C6163,Programme!D6163,Programme!E6163,Programme!F6163,Programme!G6163,Programme!H6163,Programme!I6163)</f>
        <v>&lt;valeur&gt;&lt;/valeur&gt;</v>
      </c>
    </row>
    <row r="6163" spans="1:1" x14ac:dyDescent="0.2">
      <c r="A6163" s="1135" t="str">
        <f>CONCATENATE(Programme!C6164,Programme!D6164,Programme!E6164,Programme!F6164,Programme!G6164,Programme!H6164,Programme!I6164)</f>
        <v>&lt;numeroLigne&gt;5&lt;/numeroLigne&gt;</v>
      </c>
    </row>
    <row r="6164" spans="1:1" x14ac:dyDescent="0.2">
      <c r="A6164" s="1135" t="str">
        <f>CONCATENATE(Programme!C6165,Programme!D6165,Programme!E6165,Programme!F6165,Programme!G6165,Programme!H6165,Programme!I6165)</f>
        <v>&lt;/ValeurCellule&gt;</v>
      </c>
    </row>
    <row r="6165" spans="1:1" x14ac:dyDescent="0.2">
      <c r="A6165" s="1135" t="str">
        <f>CONCATENATE(Programme!C6166,Programme!D6166,Programme!E6166,Programme!F6166,Programme!G6166,Programme!H6166,Programme!I6166)</f>
        <v>&lt;ValeurCellule&gt;</v>
      </c>
    </row>
    <row r="6166" spans="1:1" x14ac:dyDescent="0.2">
      <c r="A6166" s="1135" t="str">
        <f>CONCATENATE(Programme!C6167,Programme!D6167,Programme!E6167,Programme!F6167,Programme!G6167,Programme!H6167,Programme!I6167)</f>
        <v>&lt;cellule&gt;&lt;codeEdi&gt;1098&lt;/codeEdi&gt;&lt;/cellule&gt;</v>
      </c>
    </row>
    <row r="6167" spans="1:1" x14ac:dyDescent="0.2">
      <c r="A6167" s="1135" t="str">
        <f>CONCATENATE(Programme!C6168,Programme!D6168,Programme!E6168,Programme!F6168,Programme!G6168,Programme!H6168,Programme!I6168)</f>
        <v>&lt;valeur&gt;&lt;/valeur&gt;</v>
      </c>
    </row>
    <row r="6168" spans="1:1" x14ac:dyDescent="0.2">
      <c r="A6168" s="1135" t="str">
        <f>CONCATENATE(Programme!C6169,Programme!D6169,Programme!E6169,Programme!F6169,Programme!G6169,Programme!H6169,Programme!I6169)</f>
        <v>&lt;numeroLigne&gt;6&lt;/numeroLigne&gt;</v>
      </c>
    </row>
    <row r="6169" spans="1:1" x14ac:dyDescent="0.2">
      <c r="A6169" s="1135" t="str">
        <f>CONCATENATE(Programme!C6170,Programme!D6170,Programme!E6170,Programme!F6170,Programme!G6170,Programme!H6170,Programme!I6170)</f>
        <v>&lt;/ValeurCellule&gt;</v>
      </c>
    </row>
    <row r="6170" spans="1:1" x14ac:dyDescent="0.2">
      <c r="A6170" s="1135" t="str">
        <f>CONCATENATE(Programme!C6171,Programme!D6171,Programme!E6171,Programme!F6171,Programme!G6171,Programme!H6171,Programme!I6171)</f>
        <v>&lt;ValeurCellule&gt;</v>
      </c>
    </row>
    <row r="6171" spans="1:1" x14ac:dyDescent="0.2">
      <c r="A6171" s="1135" t="str">
        <f>CONCATENATE(Programme!C6172,Programme!D6172,Programme!E6172,Programme!F6172,Programme!G6172,Programme!H6172,Programme!I6172)</f>
        <v>&lt;cellule&gt;&lt;codeEdi&gt;1099&lt;/codeEdi&gt;&lt;/cellule&gt;</v>
      </c>
    </row>
    <row r="6172" spans="1:1" x14ac:dyDescent="0.2">
      <c r="A6172" s="1135" t="str">
        <f>CONCATENATE(Programme!C6173,Programme!D6173,Programme!E6173,Programme!F6173,Programme!G6173,Programme!H6173,Programme!I6173)</f>
        <v>&lt;valeur&gt;&lt;/valeur&gt;</v>
      </c>
    </row>
    <row r="6173" spans="1:1" x14ac:dyDescent="0.2">
      <c r="A6173" s="1135" t="str">
        <f>CONCATENATE(Programme!C6174,Programme!D6174,Programme!E6174,Programme!F6174,Programme!G6174,Programme!H6174,Programme!I6174)</f>
        <v>&lt;numeroLigne&gt;6&lt;/numeroLigne&gt;</v>
      </c>
    </row>
    <row r="6174" spans="1:1" x14ac:dyDescent="0.2">
      <c r="A6174" s="1135" t="str">
        <f>CONCATENATE(Programme!C6175,Programme!D6175,Programme!E6175,Programme!F6175,Programme!G6175,Programme!H6175,Programme!I6175)</f>
        <v>&lt;/ValeurCellule&gt;</v>
      </c>
    </row>
    <row r="6175" spans="1:1" x14ac:dyDescent="0.2">
      <c r="A6175" s="1135" t="str">
        <f>CONCATENATE(Programme!C6176,Programme!D6176,Programme!E6176,Programme!F6176,Programme!G6176,Programme!H6176,Programme!I6176)</f>
        <v>&lt;ValeurCellule&gt;</v>
      </c>
    </row>
    <row r="6176" spans="1:1" x14ac:dyDescent="0.2">
      <c r="A6176" s="1135" t="str">
        <f>CONCATENATE(Programme!C6177,Programme!D6177,Programme!E6177,Programme!F6177,Programme!G6177,Programme!H6177,Programme!I6177)</f>
        <v>&lt;cellule&gt;&lt;codeEdi&gt;1100&lt;/codeEdi&gt;&lt;/cellule&gt;</v>
      </c>
    </row>
    <row r="6177" spans="1:1" x14ac:dyDescent="0.2">
      <c r="A6177" s="1135" t="str">
        <f>CONCATENATE(Programme!C6178,Programme!D6178,Programme!E6178,Programme!F6178,Programme!G6178,Programme!H6178,Programme!I6178)</f>
        <v>&lt;valeur&gt;&lt;/valeur&gt;</v>
      </c>
    </row>
    <row r="6178" spans="1:1" x14ac:dyDescent="0.2">
      <c r="A6178" s="1135" t="str">
        <f>CONCATENATE(Programme!C6179,Programme!D6179,Programme!E6179,Programme!F6179,Programme!G6179,Programme!H6179,Programme!I6179)</f>
        <v>&lt;numeroLigne&gt;6&lt;/numeroLigne&gt;</v>
      </c>
    </row>
    <row r="6179" spans="1:1" x14ac:dyDescent="0.2">
      <c r="A6179" s="1135" t="str">
        <f>CONCATENATE(Programme!C6180,Programme!D6180,Programme!E6180,Programme!F6180,Programme!G6180,Programme!H6180,Programme!I6180)</f>
        <v>&lt;/ValeurCellule&gt;</v>
      </c>
    </row>
    <row r="6180" spans="1:1" x14ac:dyDescent="0.2">
      <c r="A6180" s="1135" t="str">
        <f>CONCATENATE(Programme!C6181,Programme!D6181,Programme!E6181,Programme!F6181,Programme!G6181,Programme!H6181,Programme!I6181)</f>
        <v>&lt;ValeurCellule&gt;</v>
      </c>
    </row>
    <row r="6181" spans="1:1" x14ac:dyDescent="0.2">
      <c r="A6181" s="1135" t="str">
        <f>CONCATENATE(Programme!C6182,Programme!D6182,Programme!E6182,Programme!F6182,Programme!G6182,Programme!H6182,Programme!I6182)</f>
        <v>&lt;cellule&gt;&lt;codeEdi&gt;1101&lt;/codeEdi&gt;&lt;/cellule&gt;</v>
      </c>
    </row>
    <row r="6182" spans="1:1" x14ac:dyDescent="0.2">
      <c r="A6182" s="1135" t="str">
        <f>CONCATENATE(Programme!C6183,Programme!D6183,Programme!E6183,Programme!F6183,Programme!G6183,Programme!H6183,Programme!I6183)</f>
        <v>&lt;valeur&gt;&lt;/valeur&gt;</v>
      </c>
    </row>
    <row r="6183" spans="1:1" x14ac:dyDescent="0.2">
      <c r="A6183" s="1135" t="str">
        <f>CONCATENATE(Programme!C6184,Programme!D6184,Programme!E6184,Programme!F6184,Programme!G6184,Programme!H6184,Programme!I6184)</f>
        <v>&lt;numeroLigne&gt;6&lt;/numeroLigne&gt;</v>
      </c>
    </row>
    <row r="6184" spans="1:1" x14ac:dyDescent="0.2">
      <c r="A6184" s="1135" t="str">
        <f>CONCATENATE(Programme!C6185,Programme!D6185,Programme!E6185,Programme!F6185,Programme!G6185,Programme!H6185,Programme!I6185)</f>
        <v>&lt;/ValeurCellule&gt;</v>
      </c>
    </row>
    <row r="6185" spans="1:1" x14ac:dyDescent="0.2">
      <c r="A6185" s="1135" t="str">
        <f>CONCATENATE(Programme!C6186,Programme!D6186,Programme!E6186,Programme!F6186,Programme!G6186,Programme!H6186,Programme!I6186)</f>
        <v>&lt;ValeurCellule&gt;</v>
      </c>
    </row>
    <row r="6186" spans="1:1" x14ac:dyDescent="0.2">
      <c r="A6186" s="1135" t="str">
        <f>CONCATENATE(Programme!C6187,Programme!D6187,Programme!E6187,Programme!F6187,Programme!G6187,Programme!H6187,Programme!I6187)</f>
        <v>&lt;cellule&gt;&lt;codeEdi&gt;1102&lt;/codeEdi&gt;&lt;/cellule&gt;</v>
      </c>
    </row>
    <row r="6187" spans="1:1" x14ac:dyDescent="0.2">
      <c r="A6187" s="1135" t="str">
        <f>CONCATENATE(Programme!C6188,Programme!D6188,Programme!E6188,Programme!F6188,Programme!G6188,Programme!H6188,Programme!I6188)</f>
        <v>&lt;valeur&gt;&lt;/valeur&gt;</v>
      </c>
    </row>
    <row r="6188" spans="1:1" x14ac:dyDescent="0.2">
      <c r="A6188" s="1135" t="str">
        <f>CONCATENATE(Programme!C6189,Programme!D6189,Programme!E6189,Programme!F6189,Programme!G6189,Programme!H6189,Programme!I6189)</f>
        <v>&lt;numeroLigne&gt;6&lt;/numeroLigne&gt;</v>
      </c>
    </row>
    <row r="6189" spans="1:1" x14ac:dyDescent="0.2">
      <c r="A6189" s="1135" t="str">
        <f>CONCATENATE(Programme!C6190,Programme!D6190,Programme!E6190,Programme!F6190,Programme!G6190,Programme!H6190,Programme!I6190)</f>
        <v>&lt;/ValeurCellule&gt;</v>
      </c>
    </row>
    <row r="6190" spans="1:1" x14ac:dyDescent="0.2">
      <c r="A6190" s="1135" t="str">
        <f>CONCATENATE(Programme!C6191,Programme!D6191,Programme!E6191,Programme!F6191,Programme!G6191,Programme!H6191,Programme!I6191)</f>
        <v>&lt;ValeurCellule&gt;</v>
      </c>
    </row>
    <row r="6191" spans="1:1" x14ac:dyDescent="0.2">
      <c r="A6191" s="1135" t="str">
        <f>CONCATENATE(Programme!C6192,Programme!D6192,Programme!E6192,Programme!F6192,Programme!G6192,Programme!H6192,Programme!I6192)</f>
        <v>&lt;cellule&gt;&lt;codeEdi&gt;1103&lt;/codeEdi&gt;&lt;/cellule&gt;</v>
      </c>
    </row>
    <row r="6192" spans="1:1" x14ac:dyDescent="0.2">
      <c r="A6192" s="1135" t="str">
        <f>CONCATENATE(Programme!C6193,Programme!D6193,Programme!E6193,Programme!F6193,Programme!G6193,Programme!H6193,Programme!I6193)</f>
        <v>&lt;valeur&gt;&lt;/valeur&gt;</v>
      </c>
    </row>
    <row r="6193" spans="1:1" x14ac:dyDescent="0.2">
      <c r="A6193" s="1135" t="str">
        <f>CONCATENATE(Programme!C6194,Programme!D6194,Programme!E6194,Programme!F6194,Programme!G6194,Programme!H6194,Programme!I6194)</f>
        <v>&lt;numeroLigne&gt;6&lt;/numeroLigne&gt;</v>
      </c>
    </row>
    <row r="6194" spans="1:1" x14ac:dyDescent="0.2">
      <c r="A6194" s="1135" t="str">
        <f>CONCATENATE(Programme!C6195,Programme!D6195,Programme!E6195,Programme!F6195,Programme!G6195,Programme!H6195,Programme!I6195)</f>
        <v>&lt;/ValeurCellule&gt;</v>
      </c>
    </row>
    <row r="6195" spans="1:1" x14ac:dyDescent="0.2">
      <c r="A6195" s="1135" t="str">
        <f>CONCATENATE(Programme!C6196,Programme!D6196,Programme!E6196,Programme!F6196,Programme!G6196,Programme!H6196,Programme!I6196)</f>
        <v>&lt;ValeurCellule&gt;</v>
      </c>
    </row>
    <row r="6196" spans="1:1" x14ac:dyDescent="0.2">
      <c r="A6196" s="1135" t="str">
        <f>CONCATENATE(Programme!C6197,Programme!D6197,Programme!E6197,Programme!F6197,Programme!G6197,Programme!H6197,Programme!I6197)</f>
        <v>&lt;cellule&gt;&lt;codeEdi&gt;1104&lt;/codeEdi&gt;&lt;/cellule&gt;</v>
      </c>
    </row>
    <row r="6197" spans="1:1" x14ac:dyDescent="0.2">
      <c r="A6197" s="1135" t="str">
        <f>CONCATENATE(Programme!C6198,Programme!D6198,Programme!E6198,Programme!F6198,Programme!G6198,Programme!H6198,Programme!I6198)</f>
        <v>&lt;valeur&gt;&lt;/valeur&gt;</v>
      </c>
    </row>
    <row r="6198" spans="1:1" x14ac:dyDescent="0.2">
      <c r="A6198" s="1135" t="str">
        <f>CONCATENATE(Programme!C6199,Programme!D6199,Programme!E6199,Programme!F6199,Programme!G6199,Programme!H6199,Programme!I6199)</f>
        <v>&lt;numeroLigne&gt;6&lt;/numeroLigne&gt;</v>
      </c>
    </row>
    <row r="6199" spans="1:1" x14ac:dyDescent="0.2">
      <c r="A6199" s="1135" t="str">
        <f>CONCATENATE(Programme!C6200,Programme!D6200,Programme!E6200,Programme!F6200,Programme!G6200,Programme!H6200,Programme!I6200)</f>
        <v>&lt;/ValeurCellule&gt;</v>
      </c>
    </row>
    <row r="6200" spans="1:1" x14ac:dyDescent="0.2">
      <c r="A6200" s="1135" t="str">
        <f>CONCATENATE(Programme!C6201,Programme!D6201,Programme!E6201,Programme!F6201,Programme!G6201,Programme!H6201,Programme!I6201)</f>
        <v>&lt;ValeurCellule&gt;</v>
      </c>
    </row>
    <row r="6201" spans="1:1" x14ac:dyDescent="0.2">
      <c r="A6201" s="1135" t="str">
        <f>CONCATENATE(Programme!C6202,Programme!D6202,Programme!E6202,Programme!F6202,Programme!G6202,Programme!H6202,Programme!I6202)</f>
        <v>&lt;cellule&gt;&lt;codeEdi&gt;1105&lt;/codeEdi&gt;&lt;/cellule&gt;</v>
      </c>
    </row>
    <row r="6202" spans="1:1" x14ac:dyDescent="0.2">
      <c r="A6202" s="1135" t="str">
        <f>CONCATENATE(Programme!C6203,Programme!D6203,Programme!E6203,Programme!F6203,Programme!G6203,Programme!H6203,Programme!I6203)</f>
        <v>&lt;valeur&gt;&lt;/valeur&gt;</v>
      </c>
    </row>
    <row r="6203" spans="1:1" x14ac:dyDescent="0.2">
      <c r="A6203" s="1135" t="str">
        <f>CONCATENATE(Programme!C6204,Programme!D6204,Programme!E6204,Programme!F6204,Programme!G6204,Programme!H6204,Programme!I6204)</f>
        <v>&lt;numeroLigne&gt;6&lt;/numeroLigne&gt;</v>
      </c>
    </row>
    <row r="6204" spans="1:1" x14ac:dyDescent="0.2">
      <c r="A6204" s="1135" t="str">
        <f>CONCATENATE(Programme!C6205,Programme!D6205,Programme!E6205,Programme!F6205,Programme!G6205,Programme!H6205,Programme!I6205)</f>
        <v>&lt;/ValeurCellule&gt;</v>
      </c>
    </row>
    <row r="6205" spans="1:1" x14ac:dyDescent="0.2">
      <c r="A6205" s="1135" t="str">
        <f>CONCATENATE(Programme!C6206,Programme!D6206,Programme!E6206,Programme!F6206,Programme!G6206,Programme!H6206,Programme!I6206)</f>
        <v>&lt;ValeurCellule&gt;</v>
      </c>
    </row>
    <row r="6206" spans="1:1" x14ac:dyDescent="0.2">
      <c r="A6206" s="1135" t="str">
        <f>CONCATENATE(Programme!C6207,Programme!D6207,Programme!E6207,Programme!F6207,Programme!G6207,Programme!H6207,Programme!I6207)</f>
        <v>&lt;cellule&gt;&lt;codeEdi&gt;1106&lt;/codeEdi&gt;&lt;/cellule&gt;</v>
      </c>
    </row>
    <row r="6207" spans="1:1" x14ac:dyDescent="0.2">
      <c r="A6207" s="1135" t="str">
        <f>CONCATENATE(Programme!C6208,Programme!D6208,Programme!E6208,Programme!F6208,Programme!G6208,Programme!H6208,Programme!I6208)</f>
        <v>&lt;valeur&gt;&lt;/valeur&gt;</v>
      </c>
    </row>
    <row r="6208" spans="1:1" x14ac:dyDescent="0.2">
      <c r="A6208" s="1135" t="str">
        <f>CONCATENATE(Programme!C6209,Programme!D6209,Programme!E6209,Programme!F6209,Programme!G6209,Programme!H6209,Programme!I6209)</f>
        <v>&lt;numeroLigne&gt;6&lt;/numeroLigne&gt;</v>
      </c>
    </row>
    <row r="6209" spans="1:1" x14ac:dyDescent="0.2">
      <c r="A6209" s="1135" t="str">
        <f>CONCATENATE(Programme!C6210,Programme!D6210,Programme!E6210,Programme!F6210,Programme!G6210,Programme!H6210,Programme!I6210)</f>
        <v>&lt;/ValeurCellule&gt;</v>
      </c>
    </row>
    <row r="6210" spans="1:1" x14ac:dyDescent="0.2">
      <c r="A6210" s="1135" t="str">
        <f>CONCATENATE(Programme!C6211,Programme!D6211,Programme!E6211,Programme!F6211,Programme!G6211,Programme!H6211,Programme!I6211)</f>
        <v>&lt;ValeurCellule&gt;</v>
      </c>
    </row>
    <row r="6211" spans="1:1" x14ac:dyDescent="0.2">
      <c r="A6211" s="1135" t="str">
        <f>CONCATENATE(Programme!C6212,Programme!D6212,Programme!E6212,Programme!F6212,Programme!G6212,Programme!H6212,Programme!I6212)</f>
        <v>&lt;cellule&gt;&lt;codeEdi&gt;1107&lt;/codeEdi&gt;&lt;/cellule&gt;</v>
      </c>
    </row>
    <row r="6212" spans="1:1" x14ac:dyDescent="0.2">
      <c r="A6212" s="1135" t="str">
        <f>CONCATENATE(Programme!C6213,Programme!D6213,Programme!E6213,Programme!F6213,Programme!G6213,Programme!H6213,Programme!I6213)</f>
        <v>&lt;valeur&gt;&lt;/valeur&gt;</v>
      </c>
    </row>
    <row r="6213" spans="1:1" x14ac:dyDescent="0.2">
      <c r="A6213" s="1135" t="str">
        <f>CONCATENATE(Programme!C6214,Programme!D6214,Programme!E6214,Programme!F6214,Programme!G6214,Programme!H6214,Programme!I6214)</f>
        <v>&lt;numeroLigne&gt;6&lt;/numeroLigne&gt;</v>
      </c>
    </row>
    <row r="6214" spans="1:1" x14ac:dyDescent="0.2">
      <c r="A6214" s="1135" t="str">
        <f>CONCATENATE(Programme!C6215,Programme!D6215,Programme!E6215,Programme!F6215,Programme!G6215,Programme!H6215,Programme!I6215)</f>
        <v>&lt;/ValeurCellule&gt;</v>
      </c>
    </row>
    <row r="6215" spans="1:1" x14ac:dyDescent="0.2">
      <c r="A6215" s="1135" t="str">
        <f>CONCATENATE(Programme!C6216,Programme!D6216,Programme!E6216,Programme!F6216,Programme!G6216,Programme!H6216,Programme!I6216)</f>
        <v>&lt;ValeurCellule&gt;</v>
      </c>
    </row>
    <row r="6216" spans="1:1" x14ac:dyDescent="0.2">
      <c r="A6216" s="1135" t="str">
        <f>CONCATENATE(Programme!C6217,Programme!D6217,Programme!E6217,Programme!F6217,Programme!G6217,Programme!H6217,Programme!I6217)</f>
        <v>&lt;cellule&gt;&lt;codeEdi&gt;1108&lt;/codeEdi&gt;&lt;/cellule&gt;</v>
      </c>
    </row>
    <row r="6217" spans="1:1" x14ac:dyDescent="0.2">
      <c r="A6217" s="1135" t="str">
        <f>CONCATENATE(Programme!C6218,Programme!D6218,Programme!E6218,Programme!F6218,Programme!G6218,Programme!H6218,Programme!I6218)</f>
        <v>&lt;valeur&gt;&lt;/valeur&gt;</v>
      </c>
    </row>
    <row r="6218" spans="1:1" x14ac:dyDescent="0.2">
      <c r="A6218" s="1135" t="str">
        <f>CONCATENATE(Programme!C6219,Programme!D6219,Programme!E6219,Programme!F6219,Programme!G6219,Programme!H6219,Programme!I6219)</f>
        <v>&lt;numeroLigne&gt;6&lt;/numeroLigne&gt;</v>
      </c>
    </row>
    <row r="6219" spans="1:1" x14ac:dyDescent="0.2">
      <c r="A6219" s="1135" t="str">
        <f>CONCATENATE(Programme!C6220,Programme!D6220,Programme!E6220,Programme!F6220,Programme!G6220,Programme!H6220,Programme!I6220)</f>
        <v>&lt;/ValeurCellule&gt;</v>
      </c>
    </row>
    <row r="6220" spans="1:1" x14ac:dyDescent="0.2">
      <c r="A6220" s="1135" t="str">
        <f>CONCATENATE(Programme!C6221,Programme!D6221,Programme!E6221,Programme!F6221,Programme!G6221,Programme!H6221,Programme!I6221)</f>
        <v>&lt;/groupeValeurs&gt;</v>
      </c>
    </row>
    <row r="6221" spans="1:1" x14ac:dyDescent="0.2">
      <c r="A6221" s="1135" t="str">
        <f>CONCATENATE(Programme!C6222,Programme!D6222,Programme!E6222,Programme!F6222,Programme!G6222,Programme!H6222,Programme!I6222)</f>
        <v>&lt;extraFieldvaleurs&gt;</v>
      </c>
    </row>
    <row r="6222" spans="1:1" x14ac:dyDescent="0.2">
      <c r="A6222" s="1135" t="str">
        <f>CONCATENATE(Programme!C6223,Programme!D6223,Programme!E6223,Programme!F6223,Programme!G6223,Programme!H6223,Programme!I6223)</f>
        <v>&lt;ExtraFieldValeur&gt;</v>
      </c>
    </row>
    <row r="6223" spans="1:1" x14ac:dyDescent="0.2">
      <c r="A6223" s="1135" t="str">
        <f>CONCATENATE(Programme!C6224,Programme!D6224,Programme!E6224,Programme!F6224,Programme!G6224,Programme!H6224,Programme!I6224)</f>
        <v xml:space="preserve"> &lt;extraField&gt;</v>
      </c>
    </row>
    <row r="6224" spans="1:1" x14ac:dyDescent="0.2">
      <c r="A6224" s="1135" t="str">
        <f>CONCATENATE(Programme!C6225,Programme!D6225,Programme!E6225,Programme!F6225,Programme!G6225,Programme!H6225,Programme!I6225)</f>
        <v>&lt;code&gt;53&lt;/code&gt;</v>
      </c>
    </row>
    <row r="6225" spans="1:1" x14ac:dyDescent="0.2">
      <c r="A6225" s="1135" t="str">
        <f>CONCATENATE(Programme!C6226,Programme!D6226,Programme!E6226,Programme!F6226,Programme!G6226,Programme!H6226,Programme!I6226)</f>
        <v xml:space="preserve">&lt;/extraField&gt; </v>
      </c>
    </row>
    <row r="6226" spans="1:1" x14ac:dyDescent="0.2">
      <c r="A6226" s="1135" t="str">
        <f>CONCATENATE(Programme!C6227,Programme!D6227,Programme!E6227,Programme!F6227,Programme!G6227,Programme!H6227,Programme!I6227)</f>
        <v>&lt;valeur&gt;31/12/2022&lt;/valeur&gt;</v>
      </c>
    </row>
    <row r="6227" spans="1:1" x14ac:dyDescent="0.2">
      <c r="A6227" s="1135" t="str">
        <f>CONCATENATE(Programme!C6228,Programme!D6228,Programme!E6228,Programme!F6228,Programme!G6228,Programme!H6228,Programme!I6228)</f>
        <v>&lt;/ExtraFieldValeur&gt;</v>
      </c>
    </row>
    <row r="6228" spans="1:1" x14ac:dyDescent="0.2">
      <c r="A6228" s="1135" t="str">
        <f>CONCATENATE(Programme!C6229,Programme!D6229,Programme!E6229,Programme!F6229,Programme!G6229,Programme!H6229,Programme!I6229)</f>
        <v>&lt;/extraFieldvaleurs&gt;</v>
      </c>
    </row>
    <row r="6229" spans="1:1" x14ac:dyDescent="0.2">
      <c r="A6229" s="1135" t="str">
        <f>CONCATENATE(Programme!C6230,Programme!D6230,Programme!E6230,Programme!F6230,Programme!G6230,Programme!H6230,Programme!I6230)</f>
        <v>&lt;/ValeursTableau&gt;</v>
      </c>
    </row>
    <row r="6230" spans="1:1" x14ac:dyDescent="0.2">
      <c r="A6230" s="1135" t="str">
        <f>CONCATENATE(Programme!C6231,Programme!D6231,Programme!E6231,Programme!F6231,Programme!G6231,Programme!H6231,Programme!I6231)</f>
        <v>&lt;ValeursTableau&gt;</v>
      </c>
    </row>
    <row r="6231" spans="1:1" x14ac:dyDescent="0.2">
      <c r="A6231" s="1135" t="str">
        <f>CONCATENATE(Programme!C6232,Programme!D6232,Programme!E6232,Programme!F6232,Programme!G6232,Programme!H6232,Programme!I6232)</f>
        <v>&lt;tableau&gt;&lt;id&gt;24&lt;/id&gt;&lt;/tableau&gt;</v>
      </c>
    </row>
    <row r="6232" spans="1:1" x14ac:dyDescent="0.2">
      <c r="A6232" s="1135" t="str">
        <f>CONCATENATE(Programme!C6233,Programme!D6233,Programme!E6233,Programme!F6233,Programme!G6233,Programme!H6233,Programme!I6233)</f>
        <v>&lt;groupeValeurs&gt;</v>
      </c>
    </row>
    <row r="6233" spans="1:1" x14ac:dyDescent="0.2">
      <c r="A6233" s="1135" t="str">
        <f>CONCATENATE(Programme!C6234,Programme!D6234,Programme!E6234,Programme!F6234,Programme!G6234,Programme!H6234,Programme!I6234)</f>
        <v>&lt;ValeurCellule&gt;</v>
      </c>
    </row>
    <row r="6234" spans="1:1" x14ac:dyDescent="0.2">
      <c r="A6234" s="1135" t="str">
        <f>CONCATENATE(Programme!C6235,Programme!D6235,Programme!E6235,Programme!F6235,Programme!G6235,Programme!H6235,Programme!I6235)</f>
        <v>&lt;cellule&gt;</v>
      </c>
    </row>
    <row r="6235" spans="1:1" x14ac:dyDescent="0.2">
      <c r="A6235" s="1135" t="str">
        <f>CONCATENATE(Programme!C6236,Programme!D6236,Programme!E6236,Programme!F6236,Programme!G6236,Programme!H6236,Programme!I6236)</f>
        <v>&lt;codeEdi&gt;1231&lt;/codeEdi&gt;</v>
      </c>
    </row>
    <row r="6236" spans="1:1" x14ac:dyDescent="0.2">
      <c r="A6236" s="1135" t="str">
        <f>CONCATENATE(Programme!C6237,Programme!D6237,Programme!E6237,Programme!F6237,Programme!G6237,Programme!H6237,Programme!I6237)</f>
        <v>&lt;/cellule&gt;</v>
      </c>
    </row>
    <row r="6237" spans="1:1" x14ac:dyDescent="0.2">
      <c r="A6237" s="1135" t="str">
        <f>CONCATENATE(Programme!C6238,Programme!D6238,Programme!E6238,Programme!F6238,Programme!G6238,Programme!H6238,Programme!I6238)</f>
        <v>&lt;valeur&gt;694,37&lt;/valeur&gt;</v>
      </c>
    </row>
    <row r="6238" spans="1:1" x14ac:dyDescent="0.2">
      <c r="A6238" s="1135" t="str">
        <f>CONCATENATE(Programme!C6239,Programme!D6239,Programme!E6239,Programme!F6239,Programme!G6239,Programme!H6239,Programme!I6239)</f>
        <v>&lt;/ValeurCellule&gt;</v>
      </c>
    </row>
    <row r="6239" spans="1:1" x14ac:dyDescent="0.2">
      <c r="A6239" s="1135" t="str">
        <f>CONCATENATE(Programme!C6240,Programme!D6240,Programme!E6240,Programme!F6240,Programme!G6240,Programme!H6240,Programme!I6240)</f>
        <v>&lt;ValeurCellule&gt;</v>
      </c>
    </row>
    <row r="6240" spans="1:1" x14ac:dyDescent="0.2">
      <c r="A6240" s="1135" t="str">
        <f>CONCATENATE(Programme!C6241,Programme!D6241,Programme!E6241,Programme!F6241,Programme!G6241,Programme!H6241,Programme!I6241)</f>
        <v>&lt;cellule&gt;</v>
      </c>
    </row>
    <row r="6241" spans="1:1" x14ac:dyDescent="0.2">
      <c r="A6241" s="1135" t="str">
        <f>CONCATENATE(Programme!C6242,Programme!D6242,Programme!E6242,Programme!F6242,Programme!G6242,Programme!H6242,Programme!I6242)</f>
        <v>&lt;codeEdi&gt;1241&lt;/codeEdi&gt;</v>
      </c>
    </row>
    <row r="6242" spans="1:1" x14ac:dyDescent="0.2">
      <c r="A6242" s="1135" t="str">
        <f>CONCATENATE(Programme!C6243,Programme!D6243,Programme!E6243,Programme!F6243,Programme!G6243,Programme!H6243,Programme!I6243)</f>
        <v>&lt;/cellule&gt;</v>
      </c>
    </row>
    <row r="6243" spans="1:1" x14ac:dyDescent="0.2">
      <c r="A6243" s="1135" t="str">
        <f>CONCATENATE(Programme!C6244,Programme!D6244,Programme!E6244,Programme!F6244,Programme!G6244,Programme!H6244,Programme!I6244)</f>
        <v>&lt;valeur&gt;0&lt;/valeur&gt;</v>
      </c>
    </row>
    <row r="6244" spans="1:1" x14ac:dyDescent="0.2">
      <c r="A6244" s="1135" t="str">
        <f>CONCATENATE(Programme!C6245,Programme!D6245,Programme!E6245,Programme!F6245,Programme!G6245,Programme!H6245,Programme!I6245)</f>
        <v>&lt;/ValeurCellule&gt;</v>
      </c>
    </row>
    <row r="6245" spans="1:1" x14ac:dyDescent="0.2">
      <c r="A6245" s="1135" t="str">
        <f>CONCATENATE(Programme!C6246,Programme!D6246,Programme!E6246,Programme!F6246,Programme!G6246,Programme!H6246,Programme!I6246)</f>
        <v>&lt;ValeurCellule&gt;</v>
      </c>
    </row>
    <row r="6246" spans="1:1" x14ac:dyDescent="0.2">
      <c r="A6246" s="1135" t="str">
        <f>CONCATENATE(Programme!C6247,Programme!D6247,Programme!E6247,Programme!F6247,Programme!G6247,Programme!H6247,Programme!I6247)</f>
        <v>&lt;cellule&gt;</v>
      </c>
    </row>
    <row r="6247" spans="1:1" x14ac:dyDescent="0.2">
      <c r="A6247" s="1135" t="str">
        <f>CONCATENATE(Programme!C6248,Programme!D6248,Programme!E6248,Programme!F6248,Programme!G6248,Programme!H6248,Programme!I6248)</f>
        <v>&lt;codeEdi&gt;1246&lt;/codeEdi&gt;</v>
      </c>
    </row>
    <row r="6248" spans="1:1" x14ac:dyDescent="0.2">
      <c r="A6248" s="1135" t="str">
        <f>CONCATENATE(Programme!C6249,Programme!D6249,Programme!E6249,Programme!F6249,Programme!G6249,Programme!H6249,Programme!I6249)</f>
        <v>&lt;/cellule&gt;</v>
      </c>
    </row>
    <row r="6249" spans="1:1" x14ac:dyDescent="0.2">
      <c r="A6249" s="1135" t="str">
        <f>CONCATENATE(Programme!C6250,Programme!D6250,Programme!E6250,Programme!F6250,Programme!G6250,Programme!H6250,Programme!I6250)</f>
        <v>&lt;valeur&gt;0&lt;/valeur&gt;</v>
      </c>
    </row>
    <row r="6250" spans="1:1" x14ac:dyDescent="0.2">
      <c r="A6250" s="1135" t="str">
        <f>CONCATENATE(Programme!C6251,Programme!D6251,Programme!E6251,Programme!F6251,Programme!G6251,Programme!H6251,Programme!I6251)</f>
        <v>&lt;/ValeurCellule&gt;</v>
      </c>
    </row>
    <row r="6251" spans="1:1" x14ac:dyDescent="0.2">
      <c r="A6251" s="1135" t="str">
        <f>CONCATENATE(Programme!C6252,Programme!D6252,Programme!E6252,Programme!F6252,Programme!G6252,Programme!H6252,Programme!I6252)</f>
        <v>&lt;ValeurCellule&gt;</v>
      </c>
    </row>
    <row r="6252" spans="1:1" x14ac:dyDescent="0.2">
      <c r="A6252" s="1135" t="str">
        <f>CONCATENATE(Programme!C6253,Programme!D6253,Programme!E6253,Programme!F6253,Programme!G6253,Programme!H6253,Programme!I6253)</f>
        <v>&lt;cellule&gt;</v>
      </c>
    </row>
    <row r="6253" spans="1:1" x14ac:dyDescent="0.2">
      <c r="A6253" s="1135" t="str">
        <f>CONCATENATE(Programme!C6254,Programme!D6254,Programme!E6254,Programme!F6254,Programme!G6254,Programme!H6254,Programme!I6254)</f>
        <v>&lt;codeEdi&gt;1236&lt;/codeEdi&gt;</v>
      </c>
    </row>
    <row r="6254" spans="1:1" x14ac:dyDescent="0.2">
      <c r="A6254" s="1135" t="str">
        <f>CONCATENATE(Programme!C6255,Programme!D6255,Programme!E6255,Programme!F6255,Programme!G6255,Programme!H6255,Programme!I6255)</f>
        <v>&lt;/cellule&gt;</v>
      </c>
    </row>
    <row r="6255" spans="1:1" x14ac:dyDescent="0.2">
      <c r="A6255" s="1135" t="str">
        <f>CONCATENATE(Programme!C6256,Programme!D6256,Programme!E6256,Programme!F6256,Programme!G6256,Programme!H6256,Programme!I6256)</f>
        <v>&lt;valeur&gt;694,37&lt;/valeur&gt;</v>
      </c>
    </row>
    <row r="6256" spans="1:1" x14ac:dyDescent="0.2">
      <c r="A6256" s="1135" t="str">
        <f>CONCATENATE(Programme!C6257,Programme!D6257,Programme!E6257,Programme!F6257,Programme!G6257,Programme!H6257,Programme!I6257)</f>
        <v>&lt;/ValeurCellule&gt;</v>
      </c>
    </row>
    <row r="6257" spans="1:1" x14ac:dyDescent="0.2">
      <c r="A6257" s="1135" t="str">
        <f>CONCATENATE(Programme!C6258,Programme!D6258,Programme!E6258,Programme!F6258,Programme!G6258,Programme!H6258,Programme!I6258)</f>
        <v>&lt;ValeurCellule&gt;</v>
      </c>
    </row>
    <row r="6258" spans="1:1" x14ac:dyDescent="0.2">
      <c r="A6258" s="1135" t="str">
        <f>CONCATENATE(Programme!C6259,Programme!D6259,Programme!E6259,Programme!F6259,Programme!G6259,Programme!H6259,Programme!I6259)</f>
        <v>&lt;cellule&gt;</v>
      </c>
    </row>
    <row r="6259" spans="1:1" x14ac:dyDescent="0.2">
      <c r="A6259" s="1135" t="str">
        <f>CONCATENATE(Programme!C6260,Programme!D6260,Programme!E6260,Programme!F6260,Programme!G6260,Programme!H6260,Programme!I6260)</f>
        <v>&lt;codeEdi&gt;1232&lt;/codeEdi&gt;</v>
      </c>
    </row>
    <row r="6260" spans="1:1" x14ac:dyDescent="0.2">
      <c r="A6260" s="1135" t="str">
        <f>CONCATENATE(Programme!C6261,Programme!D6261,Programme!E6261,Programme!F6261,Programme!G6261,Programme!H6261,Programme!I6261)</f>
        <v>&lt;/cellule&gt;</v>
      </c>
    </row>
    <row r="6261" spans="1:1" x14ac:dyDescent="0.2">
      <c r="A6261" s="1135" t="str">
        <f>CONCATENATE(Programme!C6262,Programme!D6262,Programme!E6262,Programme!F6262,Programme!G6262,Programme!H6262,Programme!I6262)</f>
        <v>&lt;valeur&gt;1666,5&lt;/valeur&gt;</v>
      </c>
    </row>
    <row r="6262" spans="1:1" x14ac:dyDescent="0.2">
      <c r="A6262" s="1135" t="str">
        <f>CONCATENATE(Programme!C6263,Programme!D6263,Programme!E6263,Programme!F6263,Programme!G6263,Programme!H6263,Programme!I6263)</f>
        <v>&lt;/ValeurCellule&gt;</v>
      </c>
    </row>
    <row r="6263" spans="1:1" x14ac:dyDescent="0.2">
      <c r="A6263" s="1135" t="str">
        <f>CONCATENATE(Programme!C6264,Programme!D6264,Programme!E6264,Programme!F6264,Programme!G6264,Programme!H6264,Programme!I6264)</f>
        <v>&lt;ValeurCellule&gt;</v>
      </c>
    </row>
    <row r="6264" spans="1:1" x14ac:dyDescent="0.2">
      <c r="A6264" s="1135" t="str">
        <f>CONCATENATE(Programme!C6265,Programme!D6265,Programme!E6265,Programme!F6265,Programme!G6265,Programme!H6265,Programme!I6265)</f>
        <v>&lt;cellule&gt;</v>
      </c>
    </row>
    <row r="6265" spans="1:1" x14ac:dyDescent="0.2">
      <c r="A6265" s="1135" t="str">
        <f>CONCATENATE(Programme!C6266,Programme!D6266,Programme!E6266,Programme!F6266,Programme!G6266,Programme!H6266,Programme!I6266)</f>
        <v>&lt;codeEdi&gt;1242&lt;/codeEdi&gt;</v>
      </c>
    </row>
    <row r="6266" spans="1:1" x14ac:dyDescent="0.2">
      <c r="A6266" s="1135" t="str">
        <f>CONCATENATE(Programme!C6267,Programme!D6267,Programme!E6267,Programme!F6267,Programme!G6267,Programme!H6267,Programme!I6267)</f>
        <v>&lt;/cellule&gt;</v>
      </c>
    </row>
    <row r="6267" spans="1:1" x14ac:dyDescent="0.2">
      <c r="A6267" s="1135" t="str">
        <f>CONCATENATE(Programme!C6268,Programme!D6268,Programme!E6268,Programme!F6268,Programme!G6268,Programme!H6268,Programme!I6268)</f>
        <v>&lt;valeur&gt;0&lt;/valeur&gt;</v>
      </c>
    </row>
    <row r="6268" spans="1:1" x14ac:dyDescent="0.2">
      <c r="A6268" s="1135" t="str">
        <f>CONCATENATE(Programme!C6269,Programme!D6269,Programme!E6269,Programme!F6269,Programme!G6269,Programme!H6269,Programme!I6269)</f>
        <v>&lt;/ValeurCellule&gt;</v>
      </c>
    </row>
    <row r="6269" spans="1:1" x14ac:dyDescent="0.2">
      <c r="A6269" s="1135" t="str">
        <f>CONCATENATE(Programme!C6270,Programme!D6270,Programme!E6270,Programme!F6270,Programme!G6270,Programme!H6270,Programme!I6270)</f>
        <v>&lt;ValeurCellule&gt;</v>
      </c>
    </row>
    <row r="6270" spans="1:1" x14ac:dyDescent="0.2">
      <c r="A6270" s="1135" t="str">
        <f>CONCATENATE(Programme!C6271,Programme!D6271,Programme!E6271,Programme!F6271,Programme!G6271,Programme!H6271,Programme!I6271)</f>
        <v>&lt;cellule&gt;</v>
      </c>
    </row>
    <row r="6271" spans="1:1" x14ac:dyDescent="0.2">
      <c r="A6271" s="1135" t="str">
        <f>CONCATENATE(Programme!C6272,Programme!D6272,Programme!E6272,Programme!F6272,Programme!G6272,Programme!H6272,Programme!I6272)</f>
        <v>&lt;codeEdi&gt;1247&lt;/codeEdi&gt;</v>
      </c>
    </row>
    <row r="6272" spans="1:1" x14ac:dyDescent="0.2">
      <c r="A6272" s="1135" t="str">
        <f>CONCATENATE(Programme!C6273,Programme!D6273,Programme!E6273,Programme!F6273,Programme!G6273,Programme!H6273,Programme!I6273)</f>
        <v>&lt;/cellule&gt;</v>
      </c>
    </row>
    <row r="6273" spans="1:1" x14ac:dyDescent="0.2">
      <c r="A6273" s="1135" t="str">
        <f>CONCATENATE(Programme!C6274,Programme!D6274,Programme!E6274,Programme!F6274,Programme!G6274,Programme!H6274,Programme!I6274)</f>
        <v>&lt;valeur&gt;0&lt;/valeur&gt;</v>
      </c>
    </row>
    <row r="6274" spans="1:1" x14ac:dyDescent="0.2">
      <c r="A6274" s="1135" t="str">
        <f>CONCATENATE(Programme!C6275,Programme!D6275,Programme!E6275,Programme!F6275,Programme!G6275,Programme!H6275,Programme!I6275)</f>
        <v>&lt;/ValeurCellule&gt;</v>
      </c>
    </row>
    <row r="6275" spans="1:1" x14ac:dyDescent="0.2">
      <c r="A6275" s="1135" t="str">
        <f>CONCATENATE(Programme!C6276,Programme!D6276,Programme!E6276,Programme!F6276,Programme!G6276,Programme!H6276,Programme!I6276)</f>
        <v>&lt;ValeurCellule&gt;</v>
      </c>
    </row>
    <row r="6276" spans="1:1" x14ac:dyDescent="0.2">
      <c r="A6276" s="1135" t="str">
        <f>CONCATENATE(Programme!C6277,Programme!D6277,Programme!E6277,Programme!F6277,Programme!G6277,Programme!H6277,Programme!I6277)</f>
        <v>&lt;cellule&gt;</v>
      </c>
    </row>
    <row r="6277" spans="1:1" x14ac:dyDescent="0.2">
      <c r="A6277" s="1135" t="str">
        <f>CONCATENATE(Programme!C6278,Programme!D6278,Programme!E6278,Programme!F6278,Programme!G6278,Programme!H6278,Programme!I6278)</f>
        <v>&lt;codeEdi&gt;1237&lt;/codeEdi&gt;</v>
      </c>
    </row>
    <row r="6278" spans="1:1" x14ac:dyDescent="0.2">
      <c r="A6278" s="1135" t="str">
        <f>CONCATENATE(Programme!C6279,Programme!D6279,Programme!E6279,Programme!F6279,Programme!G6279,Programme!H6279,Programme!I6279)</f>
        <v>&lt;/cellule&gt;</v>
      </c>
    </row>
    <row r="6279" spans="1:1" x14ac:dyDescent="0.2">
      <c r="A6279" s="1135" t="str">
        <f>CONCATENATE(Programme!C6280,Programme!D6280,Programme!E6280,Programme!F6280,Programme!G6280,Programme!H6280,Programme!I6280)</f>
        <v>&lt;valeur&gt;1666,5&lt;/valeur&gt;</v>
      </c>
    </row>
    <row r="6280" spans="1:1" x14ac:dyDescent="0.2">
      <c r="A6280" s="1135" t="str">
        <f>CONCATENATE(Programme!C6281,Programme!D6281,Programme!E6281,Programme!F6281,Programme!G6281,Programme!H6281,Programme!I6281)</f>
        <v>&lt;/ValeurCellule&gt;</v>
      </c>
    </row>
    <row r="6281" spans="1:1" x14ac:dyDescent="0.2">
      <c r="A6281" s="1135" t="str">
        <f>CONCATENATE(Programme!C6282,Programme!D6282,Programme!E6282,Programme!F6282,Programme!G6282,Programme!H6282,Programme!I6282)</f>
        <v>&lt;ValeurCellule&gt;</v>
      </c>
    </row>
    <row r="6282" spans="1:1" x14ac:dyDescent="0.2">
      <c r="A6282" s="1135" t="str">
        <f>CONCATENATE(Programme!C6283,Programme!D6283,Programme!E6283,Programme!F6283,Programme!G6283,Programme!H6283,Programme!I6283)</f>
        <v>&lt;cellule&gt;</v>
      </c>
    </row>
    <row r="6283" spans="1:1" x14ac:dyDescent="0.2">
      <c r="A6283" s="1135" t="str">
        <f>CONCATENATE(Programme!C6284,Programme!D6284,Programme!E6284,Programme!F6284,Programme!G6284,Programme!H6284,Programme!I6284)</f>
        <v>&lt;codeEdi&gt;1233&lt;/codeEdi&gt;</v>
      </c>
    </row>
    <row r="6284" spans="1:1" x14ac:dyDescent="0.2">
      <c r="A6284" s="1135" t="str">
        <f>CONCATENATE(Programme!C6285,Programme!D6285,Programme!E6285,Programme!F6285,Programme!G6285,Programme!H6285,Programme!I6285)</f>
        <v>&lt;/cellule&gt;</v>
      </c>
    </row>
    <row r="6285" spans="1:1" x14ac:dyDescent="0.2">
      <c r="A6285" s="1135" t="str">
        <f>CONCATENATE(Programme!C6286,Programme!D6286,Programme!E6286,Programme!F6286,Programme!G6286,Programme!H6286,Programme!I6286)</f>
        <v>&lt;valeur&gt;0&lt;/valeur&gt;</v>
      </c>
    </row>
    <row r="6286" spans="1:1" x14ac:dyDescent="0.2">
      <c r="A6286" s="1135" t="str">
        <f>CONCATENATE(Programme!C6287,Programme!D6287,Programme!E6287,Programme!F6287,Programme!G6287,Programme!H6287,Programme!I6287)</f>
        <v>&lt;/ValeurCellule&gt;</v>
      </c>
    </row>
    <row r="6287" spans="1:1" x14ac:dyDescent="0.2">
      <c r="A6287" s="1135" t="str">
        <f>CONCATENATE(Programme!C6288,Programme!D6288,Programme!E6288,Programme!F6288,Programme!G6288,Programme!H6288,Programme!I6288)</f>
        <v>&lt;ValeurCellule&gt;</v>
      </c>
    </row>
    <row r="6288" spans="1:1" x14ac:dyDescent="0.2">
      <c r="A6288" s="1135" t="str">
        <f>CONCATENATE(Programme!C6289,Programme!D6289,Programme!E6289,Programme!F6289,Programme!G6289,Programme!H6289,Programme!I6289)</f>
        <v>&lt;cellule&gt;</v>
      </c>
    </row>
    <row r="6289" spans="1:1" x14ac:dyDescent="0.2">
      <c r="A6289" s="1135" t="str">
        <f>CONCATENATE(Programme!C6290,Programme!D6290,Programme!E6290,Programme!F6290,Programme!G6290,Programme!H6290,Programme!I6290)</f>
        <v>&lt;codeEdi&gt;1238&lt;/codeEdi&gt;</v>
      </c>
    </row>
    <row r="6290" spans="1:1" x14ac:dyDescent="0.2">
      <c r="A6290" s="1135" t="str">
        <f>CONCATENATE(Programme!C6291,Programme!D6291,Programme!E6291,Programme!F6291,Programme!G6291,Programme!H6291,Programme!I6291)</f>
        <v>&lt;/cellule&gt;</v>
      </c>
    </row>
    <row r="6291" spans="1:1" x14ac:dyDescent="0.2">
      <c r="A6291" s="1135" t="str">
        <f>CONCATENATE(Programme!C6292,Programme!D6292,Programme!E6292,Programme!F6292,Programme!G6292,Programme!H6292,Programme!I6292)</f>
        <v>&lt;valeur&gt;0&lt;/valeur&gt;</v>
      </c>
    </row>
    <row r="6292" spans="1:1" x14ac:dyDescent="0.2">
      <c r="A6292" s="1135" t="str">
        <f>CONCATENATE(Programme!C6293,Programme!D6293,Programme!E6293,Programme!F6293,Programme!G6293,Programme!H6293,Programme!I6293)</f>
        <v>&lt;/ValeurCellule&gt;</v>
      </c>
    </row>
    <row r="6293" spans="1:1" x14ac:dyDescent="0.2">
      <c r="A6293" s="1135" t="str">
        <f>CONCATENATE(Programme!C6294,Programme!D6294,Programme!E6294,Programme!F6294,Programme!G6294,Programme!H6294,Programme!I6294)</f>
        <v>&lt;ValeurCellule&gt;</v>
      </c>
    </row>
    <row r="6294" spans="1:1" x14ac:dyDescent="0.2">
      <c r="A6294" s="1135" t="str">
        <f>CONCATENATE(Programme!C6295,Programme!D6295,Programme!E6295,Programme!F6295,Programme!G6295,Programme!H6295,Programme!I6295)</f>
        <v>&lt;cellule&gt;</v>
      </c>
    </row>
    <row r="6295" spans="1:1" x14ac:dyDescent="0.2">
      <c r="A6295" s="1135" t="str">
        <f>CONCATENATE(Programme!C6296,Programme!D6296,Programme!E6296,Programme!F6296,Programme!G6296,Programme!H6296,Programme!I6296)</f>
        <v>&lt;codeEdi&gt;1243&lt;/codeEdi&gt;</v>
      </c>
    </row>
    <row r="6296" spans="1:1" x14ac:dyDescent="0.2">
      <c r="A6296" s="1135" t="str">
        <f>CONCATENATE(Programme!C6297,Programme!D6297,Programme!E6297,Programme!F6297,Programme!G6297,Programme!H6297,Programme!I6297)</f>
        <v>&lt;/cellule&gt;</v>
      </c>
    </row>
    <row r="6297" spans="1:1" x14ac:dyDescent="0.2">
      <c r="A6297" s="1135" t="str">
        <f>CONCATENATE(Programme!C6298,Programme!D6298,Programme!E6298,Programme!F6298,Programme!G6298,Programme!H6298,Programme!I6298)</f>
        <v>&lt;valeur&gt;0&lt;/valeur&gt;</v>
      </c>
    </row>
    <row r="6298" spans="1:1" x14ac:dyDescent="0.2">
      <c r="A6298" s="1135" t="str">
        <f>CONCATENATE(Programme!C6299,Programme!D6299,Programme!E6299,Programme!F6299,Programme!G6299,Programme!H6299,Programme!I6299)</f>
        <v>&lt;/ValeurCellule&gt;</v>
      </c>
    </row>
    <row r="6299" spans="1:1" x14ac:dyDescent="0.2">
      <c r="A6299" s="1135" t="str">
        <f>CONCATENATE(Programme!C6300,Programme!D6300,Programme!E6300,Programme!F6300,Programme!G6300,Programme!H6300,Programme!I6300)</f>
        <v>&lt;ValeurCellule&gt;</v>
      </c>
    </row>
    <row r="6300" spans="1:1" x14ac:dyDescent="0.2">
      <c r="A6300" s="1135" t="str">
        <f>CONCATENATE(Programme!C6301,Programme!D6301,Programme!E6301,Programme!F6301,Programme!G6301,Programme!H6301,Programme!I6301)</f>
        <v>&lt;cellule&gt;</v>
      </c>
    </row>
    <row r="6301" spans="1:1" x14ac:dyDescent="0.2">
      <c r="A6301" s="1135" t="str">
        <f>CONCATENATE(Programme!C6302,Programme!D6302,Programme!E6302,Programme!F6302,Programme!G6302,Programme!H6302,Programme!I6302)</f>
        <v>&lt;codeEdi&gt;1248&lt;/codeEdi&gt;</v>
      </c>
    </row>
    <row r="6302" spans="1:1" x14ac:dyDescent="0.2">
      <c r="A6302" s="1135" t="str">
        <f>CONCATENATE(Programme!C6303,Programme!D6303,Programme!E6303,Programme!F6303,Programme!G6303,Programme!H6303,Programme!I6303)</f>
        <v>&lt;/cellule&gt;</v>
      </c>
    </row>
    <row r="6303" spans="1:1" x14ac:dyDescent="0.2">
      <c r="A6303" s="1135" t="str">
        <f>CONCATENATE(Programme!C6304,Programme!D6304,Programme!E6304,Programme!F6304,Programme!G6304,Programme!H6304,Programme!I6304)</f>
        <v>&lt;valeur&gt;0&lt;/valeur&gt;</v>
      </c>
    </row>
    <row r="6304" spans="1:1" x14ac:dyDescent="0.2">
      <c r="A6304" s="1135" t="str">
        <f>CONCATENATE(Programme!C6305,Programme!D6305,Programme!E6305,Programme!F6305,Programme!G6305,Programme!H6305,Programme!I6305)</f>
        <v>&lt;/ValeurCellule&gt;</v>
      </c>
    </row>
    <row r="6305" spans="1:1" x14ac:dyDescent="0.2">
      <c r="A6305" s="1135" t="str">
        <f>CONCATENATE(Programme!C6306,Programme!D6306,Programme!E6306,Programme!F6306,Programme!G6306,Programme!H6306,Programme!I6306)</f>
        <v>&lt;ValeurCellule&gt;</v>
      </c>
    </row>
    <row r="6306" spans="1:1" x14ac:dyDescent="0.2">
      <c r="A6306" s="1135" t="str">
        <f>CONCATENATE(Programme!C6307,Programme!D6307,Programme!E6307,Programme!F6307,Programme!G6307,Programme!H6307,Programme!I6307)</f>
        <v>&lt;cellule&gt;</v>
      </c>
    </row>
    <row r="6307" spans="1:1" x14ac:dyDescent="0.2">
      <c r="A6307" s="1135" t="str">
        <f>CONCATENATE(Programme!C6308,Programme!D6308,Programme!E6308,Programme!F6308,Programme!G6308,Programme!H6308,Programme!I6308)</f>
        <v>&lt;codeEdi&gt;1234&lt;/codeEdi&gt;</v>
      </c>
    </row>
    <row r="6308" spans="1:1" x14ac:dyDescent="0.2">
      <c r="A6308" s="1135" t="str">
        <f>CONCATENATE(Programme!C6309,Programme!D6309,Programme!E6309,Programme!F6309,Programme!G6309,Programme!H6309,Programme!I6309)</f>
        <v>&lt;/cellule&gt;</v>
      </c>
    </row>
    <row r="6309" spans="1:1" x14ac:dyDescent="0.2">
      <c r="A6309" s="1135" t="str">
        <f>CONCATENATE(Programme!C6310,Programme!D6310,Programme!E6310,Programme!F6310,Programme!G6310,Programme!H6310,Programme!I6310)</f>
        <v>&lt;valeur&gt;2360,87&lt;/valeur&gt;</v>
      </c>
    </row>
    <row r="6310" spans="1:1" x14ac:dyDescent="0.2">
      <c r="A6310" s="1135" t="str">
        <f>CONCATENATE(Programme!C6311,Programme!D6311,Programme!E6311,Programme!F6311,Programme!G6311,Programme!H6311,Programme!I6311)</f>
        <v>&lt;/ValeurCellule&gt;</v>
      </c>
    </row>
    <row r="6311" spans="1:1" x14ac:dyDescent="0.2">
      <c r="A6311" s="1135" t="str">
        <f>CONCATENATE(Programme!C6312,Programme!D6312,Programme!E6312,Programme!F6312,Programme!G6312,Programme!H6312,Programme!I6312)</f>
        <v>&lt;ValeurCellule&gt;</v>
      </c>
    </row>
    <row r="6312" spans="1:1" x14ac:dyDescent="0.2">
      <c r="A6312" s="1135" t="str">
        <f>CONCATENATE(Programme!C6313,Programme!D6313,Programme!E6313,Programme!F6313,Programme!G6313,Programme!H6313,Programme!I6313)</f>
        <v>&lt;cellule&gt;</v>
      </c>
    </row>
    <row r="6313" spans="1:1" x14ac:dyDescent="0.2">
      <c r="A6313" s="1135" t="str">
        <f>CONCATENATE(Programme!C6314,Programme!D6314,Programme!E6314,Programme!F6314,Programme!G6314,Programme!H6314,Programme!I6314)</f>
        <v>&lt;codeEdi&gt;1239&lt;/codeEdi&gt;</v>
      </c>
    </row>
    <row r="6314" spans="1:1" x14ac:dyDescent="0.2">
      <c r="A6314" s="1135" t="str">
        <f>CONCATENATE(Programme!C6315,Programme!D6315,Programme!E6315,Programme!F6315,Programme!G6315,Programme!H6315,Programme!I6315)</f>
        <v>&lt;/cellule&gt;</v>
      </c>
    </row>
    <row r="6315" spans="1:1" x14ac:dyDescent="0.2">
      <c r="A6315" s="1135" t="str">
        <f>CONCATENATE(Programme!C6316,Programme!D6316,Programme!E6316,Programme!F6316,Programme!G6316,Programme!H6316,Programme!I6316)</f>
        <v>&lt;valeur&gt;2360,87&lt;/valeur&gt;</v>
      </c>
    </row>
    <row r="6316" spans="1:1" x14ac:dyDescent="0.2">
      <c r="A6316" s="1135" t="str">
        <f>CONCATENATE(Programme!C6317,Programme!D6317,Programme!E6317,Programme!F6317,Programme!G6317,Programme!H6317,Programme!I6317)</f>
        <v>&lt;/ValeurCellule&gt;</v>
      </c>
    </row>
    <row r="6317" spans="1:1" x14ac:dyDescent="0.2">
      <c r="A6317" s="1135" t="str">
        <f>CONCATENATE(Programme!C6318,Programme!D6318,Programme!E6318,Programme!F6318,Programme!G6318,Programme!H6318,Programme!I6318)</f>
        <v>&lt;ValeurCellule&gt;</v>
      </c>
    </row>
    <row r="6318" spans="1:1" x14ac:dyDescent="0.2">
      <c r="A6318" s="1135" t="str">
        <f>CONCATENATE(Programme!C6319,Programme!D6319,Programme!E6319,Programme!F6319,Programme!G6319,Programme!H6319,Programme!I6319)</f>
        <v>&lt;cellule&gt;</v>
      </c>
    </row>
    <row r="6319" spans="1:1" x14ac:dyDescent="0.2">
      <c r="A6319" s="1135" t="str">
        <f>CONCATENATE(Programme!C6320,Programme!D6320,Programme!E6320,Programme!F6320,Programme!G6320,Programme!H6320,Programme!I6320)</f>
        <v>&lt;codeEdi&gt;1244&lt;/codeEdi&gt;</v>
      </c>
    </row>
    <row r="6320" spans="1:1" x14ac:dyDescent="0.2">
      <c r="A6320" s="1135" t="str">
        <f>CONCATENATE(Programme!C6321,Programme!D6321,Programme!E6321,Programme!F6321,Programme!G6321,Programme!H6321,Programme!I6321)</f>
        <v>&lt;/cellule&gt;</v>
      </c>
    </row>
    <row r="6321" spans="1:1" x14ac:dyDescent="0.2">
      <c r="A6321" s="1135" t="str">
        <f>CONCATENATE(Programme!C6322,Programme!D6322,Programme!E6322,Programme!F6322,Programme!G6322,Programme!H6322,Programme!I6322)</f>
        <v>&lt;valeur&gt;0&lt;/valeur&gt;</v>
      </c>
    </row>
    <row r="6322" spans="1:1" x14ac:dyDescent="0.2">
      <c r="A6322" s="1135" t="str">
        <f>CONCATENATE(Programme!C6323,Programme!D6323,Programme!E6323,Programme!F6323,Programme!G6323,Programme!H6323,Programme!I6323)</f>
        <v>&lt;/ValeurCellule&gt;</v>
      </c>
    </row>
    <row r="6323" spans="1:1" x14ac:dyDescent="0.2">
      <c r="A6323" s="1135" t="str">
        <f>CONCATENATE(Programme!C6324,Programme!D6324,Programme!E6324,Programme!F6324,Programme!G6324,Programme!H6324,Programme!I6324)</f>
        <v>&lt;ValeurCellule&gt;</v>
      </c>
    </row>
    <row r="6324" spans="1:1" x14ac:dyDescent="0.2">
      <c r="A6324" s="1135" t="str">
        <f>CONCATENATE(Programme!C6325,Programme!D6325,Programme!E6325,Programme!F6325,Programme!G6325,Programme!H6325,Programme!I6325)</f>
        <v>&lt;cellule&gt;</v>
      </c>
    </row>
    <row r="6325" spans="1:1" x14ac:dyDescent="0.2">
      <c r="A6325" s="1135" t="str">
        <f>CONCATENATE(Programme!C6326,Programme!D6326,Programme!E6326,Programme!F6326,Programme!G6326,Programme!H6326,Programme!I6326)</f>
        <v>&lt;codeEdi&gt;1249&lt;/codeEdi&gt;</v>
      </c>
    </row>
    <row r="6326" spans="1:1" x14ac:dyDescent="0.2">
      <c r="A6326" s="1135" t="str">
        <f>CONCATENATE(Programme!C6327,Programme!D6327,Programme!E6327,Programme!F6327,Programme!G6327,Programme!H6327,Programme!I6327)</f>
        <v>&lt;/cellule&gt;</v>
      </c>
    </row>
    <row r="6327" spans="1:1" x14ac:dyDescent="0.2">
      <c r="A6327" s="1135" t="str">
        <f>CONCATENATE(Programme!C6328,Programme!D6328,Programme!E6328,Programme!F6328,Programme!G6328,Programme!H6328,Programme!I6328)</f>
        <v>&lt;valeur&gt;0&lt;/valeur&gt;</v>
      </c>
    </row>
    <row r="6328" spans="1:1" x14ac:dyDescent="0.2">
      <c r="A6328" s="1135" t="str">
        <f>CONCATENATE(Programme!C6329,Programme!D6329,Programme!E6329,Programme!F6329,Programme!G6329,Programme!H6329,Programme!I6329)</f>
        <v>&lt;/ValeurCellule&gt;</v>
      </c>
    </row>
    <row r="6329" spans="1:1" x14ac:dyDescent="0.2">
      <c r="A6329" s="1135" t="str">
        <f>CONCATENATE(Programme!C6330,Programme!D6330,Programme!E6330,Programme!F6330,Programme!G6330,Programme!H6330,Programme!I6330)</f>
        <v>&lt;ValeurCellule&gt;</v>
      </c>
    </row>
    <row r="6330" spans="1:1" x14ac:dyDescent="0.2">
      <c r="A6330" s="1135" t="str">
        <f>CONCATENATE(Programme!C6331,Programme!D6331,Programme!E6331,Programme!F6331,Programme!G6331,Programme!H6331,Programme!I6331)</f>
        <v>&lt;cellule&gt;&lt;codeEdi&gt;12122&lt;/codeEdi&gt;&lt;/cellule&gt;</v>
      </c>
    </row>
    <row r="6331" spans="1:1" x14ac:dyDescent="0.2">
      <c r="A6331" s="1135" t="str">
        <f>CONCATENATE(Programme!C6332,Programme!D6332,Programme!E6332,Programme!F6332,Programme!G6332,Programme!H6332,Programme!I6332)</f>
        <v>&lt;valeur&gt;&lt;/valeur&gt;</v>
      </c>
    </row>
    <row r="6332" spans="1:1" x14ac:dyDescent="0.2">
      <c r="A6332" s="1135" t="str">
        <f>CONCATENATE(Programme!C6333,Programme!D6333,Programme!E6333,Programme!F6333,Programme!G6333,Programme!H6333,Programme!I6333)</f>
        <v>&lt;numeroLigne&gt;1&lt;/numeroLigne&gt;</v>
      </c>
    </row>
    <row r="6333" spans="1:1" x14ac:dyDescent="0.2">
      <c r="A6333" s="1135" t="str">
        <f>CONCATENATE(Programme!C6334,Programme!D6334,Programme!E6334,Programme!F6334,Programme!G6334,Programme!H6334,Programme!I6334)</f>
        <v>&lt;/ValeurCellule&gt;</v>
      </c>
    </row>
    <row r="6334" spans="1:1" x14ac:dyDescent="0.2">
      <c r="A6334" s="1135" t="str">
        <f>CONCATENATE(Programme!C6335,Programme!D6335,Programme!E6335,Programme!F6335,Programme!G6335,Programme!H6335,Programme!I6335)</f>
        <v>&lt;ValeurCellule&gt;</v>
      </c>
    </row>
    <row r="6335" spans="1:1" x14ac:dyDescent="0.2">
      <c r="A6335" s="1135" t="str">
        <f>CONCATENATE(Programme!C6336,Programme!D6336,Programme!E6336,Programme!F6336,Programme!G6336,Programme!H6336,Programme!I6336)</f>
        <v>&lt;cellule&gt;&lt;codeEdi&gt;12123&lt;/codeEdi&gt;&lt;/cellule&gt;</v>
      </c>
    </row>
    <row r="6336" spans="1:1" x14ac:dyDescent="0.2">
      <c r="A6336" s="1135" t="str">
        <f>CONCATENATE(Programme!C6337,Programme!D6337,Programme!E6337,Programme!F6337,Programme!G6337,Programme!H6337,Programme!I6337)</f>
        <v>&lt;valeur&gt;&lt;/valeur&gt;</v>
      </c>
    </row>
    <row r="6337" spans="1:1" x14ac:dyDescent="0.2">
      <c r="A6337" s="1135" t="str">
        <f>CONCATENATE(Programme!C6338,Programme!D6338,Programme!E6338,Programme!F6338,Programme!G6338,Programme!H6338,Programme!I6338)</f>
        <v>&lt;numeroLigne&gt;1&lt;/numeroLigne&gt;</v>
      </c>
    </row>
    <row r="6338" spans="1:1" x14ac:dyDescent="0.2">
      <c r="A6338" s="1135" t="str">
        <f>CONCATENATE(Programme!C6339,Programme!D6339,Programme!E6339,Programme!F6339,Programme!G6339,Programme!H6339,Programme!I6339)</f>
        <v>&lt;/ValeurCellule&gt;</v>
      </c>
    </row>
    <row r="6339" spans="1:1" x14ac:dyDescent="0.2">
      <c r="A6339" s="1135" t="str">
        <f>CONCATENATE(Programme!C6340,Programme!D6340,Programme!E6340,Programme!F6340,Programme!G6340,Programme!H6340,Programme!I6340)</f>
        <v>&lt;ValeurCellule&gt;</v>
      </c>
    </row>
    <row r="6340" spans="1:1" x14ac:dyDescent="0.2">
      <c r="A6340" s="1135" t="str">
        <f>CONCATENATE(Programme!C6341,Programme!D6341,Programme!E6341,Programme!F6341,Programme!G6341,Programme!H6341,Programme!I6341)</f>
        <v>&lt;cellule&gt;&lt;codeEdi&gt;12124&lt;/codeEdi&gt;&lt;/cellule&gt;</v>
      </c>
    </row>
    <row r="6341" spans="1:1" x14ac:dyDescent="0.2">
      <c r="A6341" s="1135" t="str">
        <f>CONCATENATE(Programme!C6342,Programme!D6342,Programme!E6342,Programme!F6342,Programme!G6342,Programme!H6342,Programme!I6342)</f>
        <v>&lt;valeur&gt;&lt;/valeur&gt;</v>
      </c>
    </row>
    <row r="6342" spans="1:1" x14ac:dyDescent="0.2">
      <c r="A6342" s="1135" t="str">
        <f>CONCATENATE(Programme!C6343,Programme!D6343,Programme!E6343,Programme!F6343,Programme!G6343,Programme!H6343,Programme!I6343)</f>
        <v>&lt;numeroLigne&gt;1&lt;/numeroLigne&gt;</v>
      </c>
    </row>
    <row r="6343" spans="1:1" x14ac:dyDescent="0.2">
      <c r="A6343" s="1135" t="str">
        <f>CONCATENATE(Programme!C6344,Programme!D6344,Programme!E6344,Programme!F6344,Programme!G6344,Programme!H6344,Programme!I6344)</f>
        <v>&lt;/ValeurCellule&gt;</v>
      </c>
    </row>
    <row r="6344" spans="1:1" x14ac:dyDescent="0.2">
      <c r="A6344" s="1135" t="str">
        <f>CONCATENATE(Programme!C6345,Programme!D6345,Programme!E6345,Programme!F6345,Programme!G6345,Programme!H6345,Programme!I6345)</f>
        <v>&lt;ValeurCellule&gt;</v>
      </c>
    </row>
    <row r="6345" spans="1:1" x14ac:dyDescent="0.2">
      <c r="A6345" s="1135" t="str">
        <f>CONCATENATE(Programme!C6346,Programme!D6346,Programme!E6346,Programme!F6346,Programme!G6346,Programme!H6346,Programme!I6346)</f>
        <v>&lt;cellule&gt;&lt;codeEdi&gt;12125&lt;/codeEdi&gt;&lt;/cellule&gt;</v>
      </c>
    </row>
    <row r="6346" spans="1:1" x14ac:dyDescent="0.2">
      <c r="A6346" s="1135" t="str">
        <f>CONCATENATE(Programme!C6347,Programme!D6347,Programme!E6347,Programme!F6347,Programme!G6347,Programme!H6347,Programme!I6347)</f>
        <v>&lt;valeur&gt;0&lt;/valeur&gt;</v>
      </c>
    </row>
    <row r="6347" spans="1:1" x14ac:dyDescent="0.2">
      <c r="A6347" s="1135" t="str">
        <f>CONCATENATE(Programme!C6348,Programme!D6348,Programme!E6348,Programme!F6348,Programme!G6348,Programme!H6348,Programme!I6348)</f>
        <v>&lt;numeroLigne&gt;1&lt;/numeroLigne&gt;</v>
      </c>
    </row>
    <row r="6348" spans="1:1" x14ac:dyDescent="0.2">
      <c r="A6348" s="1135" t="str">
        <f>CONCATENATE(Programme!C6349,Programme!D6349,Programme!E6349,Programme!F6349,Programme!G6349,Programme!H6349,Programme!I6349)</f>
        <v>&lt;/ValeurCellule&gt;</v>
      </c>
    </row>
    <row r="6349" spans="1:1" x14ac:dyDescent="0.2">
      <c r="A6349" s="1135" t="str">
        <f>CONCATENATE(Programme!C6350,Programme!D6350,Programme!E6350,Programme!F6350,Programme!G6350,Programme!H6350,Programme!I6350)</f>
        <v>&lt;ValeurCellule&gt;</v>
      </c>
    </row>
    <row r="6350" spans="1:1" x14ac:dyDescent="0.2">
      <c r="A6350" s="1135" t="str">
        <f>CONCATENATE(Programme!C6351,Programme!D6351,Programme!E6351,Programme!F6351,Programme!G6351,Programme!H6351,Programme!I6351)</f>
        <v>&lt;cellule&gt;</v>
      </c>
    </row>
    <row r="6351" spans="1:1" x14ac:dyDescent="0.2">
      <c r="A6351" s="1135" t="str">
        <f>CONCATENATE(Programme!C6352,Programme!D6352,Programme!E6352,Programme!F6352,Programme!G6352,Programme!H6352,Programme!I6352)</f>
        <v>&lt;codeEdi&gt;1624&lt;/codeEdi&gt;</v>
      </c>
    </row>
    <row r="6352" spans="1:1" x14ac:dyDescent="0.2">
      <c r="A6352" s="1135" t="str">
        <f>CONCATENATE(Programme!C6353,Programme!D6353,Programme!E6353,Programme!F6353,Programme!G6353,Programme!H6353,Programme!I6353)</f>
        <v>&lt;/cellule&gt;</v>
      </c>
    </row>
    <row r="6353" spans="1:1" x14ac:dyDescent="0.2">
      <c r="A6353" s="1135" t="str">
        <f>CONCATENATE(Programme!C6354,Programme!D6354,Programme!E6354,Programme!F6354,Programme!G6354,Programme!H6354,Programme!I6354)</f>
        <v>&lt;valeur&gt;0&lt;/valeur&gt;</v>
      </c>
    </row>
    <row r="6354" spans="1:1" x14ac:dyDescent="0.2">
      <c r="A6354" s="1135" t="str">
        <f>CONCATENATE(Programme!C6355,Programme!D6355,Programme!E6355,Programme!F6355,Programme!G6355,Programme!H6355,Programme!I6355)</f>
        <v>&lt;/ValeurCellule&gt;</v>
      </c>
    </row>
    <row r="6355" spans="1:1" x14ac:dyDescent="0.2">
      <c r="A6355" s="1135" t="str">
        <f>CONCATENATE(Programme!C6356,Programme!D6356,Programme!E6356,Programme!F6356,Programme!G6356,Programme!H6356,Programme!I6356)</f>
        <v>&lt;ValeurCellule&gt;</v>
      </c>
    </row>
    <row r="6356" spans="1:1" x14ac:dyDescent="0.2">
      <c r="A6356" s="1135" t="str">
        <f>CONCATENATE(Programme!C6357,Programme!D6357,Programme!E6357,Programme!F6357,Programme!G6357,Programme!H6357,Programme!I6357)</f>
        <v>&lt;cellule&gt;</v>
      </c>
    </row>
    <row r="6357" spans="1:1" x14ac:dyDescent="0.2">
      <c r="A6357" s="1135" t="str">
        <f>CONCATENATE(Programme!C6358,Programme!D6358,Programme!E6358,Programme!F6358,Programme!G6358,Programme!H6358,Programme!I6358)</f>
        <v>&lt;codeEdi&gt;1625&lt;/codeEdi&gt;</v>
      </c>
    </row>
    <row r="6358" spans="1:1" x14ac:dyDescent="0.2">
      <c r="A6358" s="1135" t="str">
        <f>CONCATENATE(Programme!C6359,Programme!D6359,Programme!E6359,Programme!F6359,Programme!G6359,Programme!H6359,Programme!I6359)</f>
        <v>&lt;/cellule&gt;</v>
      </c>
    </row>
    <row r="6359" spans="1:1" x14ac:dyDescent="0.2">
      <c r="A6359" s="1135" t="str">
        <f>CONCATENATE(Programme!C6360,Programme!D6360,Programme!E6360,Programme!F6360,Programme!G6360,Programme!H6360,Programme!I6360)</f>
        <v>&lt;valeur&gt;0&lt;/valeur&gt;</v>
      </c>
    </row>
    <row r="6360" spans="1:1" x14ac:dyDescent="0.2">
      <c r="A6360" s="1135" t="str">
        <f>CONCATENATE(Programme!C6361,Programme!D6361,Programme!E6361,Programme!F6361,Programme!G6361,Programme!H6361,Programme!I6361)</f>
        <v>&lt;/ValeurCellule&gt;</v>
      </c>
    </row>
    <row r="6361" spans="1:1" x14ac:dyDescent="0.2">
      <c r="A6361" s="1135" t="str">
        <f>CONCATENATE(Programme!C6362,Programme!D6362,Programme!E6362,Programme!F6362,Programme!G6362,Programme!H6362,Programme!I6362)</f>
        <v>&lt;ValeurCellule&gt;</v>
      </c>
    </row>
    <row r="6362" spans="1:1" x14ac:dyDescent="0.2">
      <c r="A6362" s="1135" t="str">
        <f>CONCATENATE(Programme!C6363,Programme!D6363,Programme!E6363,Programme!F6363,Programme!G6363,Programme!H6363,Programme!I6363)</f>
        <v>&lt;cellule&gt;</v>
      </c>
    </row>
    <row r="6363" spans="1:1" x14ac:dyDescent="0.2">
      <c r="A6363" s="1135" t="str">
        <f>CONCATENATE(Programme!C6364,Programme!D6364,Programme!E6364,Programme!F6364,Programme!G6364,Programme!H6364,Programme!I6364)</f>
        <v>&lt;codeEdi&gt;1626&lt;/codeEdi&gt;</v>
      </c>
    </row>
    <row r="6364" spans="1:1" x14ac:dyDescent="0.2">
      <c r="A6364" s="1135" t="str">
        <f>CONCATENATE(Programme!C6365,Programme!D6365,Programme!E6365,Programme!F6365,Programme!G6365,Programme!H6365,Programme!I6365)</f>
        <v>&lt;/cellule&gt;</v>
      </c>
    </row>
    <row r="6365" spans="1:1" x14ac:dyDescent="0.2">
      <c r="A6365" s="1135" t="str">
        <f>CONCATENATE(Programme!C6366,Programme!D6366,Programme!E6366,Programme!F6366,Programme!G6366,Programme!H6366,Programme!I6366)</f>
        <v>&lt;valeur&gt;0&lt;/valeur&gt;</v>
      </c>
    </row>
    <row r="6366" spans="1:1" x14ac:dyDescent="0.2">
      <c r="A6366" s="1135" t="str">
        <f>CONCATENATE(Programme!C6367,Programme!D6367,Programme!E6367,Programme!F6367,Programme!G6367,Programme!H6367,Programme!I6367)</f>
        <v>&lt;/ValeurCellule&gt;</v>
      </c>
    </row>
    <row r="6367" spans="1:1" x14ac:dyDescent="0.2">
      <c r="A6367" s="1135" t="str">
        <f>CONCATENATE(Programme!C6368,Programme!D6368,Programme!E6368,Programme!F6368,Programme!G6368,Programme!H6368,Programme!I6368)</f>
        <v>&lt;ValeurCellule&gt;</v>
      </c>
    </row>
    <row r="6368" spans="1:1" x14ac:dyDescent="0.2">
      <c r="A6368" s="1135" t="str">
        <f>CONCATENATE(Programme!C6369,Programme!D6369,Programme!E6369,Programme!F6369,Programme!G6369,Programme!H6369,Programme!I6369)</f>
        <v>&lt;cellule&gt;</v>
      </c>
    </row>
    <row r="6369" spans="1:1" x14ac:dyDescent="0.2">
      <c r="A6369" s="1135" t="str">
        <f>CONCATENATE(Programme!C6370,Programme!D6370,Programme!E6370,Programme!F6370,Programme!G6370,Programme!H6370,Programme!I6370)</f>
        <v>&lt;codeEdi&gt;1627&lt;/codeEdi&gt;</v>
      </c>
    </row>
    <row r="6370" spans="1:1" x14ac:dyDescent="0.2">
      <c r="A6370" s="1135" t="str">
        <f>CONCATENATE(Programme!C6371,Programme!D6371,Programme!E6371,Programme!F6371,Programme!G6371,Programme!H6371,Programme!I6371)</f>
        <v>&lt;/cellule&gt;</v>
      </c>
    </row>
    <row r="6371" spans="1:1" x14ac:dyDescent="0.2">
      <c r="A6371" s="1135" t="str">
        <f>CONCATENATE(Programme!C6372,Programme!D6372,Programme!E6372,Programme!F6372,Programme!G6372,Programme!H6372,Programme!I6372)</f>
        <v>&lt;valeur&gt;0&lt;/valeur&gt;</v>
      </c>
    </row>
    <row r="6372" spans="1:1" x14ac:dyDescent="0.2">
      <c r="A6372" s="1135" t="str">
        <f>CONCATENATE(Programme!C6373,Programme!D6373,Programme!E6373,Programme!F6373,Programme!G6373,Programme!H6373,Programme!I6373)</f>
        <v>&lt;/ValeurCellule&gt;</v>
      </c>
    </row>
    <row r="6373" spans="1:1" x14ac:dyDescent="0.2">
      <c r="A6373" s="1135" t="str">
        <f>CONCATENATE(Programme!C6374,Programme!D6374,Programme!E6374,Programme!F6374,Programme!G6374,Programme!H6374,Programme!I6374)</f>
        <v>&lt;ValeurCellule&gt;</v>
      </c>
    </row>
    <row r="6374" spans="1:1" x14ac:dyDescent="0.2">
      <c r="A6374" s="1135" t="str">
        <f>CONCATENATE(Programme!C6375,Programme!D6375,Programme!E6375,Programme!F6375,Programme!G6375,Programme!H6375,Programme!I6375)</f>
        <v>&lt;cellule&gt;</v>
      </c>
    </row>
    <row r="6375" spans="1:1" x14ac:dyDescent="0.2">
      <c r="A6375" s="1135" t="str">
        <f>CONCATENATE(Programme!C6376,Programme!D6376,Programme!E6376,Programme!F6376,Programme!G6376,Programme!H6376,Programme!I6376)</f>
        <v>&lt;codeEdi&gt;1628&lt;/codeEdi&gt;</v>
      </c>
    </row>
    <row r="6376" spans="1:1" x14ac:dyDescent="0.2">
      <c r="A6376" s="1135" t="str">
        <f>CONCATENATE(Programme!C6377,Programme!D6377,Programme!E6377,Programme!F6377,Programme!G6377,Programme!H6377,Programme!I6377)</f>
        <v>&lt;/cellule&gt;</v>
      </c>
    </row>
    <row r="6377" spans="1:1" x14ac:dyDescent="0.2">
      <c r="A6377" s="1135" t="str">
        <f>CONCATENATE(Programme!C6378,Programme!D6378,Programme!E6378,Programme!F6378,Programme!G6378,Programme!H6378,Programme!I6378)</f>
        <v>&lt;valeur&gt;0&lt;/valeur&gt;</v>
      </c>
    </row>
    <row r="6378" spans="1:1" x14ac:dyDescent="0.2">
      <c r="A6378" s="1135" t="str">
        <f>CONCATENATE(Programme!C6379,Programme!D6379,Programme!E6379,Programme!F6379,Programme!G6379,Programme!H6379,Programme!I6379)</f>
        <v>&lt;/ValeurCellule&gt;</v>
      </c>
    </row>
    <row r="6379" spans="1:1" x14ac:dyDescent="0.2">
      <c r="A6379" s="1135" t="str">
        <f>CONCATENATE(Programme!C6380,Programme!D6380,Programme!E6380,Programme!F6380,Programme!G6380,Programme!H6380,Programme!I6380)</f>
        <v>&lt;ValeurCellule&gt;</v>
      </c>
    </row>
    <row r="6380" spans="1:1" x14ac:dyDescent="0.2">
      <c r="A6380" s="1135" t="str">
        <f>CONCATENATE(Programme!C6381,Programme!D6381,Programme!E6381,Programme!F6381,Programme!G6381,Programme!H6381,Programme!I6381)</f>
        <v>&lt;cellule&gt;</v>
      </c>
    </row>
    <row r="6381" spans="1:1" x14ac:dyDescent="0.2">
      <c r="A6381" s="1135" t="str">
        <f>CONCATENATE(Programme!C6382,Programme!D6382,Programme!E6382,Programme!F6382,Programme!G6382,Programme!H6382,Programme!I6382)</f>
        <v>&lt;codeEdi&gt;1629&lt;/codeEdi&gt;</v>
      </c>
    </row>
    <row r="6382" spans="1:1" x14ac:dyDescent="0.2">
      <c r="A6382" s="1135" t="str">
        <f>CONCATENATE(Programme!C6383,Programme!D6383,Programme!E6383,Programme!F6383,Programme!G6383,Programme!H6383,Programme!I6383)</f>
        <v>&lt;/cellule&gt;</v>
      </c>
    </row>
    <row r="6383" spans="1:1" x14ac:dyDescent="0.2">
      <c r="A6383" s="1135" t="str">
        <f>CONCATENATE(Programme!C6384,Programme!D6384,Programme!E6384,Programme!F6384,Programme!G6384,Programme!H6384,Programme!I6384)</f>
        <v>&lt;valeur&gt;0&lt;/valeur&gt;</v>
      </c>
    </row>
    <row r="6384" spans="1:1" x14ac:dyDescent="0.2">
      <c r="A6384" s="1135" t="str">
        <f>CONCATENATE(Programme!C6385,Programme!D6385,Programme!E6385,Programme!F6385,Programme!G6385,Programme!H6385,Programme!I6385)</f>
        <v>&lt;/ValeurCellule&gt;</v>
      </c>
    </row>
    <row r="6385" spans="1:1" x14ac:dyDescent="0.2">
      <c r="A6385" s="1135" t="str">
        <f>CONCATENATE(Programme!C6386,Programme!D6386,Programme!E6386,Programme!F6386,Programme!G6386,Programme!H6386,Programme!I6386)</f>
        <v>&lt;ValeurCellule&gt;</v>
      </c>
    </row>
    <row r="6386" spans="1:1" x14ac:dyDescent="0.2">
      <c r="A6386" s="1135" t="str">
        <f>CONCATENATE(Programme!C6387,Programme!D6387,Programme!E6387,Programme!F6387,Programme!G6387,Programme!H6387,Programme!I6387)</f>
        <v>&lt;cellule&gt;</v>
      </c>
    </row>
    <row r="6387" spans="1:1" x14ac:dyDescent="0.2">
      <c r="A6387" s="1135" t="str">
        <f>CONCATENATE(Programme!C6388,Programme!D6388,Programme!E6388,Programme!F6388,Programme!G6388,Programme!H6388,Programme!I6388)</f>
        <v>&lt;codeEdi&gt;1630&lt;/codeEdi&gt;</v>
      </c>
    </row>
    <row r="6388" spans="1:1" x14ac:dyDescent="0.2">
      <c r="A6388" s="1135" t="str">
        <f>CONCATENATE(Programme!C6389,Programme!D6389,Programme!E6389,Programme!F6389,Programme!G6389,Programme!H6389,Programme!I6389)</f>
        <v>&lt;/cellule&gt;</v>
      </c>
    </row>
    <row r="6389" spans="1:1" x14ac:dyDescent="0.2">
      <c r="A6389" s="1135" t="str">
        <f>CONCATENATE(Programme!C6390,Programme!D6390,Programme!E6390,Programme!F6390,Programme!G6390,Programme!H6390,Programme!I6390)</f>
        <v>&lt;valeur&gt;0&lt;/valeur&gt;</v>
      </c>
    </row>
    <row r="6390" spans="1:1" x14ac:dyDescent="0.2">
      <c r="A6390" s="1135" t="str">
        <f>CONCATENATE(Programme!C6391,Programme!D6391,Programme!E6391,Programme!F6391,Programme!G6391,Programme!H6391,Programme!I6391)</f>
        <v>&lt;/ValeurCellule&gt;</v>
      </c>
    </row>
    <row r="6391" spans="1:1" x14ac:dyDescent="0.2">
      <c r="A6391" s="1135" t="str">
        <f>CONCATENATE(Programme!C6392,Programme!D6392,Programme!E6392,Programme!F6392,Programme!G6392,Programme!H6392,Programme!I6392)</f>
        <v>&lt;ValeurCellule&gt;</v>
      </c>
    </row>
    <row r="6392" spans="1:1" x14ac:dyDescent="0.2">
      <c r="A6392" s="1135" t="str">
        <f>CONCATENATE(Programme!C6393,Programme!D6393,Programme!E6393,Programme!F6393,Programme!G6393,Programme!H6393,Programme!I6393)</f>
        <v>&lt;cellule&gt;</v>
      </c>
    </row>
    <row r="6393" spans="1:1" x14ac:dyDescent="0.2">
      <c r="A6393" s="1135" t="str">
        <f>CONCATENATE(Programme!C6394,Programme!D6394,Programme!E6394,Programme!F6394,Programme!G6394,Programme!H6394,Programme!I6394)</f>
        <v>&lt;codeEdi&gt;1631&lt;/codeEdi&gt;</v>
      </c>
    </row>
    <row r="6394" spans="1:1" x14ac:dyDescent="0.2">
      <c r="A6394" s="1135" t="str">
        <f>CONCATENATE(Programme!C6395,Programme!D6395,Programme!E6395,Programme!F6395,Programme!G6395,Programme!H6395,Programme!I6395)</f>
        <v>&lt;/cellule&gt;</v>
      </c>
    </row>
    <row r="6395" spans="1:1" x14ac:dyDescent="0.2">
      <c r="A6395" s="1135" t="str">
        <f>CONCATENATE(Programme!C6396,Programme!D6396,Programme!E6396,Programme!F6396,Programme!G6396,Programme!H6396,Programme!I6396)</f>
        <v>&lt;valeur&gt;0&lt;/valeur&gt;</v>
      </c>
    </row>
    <row r="6396" spans="1:1" x14ac:dyDescent="0.2">
      <c r="A6396" s="1135" t="str">
        <f>CONCATENATE(Programme!C6397,Programme!D6397,Programme!E6397,Programme!F6397,Programme!G6397,Programme!H6397,Programme!I6397)</f>
        <v>&lt;/ValeurCellule&gt;</v>
      </c>
    </row>
    <row r="6397" spans="1:1" x14ac:dyDescent="0.2">
      <c r="A6397" s="1135" t="str">
        <f>CONCATENATE(Programme!C6398,Programme!D6398,Programme!E6398,Programme!F6398,Programme!G6398,Programme!H6398,Programme!I6398)</f>
        <v>&lt;ValeurCellule&gt;</v>
      </c>
    </row>
    <row r="6398" spans="1:1" x14ac:dyDescent="0.2">
      <c r="A6398" s="1135" t="str">
        <f>CONCATENATE(Programme!C6399,Programme!D6399,Programme!E6399,Programme!F6399,Programme!G6399,Programme!H6399,Programme!I6399)</f>
        <v>&lt;cellule&gt;</v>
      </c>
    </row>
    <row r="6399" spans="1:1" x14ac:dyDescent="0.2">
      <c r="A6399" s="1135" t="str">
        <f>CONCATENATE(Programme!C6400,Programme!D6400,Programme!E6400,Programme!F6400,Programme!G6400,Programme!H6400,Programme!I6400)</f>
        <v>&lt;codeEdi&gt;1632&lt;/codeEdi&gt;</v>
      </c>
    </row>
    <row r="6400" spans="1:1" x14ac:dyDescent="0.2">
      <c r="A6400" s="1135" t="str">
        <f>CONCATENATE(Programme!C6401,Programme!D6401,Programme!E6401,Programme!F6401,Programme!G6401,Programme!H6401,Programme!I6401)</f>
        <v>&lt;/cellule&gt;</v>
      </c>
    </row>
    <row r="6401" spans="1:1" x14ac:dyDescent="0.2">
      <c r="A6401" s="1135" t="str">
        <f>CONCATENATE(Programme!C6402,Programme!D6402,Programme!E6402,Programme!F6402,Programme!G6402,Programme!H6402,Programme!I6402)</f>
        <v>&lt;valeur&gt;0&lt;/valeur&gt;</v>
      </c>
    </row>
    <row r="6402" spans="1:1" x14ac:dyDescent="0.2">
      <c r="A6402" s="1135" t="str">
        <f>CONCATENATE(Programme!C6403,Programme!D6403,Programme!E6403,Programme!F6403,Programme!G6403,Programme!H6403,Programme!I6403)</f>
        <v>&lt;/ValeurCellule&gt;</v>
      </c>
    </row>
    <row r="6403" spans="1:1" x14ac:dyDescent="0.2">
      <c r="A6403" s="1135" t="str">
        <f>CONCATENATE(Programme!C6404,Programme!D6404,Programme!E6404,Programme!F6404,Programme!G6404,Programme!H6404,Programme!I6404)</f>
        <v>&lt;ValeurCellule&gt;</v>
      </c>
    </row>
    <row r="6404" spans="1:1" x14ac:dyDescent="0.2">
      <c r="A6404" s="1135" t="str">
        <f>CONCATENATE(Programme!C6405,Programme!D6405,Programme!E6405,Programme!F6405,Programme!G6405,Programme!H6405,Programme!I6405)</f>
        <v>&lt;cellule&gt;</v>
      </c>
    </row>
    <row r="6405" spans="1:1" x14ac:dyDescent="0.2">
      <c r="A6405" s="1135" t="str">
        <f>CONCATENATE(Programme!C6406,Programme!D6406,Programme!E6406,Programme!F6406,Programme!G6406,Programme!H6406,Programme!I6406)</f>
        <v>&lt;codeEdi&gt;1633&lt;/codeEdi&gt;</v>
      </c>
    </row>
    <row r="6406" spans="1:1" x14ac:dyDescent="0.2">
      <c r="A6406" s="1135" t="str">
        <f>CONCATENATE(Programme!C6407,Programme!D6407,Programme!E6407,Programme!F6407,Programme!G6407,Programme!H6407,Programme!I6407)</f>
        <v>&lt;/cellule&gt;</v>
      </c>
    </row>
    <row r="6407" spans="1:1" x14ac:dyDescent="0.2">
      <c r="A6407" s="1135" t="str">
        <f>CONCATENATE(Programme!C6408,Programme!D6408,Programme!E6408,Programme!F6408,Programme!G6408,Programme!H6408,Programme!I6408)</f>
        <v>&lt;valeur&gt;0&lt;/valeur&gt;</v>
      </c>
    </row>
    <row r="6408" spans="1:1" x14ac:dyDescent="0.2">
      <c r="A6408" s="1135" t="str">
        <f>CONCATENATE(Programme!C6409,Programme!D6409,Programme!E6409,Programme!F6409,Programme!G6409,Programme!H6409,Programme!I6409)</f>
        <v>&lt;/ValeurCellule&gt;</v>
      </c>
    </row>
    <row r="6409" spans="1:1" x14ac:dyDescent="0.2">
      <c r="A6409" s="1135" t="str">
        <f>CONCATENATE(Programme!C6410,Programme!D6410,Programme!E6410,Programme!F6410,Programme!G6410,Programme!H6410,Programme!I6410)</f>
        <v>&lt;ValeurCellule&gt;</v>
      </c>
    </row>
    <row r="6410" spans="1:1" x14ac:dyDescent="0.2">
      <c r="A6410" s="1135" t="str">
        <f>CONCATENATE(Programme!C6411,Programme!D6411,Programme!E6411,Programme!F6411,Programme!G6411,Programme!H6411,Programme!I6411)</f>
        <v>&lt;cellule&gt;</v>
      </c>
    </row>
    <row r="6411" spans="1:1" x14ac:dyDescent="0.2">
      <c r="A6411" s="1135" t="str">
        <f>CONCATENATE(Programme!C6412,Programme!D6412,Programme!E6412,Programme!F6412,Programme!G6412,Programme!H6412,Programme!I6412)</f>
        <v>&lt;codeEdi&gt;1650&lt;/codeEdi&gt;</v>
      </c>
    </row>
    <row r="6412" spans="1:1" x14ac:dyDescent="0.2">
      <c r="A6412" s="1135" t="str">
        <f>CONCATENATE(Programme!C6413,Programme!D6413,Programme!E6413,Programme!F6413,Programme!G6413,Programme!H6413,Programme!I6413)</f>
        <v>&lt;/cellule&gt;</v>
      </c>
    </row>
    <row r="6413" spans="1:1" x14ac:dyDescent="0.2">
      <c r="A6413" s="1135" t="str">
        <f>CONCATENATE(Programme!C6414,Programme!D6414,Programme!E6414,Programme!F6414,Programme!G6414,Programme!H6414,Programme!I6414)</f>
        <v>&lt;valeur&gt;0&lt;/valeur&gt;</v>
      </c>
    </row>
    <row r="6414" spans="1:1" x14ac:dyDescent="0.2">
      <c r="A6414" s="1135" t="str">
        <f>CONCATENATE(Programme!C6415,Programme!D6415,Programme!E6415,Programme!F6415,Programme!G6415,Programme!H6415,Programme!I6415)</f>
        <v>&lt;/ValeurCellule&gt;</v>
      </c>
    </row>
    <row r="6415" spans="1:1" x14ac:dyDescent="0.2">
      <c r="A6415" s="1135" t="str">
        <f>CONCATENATE(Programme!C6416,Programme!D6416,Programme!E6416,Programme!F6416,Programme!G6416,Programme!H6416,Programme!I6416)</f>
        <v>&lt;ValeurCellule&gt;</v>
      </c>
    </row>
    <row r="6416" spans="1:1" x14ac:dyDescent="0.2">
      <c r="A6416" s="1135" t="str">
        <f>CONCATENATE(Programme!C6417,Programme!D6417,Programme!E6417,Programme!F6417,Programme!G6417,Programme!H6417,Programme!I6417)</f>
        <v>&lt;cellule&gt;</v>
      </c>
    </row>
    <row r="6417" spans="1:1" x14ac:dyDescent="0.2">
      <c r="A6417" s="1135" t="str">
        <f>CONCATENATE(Programme!C6418,Programme!D6418,Programme!E6418,Programme!F6418,Programme!G6418,Programme!H6418,Programme!I6418)</f>
        <v>&lt;codeEdi&gt;1651&lt;/codeEdi&gt;</v>
      </c>
    </row>
    <row r="6418" spans="1:1" x14ac:dyDescent="0.2">
      <c r="A6418" s="1135" t="str">
        <f>CONCATENATE(Programme!C6419,Programme!D6419,Programme!E6419,Programme!F6419,Programme!G6419,Programme!H6419,Programme!I6419)</f>
        <v>&lt;/cellule&gt;</v>
      </c>
    </row>
    <row r="6419" spans="1:1" x14ac:dyDescent="0.2">
      <c r="A6419" s="1135" t="str">
        <f>CONCATENATE(Programme!C6420,Programme!D6420,Programme!E6420,Programme!F6420,Programme!G6420,Programme!H6420,Programme!I6420)</f>
        <v>&lt;valeur&gt;0&lt;/valeur&gt;</v>
      </c>
    </row>
    <row r="6420" spans="1:1" x14ac:dyDescent="0.2">
      <c r="A6420" s="1135" t="str">
        <f>CONCATENATE(Programme!C6421,Programme!D6421,Programme!E6421,Programme!F6421,Programme!G6421,Programme!H6421,Programme!I6421)</f>
        <v>&lt;/ValeurCellule&gt;</v>
      </c>
    </row>
    <row r="6421" spans="1:1" x14ac:dyDescent="0.2">
      <c r="A6421" s="1135" t="str">
        <f>CONCATENATE(Programme!C6422,Programme!D6422,Programme!E6422,Programme!F6422,Programme!G6422,Programme!H6422,Programme!I6422)</f>
        <v>&lt;ValeurCellule&gt;</v>
      </c>
    </row>
    <row r="6422" spans="1:1" x14ac:dyDescent="0.2">
      <c r="A6422" s="1135" t="str">
        <f>CONCATENATE(Programme!C6423,Programme!D6423,Programme!E6423,Programme!F6423,Programme!G6423,Programme!H6423,Programme!I6423)</f>
        <v>&lt;cellule&gt;</v>
      </c>
    </row>
    <row r="6423" spans="1:1" x14ac:dyDescent="0.2">
      <c r="A6423" s="1135" t="str">
        <f>CONCATENATE(Programme!C6424,Programme!D6424,Programme!E6424,Programme!F6424,Programme!G6424,Programme!H6424,Programme!I6424)</f>
        <v>&lt;codeEdi&gt;1652&lt;/codeEdi&gt;</v>
      </c>
    </row>
    <row r="6424" spans="1:1" x14ac:dyDescent="0.2">
      <c r="A6424" s="1135" t="str">
        <f>CONCATENATE(Programme!C6425,Programme!D6425,Programme!E6425,Programme!F6425,Programme!G6425,Programme!H6425,Programme!I6425)</f>
        <v>&lt;/cellule&gt;</v>
      </c>
    </row>
    <row r="6425" spans="1:1" x14ac:dyDescent="0.2">
      <c r="A6425" s="1135" t="str">
        <f>CONCATENATE(Programme!C6426,Programme!D6426,Programme!E6426,Programme!F6426,Programme!G6426,Programme!H6426,Programme!I6426)</f>
        <v>&lt;valeur&gt;0&lt;/valeur&gt;</v>
      </c>
    </row>
    <row r="6426" spans="1:1" x14ac:dyDescent="0.2">
      <c r="A6426" s="1135" t="str">
        <f>CONCATENATE(Programme!C6427,Programme!D6427,Programme!E6427,Programme!F6427,Programme!G6427,Programme!H6427,Programme!I6427)</f>
        <v>&lt;/ValeurCellule&gt;</v>
      </c>
    </row>
    <row r="6427" spans="1:1" x14ac:dyDescent="0.2">
      <c r="A6427" s="1135" t="str">
        <f>CONCATENATE(Programme!C6428,Programme!D6428,Programme!E6428,Programme!F6428,Programme!G6428,Programme!H6428,Programme!I6428)</f>
        <v>&lt;ValeurCellule&gt;</v>
      </c>
    </row>
    <row r="6428" spans="1:1" x14ac:dyDescent="0.2">
      <c r="A6428" s="1135" t="str">
        <f>CONCATENATE(Programme!C6429,Programme!D6429,Programme!E6429,Programme!F6429,Programme!G6429,Programme!H6429,Programme!I6429)</f>
        <v>&lt;cellule&gt;</v>
      </c>
    </row>
    <row r="6429" spans="1:1" x14ac:dyDescent="0.2">
      <c r="A6429" s="1135" t="str">
        <f>CONCATENATE(Programme!C6430,Programme!D6430,Programme!E6430,Programme!F6430,Programme!G6430,Programme!H6430,Programme!I6430)</f>
        <v>&lt;codeEdi&gt;1653&lt;/codeEdi&gt;</v>
      </c>
    </row>
    <row r="6430" spans="1:1" x14ac:dyDescent="0.2">
      <c r="A6430" s="1135" t="str">
        <f>CONCATENATE(Programme!C6431,Programme!D6431,Programme!E6431,Programme!F6431,Programme!G6431,Programme!H6431,Programme!I6431)</f>
        <v>&lt;/cellule&gt;</v>
      </c>
    </row>
    <row r="6431" spans="1:1" x14ac:dyDescent="0.2">
      <c r="A6431" s="1135" t="str">
        <f>CONCATENATE(Programme!C6432,Programme!D6432,Programme!E6432,Programme!F6432,Programme!G6432,Programme!H6432,Programme!I6432)</f>
        <v>&lt;valeur&gt;0&lt;/valeur&gt;</v>
      </c>
    </row>
    <row r="6432" spans="1:1" x14ac:dyDescent="0.2">
      <c r="A6432" s="1135" t="str">
        <f>CONCATENATE(Programme!C6433,Programme!D6433,Programme!E6433,Programme!F6433,Programme!G6433,Programme!H6433,Programme!I6433)</f>
        <v>&lt;/ValeurCellule&gt;</v>
      </c>
    </row>
    <row r="6433" spans="1:1" x14ac:dyDescent="0.2">
      <c r="A6433" s="1135" t="str">
        <f>CONCATENATE(Programme!C6434,Programme!D6434,Programme!E6434,Programme!F6434,Programme!G6434,Programme!H6434,Programme!I6434)</f>
        <v>&lt;ValeurCellule&gt;</v>
      </c>
    </row>
    <row r="6434" spans="1:1" x14ac:dyDescent="0.2">
      <c r="A6434" s="1135" t="str">
        <f>CONCATENATE(Programme!C6435,Programme!D6435,Programme!E6435,Programme!F6435,Programme!G6435,Programme!H6435,Programme!I6435)</f>
        <v>&lt;cellule&gt;</v>
      </c>
    </row>
    <row r="6435" spans="1:1" x14ac:dyDescent="0.2">
      <c r="A6435" s="1135" t="str">
        <f>CONCATENATE(Programme!C6436,Programme!D6436,Programme!E6436,Programme!F6436,Programme!G6436,Programme!H6436,Programme!I6436)</f>
        <v>&lt;codeEdi&gt;1654&lt;/codeEdi&gt;</v>
      </c>
    </row>
    <row r="6436" spans="1:1" x14ac:dyDescent="0.2">
      <c r="A6436" s="1135" t="str">
        <f>CONCATENATE(Programme!C6437,Programme!D6437,Programme!E6437,Programme!F6437,Programme!G6437,Programme!H6437,Programme!I6437)</f>
        <v>&lt;/cellule&gt;</v>
      </c>
    </row>
    <row r="6437" spans="1:1" x14ac:dyDescent="0.2">
      <c r="A6437" s="1135" t="str">
        <f>CONCATENATE(Programme!C6438,Programme!D6438,Programme!E6438,Programme!F6438,Programme!G6438,Programme!H6438,Programme!I6438)</f>
        <v>&lt;valeur&gt;0&lt;/valeur&gt;</v>
      </c>
    </row>
    <row r="6438" spans="1:1" x14ac:dyDescent="0.2">
      <c r="A6438" s="1135" t="str">
        <f>CONCATENATE(Programme!C6439,Programme!D6439,Programme!E6439,Programme!F6439,Programme!G6439,Programme!H6439,Programme!I6439)</f>
        <v>&lt;/ValeurCellule&gt;</v>
      </c>
    </row>
    <row r="6439" spans="1:1" x14ac:dyDescent="0.2">
      <c r="A6439" s="1135" t="str">
        <f>CONCATENATE(Programme!C6440,Programme!D6440,Programme!E6440,Programme!F6440,Programme!G6440,Programme!H6440,Programme!I6440)</f>
        <v>&lt;ValeurCellule&gt;</v>
      </c>
    </row>
    <row r="6440" spans="1:1" x14ac:dyDescent="0.2">
      <c r="A6440" s="1135" t="str">
        <f>CONCATENATE(Programme!C6441,Programme!D6441,Programme!E6441,Programme!F6441,Programme!G6441,Programme!H6441,Programme!I6441)</f>
        <v>&lt;cellule&gt;</v>
      </c>
    </row>
    <row r="6441" spans="1:1" x14ac:dyDescent="0.2">
      <c r="A6441" s="1135" t="str">
        <f>CONCATENATE(Programme!C6442,Programme!D6442,Programme!E6442,Programme!F6442,Programme!G6442,Programme!H6442,Programme!I6442)</f>
        <v>&lt;codeEdi&gt;1679&lt;/codeEdi&gt;</v>
      </c>
    </row>
    <row r="6442" spans="1:1" x14ac:dyDescent="0.2">
      <c r="A6442" s="1135" t="str">
        <f>CONCATENATE(Programme!C6443,Programme!D6443,Programme!E6443,Programme!F6443,Programme!G6443,Programme!H6443,Programme!I6443)</f>
        <v>&lt;/cellule&gt;</v>
      </c>
    </row>
    <row r="6443" spans="1:1" x14ac:dyDescent="0.2">
      <c r="A6443" s="1135" t="str">
        <f>CONCATENATE(Programme!C6444,Programme!D6444,Programme!E6444,Programme!F6444,Programme!G6444,Programme!H6444,Programme!I6444)</f>
        <v>&lt;valeur&gt;0&lt;/valeur&gt;</v>
      </c>
    </row>
    <row r="6444" spans="1:1" x14ac:dyDescent="0.2">
      <c r="A6444" s="1135" t="str">
        <f>CONCATENATE(Programme!C6445,Programme!D6445,Programme!E6445,Programme!F6445,Programme!G6445,Programme!H6445,Programme!I6445)</f>
        <v>&lt;/ValeurCellule&gt;</v>
      </c>
    </row>
    <row r="6445" spans="1:1" x14ac:dyDescent="0.2">
      <c r="A6445" s="1135" t="str">
        <f>CONCATENATE(Programme!C6446,Programme!D6446,Programme!E6446,Programme!F6446,Programme!G6446,Programme!H6446,Programme!I6446)</f>
        <v>&lt;ValeurCellule&gt;</v>
      </c>
    </row>
    <row r="6446" spans="1:1" x14ac:dyDescent="0.2">
      <c r="A6446" s="1135" t="str">
        <f>CONCATENATE(Programme!C6447,Programme!D6447,Programme!E6447,Programme!F6447,Programme!G6447,Programme!H6447,Programme!I6447)</f>
        <v>&lt;cellule&gt;</v>
      </c>
    </row>
    <row r="6447" spans="1:1" x14ac:dyDescent="0.2">
      <c r="A6447" s="1135" t="str">
        <f>CONCATENATE(Programme!C6448,Programme!D6448,Programme!E6448,Programme!F6448,Programme!G6448,Programme!H6448,Programme!I6448)</f>
        <v>&lt;codeEdi&gt;1680&lt;/codeEdi&gt;</v>
      </c>
    </row>
    <row r="6448" spans="1:1" x14ac:dyDescent="0.2">
      <c r="A6448" s="1135" t="str">
        <f>CONCATENATE(Programme!C6449,Programme!D6449,Programme!E6449,Programme!F6449,Programme!G6449,Programme!H6449,Programme!I6449)</f>
        <v>&lt;/cellule&gt;</v>
      </c>
    </row>
    <row r="6449" spans="1:1" x14ac:dyDescent="0.2">
      <c r="A6449" s="1135" t="str">
        <f>CONCATENATE(Programme!C6450,Programme!D6450,Programme!E6450,Programme!F6450,Programme!G6450,Programme!H6450,Programme!I6450)</f>
        <v>&lt;valeur&gt;0&lt;/valeur&gt;</v>
      </c>
    </row>
    <row r="6450" spans="1:1" x14ac:dyDescent="0.2">
      <c r="A6450" s="1135" t="str">
        <f>CONCATENATE(Programme!C6451,Programme!D6451,Programme!E6451,Programme!F6451,Programme!G6451,Programme!H6451,Programme!I6451)</f>
        <v>&lt;/ValeurCellule&gt;</v>
      </c>
    </row>
    <row r="6451" spans="1:1" x14ac:dyDescent="0.2">
      <c r="A6451" s="1135" t="str">
        <f>CONCATENATE(Programme!C6452,Programme!D6452,Programme!E6452,Programme!F6452,Programme!G6452,Programme!H6452,Programme!I6452)</f>
        <v>&lt;ValeurCellule&gt;</v>
      </c>
    </row>
    <row r="6452" spans="1:1" x14ac:dyDescent="0.2">
      <c r="A6452" s="1135" t="str">
        <f>CONCATENATE(Programme!C6453,Programme!D6453,Programme!E6453,Programme!F6453,Programme!G6453,Programme!H6453,Programme!I6453)</f>
        <v>&lt;cellule&gt;</v>
      </c>
    </row>
    <row r="6453" spans="1:1" x14ac:dyDescent="0.2">
      <c r="A6453" s="1135" t="str">
        <f>CONCATENATE(Programme!C6454,Programme!D6454,Programme!E6454,Programme!F6454,Programme!G6454,Programme!H6454,Programme!I6454)</f>
        <v>&lt;codeEdi&gt;1681&lt;/codeEdi&gt;</v>
      </c>
    </row>
    <row r="6454" spans="1:1" x14ac:dyDescent="0.2">
      <c r="A6454" s="1135" t="str">
        <f>CONCATENATE(Programme!C6455,Programme!D6455,Programme!E6455,Programme!F6455,Programme!G6455,Programme!H6455,Programme!I6455)</f>
        <v>&lt;/cellule&gt;</v>
      </c>
    </row>
    <row r="6455" spans="1:1" x14ac:dyDescent="0.2">
      <c r="A6455" s="1135" t="str">
        <f>CONCATENATE(Programme!C6456,Programme!D6456,Programme!E6456,Programme!F6456,Programme!G6456,Programme!H6456,Programme!I6456)</f>
        <v>&lt;valeur&gt;0&lt;/valeur&gt;</v>
      </c>
    </row>
    <row r="6456" spans="1:1" x14ac:dyDescent="0.2">
      <c r="A6456" s="1135" t="str">
        <f>CONCATENATE(Programme!C6457,Programme!D6457,Programme!E6457,Programme!F6457,Programme!G6457,Programme!H6457,Programme!I6457)</f>
        <v>&lt;/ValeurCellule&gt;</v>
      </c>
    </row>
    <row r="6457" spans="1:1" x14ac:dyDescent="0.2">
      <c r="A6457" s="1135" t="str">
        <f>CONCATENATE(Programme!C6458,Programme!D6458,Programme!E6458,Programme!F6458,Programme!G6458,Programme!H6458,Programme!I6458)</f>
        <v>&lt;ValeurCellule&gt;</v>
      </c>
    </row>
    <row r="6458" spans="1:1" x14ac:dyDescent="0.2">
      <c r="A6458" s="1135" t="str">
        <f>CONCATENATE(Programme!C6459,Programme!D6459,Programme!E6459,Programme!F6459,Programme!G6459,Programme!H6459,Programme!I6459)</f>
        <v>&lt;cellule&gt;</v>
      </c>
    </row>
    <row r="6459" spans="1:1" x14ac:dyDescent="0.2">
      <c r="A6459" s="1135" t="str">
        <f>CONCATENATE(Programme!C6460,Programme!D6460,Programme!E6460,Programme!F6460,Programme!G6460,Programme!H6460,Programme!I6460)</f>
        <v>&lt;codeEdi&gt;1682&lt;/codeEdi&gt;</v>
      </c>
    </row>
    <row r="6460" spans="1:1" x14ac:dyDescent="0.2">
      <c r="A6460" s="1135" t="str">
        <f>CONCATENATE(Programme!C6461,Programme!D6461,Programme!E6461,Programme!F6461,Programme!G6461,Programme!H6461,Programme!I6461)</f>
        <v>&lt;/cellule&gt;</v>
      </c>
    </row>
    <row r="6461" spans="1:1" x14ac:dyDescent="0.2">
      <c r="A6461" s="1135" t="str">
        <f>CONCATENATE(Programme!C6462,Programme!D6462,Programme!E6462,Programme!F6462,Programme!G6462,Programme!H6462,Programme!I6462)</f>
        <v>&lt;valeur&gt;0&lt;/valeur&gt;</v>
      </c>
    </row>
    <row r="6462" spans="1:1" x14ac:dyDescent="0.2">
      <c r="A6462" s="1135" t="str">
        <f>CONCATENATE(Programme!C6463,Programme!D6463,Programme!E6463,Programme!F6463,Programme!G6463,Programme!H6463,Programme!I6463)</f>
        <v>&lt;/ValeurCellule&gt;</v>
      </c>
    </row>
    <row r="6463" spans="1:1" x14ac:dyDescent="0.2">
      <c r="A6463" s="1135" t="str">
        <f>CONCATENATE(Programme!C6464,Programme!D6464,Programme!E6464,Programme!F6464,Programme!G6464,Programme!H6464,Programme!I6464)</f>
        <v>&lt;ValeurCellule&gt;</v>
      </c>
    </row>
    <row r="6464" spans="1:1" x14ac:dyDescent="0.2">
      <c r="A6464" s="1135" t="str">
        <f>CONCATENATE(Programme!C6465,Programme!D6465,Programme!E6465,Programme!F6465,Programme!G6465,Programme!H6465,Programme!I6465)</f>
        <v>&lt;cellule&gt;</v>
      </c>
    </row>
    <row r="6465" spans="1:1" x14ac:dyDescent="0.2">
      <c r="A6465" s="1135" t="str">
        <f>CONCATENATE(Programme!C6466,Programme!D6466,Programme!E6466,Programme!F6466,Programme!G6466,Programme!H6466,Programme!I6466)</f>
        <v>&lt;codeEdi&gt;1683&lt;/codeEdi&gt;</v>
      </c>
    </row>
    <row r="6466" spans="1:1" x14ac:dyDescent="0.2">
      <c r="A6466" s="1135" t="str">
        <f>CONCATENATE(Programme!C6467,Programme!D6467,Programme!E6467,Programme!F6467,Programme!G6467,Programme!H6467,Programme!I6467)</f>
        <v>&lt;/cellule&gt;</v>
      </c>
    </row>
    <row r="6467" spans="1:1" x14ac:dyDescent="0.2">
      <c r="A6467" s="1135" t="str">
        <f>CONCATENATE(Programme!C6468,Programme!D6468,Programme!E6468,Programme!F6468,Programme!G6468,Programme!H6468,Programme!I6468)</f>
        <v>&lt;valeur&gt;0&lt;/valeur&gt;</v>
      </c>
    </row>
    <row r="6468" spans="1:1" x14ac:dyDescent="0.2">
      <c r="A6468" s="1135" t="str">
        <f>CONCATENATE(Programme!C6469,Programme!D6469,Programme!E6469,Programme!F6469,Programme!G6469,Programme!H6469,Programme!I6469)</f>
        <v>&lt;/ValeurCellule&gt;</v>
      </c>
    </row>
    <row r="6469" spans="1:1" x14ac:dyDescent="0.2">
      <c r="A6469" s="1135" t="str">
        <f>CONCATENATE(Programme!C6470,Programme!D6470,Programme!E6470,Programme!F6470,Programme!G6470,Programme!H6470,Programme!I6470)</f>
        <v>&lt;ValeurCellule&gt;</v>
      </c>
    </row>
    <row r="6470" spans="1:1" x14ac:dyDescent="0.2">
      <c r="A6470" s="1135" t="str">
        <f>CONCATENATE(Programme!C6471,Programme!D6471,Programme!E6471,Programme!F6471,Programme!G6471,Programme!H6471,Programme!I6471)</f>
        <v>&lt;cellule&gt;</v>
      </c>
    </row>
    <row r="6471" spans="1:1" x14ac:dyDescent="0.2">
      <c r="A6471" s="1135" t="str">
        <f>CONCATENATE(Programme!C6472,Programme!D6472,Programme!E6472,Programme!F6472,Programme!G6472,Programme!H6472,Programme!I6472)</f>
        <v>&lt;codeEdi&gt;1700&lt;/codeEdi&gt;</v>
      </c>
    </row>
    <row r="6472" spans="1:1" x14ac:dyDescent="0.2">
      <c r="A6472" s="1135" t="str">
        <f>CONCATENATE(Programme!C6473,Programme!D6473,Programme!E6473,Programme!F6473,Programme!G6473,Programme!H6473,Programme!I6473)</f>
        <v>&lt;/cellule&gt;</v>
      </c>
    </row>
    <row r="6473" spans="1:1" x14ac:dyDescent="0.2">
      <c r="A6473" s="1135" t="str">
        <f>CONCATENATE(Programme!C6474,Programme!D6474,Programme!E6474,Programme!F6474,Programme!G6474,Programme!H6474,Programme!I6474)</f>
        <v>&lt;valeur&gt;0&lt;/valeur&gt;</v>
      </c>
    </row>
    <row r="6474" spans="1:1" x14ac:dyDescent="0.2">
      <c r="A6474" s="1135" t="str">
        <f>CONCATENATE(Programme!C6475,Programme!D6475,Programme!E6475,Programme!F6475,Programme!G6475,Programme!H6475,Programme!I6475)</f>
        <v>&lt;/ValeurCellule&gt;</v>
      </c>
    </row>
    <row r="6475" spans="1:1" x14ac:dyDescent="0.2">
      <c r="A6475" s="1135" t="str">
        <f>CONCATENATE(Programme!C6476,Programme!D6476,Programme!E6476,Programme!F6476,Programme!G6476,Programme!H6476,Programme!I6476)</f>
        <v>&lt;ValeurCellule&gt;</v>
      </c>
    </row>
    <row r="6476" spans="1:1" x14ac:dyDescent="0.2">
      <c r="A6476" s="1135" t="str">
        <f>CONCATENATE(Programme!C6477,Programme!D6477,Programme!E6477,Programme!F6477,Programme!G6477,Programme!H6477,Programme!I6477)</f>
        <v>&lt;cellule&gt;</v>
      </c>
    </row>
    <row r="6477" spans="1:1" x14ac:dyDescent="0.2">
      <c r="A6477" s="1135" t="str">
        <f>CONCATENATE(Programme!C6478,Programme!D6478,Programme!E6478,Programme!F6478,Programme!G6478,Programme!H6478,Programme!I6478)</f>
        <v>&lt;codeEdi&gt;1701&lt;/codeEdi&gt;</v>
      </c>
    </row>
    <row r="6478" spans="1:1" x14ac:dyDescent="0.2">
      <c r="A6478" s="1135" t="str">
        <f>CONCATENATE(Programme!C6479,Programme!D6479,Programme!E6479,Programme!F6479,Programme!G6479,Programme!H6479,Programme!I6479)</f>
        <v>&lt;/cellule&gt;</v>
      </c>
    </row>
    <row r="6479" spans="1:1" x14ac:dyDescent="0.2">
      <c r="A6479" s="1135" t="str">
        <f>CONCATENATE(Programme!C6480,Programme!D6480,Programme!E6480,Programme!F6480,Programme!G6480,Programme!H6480,Programme!I6480)</f>
        <v>&lt;valeur&gt;0&lt;/valeur&gt;</v>
      </c>
    </row>
    <row r="6480" spans="1:1" x14ac:dyDescent="0.2">
      <c r="A6480" s="1135" t="str">
        <f>CONCATENATE(Programme!C6481,Programme!D6481,Programme!E6481,Programme!F6481,Programme!G6481,Programme!H6481,Programme!I6481)</f>
        <v>&lt;/ValeurCellule&gt;</v>
      </c>
    </row>
    <row r="6481" spans="1:1" x14ac:dyDescent="0.2">
      <c r="A6481" s="1135" t="str">
        <f>CONCATENATE(Programme!C6482,Programme!D6482,Programme!E6482,Programme!F6482,Programme!G6482,Programme!H6482,Programme!I6482)</f>
        <v>&lt;ValeurCellule&gt;</v>
      </c>
    </row>
    <row r="6482" spans="1:1" x14ac:dyDescent="0.2">
      <c r="A6482" s="1135" t="str">
        <f>CONCATENATE(Programme!C6483,Programme!D6483,Programme!E6483,Programme!F6483,Programme!G6483,Programme!H6483,Programme!I6483)</f>
        <v>&lt;cellule&gt;</v>
      </c>
    </row>
    <row r="6483" spans="1:1" x14ac:dyDescent="0.2">
      <c r="A6483" s="1135" t="str">
        <f>CONCATENATE(Programme!C6484,Programme!D6484,Programme!E6484,Programme!F6484,Programme!G6484,Programme!H6484,Programme!I6484)</f>
        <v>&lt;codeEdi&gt;1702&lt;/codeEdi&gt;</v>
      </c>
    </row>
    <row r="6484" spans="1:1" x14ac:dyDescent="0.2">
      <c r="A6484" s="1135" t="str">
        <f>CONCATENATE(Programme!C6485,Programme!D6485,Programme!E6485,Programme!F6485,Programme!G6485,Programme!H6485,Programme!I6485)</f>
        <v>&lt;/cellule&gt;</v>
      </c>
    </row>
    <row r="6485" spans="1:1" x14ac:dyDescent="0.2">
      <c r="A6485" s="1135" t="str">
        <f>CONCATENATE(Programme!C6486,Programme!D6486,Programme!E6486,Programme!F6486,Programme!G6486,Programme!H6486,Programme!I6486)</f>
        <v>&lt;valeur&gt;0&lt;/valeur&gt;</v>
      </c>
    </row>
    <row r="6486" spans="1:1" x14ac:dyDescent="0.2">
      <c r="A6486" s="1135" t="str">
        <f>CONCATENATE(Programme!C6487,Programme!D6487,Programme!E6487,Programme!F6487,Programme!G6487,Programme!H6487,Programme!I6487)</f>
        <v>&lt;/ValeurCellule&gt;</v>
      </c>
    </row>
    <row r="6487" spans="1:1" x14ac:dyDescent="0.2">
      <c r="A6487" s="1135" t="str">
        <f>CONCATENATE(Programme!C6488,Programme!D6488,Programme!E6488,Programme!F6488,Programme!G6488,Programme!H6488,Programme!I6488)</f>
        <v>&lt;ValeurCellule&gt;</v>
      </c>
    </row>
    <row r="6488" spans="1:1" x14ac:dyDescent="0.2">
      <c r="A6488" s="1135" t="str">
        <f>CONCATENATE(Programme!C6489,Programme!D6489,Programme!E6489,Programme!F6489,Programme!G6489,Programme!H6489,Programme!I6489)</f>
        <v>&lt;cellule&gt;</v>
      </c>
    </row>
    <row r="6489" spans="1:1" x14ac:dyDescent="0.2">
      <c r="A6489" s="1135" t="str">
        <f>CONCATENATE(Programme!C6490,Programme!D6490,Programme!E6490,Programme!F6490,Programme!G6490,Programme!H6490,Programme!I6490)</f>
        <v>&lt;codeEdi&gt;1703&lt;/codeEdi&gt;</v>
      </c>
    </row>
    <row r="6490" spans="1:1" x14ac:dyDescent="0.2">
      <c r="A6490" s="1135" t="str">
        <f>CONCATENATE(Programme!C6491,Programme!D6491,Programme!E6491,Programme!F6491,Programme!G6491,Programme!H6491,Programme!I6491)</f>
        <v>&lt;/cellule&gt;</v>
      </c>
    </row>
    <row r="6491" spans="1:1" x14ac:dyDescent="0.2">
      <c r="A6491" s="1135" t="str">
        <f>CONCATENATE(Programme!C6492,Programme!D6492,Programme!E6492,Programme!F6492,Programme!G6492,Programme!H6492,Programme!I6492)</f>
        <v>&lt;valeur&gt;0&lt;/valeur&gt;</v>
      </c>
    </row>
    <row r="6492" spans="1:1" x14ac:dyDescent="0.2">
      <c r="A6492" s="1135" t="str">
        <f>CONCATENATE(Programme!C6493,Programme!D6493,Programme!E6493,Programme!F6493,Programme!G6493,Programme!H6493,Programme!I6493)</f>
        <v>&lt;/ValeurCellule&gt;</v>
      </c>
    </row>
    <row r="6493" spans="1:1" x14ac:dyDescent="0.2">
      <c r="A6493" s="1135" t="str">
        <f>CONCATENATE(Programme!C6494,Programme!D6494,Programme!E6494,Programme!F6494,Programme!G6494,Programme!H6494,Programme!I6494)</f>
        <v>&lt;ValeurCellule&gt;</v>
      </c>
    </row>
    <row r="6494" spans="1:1" x14ac:dyDescent="0.2">
      <c r="A6494" s="1135" t="str">
        <f>CONCATENATE(Programme!C6495,Programme!D6495,Programme!E6495,Programme!F6495,Programme!G6495,Programme!H6495,Programme!I6495)</f>
        <v>&lt;cellule&gt;</v>
      </c>
    </row>
    <row r="6495" spans="1:1" x14ac:dyDescent="0.2">
      <c r="A6495" s="1135" t="str">
        <f>CONCATENATE(Programme!C6496,Programme!D6496,Programme!E6496,Programme!F6496,Programme!G6496,Programme!H6496,Programme!I6496)</f>
        <v>&lt;codeEdi&gt;1704&lt;/codeEdi&gt;</v>
      </c>
    </row>
    <row r="6496" spans="1:1" x14ac:dyDescent="0.2">
      <c r="A6496" s="1135" t="str">
        <f>CONCATENATE(Programme!C6497,Programme!D6497,Programme!E6497,Programme!F6497,Programme!G6497,Programme!H6497,Programme!I6497)</f>
        <v>&lt;/cellule&gt;</v>
      </c>
    </row>
    <row r="6497" spans="1:1" x14ac:dyDescent="0.2">
      <c r="A6497" s="1135" t="str">
        <f>CONCATENATE(Programme!C6498,Programme!D6498,Programme!E6498,Programme!F6498,Programme!G6498,Programme!H6498,Programme!I6498)</f>
        <v>&lt;valeur&gt;0&lt;/valeur&gt;</v>
      </c>
    </row>
    <row r="6498" spans="1:1" x14ac:dyDescent="0.2">
      <c r="A6498" s="1135" t="str">
        <f>CONCATENATE(Programme!C6499,Programme!D6499,Programme!E6499,Programme!F6499,Programme!G6499,Programme!H6499,Programme!I6499)</f>
        <v>&lt;/ValeurCellule&gt;</v>
      </c>
    </row>
    <row r="6499" spans="1:1" x14ac:dyDescent="0.2">
      <c r="A6499" s="1135" t="str">
        <f>CONCATENATE(Programme!C6500,Programme!D6500,Programme!E6500,Programme!F6500,Programme!G6500,Programme!H6500,Programme!I6500)</f>
        <v>&lt;ValeurCellule&gt;</v>
      </c>
    </row>
    <row r="6500" spans="1:1" x14ac:dyDescent="0.2">
      <c r="A6500" s="1135" t="str">
        <f>CONCATENATE(Programme!C6501,Programme!D6501,Programme!E6501,Programme!F6501,Programme!G6501,Programme!H6501,Programme!I6501)</f>
        <v>&lt;cellule&gt;</v>
      </c>
    </row>
    <row r="6501" spans="1:1" x14ac:dyDescent="0.2">
      <c r="A6501" s="1135" t="str">
        <f>CONCATENATE(Programme!C6502,Programme!D6502,Programme!E6502,Programme!F6502,Programme!G6502,Programme!H6502,Programme!I6502)</f>
        <v>&lt;codeEdi&gt;1705&lt;/codeEdi&gt;</v>
      </c>
    </row>
    <row r="6502" spans="1:1" x14ac:dyDescent="0.2">
      <c r="A6502" s="1135" t="str">
        <f>CONCATENATE(Programme!C6503,Programme!D6503,Programme!E6503,Programme!F6503,Programme!G6503,Programme!H6503,Programme!I6503)</f>
        <v>&lt;/cellule&gt;</v>
      </c>
    </row>
    <row r="6503" spans="1:1" x14ac:dyDescent="0.2">
      <c r="A6503" s="1135" t="str">
        <f>CONCATENATE(Programme!C6504,Programme!D6504,Programme!E6504,Programme!F6504,Programme!G6504,Programme!H6504,Programme!I6504)</f>
        <v>&lt;valeur&gt;0&lt;/valeur&gt;</v>
      </c>
    </row>
    <row r="6504" spans="1:1" x14ac:dyDescent="0.2">
      <c r="A6504" s="1135" t="str">
        <f>CONCATENATE(Programme!C6505,Programme!D6505,Programme!E6505,Programme!F6505,Programme!G6505,Programme!H6505,Programme!I6505)</f>
        <v>&lt;/ValeurCellule&gt;</v>
      </c>
    </row>
    <row r="6505" spans="1:1" x14ac:dyDescent="0.2">
      <c r="A6505" s="1135" t="str">
        <f>CONCATENATE(Programme!C6506,Programme!D6506,Programme!E6506,Programme!F6506,Programme!G6506,Programme!H6506,Programme!I6506)</f>
        <v>&lt;ValeurCellule&gt;</v>
      </c>
    </row>
    <row r="6506" spans="1:1" x14ac:dyDescent="0.2">
      <c r="A6506" s="1135" t="str">
        <f>CONCATENATE(Programme!C6507,Programme!D6507,Programme!E6507,Programme!F6507,Programme!G6507,Programme!H6507,Programme!I6507)</f>
        <v>&lt;cellule&gt;</v>
      </c>
    </row>
    <row r="6507" spans="1:1" x14ac:dyDescent="0.2">
      <c r="A6507" s="1135" t="str">
        <f>CONCATENATE(Programme!C6508,Programme!D6508,Programme!E6508,Programme!F6508,Programme!G6508,Programme!H6508,Programme!I6508)</f>
        <v>&lt;codeEdi&gt;1706&lt;/codeEdi&gt;</v>
      </c>
    </row>
    <row r="6508" spans="1:1" x14ac:dyDescent="0.2">
      <c r="A6508" s="1135" t="str">
        <f>CONCATENATE(Programme!C6509,Programme!D6509,Programme!E6509,Programme!F6509,Programme!G6509,Programme!H6509,Programme!I6509)</f>
        <v>&lt;/cellule&gt;</v>
      </c>
    </row>
    <row r="6509" spans="1:1" x14ac:dyDescent="0.2">
      <c r="A6509" s="1135" t="str">
        <f>CONCATENATE(Programme!C6510,Programme!D6510,Programme!E6510,Programme!F6510,Programme!G6510,Programme!H6510,Programme!I6510)</f>
        <v>&lt;valeur&gt;0&lt;/valeur&gt;</v>
      </c>
    </row>
    <row r="6510" spans="1:1" x14ac:dyDescent="0.2">
      <c r="A6510" s="1135" t="str">
        <f>CONCATENATE(Programme!C6511,Programme!D6511,Programme!E6511,Programme!F6511,Programme!G6511,Programme!H6511,Programme!I6511)</f>
        <v>&lt;/ValeurCellule&gt;</v>
      </c>
    </row>
    <row r="6511" spans="1:1" x14ac:dyDescent="0.2">
      <c r="A6511" s="1135" t="str">
        <f>CONCATENATE(Programme!C6512,Programme!D6512,Programme!E6512,Programme!F6512,Programme!G6512,Programme!H6512,Programme!I6512)</f>
        <v>&lt;ValeurCellule&gt;</v>
      </c>
    </row>
    <row r="6512" spans="1:1" x14ac:dyDescent="0.2">
      <c r="A6512" s="1135" t="str">
        <f>CONCATENATE(Programme!C6513,Programme!D6513,Programme!E6513,Programme!F6513,Programme!G6513,Programme!H6513,Programme!I6513)</f>
        <v>&lt;cellule&gt;</v>
      </c>
    </row>
    <row r="6513" spans="1:1" x14ac:dyDescent="0.2">
      <c r="A6513" s="1135" t="str">
        <f>CONCATENATE(Programme!C6514,Programme!D6514,Programme!E6514,Programme!F6514,Programme!G6514,Programme!H6514,Programme!I6514)</f>
        <v>&lt;codeEdi&gt;1707&lt;/codeEdi&gt;</v>
      </c>
    </row>
    <row r="6514" spans="1:1" x14ac:dyDescent="0.2">
      <c r="A6514" s="1135" t="str">
        <f>CONCATENATE(Programme!C6515,Programme!D6515,Programme!E6515,Programme!F6515,Programme!G6515,Programme!H6515,Programme!I6515)</f>
        <v>&lt;/cellule&gt;</v>
      </c>
    </row>
    <row r="6515" spans="1:1" x14ac:dyDescent="0.2">
      <c r="A6515" s="1135" t="str">
        <f>CONCATENATE(Programme!C6516,Programme!D6516,Programme!E6516,Programme!F6516,Programme!G6516,Programme!H6516,Programme!I6516)</f>
        <v>&lt;valeur&gt;0&lt;/valeur&gt;</v>
      </c>
    </row>
    <row r="6516" spans="1:1" x14ac:dyDescent="0.2">
      <c r="A6516" s="1135" t="str">
        <f>CONCATENATE(Programme!C6517,Programme!D6517,Programme!E6517,Programme!F6517,Programme!G6517,Programme!H6517,Programme!I6517)</f>
        <v>&lt;/ValeurCellule&gt;</v>
      </c>
    </row>
    <row r="6517" spans="1:1" x14ac:dyDescent="0.2">
      <c r="A6517" s="1135" t="str">
        <f>CONCATENATE(Programme!C6518,Programme!D6518,Programme!E6518,Programme!F6518,Programme!G6518,Programme!H6518,Programme!I6518)</f>
        <v>&lt;ValeurCellule&gt;</v>
      </c>
    </row>
    <row r="6518" spans="1:1" x14ac:dyDescent="0.2">
      <c r="A6518" s="1135" t="str">
        <f>CONCATENATE(Programme!C6519,Programme!D6519,Programme!E6519,Programme!F6519,Programme!G6519,Programme!H6519,Programme!I6519)</f>
        <v>&lt;cellule&gt;</v>
      </c>
    </row>
    <row r="6519" spans="1:1" x14ac:dyDescent="0.2">
      <c r="A6519" s="1135" t="str">
        <f>CONCATENATE(Programme!C6520,Programme!D6520,Programme!E6520,Programme!F6520,Programme!G6520,Programme!H6520,Programme!I6520)</f>
        <v>&lt;codeEdi&gt;1708&lt;/codeEdi&gt;</v>
      </c>
    </row>
    <row r="6520" spans="1:1" x14ac:dyDescent="0.2">
      <c r="A6520" s="1135" t="str">
        <f>CONCATENATE(Programme!C6521,Programme!D6521,Programme!E6521,Programme!F6521,Programme!G6521,Programme!H6521,Programme!I6521)</f>
        <v>&lt;/cellule&gt;</v>
      </c>
    </row>
    <row r="6521" spans="1:1" x14ac:dyDescent="0.2">
      <c r="A6521" s="1135" t="str">
        <f>CONCATENATE(Programme!C6522,Programme!D6522,Programme!E6522,Programme!F6522,Programme!G6522,Programme!H6522,Programme!I6522)</f>
        <v>&lt;valeur&gt;171177,26&lt;/valeur&gt;</v>
      </c>
    </row>
    <row r="6522" spans="1:1" x14ac:dyDescent="0.2">
      <c r="A6522" s="1135" t="str">
        <f>CONCATENATE(Programme!C6523,Programme!D6523,Programme!E6523,Programme!F6523,Programme!G6523,Programme!H6523,Programme!I6523)</f>
        <v>&lt;/ValeurCellule&gt;</v>
      </c>
    </row>
    <row r="6523" spans="1:1" x14ac:dyDescent="0.2">
      <c r="A6523" s="1135" t="str">
        <f>CONCATENATE(Programme!C6524,Programme!D6524,Programme!E6524,Programme!F6524,Programme!G6524,Programme!H6524,Programme!I6524)</f>
        <v>&lt;ValeurCellule&gt;</v>
      </c>
    </row>
    <row r="6524" spans="1:1" x14ac:dyDescent="0.2">
      <c r="A6524" s="1135" t="str">
        <f>CONCATENATE(Programme!C6525,Programme!D6525,Programme!E6525,Programme!F6525,Programme!G6525,Programme!H6525,Programme!I6525)</f>
        <v>&lt;cellule&gt;</v>
      </c>
    </row>
    <row r="6525" spans="1:1" x14ac:dyDescent="0.2">
      <c r="A6525" s="1135" t="str">
        <f>CONCATENATE(Programme!C6526,Programme!D6526,Programme!E6526,Programme!F6526,Programme!G6526,Programme!H6526,Programme!I6526)</f>
        <v>&lt;codeEdi&gt;1709&lt;/codeEdi&gt;</v>
      </c>
    </row>
    <row r="6526" spans="1:1" x14ac:dyDescent="0.2">
      <c r="A6526" s="1135" t="str">
        <f>CONCATENATE(Programme!C6527,Programme!D6527,Programme!E6527,Programme!F6527,Programme!G6527,Programme!H6527,Programme!I6527)</f>
        <v>&lt;/cellule&gt;</v>
      </c>
    </row>
    <row r="6527" spans="1:1" x14ac:dyDescent="0.2">
      <c r="A6527" s="1135" t="str">
        <f>CONCATENATE(Programme!C6528,Programme!D6528,Programme!E6528,Programme!F6528,Programme!G6528,Programme!H6528,Programme!I6528)</f>
        <v>&lt;valeur&gt;0&lt;/valeur&gt;</v>
      </c>
    </row>
    <row r="6528" spans="1:1" x14ac:dyDescent="0.2">
      <c r="A6528" s="1135" t="str">
        <f>CONCATENATE(Programme!C6529,Programme!D6529,Programme!E6529,Programme!F6529,Programme!G6529,Programme!H6529,Programme!I6529)</f>
        <v>&lt;/ValeurCellule&gt;</v>
      </c>
    </row>
    <row r="6529" spans="1:1" x14ac:dyDescent="0.2">
      <c r="A6529" s="1135" t="str">
        <f>CONCATENATE(Programme!C6530,Programme!D6530,Programme!E6530,Programme!F6530,Programme!G6530,Programme!H6530,Programme!I6530)</f>
        <v>&lt;ValeurCellule&gt;</v>
      </c>
    </row>
    <row r="6530" spans="1:1" x14ac:dyDescent="0.2">
      <c r="A6530" s="1135" t="str">
        <f>CONCATENATE(Programme!C6531,Programme!D6531,Programme!E6531,Programme!F6531,Programme!G6531,Programme!H6531,Programme!I6531)</f>
        <v>&lt;cellule&gt;</v>
      </c>
    </row>
    <row r="6531" spans="1:1" x14ac:dyDescent="0.2">
      <c r="A6531" s="1135" t="str">
        <f>CONCATENATE(Programme!C6532,Programme!D6532,Programme!E6532,Programme!F6532,Programme!G6532,Programme!H6532,Programme!I6532)</f>
        <v>&lt;codeEdi&gt;1710&lt;/codeEdi&gt;</v>
      </c>
    </row>
    <row r="6532" spans="1:1" x14ac:dyDescent="0.2">
      <c r="A6532" s="1135" t="str">
        <f>CONCATENATE(Programme!C6533,Programme!D6533,Programme!E6533,Programme!F6533,Programme!G6533,Programme!H6533,Programme!I6533)</f>
        <v>&lt;/cellule&gt;</v>
      </c>
    </row>
    <row r="6533" spans="1:1" x14ac:dyDescent="0.2">
      <c r="A6533" s="1135" t="str">
        <f>CONCATENATE(Programme!C6534,Programme!D6534,Programme!E6534,Programme!F6534,Programme!G6534,Programme!H6534,Programme!I6534)</f>
        <v>&lt;valeur&gt;1215&lt;/valeur&gt;</v>
      </c>
    </row>
    <row r="6534" spans="1:1" x14ac:dyDescent="0.2">
      <c r="A6534" s="1135" t="str">
        <f>CONCATENATE(Programme!C6535,Programme!D6535,Programme!E6535,Programme!F6535,Programme!G6535,Programme!H6535,Programme!I6535)</f>
        <v>&lt;/ValeurCellule&gt;</v>
      </c>
    </row>
    <row r="6535" spans="1:1" x14ac:dyDescent="0.2">
      <c r="A6535" s="1135" t="str">
        <f>CONCATENATE(Programme!C6536,Programme!D6536,Programme!E6536,Programme!F6536,Programme!G6536,Programme!H6536,Programme!I6536)</f>
        <v>&lt;ValeurCellule&gt;</v>
      </c>
    </row>
    <row r="6536" spans="1:1" x14ac:dyDescent="0.2">
      <c r="A6536" s="1135" t="str">
        <f>CONCATENATE(Programme!C6537,Programme!D6537,Programme!E6537,Programme!F6537,Programme!G6537,Programme!H6537,Programme!I6537)</f>
        <v>&lt;cellule&gt;</v>
      </c>
    </row>
    <row r="6537" spans="1:1" x14ac:dyDescent="0.2">
      <c r="A6537" s="1135" t="str">
        <f>CONCATENATE(Programme!C6538,Programme!D6538,Programme!E6538,Programme!F6538,Programme!G6538,Programme!H6538,Programme!I6538)</f>
        <v>&lt;codeEdi&gt;1711&lt;/codeEdi&gt;</v>
      </c>
    </row>
    <row r="6538" spans="1:1" x14ac:dyDescent="0.2">
      <c r="A6538" s="1135" t="str">
        <f>CONCATENATE(Programme!C6539,Programme!D6539,Programme!E6539,Programme!F6539,Programme!G6539,Programme!H6539,Programme!I6539)</f>
        <v>&lt;/cellule&gt;</v>
      </c>
    </row>
    <row r="6539" spans="1:1" x14ac:dyDescent="0.2">
      <c r="A6539" s="1135" t="str">
        <f>CONCATENATE(Programme!C6540,Programme!D6540,Programme!E6540,Programme!F6540,Programme!G6540,Programme!H6540,Programme!I6540)</f>
        <v>&lt;valeur&gt;0&lt;/valeur&gt;</v>
      </c>
    </row>
    <row r="6540" spans="1:1" x14ac:dyDescent="0.2">
      <c r="A6540" s="1135" t="str">
        <f>CONCATENATE(Programme!C6541,Programme!D6541,Programme!E6541,Programme!F6541,Programme!G6541,Programme!H6541,Programme!I6541)</f>
        <v>&lt;/ValeurCellule&gt;</v>
      </c>
    </row>
    <row r="6541" spans="1:1" x14ac:dyDescent="0.2">
      <c r="A6541" s="1135" t="str">
        <f>CONCATENATE(Programme!C6542,Programme!D6542,Programme!E6542,Programme!F6542,Programme!G6542,Programme!H6542,Programme!I6542)</f>
        <v>&lt;ValeurCellule&gt;</v>
      </c>
    </row>
    <row r="6542" spans="1:1" x14ac:dyDescent="0.2">
      <c r="A6542" s="1135" t="str">
        <f>CONCATENATE(Programme!C6543,Programme!D6543,Programme!E6543,Programme!F6543,Programme!G6543,Programme!H6543,Programme!I6543)</f>
        <v>&lt;cellule&gt;</v>
      </c>
    </row>
    <row r="6543" spans="1:1" x14ac:dyDescent="0.2">
      <c r="A6543" s="1135" t="str">
        <f>CONCATENATE(Programme!C6544,Programme!D6544,Programme!E6544,Programme!F6544,Programme!G6544,Programme!H6544,Programme!I6544)</f>
        <v>&lt;codeEdi&gt;1712&lt;/codeEdi&gt;</v>
      </c>
    </row>
    <row r="6544" spans="1:1" x14ac:dyDescent="0.2">
      <c r="A6544" s="1135" t="str">
        <f>CONCATENATE(Programme!C6545,Programme!D6545,Programme!E6545,Programme!F6545,Programme!G6545,Programme!H6545,Programme!I6545)</f>
        <v>&lt;/cellule&gt;</v>
      </c>
    </row>
    <row r="6545" spans="1:1" x14ac:dyDescent="0.2">
      <c r="A6545" s="1135" t="str">
        <f>CONCATENATE(Programme!C6546,Programme!D6546,Programme!E6546,Programme!F6546,Programme!G6546,Programme!H6546,Programme!I6546)</f>
        <v>&lt;valeur&gt;169962,26&lt;/valeur&gt;</v>
      </c>
    </row>
    <row r="6546" spans="1:1" x14ac:dyDescent="0.2">
      <c r="A6546" s="1135" t="str">
        <f>CONCATENATE(Programme!C6547,Programme!D6547,Programme!E6547,Programme!F6547,Programme!G6547,Programme!H6547,Programme!I6547)</f>
        <v>&lt;/ValeurCellule&gt;</v>
      </c>
    </row>
    <row r="6547" spans="1:1" x14ac:dyDescent="0.2">
      <c r="A6547" s="1135" t="str">
        <f>CONCATENATE(Programme!C6548,Programme!D6548,Programme!E6548,Programme!F6548,Programme!G6548,Programme!H6548,Programme!I6548)</f>
        <v>&lt;ValeurCellule&gt;</v>
      </c>
    </row>
    <row r="6548" spans="1:1" x14ac:dyDescent="0.2">
      <c r="A6548" s="1135" t="str">
        <f>CONCATENATE(Programme!C6549,Programme!D6549,Programme!E6549,Programme!F6549,Programme!G6549,Programme!H6549,Programme!I6549)</f>
        <v>&lt;cellule&gt;</v>
      </c>
    </row>
    <row r="6549" spans="1:1" x14ac:dyDescent="0.2">
      <c r="A6549" s="1135" t="str">
        <f>CONCATENATE(Programme!C6550,Programme!D6550,Programme!E6550,Programme!F6550,Programme!G6550,Programme!H6550,Programme!I6550)</f>
        <v>&lt;codeEdi&gt;1713&lt;/codeEdi&gt;</v>
      </c>
    </row>
    <row r="6550" spans="1:1" x14ac:dyDescent="0.2">
      <c r="A6550" s="1135" t="str">
        <f>CONCATENATE(Programme!C6551,Programme!D6551,Programme!E6551,Programme!F6551,Programme!G6551,Programme!H6551,Programme!I6551)</f>
        <v>&lt;/cellule&gt;</v>
      </c>
    </row>
    <row r="6551" spans="1:1" x14ac:dyDescent="0.2">
      <c r="A6551" s="1135" t="str">
        <f>CONCATENATE(Programme!C6552,Programme!D6552,Programme!E6552,Programme!F6552,Programme!G6552,Programme!H6552,Programme!I6552)</f>
        <v>&lt;valeur&gt;0&lt;/valeur&gt;</v>
      </c>
    </row>
    <row r="6552" spans="1:1" x14ac:dyDescent="0.2">
      <c r="A6552" s="1135" t="str">
        <f>CONCATENATE(Programme!C6553,Programme!D6553,Programme!E6553,Programme!F6553,Programme!G6553,Programme!H6553,Programme!I6553)</f>
        <v>&lt;/ValeurCellule&gt;</v>
      </c>
    </row>
    <row r="6553" spans="1:1" x14ac:dyDescent="0.2">
      <c r="A6553" s="1135" t="str">
        <f>CONCATENATE(Programme!C6554,Programme!D6554,Programme!E6554,Programme!F6554,Programme!G6554,Programme!H6554,Programme!I6554)</f>
        <v>&lt;ValeurCellule&gt;</v>
      </c>
    </row>
    <row r="6554" spans="1:1" x14ac:dyDescent="0.2">
      <c r="A6554" s="1135" t="str">
        <f>CONCATENATE(Programme!C6555,Programme!D6555,Programme!E6555,Programme!F6555,Programme!G6555,Programme!H6555,Programme!I6555)</f>
        <v>&lt;cellule&gt;</v>
      </c>
    </row>
    <row r="6555" spans="1:1" x14ac:dyDescent="0.2">
      <c r="A6555" s="1135" t="str">
        <f>CONCATENATE(Programme!C6556,Programme!D6556,Programme!E6556,Programme!F6556,Programme!G6556,Programme!H6556,Programme!I6556)</f>
        <v>&lt;codeEdi&gt;1714&lt;/codeEdi&gt;</v>
      </c>
    </row>
    <row r="6556" spans="1:1" x14ac:dyDescent="0.2">
      <c r="A6556" s="1135" t="str">
        <f>CONCATENATE(Programme!C6557,Programme!D6557,Programme!E6557,Programme!F6557,Programme!G6557,Programme!H6557,Programme!I6557)</f>
        <v>&lt;/cellule&gt;</v>
      </c>
    </row>
    <row r="6557" spans="1:1" x14ac:dyDescent="0.2">
      <c r="A6557" s="1135" t="str">
        <f>CONCATENATE(Programme!C6558,Programme!D6558,Programme!E6558,Programme!F6558,Programme!G6558,Programme!H6558,Programme!I6558)</f>
        <v>&lt;valeur&gt;0&lt;/valeur&gt;</v>
      </c>
    </row>
    <row r="6558" spans="1:1" x14ac:dyDescent="0.2">
      <c r="A6558" s="1135" t="str">
        <f>CONCATENATE(Programme!C6559,Programme!D6559,Programme!E6559,Programme!F6559,Programme!G6559,Programme!H6559,Programme!I6559)</f>
        <v>&lt;/ValeurCellule&gt;</v>
      </c>
    </row>
    <row r="6559" spans="1:1" x14ac:dyDescent="0.2">
      <c r="A6559" s="1135" t="str">
        <f>CONCATENATE(Programme!C6560,Programme!D6560,Programme!E6560,Programme!F6560,Programme!G6560,Programme!H6560,Programme!I6560)</f>
        <v>&lt;ValeurCellule&gt;</v>
      </c>
    </row>
    <row r="6560" spans="1:1" x14ac:dyDescent="0.2">
      <c r="A6560" s="1135" t="str">
        <f>CONCATENATE(Programme!C6561,Programme!D6561,Programme!E6561,Programme!F6561,Programme!G6561,Programme!H6561,Programme!I6561)</f>
        <v>&lt;cellule&gt;</v>
      </c>
    </row>
    <row r="6561" spans="1:1" x14ac:dyDescent="0.2">
      <c r="A6561" s="1135" t="str">
        <f>CONCATENATE(Programme!C6562,Programme!D6562,Programme!E6562,Programme!F6562,Programme!G6562,Programme!H6562,Programme!I6562)</f>
        <v>&lt;codeEdi&gt;1715&lt;/codeEdi&gt;</v>
      </c>
    </row>
    <row r="6562" spans="1:1" x14ac:dyDescent="0.2">
      <c r="A6562" s="1135" t="str">
        <f>CONCATENATE(Programme!C6563,Programme!D6563,Programme!E6563,Programme!F6563,Programme!G6563,Programme!H6563,Programme!I6563)</f>
        <v>&lt;/cellule&gt;</v>
      </c>
    </row>
    <row r="6563" spans="1:1" x14ac:dyDescent="0.2">
      <c r="A6563" s="1135" t="str">
        <f>CONCATENATE(Programme!C6564,Programme!D6564,Programme!E6564,Programme!F6564,Programme!G6564,Programme!H6564,Programme!I6564)</f>
        <v>&lt;valeur&gt;0&lt;/valeur&gt;</v>
      </c>
    </row>
    <row r="6564" spans="1:1" x14ac:dyDescent="0.2">
      <c r="A6564" s="1135" t="str">
        <f>CONCATENATE(Programme!C6565,Programme!D6565,Programme!E6565,Programme!F6565,Programme!G6565,Programme!H6565,Programme!I6565)</f>
        <v>&lt;/ValeurCellule&gt;</v>
      </c>
    </row>
    <row r="6565" spans="1:1" x14ac:dyDescent="0.2">
      <c r="A6565" s="1135" t="str">
        <f>CONCATENATE(Programme!C6566,Programme!D6566,Programme!E6566,Programme!F6566,Programme!G6566,Programme!H6566,Programme!I6566)</f>
        <v>&lt;ValeurCellule&gt;</v>
      </c>
    </row>
    <row r="6566" spans="1:1" x14ac:dyDescent="0.2">
      <c r="A6566" s="1135" t="str">
        <f>CONCATENATE(Programme!C6567,Programme!D6567,Programme!E6567,Programme!F6567,Programme!G6567,Programme!H6567,Programme!I6567)</f>
        <v>&lt;cellule&gt;</v>
      </c>
    </row>
    <row r="6567" spans="1:1" x14ac:dyDescent="0.2">
      <c r="A6567" s="1135" t="str">
        <f>CONCATENATE(Programme!C6568,Programme!D6568,Programme!E6568,Programme!F6568,Programme!G6568,Programme!H6568,Programme!I6568)</f>
        <v>&lt;codeEdi&gt;1716&lt;/codeEdi&gt;</v>
      </c>
    </row>
    <row r="6568" spans="1:1" x14ac:dyDescent="0.2">
      <c r="A6568" s="1135" t="str">
        <f>CONCATENATE(Programme!C6569,Programme!D6569,Programme!E6569,Programme!F6569,Programme!G6569,Programme!H6569,Programme!I6569)</f>
        <v>&lt;/cellule&gt;</v>
      </c>
    </row>
    <row r="6569" spans="1:1" x14ac:dyDescent="0.2">
      <c r="A6569" s="1135" t="str">
        <f>CONCATENATE(Programme!C6570,Programme!D6570,Programme!E6570,Programme!F6570,Programme!G6570,Programme!H6570,Programme!I6570)</f>
        <v>&lt;valeur&gt;0&lt;/valeur&gt;</v>
      </c>
    </row>
    <row r="6570" spans="1:1" x14ac:dyDescent="0.2">
      <c r="A6570" s="1135" t="str">
        <f>CONCATENATE(Programme!C6571,Programme!D6571,Programme!E6571,Programme!F6571,Programme!G6571,Programme!H6571,Programme!I6571)</f>
        <v>&lt;/ValeurCellule&gt;</v>
      </c>
    </row>
    <row r="6571" spans="1:1" x14ac:dyDescent="0.2">
      <c r="A6571" s="1135" t="str">
        <f>CONCATENATE(Programme!C6572,Programme!D6572,Programme!E6572,Programme!F6572,Programme!G6572,Programme!H6572,Programme!I6572)</f>
        <v>&lt;ValeurCellule&gt;</v>
      </c>
    </row>
    <row r="6572" spans="1:1" x14ac:dyDescent="0.2">
      <c r="A6572" s="1135" t="str">
        <f>CONCATENATE(Programme!C6573,Programme!D6573,Programme!E6573,Programme!F6573,Programme!G6573,Programme!H6573,Programme!I6573)</f>
        <v>&lt;cellule&gt;</v>
      </c>
    </row>
    <row r="6573" spans="1:1" x14ac:dyDescent="0.2">
      <c r="A6573" s="1135" t="str">
        <f>CONCATENATE(Programme!C6574,Programme!D6574,Programme!E6574,Programme!F6574,Programme!G6574,Programme!H6574,Programme!I6574)</f>
        <v>&lt;codeEdi&gt;1717&lt;/codeEdi&gt;</v>
      </c>
    </row>
    <row r="6574" spans="1:1" x14ac:dyDescent="0.2">
      <c r="A6574" s="1135" t="str">
        <f>CONCATENATE(Programme!C6575,Programme!D6575,Programme!E6575,Programme!F6575,Programme!G6575,Programme!H6575,Programme!I6575)</f>
        <v>&lt;/cellule&gt;</v>
      </c>
    </row>
    <row r="6575" spans="1:1" x14ac:dyDescent="0.2">
      <c r="A6575" s="1135" t="str">
        <f>CONCATENATE(Programme!C6576,Programme!D6576,Programme!E6576,Programme!F6576,Programme!G6576,Programme!H6576,Programme!I6576)</f>
        <v>&lt;valeur&gt;0&lt;/valeur&gt;</v>
      </c>
    </row>
    <row r="6576" spans="1:1" x14ac:dyDescent="0.2">
      <c r="A6576" s="1135" t="str">
        <f>CONCATENATE(Programme!C6577,Programme!D6577,Programme!E6577,Programme!F6577,Programme!G6577,Programme!H6577,Programme!I6577)</f>
        <v>&lt;/ValeurCellule&gt;</v>
      </c>
    </row>
    <row r="6577" spans="1:1" x14ac:dyDescent="0.2">
      <c r="A6577" s="1135" t="str">
        <f>CONCATENATE(Programme!C6578,Programme!D6578,Programme!E6578,Programme!F6578,Programme!G6578,Programme!H6578,Programme!I6578)</f>
        <v>&lt;ValeurCellule&gt;</v>
      </c>
    </row>
    <row r="6578" spans="1:1" x14ac:dyDescent="0.2">
      <c r="A6578" s="1135" t="str">
        <f>CONCATENATE(Programme!C6579,Programme!D6579,Programme!E6579,Programme!F6579,Programme!G6579,Programme!H6579,Programme!I6579)</f>
        <v>&lt;cellule&gt;</v>
      </c>
    </row>
    <row r="6579" spans="1:1" x14ac:dyDescent="0.2">
      <c r="A6579" s="1135" t="str">
        <f>CONCATENATE(Programme!C6580,Programme!D6580,Programme!E6580,Programme!F6580,Programme!G6580,Programme!H6580,Programme!I6580)</f>
        <v>&lt;codeEdi&gt;1718&lt;/codeEdi&gt;</v>
      </c>
    </row>
    <row r="6580" spans="1:1" x14ac:dyDescent="0.2">
      <c r="A6580" s="1135" t="str">
        <f>CONCATENATE(Programme!C6581,Programme!D6581,Programme!E6581,Programme!F6581,Programme!G6581,Programme!H6581,Programme!I6581)</f>
        <v>&lt;/cellule&gt;</v>
      </c>
    </row>
    <row r="6581" spans="1:1" x14ac:dyDescent="0.2">
      <c r="A6581" s="1135" t="str">
        <f>CONCATENATE(Programme!C6582,Programme!D6582,Programme!E6582,Programme!F6582,Programme!G6582,Programme!H6582,Programme!I6582)</f>
        <v>&lt;valeur&gt;0&lt;/valeur&gt;</v>
      </c>
    </row>
    <row r="6582" spans="1:1" x14ac:dyDescent="0.2">
      <c r="A6582" s="1135" t="str">
        <f>CONCATENATE(Programme!C6583,Programme!D6583,Programme!E6583,Programme!F6583,Programme!G6583,Programme!H6583,Programme!I6583)</f>
        <v>&lt;/ValeurCellule&gt;</v>
      </c>
    </row>
    <row r="6583" spans="1:1" x14ac:dyDescent="0.2">
      <c r="A6583" s="1135" t="str">
        <f>CONCATENATE(Programme!C6584,Programme!D6584,Programme!E6584,Programme!F6584,Programme!G6584,Programme!H6584,Programme!I6584)</f>
        <v>&lt;ValeurCellule&gt;</v>
      </c>
    </row>
    <row r="6584" spans="1:1" x14ac:dyDescent="0.2">
      <c r="A6584" s="1135" t="str">
        <f>CONCATENATE(Programme!C6585,Programme!D6585,Programme!E6585,Programme!F6585,Programme!G6585,Programme!H6585,Programme!I6585)</f>
        <v>&lt;cellule&gt;</v>
      </c>
    </row>
    <row r="6585" spans="1:1" x14ac:dyDescent="0.2">
      <c r="A6585" s="1135" t="str">
        <f>CONCATENATE(Programme!C6586,Programme!D6586,Programme!E6586,Programme!F6586,Programme!G6586,Programme!H6586,Programme!I6586)</f>
        <v>&lt;codeEdi&gt;1719&lt;/codeEdi&gt;</v>
      </c>
    </row>
    <row r="6586" spans="1:1" x14ac:dyDescent="0.2">
      <c r="A6586" s="1135" t="str">
        <f>CONCATENATE(Programme!C6587,Programme!D6587,Programme!E6587,Programme!F6587,Programme!G6587,Programme!H6587,Programme!I6587)</f>
        <v>&lt;/cellule&gt;</v>
      </c>
    </row>
    <row r="6587" spans="1:1" x14ac:dyDescent="0.2">
      <c r="A6587" s="1135" t="str">
        <f>CONCATENATE(Programme!C6588,Programme!D6588,Programme!E6588,Programme!F6588,Programme!G6588,Programme!H6588,Programme!I6588)</f>
        <v>&lt;valeur&gt;0&lt;/valeur&gt;</v>
      </c>
    </row>
    <row r="6588" spans="1:1" x14ac:dyDescent="0.2">
      <c r="A6588" s="1135" t="str">
        <f>CONCATENATE(Programme!C6589,Programme!D6589,Programme!E6589,Programme!F6589,Programme!G6589,Programme!H6589,Programme!I6589)</f>
        <v>&lt;/ValeurCellule&gt;</v>
      </c>
    </row>
    <row r="6589" spans="1:1" x14ac:dyDescent="0.2">
      <c r="A6589" s="1135" t="str">
        <f>CONCATENATE(Programme!C6590,Programme!D6590,Programme!E6590,Programme!F6590,Programme!G6590,Programme!H6590,Programme!I6590)</f>
        <v>&lt;ValeurCellule&gt;</v>
      </c>
    </row>
    <row r="6590" spans="1:1" x14ac:dyDescent="0.2">
      <c r="A6590" s="1135" t="str">
        <f>CONCATENATE(Programme!C6591,Programme!D6591,Programme!E6591,Programme!F6591,Programme!G6591,Programme!H6591,Programme!I6591)</f>
        <v>&lt;cellule&gt;</v>
      </c>
    </row>
    <row r="6591" spans="1:1" x14ac:dyDescent="0.2">
      <c r="A6591" s="1135" t="str">
        <f>CONCATENATE(Programme!C6592,Programme!D6592,Programme!E6592,Programme!F6592,Programme!G6592,Programme!H6592,Programme!I6592)</f>
        <v>&lt;codeEdi&gt;1720&lt;/codeEdi&gt;</v>
      </c>
    </row>
    <row r="6592" spans="1:1" x14ac:dyDescent="0.2">
      <c r="A6592" s="1135" t="str">
        <f>CONCATENATE(Programme!C6593,Programme!D6593,Programme!E6593,Programme!F6593,Programme!G6593,Programme!H6593,Programme!I6593)</f>
        <v>&lt;/cellule&gt;</v>
      </c>
    </row>
    <row r="6593" spans="1:1" x14ac:dyDescent="0.2">
      <c r="A6593" s="1135" t="str">
        <f>CONCATENATE(Programme!C6594,Programme!D6594,Programme!E6594,Programme!F6594,Programme!G6594,Programme!H6594,Programme!I6594)</f>
        <v>&lt;valeur&gt;0&lt;/valeur&gt;</v>
      </c>
    </row>
    <row r="6594" spans="1:1" x14ac:dyDescent="0.2">
      <c r="A6594" s="1135" t="str">
        <f>CONCATENATE(Programme!C6595,Programme!D6595,Programme!E6595,Programme!F6595,Programme!G6595,Programme!H6595,Programme!I6595)</f>
        <v>&lt;/ValeurCellule&gt;</v>
      </c>
    </row>
    <row r="6595" spans="1:1" x14ac:dyDescent="0.2">
      <c r="A6595" s="1135" t="str">
        <f>CONCATENATE(Programme!C6596,Programme!D6596,Programme!E6596,Programme!F6596,Programme!G6596,Programme!H6596,Programme!I6596)</f>
        <v>&lt;ValeurCellule&gt;</v>
      </c>
    </row>
    <row r="6596" spans="1:1" x14ac:dyDescent="0.2">
      <c r="A6596" s="1135" t="str">
        <f>CONCATENATE(Programme!C6597,Programme!D6597,Programme!E6597,Programme!F6597,Programme!G6597,Programme!H6597,Programme!I6597)</f>
        <v>&lt;cellule&gt;</v>
      </c>
    </row>
    <row r="6597" spans="1:1" x14ac:dyDescent="0.2">
      <c r="A6597" s="1135" t="str">
        <f>CONCATENATE(Programme!C6598,Programme!D6598,Programme!E6598,Programme!F6598,Programme!G6598,Programme!H6598,Programme!I6598)</f>
        <v>&lt;codeEdi&gt;1721&lt;/codeEdi&gt;</v>
      </c>
    </row>
    <row r="6598" spans="1:1" x14ac:dyDescent="0.2">
      <c r="A6598" s="1135" t="str">
        <f>CONCATENATE(Programme!C6599,Programme!D6599,Programme!E6599,Programme!F6599,Programme!G6599,Programme!H6599,Programme!I6599)</f>
        <v>&lt;/cellule&gt;</v>
      </c>
    </row>
    <row r="6599" spans="1:1" x14ac:dyDescent="0.2">
      <c r="A6599" s="1135" t="str">
        <f>CONCATENATE(Programme!C6600,Programme!D6600,Programme!E6600,Programme!F6600,Programme!G6600,Programme!H6600,Programme!I6600)</f>
        <v>&lt;valeur&gt;0&lt;/valeur&gt;</v>
      </c>
    </row>
    <row r="6600" spans="1:1" x14ac:dyDescent="0.2">
      <c r="A6600" s="1135" t="str">
        <f>CONCATENATE(Programme!C6601,Programme!D6601,Programme!E6601,Programme!F6601,Programme!G6601,Programme!H6601,Programme!I6601)</f>
        <v>&lt;/ValeurCellule&gt;</v>
      </c>
    </row>
    <row r="6601" spans="1:1" x14ac:dyDescent="0.2">
      <c r="A6601" s="1135" t="str">
        <f>CONCATENATE(Programme!C6602,Programme!D6602,Programme!E6602,Programme!F6602,Programme!G6602,Programme!H6602,Programme!I6602)</f>
        <v>&lt;ValeurCellule&gt;</v>
      </c>
    </row>
    <row r="6602" spans="1:1" x14ac:dyDescent="0.2">
      <c r="A6602" s="1135" t="str">
        <f>CONCATENATE(Programme!C6603,Programme!D6603,Programme!E6603,Programme!F6603,Programme!G6603,Programme!H6603,Programme!I6603)</f>
        <v>&lt;cellule&gt;</v>
      </c>
    </row>
    <row r="6603" spans="1:1" x14ac:dyDescent="0.2">
      <c r="A6603" s="1135" t="str">
        <f>CONCATENATE(Programme!C6604,Programme!D6604,Programme!E6604,Programme!F6604,Programme!G6604,Programme!H6604,Programme!I6604)</f>
        <v>&lt;codeEdi&gt;1722&lt;/codeEdi&gt;</v>
      </c>
    </row>
    <row r="6604" spans="1:1" x14ac:dyDescent="0.2">
      <c r="A6604" s="1135" t="str">
        <f>CONCATENATE(Programme!C6605,Programme!D6605,Programme!E6605,Programme!F6605,Programme!G6605,Programme!H6605,Programme!I6605)</f>
        <v>&lt;/cellule&gt;</v>
      </c>
    </row>
    <row r="6605" spans="1:1" x14ac:dyDescent="0.2">
      <c r="A6605" s="1135" t="str">
        <f>CONCATENATE(Programme!C6606,Programme!D6606,Programme!E6606,Programme!F6606,Programme!G6606,Programme!H6606,Programme!I6606)</f>
        <v>&lt;valeur&gt;0&lt;/valeur&gt;</v>
      </c>
    </row>
    <row r="6606" spans="1:1" x14ac:dyDescent="0.2">
      <c r="A6606" s="1135" t="str">
        <f>CONCATENATE(Programme!C6607,Programme!D6607,Programme!E6607,Programme!F6607,Programme!G6607,Programme!H6607,Programme!I6607)</f>
        <v>&lt;/ValeurCellule&gt;</v>
      </c>
    </row>
    <row r="6607" spans="1:1" x14ac:dyDescent="0.2">
      <c r="A6607" s="1135" t="str">
        <f>CONCATENATE(Programme!C6608,Programme!D6608,Programme!E6608,Programme!F6608,Programme!G6608,Programme!H6608,Programme!I6608)</f>
        <v>&lt;ValeurCellule&gt;</v>
      </c>
    </row>
    <row r="6608" spans="1:1" x14ac:dyDescent="0.2">
      <c r="A6608" s="1135" t="str">
        <f>CONCATENATE(Programme!C6609,Programme!D6609,Programme!E6609,Programme!F6609,Programme!G6609,Programme!H6609,Programme!I6609)</f>
        <v>&lt;cellule&gt;</v>
      </c>
    </row>
    <row r="6609" spans="1:1" x14ac:dyDescent="0.2">
      <c r="A6609" s="1135" t="str">
        <f>CONCATENATE(Programme!C6610,Programme!D6610,Programme!E6610,Programme!F6610,Programme!G6610,Programme!H6610,Programme!I6610)</f>
        <v>&lt;codeEdi&gt;1723&lt;/codeEdi&gt;</v>
      </c>
    </row>
    <row r="6610" spans="1:1" x14ac:dyDescent="0.2">
      <c r="A6610" s="1135" t="str">
        <f>CONCATENATE(Programme!C6611,Programme!D6611,Programme!E6611,Programme!F6611,Programme!G6611,Programme!H6611,Programme!I6611)</f>
        <v>&lt;/cellule&gt;</v>
      </c>
    </row>
    <row r="6611" spans="1:1" x14ac:dyDescent="0.2">
      <c r="A6611" s="1135" t="str">
        <f>CONCATENATE(Programme!C6612,Programme!D6612,Programme!E6612,Programme!F6612,Programme!G6612,Programme!H6612,Programme!I6612)</f>
        <v>&lt;valeur&gt;0&lt;/valeur&gt;</v>
      </c>
    </row>
    <row r="6612" spans="1:1" x14ac:dyDescent="0.2">
      <c r="A6612" s="1135" t="str">
        <f>CONCATENATE(Programme!C6613,Programme!D6613,Programme!E6613,Programme!F6613,Programme!G6613,Programme!H6613,Programme!I6613)</f>
        <v>&lt;/ValeurCellule&gt;</v>
      </c>
    </row>
    <row r="6613" spans="1:1" x14ac:dyDescent="0.2">
      <c r="A6613" s="1135" t="str">
        <f>CONCATENATE(Programme!C6614,Programme!D6614,Programme!E6614,Programme!F6614,Programme!G6614,Programme!H6614,Programme!I6614)</f>
        <v>&lt;ValeurCellule&gt;</v>
      </c>
    </row>
    <row r="6614" spans="1:1" x14ac:dyDescent="0.2">
      <c r="A6614" s="1135" t="str">
        <f>CONCATENATE(Programme!C6615,Programme!D6615,Programme!E6615,Programme!F6615,Programme!G6615,Programme!H6615,Programme!I6615)</f>
        <v>&lt;cellule&gt;</v>
      </c>
    </row>
    <row r="6615" spans="1:1" x14ac:dyDescent="0.2">
      <c r="A6615" s="1135" t="str">
        <f>CONCATENATE(Programme!C6616,Programme!D6616,Programme!E6616,Programme!F6616,Programme!G6616,Programme!H6616,Programme!I6616)</f>
        <v>&lt;codeEdi&gt;1724&lt;/codeEdi&gt;</v>
      </c>
    </row>
    <row r="6616" spans="1:1" x14ac:dyDescent="0.2">
      <c r="A6616" s="1135" t="str">
        <f>CONCATENATE(Programme!C6617,Programme!D6617,Programme!E6617,Programme!F6617,Programme!G6617,Programme!H6617,Programme!I6617)</f>
        <v>&lt;/cellule&gt;</v>
      </c>
    </row>
    <row r="6617" spans="1:1" x14ac:dyDescent="0.2">
      <c r="A6617" s="1135" t="str">
        <f>CONCATENATE(Programme!C6618,Programme!D6618,Programme!E6618,Programme!F6618,Programme!G6618,Programme!H6618,Programme!I6618)</f>
        <v>&lt;valeur&gt;171177,26&lt;/valeur&gt;</v>
      </c>
    </row>
    <row r="6618" spans="1:1" x14ac:dyDescent="0.2">
      <c r="A6618" s="1135" t="str">
        <f>CONCATENATE(Programme!C6619,Programme!D6619,Programme!E6619,Programme!F6619,Programme!G6619,Programme!H6619,Programme!I6619)</f>
        <v>&lt;/ValeurCellule&gt;</v>
      </c>
    </row>
    <row r="6619" spans="1:1" x14ac:dyDescent="0.2">
      <c r="A6619" s="1135" t="str">
        <f>CONCATENATE(Programme!C6620,Programme!D6620,Programme!E6620,Programme!F6620,Programme!G6620,Programme!H6620,Programme!I6620)</f>
        <v>&lt;ValeurCellule&gt;</v>
      </c>
    </row>
    <row r="6620" spans="1:1" x14ac:dyDescent="0.2">
      <c r="A6620" s="1135" t="str">
        <f>CONCATENATE(Programme!C6621,Programme!D6621,Programme!E6621,Programme!F6621,Programme!G6621,Programme!H6621,Programme!I6621)</f>
        <v>&lt;cellule&gt;</v>
      </c>
    </row>
    <row r="6621" spans="1:1" x14ac:dyDescent="0.2">
      <c r="A6621" s="1135" t="str">
        <f>CONCATENATE(Programme!C6622,Programme!D6622,Programme!E6622,Programme!F6622,Programme!G6622,Programme!H6622,Programme!I6622)</f>
        <v>&lt;codeEdi&gt;1725&lt;/codeEdi&gt;</v>
      </c>
    </row>
    <row r="6622" spans="1:1" x14ac:dyDescent="0.2">
      <c r="A6622" s="1135" t="str">
        <f>CONCATENATE(Programme!C6623,Programme!D6623,Programme!E6623,Programme!F6623,Programme!G6623,Programme!H6623,Programme!I6623)</f>
        <v>&lt;/cellule&gt;</v>
      </c>
    </row>
    <row r="6623" spans="1:1" x14ac:dyDescent="0.2">
      <c r="A6623" s="1135" t="str">
        <f>CONCATENATE(Programme!C6624,Programme!D6624,Programme!E6624,Programme!F6624,Programme!G6624,Programme!H6624,Programme!I6624)</f>
        <v>&lt;valeur&gt;0&lt;/valeur&gt;</v>
      </c>
    </row>
    <row r="6624" spans="1:1" x14ac:dyDescent="0.2">
      <c r="A6624" s="1135" t="str">
        <f>CONCATENATE(Programme!C6625,Programme!D6625,Programme!E6625,Programme!F6625,Programme!G6625,Programme!H6625,Programme!I6625)</f>
        <v>&lt;/ValeurCellule&gt;</v>
      </c>
    </row>
    <row r="6625" spans="1:1" x14ac:dyDescent="0.2">
      <c r="A6625" s="1135" t="str">
        <f>CONCATENATE(Programme!C6626,Programme!D6626,Programme!E6626,Programme!F6626,Programme!G6626,Programme!H6626,Programme!I6626)</f>
        <v>&lt;ValeurCellule&gt;</v>
      </c>
    </row>
    <row r="6626" spans="1:1" x14ac:dyDescent="0.2">
      <c r="A6626" s="1135" t="str">
        <f>CONCATENATE(Programme!C6627,Programme!D6627,Programme!E6627,Programme!F6627,Programme!G6627,Programme!H6627,Programme!I6627)</f>
        <v>&lt;cellule&gt;</v>
      </c>
    </row>
    <row r="6627" spans="1:1" x14ac:dyDescent="0.2">
      <c r="A6627" s="1135" t="str">
        <f>CONCATENATE(Programme!C6628,Programme!D6628,Programme!E6628,Programme!F6628,Programme!G6628,Programme!H6628,Programme!I6628)</f>
        <v>&lt;codeEdi&gt;1726&lt;/codeEdi&gt;</v>
      </c>
    </row>
    <row r="6628" spans="1:1" x14ac:dyDescent="0.2">
      <c r="A6628" s="1135" t="str">
        <f>CONCATENATE(Programme!C6629,Programme!D6629,Programme!E6629,Programme!F6629,Programme!G6629,Programme!H6629,Programme!I6629)</f>
        <v>&lt;/cellule&gt;</v>
      </c>
    </row>
    <row r="6629" spans="1:1" x14ac:dyDescent="0.2">
      <c r="A6629" s="1135" t="str">
        <f>CONCATENATE(Programme!C6630,Programme!D6630,Programme!E6630,Programme!F6630,Programme!G6630,Programme!H6630,Programme!I6630)</f>
        <v>&lt;valeur&gt;1215&lt;/valeur&gt;</v>
      </c>
    </row>
    <row r="6630" spans="1:1" x14ac:dyDescent="0.2">
      <c r="A6630" s="1135" t="str">
        <f>CONCATENATE(Programme!C6631,Programme!D6631,Programme!E6631,Programme!F6631,Programme!G6631,Programme!H6631,Programme!I6631)</f>
        <v>&lt;/ValeurCellule&gt;</v>
      </c>
    </row>
    <row r="6631" spans="1:1" x14ac:dyDescent="0.2">
      <c r="A6631" s="1135" t="str">
        <f>CONCATENATE(Programme!C6632,Programme!D6632,Programme!E6632,Programme!F6632,Programme!G6632,Programme!H6632,Programme!I6632)</f>
        <v>&lt;ValeurCellule&gt;</v>
      </c>
    </row>
    <row r="6632" spans="1:1" x14ac:dyDescent="0.2">
      <c r="A6632" s="1135" t="str">
        <f>CONCATENATE(Programme!C6633,Programme!D6633,Programme!E6633,Programme!F6633,Programme!G6633,Programme!H6633,Programme!I6633)</f>
        <v>&lt;cellule&gt;</v>
      </c>
    </row>
    <row r="6633" spans="1:1" x14ac:dyDescent="0.2">
      <c r="A6633" s="1135" t="str">
        <f>CONCATENATE(Programme!C6634,Programme!D6634,Programme!E6634,Programme!F6634,Programme!G6634,Programme!H6634,Programme!I6634)</f>
        <v>&lt;codeEdi&gt;1727&lt;/codeEdi&gt;</v>
      </c>
    </row>
    <row r="6634" spans="1:1" x14ac:dyDescent="0.2">
      <c r="A6634" s="1135" t="str">
        <f>CONCATENATE(Programme!C6635,Programme!D6635,Programme!E6635,Programme!F6635,Programme!G6635,Programme!H6635,Programme!I6635)</f>
        <v>&lt;/cellule&gt;</v>
      </c>
    </row>
    <row r="6635" spans="1:1" x14ac:dyDescent="0.2">
      <c r="A6635" s="1135" t="str">
        <f>CONCATENATE(Programme!C6636,Programme!D6636,Programme!E6636,Programme!F6636,Programme!G6636,Programme!H6636,Programme!I6636)</f>
        <v>&lt;valeur&gt;0&lt;/valeur&gt;</v>
      </c>
    </row>
    <row r="6636" spans="1:1" x14ac:dyDescent="0.2">
      <c r="A6636" s="1135" t="str">
        <f>CONCATENATE(Programme!C6637,Programme!D6637,Programme!E6637,Programme!F6637,Programme!G6637,Programme!H6637,Programme!I6637)</f>
        <v>&lt;/ValeurCellule&gt;</v>
      </c>
    </row>
    <row r="6637" spans="1:1" x14ac:dyDescent="0.2">
      <c r="A6637" s="1135" t="str">
        <f>CONCATENATE(Programme!C6638,Programme!D6638,Programme!E6638,Programme!F6638,Programme!G6638,Programme!H6638,Programme!I6638)</f>
        <v>&lt;ValeurCellule&gt;</v>
      </c>
    </row>
    <row r="6638" spans="1:1" x14ac:dyDescent="0.2">
      <c r="A6638" s="1135" t="str">
        <f>CONCATENATE(Programme!C6639,Programme!D6639,Programme!E6639,Programme!F6639,Programme!G6639,Programme!H6639,Programme!I6639)</f>
        <v>&lt;cellule&gt;</v>
      </c>
    </row>
    <row r="6639" spans="1:1" x14ac:dyDescent="0.2">
      <c r="A6639" s="1135" t="str">
        <f>CONCATENATE(Programme!C6640,Programme!D6640,Programme!E6640,Programme!F6640,Programme!G6640,Programme!H6640,Programme!I6640)</f>
        <v>&lt;codeEdi&gt;1728&lt;/codeEdi&gt;</v>
      </c>
    </row>
    <row r="6640" spans="1:1" x14ac:dyDescent="0.2">
      <c r="A6640" s="1135" t="str">
        <f>CONCATENATE(Programme!C6641,Programme!D6641,Programme!E6641,Programme!F6641,Programme!G6641,Programme!H6641,Programme!I6641)</f>
        <v>&lt;/cellule&gt;</v>
      </c>
    </row>
    <row r="6641" spans="1:1" x14ac:dyDescent="0.2">
      <c r="A6641" s="1135" t="str">
        <f>CONCATENATE(Programme!C6642,Programme!D6642,Programme!E6642,Programme!F6642,Programme!G6642,Programme!H6642,Programme!I6642)</f>
        <v>&lt;valeur&gt;169962,26&lt;/valeur&gt;</v>
      </c>
    </row>
    <row r="6642" spans="1:1" x14ac:dyDescent="0.2">
      <c r="A6642" s="1135" t="str">
        <f>CONCATENATE(Programme!C6643,Programme!D6643,Programme!E6643,Programme!F6643,Programme!G6643,Programme!H6643,Programme!I6643)</f>
        <v>&lt;/ValeurCellule&gt;</v>
      </c>
    </row>
    <row r="6643" spans="1:1" x14ac:dyDescent="0.2">
      <c r="A6643" s="1135" t="str">
        <f>CONCATENATE(Programme!C6644,Programme!D6644,Programme!E6644,Programme!F6644,Programme!G6644,Programme!H6644,Programme!I6644)</f>
        <v>&lt;ValeurCellule&gt;</v>
      </c>
    </row>
    <row r="6644" spans="1:1" x14ac:dyDescent="0.2">
      <c r="A6644" s="1135" t="str">
        <f>CONCATENATE(Programme!C6645,Programme!D6645,Programme!E6645,Programme!F6645,Programme!G6645,Programme!H6645,Programme!I6645)</f>
        <v>&lt;cellule&gt;</v>
      </c>
    </row>
    <row r="6645" spans="1:1" x14ac:dyDescent="0.2">
      <c r="A6645" s="1135" t="str">
        <f>CONCATENATE(Programme!C6646,Programme!D6646,Programme!E6646,Programme!F6646,Programme!G6646,Programme!H6646,Programme!I6646)</f>
        <v>&lt;codeEdi&gt;1729&lt;/codeEdi&gt;</v>
      </c>
    </row>
    <row r="6646" spans="1:1" x14ac:dyDescent="0.2">
      <c r="A6646" s="1135" t="str">
        <f>CONCATENATE(Programme!C6647,Programme!D6647,Programme!E6647,Programme!F6647,Programme!G6647,Programme!H6647,Programme!I6647)</f>
        <v>&lt;/cellule&gt;</v>
      </c>
    </row>
    <row r="6647" spans="1:1" x14ac:dyDescent="0.2">
      <c r="A6647" s="1135" t="str">
        <f>CONCATENATE(Programme!C6648,Programme!D6648,Programme!E6648,Programme!F6648,Programme!G6648,Programme!H6648,Programme!I6648)</f>
        <v>&lt;valeur&gt;0&lt;/valeur&gt;</v>
      </c>
    </row>
    <row r="6648" spans="1:1" x14ac:dyDescent="0.2">
      <c r="A6648" s="1135" t="str">
        <f>CONCATENATE(Programme!C6649,Programme!D6649,Programme!E6649,Programme!F6649,Programme!G6649,Programme!H6649,Programme!I6649)</f>
        <v>&lt;/ValeurCellule&gt;</v>
      </c>
    </row>
    <row r="6649" spans="1:1" x14ac:dyDescent="0.2">
      <c r="A6649" s="1135" t="str">
        <f>CONCATENATE(Programme!C6650,Programme!D6650,Programme!E6650,Programme!F6650,Programme!G6650,Programme!H6650,Programme!I6650)</f>
        <v>&lt;ValeurCellule&gt;</v>
      </c>
    </row>
    <row r="6650" spans="1:1" x14ac:dyDescent="0.2">
      <c r="A6650" s="1135" t="str">
        <f>CONCATENATE(Programme!C6651,Programme!D6651,Programme!E6651,Programme!F6651,Programme!G6651,Programme!H6651,Programme!I6651)</f>
        <v>&lt;cellule&gt;</v>
      </c>
    </row>
    <row r="6651" spans="1:1" x14ac:dyDescent="0.2">
      <c r="A6651" s="1135" t="str">
        <f>CONCATENATE(Programme!C6652,Programme!D6652,Programme!E6652,Programme!F6652,Programme!G6652,Programme!H6652,Programme!I6652)</f>
        <v>&lt;codeEdi&gt;1730&lt;/codeEdi&gt;</v>
      </c>
    </row>
    <row r="6652" spans="1:1" x14ac:dyDescent="0.2">
      <c r="A6652" s="1135" t="str">
        <f>CONCATENATE(Programme!C6653,Programme!D6653,Programme!E6653,Programme!F6653,Programme!G6653,Programme!H6653,Programme!I6653)</f>
        <v>&lt;/cellule&gt;</v>
      </c>
    </row>
    <row r="6653" spans="1:1" x14ac:dyDescent="0.2">
      <c r="A6653" s="1135" t="str">
        <f>CONCATENATE(Programme!C6654,Programme!D6654,Programme!E6654,Programme!F6654,Programme!G6654,Programme!H6654,Programme!I6654)</f>
        <v>&lt;valeur&gt;0&lt;/valeur&gt;</v>
      </c>
    </row>
    <row r="6654" spans="1:1" x14ac:dyDescent="0.2">
      <c r="A6654" s="1135" t="str">
        <f>CONCATENATE(Programme!C6655,Programme!D6655,Programme!E6655,Programme!F6655,Programme!G6655,Programme!H6655,Programme!I6655)</f>
        <v>&lt;/ValeurCellule&gt;</v>
      </c>
    </row>
    <row r="6655" spans="1:1" x14ac:dyDescent="0.2">
      <c r="A6655" s="1135" t="str">
        <f>CONCATENATE(Programme!C6656,Programme!D6656,Programme!E6656,Programme!F6656,Programme!G6656,Programme!H6656,Programme!I6656)</f>
        <v>&lt;ValeurCellule&gt;</v>
      </c>
    </row>
    <row r="6656" spans="1:1" x14ac:dyDescent="0.2">
      <c r="A6656" s="1135" t="str">
        <f>CONCATENATE(Programme!C6657,Programme!D6657,Programme!E6657,Programme!F6657,Programme!G6657,Programme!H6657,Programme!I6657)</f>
        <v>&lt;cellule&gt;</v>
      </c>
    </row>
    <row r="6657" spans="1:1" x14ac:dyDescent="0.2">
      <c r="A6657" s="1135" t="str">
        <f>CONCATENATE(Programme!C6658,Programme!D6658,Programme!E6658,Programme!F6658,Programme!G6658,Programme!H6658,Programme!I6658)</f>
        <v>&lt;codeEdi&gt;1731&lt;/codeEdi&gt;</v>
      </c>
    </row>
    <row r="6658" spans="1:1" x14ac:dyDescent="0.2">
      <c r="A6658" s="1135" t="str">
        <f>CONCATENATE(Programme!C6659,Programme!D6659,Programme!E6659,Programme!F6659,Programme!G6659,Programme!H6659,Programme!I6659)</f>
        <v>&lt;/cellule&gt;</v>
      </c>
    </row>
    <row r="6659" spans="1:1" x14ac:dyDescent="0.2">
      <c r="A6659" s="1135" t="str">
        <f>CONCATENATE(Programme!C6660,Programme!D6660,Programme!E6660,Programme!F6660,Programme!G6660,Programme!H6660,Programme!I6660)</f>
        <v>&lt;valeur&gt;0&lt;/valeur&gt;</v>
      </c>
    </row>
    <row r="6660" spans="1:1" x14ac:dyDescent="0.2">
      <c r="A6660" s="1135" t="str">
        <f>CONCATENATE(Programme!C6661,Programme!D6661,Programme!E6661,Programme!F6661,Programme!G6661,Programme!H6661,Programme!I6661)</f>
        <v>&lt;/ValeurCellule&gt;</v>
      </c>
    </row>
    <row r="6661" spans="1:1" x14ac:dyDescent="0.2">
      <c r="A6661" s="1135" t="str">
        <f>CONCATENATE(Programme!C6662,Programme!D6662,Programme!E6662,Programme!F6662,Programme!G6662,Programme!H6662,Programme!I6662)</f>
        <v>&lt;/groupeValeurs&gt;</v>
      </c>
    </row>
    <row r="6662" spans="1:1" x14ac:dyDescent="0.2">
      <c r="A6662" s="1135" t="str">
        <f>CONCATENATE(Programme!C6663,Programme!D6663,Programme!E6663,Programme!F6663,Programme!G6663,Programme!H6663,Programme!I6663)</f>
        <v>&lt;extraFieldvaleurs&gt;</v>
      </c>
    </row>
    <row r="6663" spans="1:1" x14ac:dyDescent="0.2">
      <c r="A6663" s="1135" t="str">
        <f>CONCATENATE(Programme!C6664,Programme!D6664,Programme!E6664,Programme!F6664,Programme!G6664,Programme!H6664,Programme!I6664)</f>
        <v>&lt;/extraFieldvaleurs&gt;</v>
      </c>
    </row>
    <row r="6664" spans="1:1" x14ac:dyDescent="0.2">
      <c r="A6664" s="1135" t="str">
        <f>CONCATENATE(Programme!C6665,Programme!D6665,Programme!E6665,Programme!F6665,Programme!G6665,Programme!H6665,Programme!I6665)</f>
        <v>&lt;/ValeursTableau&gt;</v>
      </c>
    </row>
    <row r="6665" spans="1:1" x14ac:dyDescent="0.2">
      <c r="A6665" s="1135" t="str">
        <f>CONCATENATE(Programme!C6666,Programme!D6666,Programme!E6666,Programme!F6666,Programme!G6666,Programme!H6666,Programme!I6666)</f>
        <v>&lt;ValeursTableau&gt;</v>
      </c>
    </row>
    <row r="6666" spans="1:1" x14ac:dyDescent="0.2">
      <c r="A6666" s="1135" t="str">
        <f>CONCATENATE(Programme!C6667,Programme!D6667,Programme!E6667,Programme!F6667,Programme!G6667,Programme!H6667,Programme!I6667)</f>
        <v>&lt;tableau&gt;&lt;id&gt;37&lt;/id&gt;&lt;/tableau&gt;</v>
      </c>
    </row>
    <row r="6667" spans="1:1" x14ac:dyDescent="0.2">
      <c r="A6667" s="1135" t="str">
        <f>CONCATENATE(Programme!C6668,Programme!D6668,Programme!E6668,Programme!F6668,Programme!G6668,Programme!H6668,Programme!I6668)</f>
        <v>&lt;groupeValeurs&gt;</v>
      </c>
    </row>
    <row r="6668" spans="1:1" x14ac:dyDescent="0.2">
      <c r="A6668" s="1135" t="str">
        <f>CONCATENATE(Programme!C6669,Programme!D6669,Programme!E6669,Programme!F6669,Programme!G6669,Programme!H6669,Programme!I6669)</f>
        <v>&lt;ValeurCellule&gt;</v>
      </c>
    </row>
    <row r="6669" spans="1:1" x14ac:dyDescent="0.2">
      <c r="A6669" s="1135" t="str">
        <f>CONCATENATE(Programme!C6670,Programme!D6670,Programme!E6670,Programme!F6670,Programme!G6670,Programme!H6670,Programme!I6670)</f>
        <v>&lt;cellule&gt;</v>
      </c>
    </row>
    <row r="6670" spans="1:1" x14ac:dyDescent="0.2">
      <c r="A6670" s="1135" t="str">
        <f>CONCATENATE(Programme!C6671,Programme!D6671,Programme!E6671,Programme!F6671,Programme!G6671,Programme!H6671,Programme!I6671)</f>
        <v>&lt;codeEdi&gt;1748&lt;/codeEdi&gt;</v>
      </c>
    </row>
    <row r="6671" spans="1:1" x14ac:dyDescent="0.2">
      <c r="A6671" s="1135" t="str">
        <f>CONCATENATE(Programme!C6672,Programme!D6672,Programme!E6672,Programme!F6672,Programme!G6672,Programme!H6672,Programme!I6672)</f>
        <v>&lt;/cellule&gt;</v>
      </c>
    </row>
    <row r="6672" spans="1:1" x14ac:dyDescent="0.2">
      <c r="A6672" s="1135" t="str">
        <f>CONCATENATE(Programme!C6673,Programme!D6673,Programme!E6673,Programme!F6673,Programme!G6673,Programme!H6673,Programme!I6673)</f>
        <v>&lt;valeur&gt;0&lt;/valeur&gt;</v>
      </c>
    </row>
    <row r="6673" spans="1:1" x14ac:dyDescent="0.2">
      <c r="A6673" s="1135" t="str">
        <f>CONCATENATE(Programme!C6674,Programme!D6674,Programme!E6674,Programme!F6674,Programme!G6674,Programme!H6674,Programme!I6674)</f>
        <v>&lt;/ValeurCellule&gt;</v>
      </c>
    </row>
    <row r="6674" spans="1:1" x14ac:dyDescent="0.2">
      <c r="A6674" s="1135" t="str">
        <f>CONCATENATE(Programme!C6675,Programme!D6675,Programme!E6675,Programme!F6675,Programme!G6675,Programme!H6675,Programme!I6675)</f>
        <v>&lt;ValeurCellule&gt;</v>
      </c>
    </row>
    <row r="6675" spans="1:1" x14ac:dyDescent="0.2">
      <c r="A6675" s="1135" t="str">
        <f>CONCATENATE(Programme!C6676,Programme!D6676,Programme!E6676,Programme!F6676,Programme!G6676,Programme!H6676,Programme!I6676)</f>
        <v>&lt;cellule&gt;</v>
      </c>
    </row>
    <row r="6676" spans="1:1" x14ac:dyDescent="0.2">
      <c r="A6676" s="1135" t="str">
        <f>CONCATENATE(Programme!C6677,Programme!D6677,Programme!E6677,Programme!F6677,Programme!G6677,Programme!H6677,Programme!I6677)</f>
        <v>&lt;codeEdi&gt;1784&lt;/codeEdi&gt;</v>
      </c>
    </row>
    <row r="6677" spans="1:1" x14ac:dyDescent="0.2">
      <c r="A6677" s="1135" t="str">
        <f>CONCATENATE(Programme!C6678,Programme!D6678,Programme!E6678,Programme!F6678,Programme!G6678,Programme!H6678,Programme!I6678)</f>
        <v>&lt;/cellule&gt;</v>
      </c>
    </row>
    <row r="6678" spans="1:1" x14ac:dyDescent="0.2">
      <c r="A6678" s="1135" t="str">
        <f>CONCATENATE(Programme!C6679,Programme!D6679,Programme!E6679,Programme!F6679,Programme!G6679,Programme!H6679,Programme!I6679)</f>
        <v>&lt;valeur&gt;0&lt;/valeur&gt;</v>
      </c>
    </row>
    <row r="6679" spans="1:1" x14ac:dyDescent="0.2">
      <c r="A6679" s="1135" t="str">
        <f>CONCATENATE(Programme!C6680,Programme!D6680,Programme!E6680,Programme!F6680,Programme!G6680,Programme!H6680,Programme!I6680)</f>
        <v>&lt;/ValeurCellule&gt;</v>
      </c>
    </row>
    <row r="6680" spans="1:1" x14ac:dyDescent="0.2">
      <c r="A6680" s="1135" t="str">
        <f>CONCATENATE(Programme!C6681,Programme!D6681,Programme!E6681,Programme!F6681,Programme!G6681,Programme!H6681,Programme!I6681)</f>
        <v>&lt;ValeurCellule&gt;</v>
      </c>
    </row>
    <row r="6681" spans="1:1" x14ac:dyDescent="0.2">
      <c r="A6681" s="1135" t="str">
        <f>CONCATENATE(Programme!C6682,Programme!D6682,Programme!E6682,Programme!F6682,Programme!G6682,Programme!H6682,Programme!I6682)</f>
        <v>&lt;cellule&gt;</v>
      </c>
    </row>
    <row r="6682" spans="1:1" x14ac:dyDescent="0.2">
      <c r="A6682" s="1135" t="str">
        <f>CONCATENATE(Programme!C6683,Programme!D6683,Programme!E6683,Programme!F6683,Programme!G6683,Programme!H6683,Programme!I6683)</f>
        <v>&lt;codeEdi&gt;1827&lt;/codeEdi&gt;</v>
      </c>
    </row>
    <row r="6683" spans="1:1" x14ac:dyDescent="0.2">
      <c r="A6683" s="1135" t="str">
        <f>CONCATENATE(Programme!C6684,Programme!D6684,Programme!E6684,Programme!F6684,Programme!G6684,Programme!H6684,Programme!I6684)</f>
        <v>&lt;/cellule&gt;</v>
      </c>
    </row>
    <row r="6684" spans="1:1" x14ac:dyDescent="0.2">
      <c r="A6684" s="1135" t="str">
        <f>CONCATENATE(Programme!C6685,Programme!D6685,Programme!E6685,Programme!F6685,Programme!G6685,Programme!H6685,Programme!I6685)</f>
        <v>&lt;valeur&gt;0&lt;/valeur&gt;</v>
      </c>
    </row>
    <row r="6685" spans="1:1" x14ac:dyDescent="0.2">
      <c r="A6685" s="1135" t="str">
        <f>CONCATENATE(Programme!C6686,Programme!D6686,Programme!E6686,Programme!F6686,Programme!G6686,Programme!H6686,Programme!I6686)</f>
        <v>&lt;/ValeurCellule&gt;</v>
      </c>
    </row>
    <row r="6686" spans="1:1" x14ac:dyDescent="0.2">
      <c r="A6686" s="1135" t="str">
        <f>CONCATENATE(Programme!C6687,Programme!D6687,Programme!E6687,Programme!F6687,Programme!G6687,Programme!H6687,Programme!I6687)</f>
        <v>&lt;ValeurCellule&gt;</v>
      </c>
    </row>
    <row r="6687" spans="1:1" x14ac:dyDescent="0.2">
      <c r="A6687" s="1135" t="str">
        <f>CONCATENATE(Programme!C6688,Programme!D6688,Programme!E6688,Programme!F6688,Programme!G6688,Programme!H6688,Programme!I6688)</f>
        <v>&lt;cellule&gt;</v>
      </c>
    </row>
    <row r="6688" spans="1:1" x14ac:dyDescent="0.2">
      <c r="A6688" s="1135" t="str">
        <f>CONCATENATE(Programme!C6689,Programme!D6689,Programme!E6689,Programme!F6689,Programme!G6689,Programme!H6689,Programme!I6689)</f>
        <v>&lt;codeEdi&gt;1844&lt;/codeEdi&gt;</v>
      </c>
    </row>
    <row r="6689" spans="1:1" x14ac:dyDescent="0.2">
      <c r="A6689" s="1135" t="str">
        <f>CONCATENATE(Programme!C6690,Programme!D6690,Programme!E6690,Programme!F6690,Programme!G6690,Programme!H6690,Programme!I6690)</f>
        <v>&lt;/cellule&gt;</v>
      </c>
    </row>
    <row r="6690" spans="1:1" x14ac:dyDescent="0.2">
      <c r="A6690" s="1135" t="str">
        <f>CONCATENATE(Programme!C6691,Programme!D6691,Programme!E6691,Programme!F6691,Programme!G6691,Programme!H6691,Programme!I6691)</f>
        <v>&lt;valeur&gt;0&lt;/valeur&gt;</v>
      </c>
    </row>
    <row r="6691" spans="1:1" x14ac:dyDescent="0.2">
      <c r="A6691" s="1135" t="str">
        <f>CONCATENATE(Programme!C6692,Programme!D6692,Programme!E6692,Programme!F6692,Programme!G6692,Programme!H6692,Programme!I6692)</f>
        <v>&lt;/ValeurCellule&gt;</v>
      </c>
    </row>
    <row r="6692" spans="1:1" x14ac:dyDescent="0.2">
      <c r="A6692" s="1135" t="str">
        <f>CONCATENATE(Programme!C6693,Programme!D6693,Programme!E6693,Programme!F6693,Programme!G6693,Programme!H6693,Programme!I6693)</f>
        <v>&lt;ValeurCellule&gt;</v>
      </c>
    </row>
    <row r="6693" spans="1:1" x14ac:dyDescent="0.2">
      <c r="A6693" s="1135" t="str">
        <f>CONCATENATE(Programme!C6694,Programme!D6694,Programme!E6694,Programme!F6694,Programme!G6694,Programme!H6694,Programme!I6694)</f>
        <v>&lt;cellule&gt;</v>
      </c>
    </row>
    <row r="6694" spans="1:1" x14ac:dyDescent="0.2">
      <c r="A6694" s="1135" t="str">
        <f>CONCATENATE(Programme!C6695,Programme!D6695,Programme!E6695,Programme!F6695,Programme!G6695,Programme!H6695,Programme!I6695)</f>
        <v>&lt;codeEdi&gt;1877&lt;/codeEdi&gt;</v>
      </c>
    </row>
    <row r="6695" spans="1:1" x14ac:dyDescent="0.2">
      <c r="A6695" s="1135" t="str">
        <f>CONCATENATE(Programme!C6696,Programme!D6696,Programme!E6696,Programme!F6696,Programme!G6696,Programme!H6696,Programme!I6696)</f>
        <v>&lt;/cellule&gt;</v>
      </c>
    </row>
    <row r="6696" spans="1:1" x14ac:dyDescent="0.2">
      <c r="A6696" s="1135" t="str">
        <f>CONCATENATE(Programme!C6697,Programme!D6697,Programme!E6697,Programme!F6697,Programme!G6697,Programme!H6697,Programme!I6697)</f>
        <v>&lt;valeur&gt;0&lt;/valeur&gt;</v>
      </c>
    </row>
    <row r="6697" spans="1:1" x14ac:dyDescent="0.2">
      <c r="A6697" s="1135" t="str">
        <f>CONCATENATE(Programme!C6698,Programme!D6698,Programme!E6698,Programme!F6698,Programme!G6698,Programme!H6698,Programme!I6698)</f>
        <v>&lt;/ValeurCellule&gt;</v>
      </c>
    </row>
    <row r="6698" spans="1:1" x14ac:dyDescent="0.2">
      <c r="A6698" s="1135" t="str">
        <f>CONCATENATE(Programme!C6699,Programme!D6699,Programme!E6699,Programme!F6699,Programme!G6699,Programme!H6699,Programme!I6699)</f>
        <v>&lt;ValeurCellule&gt;</v>
      </c>
    </row>
    <row r="6699" spans="1:1" x14ac:dyDescent="0.2">
      <c r="A6699" s="1135" t="str">
        <f>CONCATENATE(Programme!C6700,Programme!D6700,Programme!E6700,Programme!F6700,Programme!G6700,Programme!H6700,Programme!I6700)</f>
        <v>&lt;cellule&gt;</v>
      </c>
    </row>
    <row r="6700" spans="1:1" x14ac:dyDescent="0.2">
      <c r="A6700" s="1135" t="str">
        <f>CONCATENATE(Programme!C6701,Programme!D6701,Programme!E6701,Programme!F6701,Programme!G6701,Programme!H6701,Programme!I6701)</f>
        <v>&lt;codeEdi&gt;1894&lt;/codeEdi&gt;</v>
      </c>
    </row>
    <row r="6701" spans="1:1" x14ac:dyDescent="0.2">
      <c r="A6701" s="1135" t="str">
        <f>CONCATENATE(Programme!C6702,Programme!D6702,Programme!E6702,Programme!F6702,Programme!G6702,Programme!H6702,Programme!I6702)</f>
        <v>&lt;/cellule&gt;</v>
      </c>
    </row>
    <row r="6702" spans="1:1" x14ac:dyDescent="0.2">
      <c r="A6702" s="1135" t="str">
        <f>CONCATENATE(Programme!C6703,Programme!D6703,Programme!E6703,Programme!F6703,Programme!G6703,Programme!H6703,Programme!I6703)</f>
        <v>&lt;valeur&gt;0&lt;/valeur&gt;</v>
      </c>
    </row>
    <row r="6703" spans="1:1" x14ac:dyDescent="0.2">
      <c r="A6703" s="1135" t="str">
        <f>CONCATENATE(Programme!C6704,Programme!D6704,Programme!E6704,Programme!F6704,Programme!G6704,Programme!H6704,Programme!I6704)</f>
        <v>&lt;/ValeurCellule&gt;</v>
      </c>
    </row>
    <row r="6704" spans="1:1" x14ac:dyDescent="0.2">
      <c r="A6704" s="1135" t="str">
        <f>CONCATENATE(Programme!C6705,Programme!D6705,Programme!E6705,Programme!F6705,Programme!G6705,Programme!H6705,Programme!I6705)</f>
        <v>&lt;ValeurCellule&gt;</v>
      </c>
    </row>
    <row r="6705" spans="1:1" x14ac:dyDescent="0.2">
      <c r="A6705" s="1135" t="str">
        <f>CONCATENATE(Programme!C6706,Programme!D6706,Programme!E6706,Programme!F6706,Programme!G6706,Programme!H6706,Programme!I6706)</f>
        <v>&lt;cellule&gt;</v>
      </c>
    </row>
    <row r="6706" spans="1:1" x14ac:dyDescent="0.2">
      <c r="A6706" s="1135" t="str">
        <f>CONCATENATE(Programme!C6707,Programme!D6707,Programme!E6707,Programme!F6707,Programme!G6707,Programme!H6707,Programme!I6707)</f>
        <v>&lt;codeEdi&gt;1903&lt;/codeEdi&gt;</v>
      </c>
    </row>
    <row r="6707" spans="1:1" x14ac:dyDescent="0.2">
      <c r="A6707" s="1135" t="str">
        <f>CONCATENATE(Programme!C6708,Programme!D6708,Programme!E6708,Programme!F6708,Programme!G6708,Programme!H6708,Programme!I6708)</f>
        <v>&lt;/cellule&gt;</v>
      </c>
    </row>
    <row r="6708" spans="1:1" x14ac:dyDescent="0.2">
      <c r="A6708" s="1135" t="str">
        <f>CONCATENATE(Programme!C6709,Programme!D6709,Programme!E6709,Programme!F6709,Programme!G6709,Programme!H6709,Programme!I6709)</f>
        <v>&lt;valeur&gt;0&lt;/valeur&gt;</v>
      </c>
    </row>
    <row r="6709" spans="1:1" x14ac:dyDescent="0.2">
      <c r="A6709" s="1135" t="str">
        <f>CONCATENATE(Programme!C6710,Programme!D6710,Programme!E6710,Programme!F6710,Programme!G6710,Programme!H6710,Programme!I6710)</f>
        <v>&lt;/ValeurCellule&gt;</v>
      </c>
    </row>
    <row r="6710" spans="1:1" x14ac:dyDescent="0.2">
      <c r="A6710" s="1135" t="str">
        <f>CONCATENATE(Programme!C6711,Programme!D6711,Programme!E6711,Programme!F6711,Programme!G6711,Programme!H6711,Programme!I6711)</f>
        <v>&lt;ValeurCellule&gt;</v>
      </c>
    </row>
    <row r="6711" spans="1:1" x14ac:dyDescent="0.2">
      <c r="A6711" s="1135" t="str">
        <f>CONCATENATE(Programme!C6712,Programme!D6712,Programme!E6712,Programme!F6712,Programme!G6712,Programme!H6712,Programme!I6712)</f>
        <v>&lt;cellule&gt;</v>
      </c>
    </row>
    <row r="6712" spans="1:1" x14ac:dyDescent="0.2">
      <c r="A6712" s="1135" t="str">
        <f>CONCATENATE(Programme!C6713,Programme!D6713,Programme!E6713,Programme!F6713,Programme!G6713,Programme!H6713,Programme!I6713)</f>
        <v>&lt;codeEdi&gt;1921&lt;/codeEdi&gt;</v>
      </c>
    </row>
    <row r="6713" spans="1:1" x14ac:dyDescent="0.2">
      <c r="A6713" s="1135" t="str">
        <f>CONCATENATE(Programme!C6714,Programme!D6714,Programme!E6714,Programme!F6714,Programme!G6714,Programme!H6714,Programme!I6714)</f>
        <v>&lt;/cellule&gt;</v>
      </c>
    </row>
    <row r="6714" spans="1:1" x14ac:dyDescent="0.2">
      <c r="A6714" s="1135" t="str">
        <f>CONCATENATE(Programme!C6715,Programme!D6715,Programme!E6715,Programme!F6715,Programme!G6715,Programme!H6715,Programme!I6715)</f>
        <v>&lt;valeur&gt;0&lt;/valeur&gt;</v>
      </c>
    </row>
    <row r="6715" spans="1:1" x14ac:dyDescent="0.2">
      <c r="A6715" s="1135" t="str">
        <f>CONCATENATE(Programme!C6716,Programme!D6716,Programme!E6716,Programme!F6716,Programme!G6716,Programme!H6716,Programme!I6716)</f>
        <v>&lt;/ValeurCellule&gt;</v>
      </c>
    </row>
    <row r="6716" spans="1:1" x14ac:dyDescent="0.2">
      <c r="A6716" s="1135" t="str">
        <f>CONCATENATE(Programme!C6717,Programme!D6717,Programme!E6717,Programme!F6717,Programme!G6717,Programme!H6717,Programme!I6717)</f>
        <v>&lt;ValeurCellule&gt;</v>
      </c>
    </row>
    <row r="6717" spans="1:1" x14ac:dyDescent="0.2">
      <c r="A6717" s="1135" t="str">
        <f>CONCATENATE(Programme!C6718,Programme!D6718,Programme!E6718,Programme!F6718,Programme!G6718,Programme!H6718,Programme!I6718)</f>
        <v>&lt;cellule&gt;</v>
      </c>
    </row>
    <row r="6718" spans="1:1" x14ac:dyDescent="0.2">
      <c r="A6718" s="1135" t="str">
        <f>CONCATENATE(Programme!C6719,Programme!D6719,Programme!E6719,Programme!F6719,Programme!G6719,Programme!H6719,Programme!I6719)</f>
        <v>&lt;codeEdi&gt;1912&lt;/codeEdi&gt;</v>
      </c>
    </row>
    <row r="6719" spans="1:1" x14ac:dyDescent="0.2">
      <c r="A6719" s="1135" t="str">
        <f>CONCATENATE(Programme!C6720,Programme!D6720,Programme!E6720,Programme!F6720,Programme!G6720,Programme!H6720,Programme!I6720)</f>
        <v>&lt;/cellule&gt;</v>
      </c>
    </row>
    <row r="6720" spans="1:1" x14ac:dyDescent="0.2">
      <c r="A6720" s="1135" t="str">
        <f>CONCATENATE(Programme!C6721,Programme!D6721,Programme!E6721,Programme!F6721,Programme!G6721,Programme!H6721,Programme!I6721)</f>
        <v>&lt;valeur&gt;0&lt;/valeur&gt;</v>
      </c>
    </row>
    <row r="6721" spans="1:1" x14ac:dyDescent="0.2">
      <c r="A6721" s="1135" t="str">
        <f>CONCATENATE(Programme!C6722,Programme!D6722,Programme!E6722,Programme!F6722,Programme!G6722,Programme!H6722,Programme!I6722)</f>
        <v>&lt;/ValeurCellule&gt;</v>
      </c>
    </row>
    <row r="6722" spans="1:1" x14ac:dyDescent="0.2">
      <c r="A6722" s="1135" t="str">
        <f>CONCATENATE(Programme!C6723,Programme!D6723,Programme!E6723,Programme!F6723,Programme!G6723,Programme!H6723,Programme!I6723)</f>
        <v>&lt;ValeurCellule&gt;</v>
      </c>
    </row>
    <row r="6723" spans="1:1" x14ac:dyDescent="0.2">
      <c r="A6723" s="1135" t="str">
        <f>CONCATENATE(Programme!C6724,Programme!D6724,Programme!E6724,Programme!F6724,Programme!G6724,Programme!H6724,Programme!I6724)</f>
        <v>&lt;cellule&gt;</v>
      </c>
    </row>
    <row r="6724" spans="1:1" x14ac:dyDescent="0.2">
      <c r="A6724" s="1135" t="str">
        <f>CONCATENATE(Programme!C6725,Programme!D6725,Programme!E6725,Programme!F6725,Programme!G6725,Programme!H6725,Programme!I6725)</f>
        <v>&lt;codeEdi&gt;1749&lt;/codeEdi&gt;</v>
      </c>
    </row>
    <row r="6725" spans="1:1" x14ac:dyDescent="0.2">
      <c r="A6725" s="1135" t="str">
        <f>CONCATENATE(Programme!C6726,Programme!D6726,Programme!E6726,Programme!F6726,Programme!G6726,Programme!H6726,Programme!I6726)</f>
        <v>&lt;/cellule&gt;</v>
      </c>
    </row>
    <row r="6726" spans="1:1" x14ac:dyDescent="0.2">
      <c r="A6726" s="1135" t="str">
        <f>CONCATENATE(Programme!C6727,Programme!D6727,Programme!E6727,Programme!F6727,Programme!G6727,Programme!H6727,Programme!I6727)</f>
        <v>&lt;valeur&gt;&lt;/valeur&gt;</v>
      </c>
    </row>
    <row r="6727" spans="1:1" x14ac:dyDescent="0.2">
      <c r="A6727" s="1135" t="str">
        <f>CONCATENATE(Programme!C6728,Programme!D6728,Programme!E6728,Programme!F6728,Programme!G6728,Programme!H6728,Programme!I6728)</f>
        <v>&lt;/ValeurCellule&gt;</v>
      </c>
    </row>
    <row r="6728" spans="1:1" x14ac:dyDescent="0.2">
      <c r="A6728" s="1135" t="str">
        <f>CONCATENATE(Programme!C6729,Programme!D6729,Programme!E6729,Programme!F6729,Programme!G6729,Programme!H6729,Programme!I6729)</f>
        <v>&lt;ValeurCellule&gt;</v>
      </c>
    </row>
    <row r="6729" spans="1:1" x14ac:dyDescent="0.2">
      <c r="A6729" s="1135" t="str">
        <f>CONCATENATE(Programme!C6730,Programme!D6730,Programme!E6730,Programme!F6730,Programme!G6730,Programme!H6730,Programme!I6730)</f>
        <v>&lt;cellule&gt;</v>
      </c>
    </row>
    <row r="6730" spans="1:1" x14ac:dyDescent="0.2">
      <c r="A6730" s="1135" t="str">
        <f>CONCATENATE(Programme!C6731,Programme!D6731,Programme!E6731,Programme!F6731,Programme!G6731,Programme!H6731,Programme!I6731)</f>
        <v>&lt;codeEdi&gt;1785&lt;/codeEdi&gt;</v>
      </c>
    </row>
    <row r="6731" spans="1:1" x14ac:dyDescent="0.2">
      <c r="A6731" s="1135" t="str">
        <f>CONCATENATE(Programme!C6732,Programme!D6732,Programme!E6732,Programme!F6732,Programme!G6732,Programme!H6732,Programme!I6732)</f>
        <v>&lt;/cellule&gt;</v>
      </c>
    </row>
    <row r="6732" spans="1:1" x14ac:dyDescent="0.2">
      <c r="A6732" s="1135" t="str">
        <f>CONCATENATE(Programme!C6733,Programme!D6733,Programme!E6733,Programme!F6733,Programme!G6733,Programme!H6733,Programme!I6733)</f>
        <v>&lt;valeur&gt;&lt;/valeur&gt;</v>
      </c>
    </row>
    <row r="6733" spans="1:1" x14ac:dyDescent="0.2">
      <c r="A6733" s="1135" t="str">
        <f>CONCATENATE(Programme!C6734,Programme!D6734,Programme!E6734,Programme!F6734,Programme!G6734,Programme!H6734,Programme!I6734)</f>
        <v>&lt;/ValeurCellule&gt;</v>
      </c>
    </row>
    <row r="6734" spans="1:1" x14ac:dyDescent="0.2">
      <c r="A6734" s="1135" t="str">
        <f>CONCATENATE(Programme!C6735,Programme!D6735,Programme!E6735,Programme!F6735,Programme!G6735,Programme!H6735,Programme!I6735)</f>
        <v>&lt;ValeurCellule&gt;</v>
      </c>
    </row>
    <row r="6735" spans="1:1" x14ac:dyDescent="0.2">
      <c r="A6735" s="1135" t="str">
        <f>CONCATENATE(Programme!C6736,Programme!D6736,Programme!E6736,Programme!F6736,Programme!G6736,Programme!H6736,Programme!I6736)</f>
        <v>&lt;cellule&gt;</v>
      </c>
    </row>
    <row r="6736" spans="1:1" x14ac:dyDescent="0.2">
      <c r="A6736" s="1135" t="str">
        <f>CONCATENATE(Programme!C6737,Programme!D6737,Programme!E6737,Programme!F6737,Programme!G6737,Programme!H6737,Programme!I6737)</f>
        <v>&lt;codeEdi&gt;1828&lt;/codeEdi&gt;</v>
      </c>
    </row>
    <row r="6737" spans="1:1" x14ac:dyDescent="0.2">
      <c r="A6737" s="1135" t="str">
        <f>CONCATENATE(Programme!C6738,Programme!D6738,Programme!E6738,Programme!F6738,Programme!G6738,Programme!H6738,Programme!I6738)</f>
        <v>&lt;/cellule&gt;</v>
      </c>
    </row>
    <row r="6738" spans="1:1" x14ac:dyDescent="0.2">
      <c r="A6738" s="1135" t="str">
        <f>CONCATENATE(Programme!C6739,Programme!D6739,Programme!E6739,Programme!F6739,Programme!G6739,Programme!H6739,Programme!I6739)</f>
        <v>&lt;valeur&gt;0&lt;/valeur&gt;</v>
      </c>
    </row>
    <row r="6739" spans="1:1" x14ac:dyDescent="0.2">
      <c r="A6739" s="1135" t="str">
        <f>CONCATENATE(Programme!C6740,Programme!D6740,Programme!E6740,Programme!F6740,Programme!G6740,Programme!H6740,Programme!I6740)</f>
        <v>&lt;/ValeurCellule&gt;</v>
      </c>
    </row>
    <row r="6740" spans="1:1" x14ac:dyDescent="0.2">
      <c r="A6740" s="1135" t="str">
        <f>CONCATENATE(Programme!C6741,Programme!D6741,Programme!E6741,Programme!F6741,Programme!G6741,Programme!H6741,Programme!I6741)</f>
        <v>&lt;ValeurCellule&gt;</v>
      </c>
    </row>
    <row r="6741" spans="1:1" x14ac:dyDescent="0.2">
      <c r="A6741" s="1135" t="str">
        <f>CONCATENATE(Programme!C6742,Programme!D6742,Programme!E6742,Programme!F6742,Programme!G6742,Programme!H6742,Programme!I6742)</f>
        <v>&lt;cellule&gt;</v>
      </c>
    </row>
    <row r="6742" spans="1:1" x14ac:dyDescent="0.2">
      <c r="A6742" s="1135" t="str">
        <f>CONCATENATE(Programme!C6743,Programme!D6743,Programme!E6743,Programme!F6743,Programme!G6743,Programme!H6743,Programme!I6743)</f>
        <v>&lt;codeEdi&gt;1845&lt;/codeEdi&gt;</v>
      </c>
    </row>
    <row r="6743" spans="1:1" x14ac:dyDescent="0.2">
      <c r="A6743" s="1135" t="str">
        <f>CONCATENATE(Programme!C6744,Programme!D6744,Programme!E6744,Programme!F6744,Programme!G6744,Programme!H6744,Programme!I6744)</f>
        <v>&lt;/cellule&gt;</v>
      </c>
    </row>
    <row r="6744" spans="1:1" x14ac:dyDescent="0.2">
      <c r="A6744" s="1135" t="str">
        <f>CONCATENATE(Programme!C6745,Programme!D6745,Programme!E6745,Programme!F6745,Programme!G6745,Programme!H6745,Programme!I6745)</f>
        <v>&lt;valeur&gt;0&lt;/valeur&gt;</v>
      </c>
    </row>
    <row r="6745" spans="1:1" x14ac:dyDescent="0.2">
      <c r="A6745" s="1135" t="str">
        <f>CONCATENATE(Programme!C6746,Programme!D6746,Programme!E6746,Programme!F6746,Programme!G6746,Programme!H6746,Programme!I6746)</f>
        <v>&lt;/ValeurCellule&gt;</v>
      </c>
    </row>
    <row r="6746" spans="1:1" x14ac:dyDescent="0.2">
      <c r="A6746" s="1135" t="str">
        <f>CONCATENATE(Programme!C6747,Programme!D6747,Programme!E6747,Programme!F6747,Programme!G6747,Programme!H6747,Programme!I6747)</f>
        <v>&lt;ValeurCellule&gt;</v>
      </c>
    </row>
    <row r="6747" spans="1:1" x14ac:dyDescent="0.2">
      <c r="A6747" s="1135" t="str">
        <f>CONCATENATE(Programme!C6748,Programme!D6748,Programme!E6748,Programme!F6748,Programme!G6748,Programme!H6748,Programme!I6748)</f>
        <v>&lt;cellule&gt;</v>
      </c>
    </row>
    <row r="6748" spans="1:1" x14ac:dyDescent="0.2">
      <c r="A6748" s="1135" t="str">
        <f>CONCATENATE(Programme!C6749,Programme!D6749,Programme!E6749,Programme!F6749,Programme!G6749,Programme!H6749,Programme!I6749)</f>
        <v>&lt;codeEdi&gt;1878&lt;/codeEdi&gt;</v>
      </c>
    </row>
    <row r="6749" spans="1:1" x14ac:dyDescent="0.2">
      <c r="A6749" s="1135" t="str">
        <f>CONCATENATE(Programme!C6750,Programme!D6750,Programme!E6750,Programme!F6750,Programme!G6750,Programme!H6750,Programme!I6750)</f>
        <v>&lt;/cellule&gt;</v>
      </c>
    </row>
    <row r="6750" spans="1:1" x14ac:dyDescent="0.2">
      <c r="A6750" s="1135" t="str">
        <f>CONCATENATE(Programme!C6751,Programme!D6751,Programme!E6751,Programme!F6751,Programme!G6751,Programme!H6751,Programme!I6751)</f>
        <v>&lt;valeur&gt;0&lt;/valeur&gt;</v>
      </c>
    </row>
    <row r="6751" spans="1:1" x14ac:dyDescent="0.2">
      <c r="A6751" s="1135" t="str">
        <f>CONCATENATE(Programme!C6752,Programme!D6752,Programme!E6752,Programme!F6752,Programme!G6752,Programme!H6752,Programme!I6752)</f>
        <v>&lt;/ValeurCellule&gt;</v>
      </c>
    </row>
    <row r="6752" spans="1:1" x14ac:dyDescent="0.2">
      <c r="A6752" s="1135" t="str">
        <f>CONCATENATE(Programme!C6753,Programme!D6753,Programme!E6753,Programme!F6753,Programme!G6753,Programme!H6753,Programme!I6753)</f>
        <v>&lt;ValeurCellule&gt;</v>
      </c>
    </row>
    <row r="6753" spans="1:1" x14ac:dyDescent="0.2">
      <c r="A6753" s="1135" t="str">
        <f>CONCATENATE(Programme!C6754,Programme!D6754,Programme!E6754,Programme!F6754,Programme!G6754,Programme!H6754,Programme!I6754)</f>
        <v>&lt;cellule&gt;</v>
      </c>
    </row>
    <row r="6754" spans="1:1" x14ac:dyDescent="0.2">
      <c r="A6754" s="1135" t="str">
        <f>CONCATENATE(Programme!C6755,Programme!D6755,Programme!E6755,Programme!F6755,Programme!G6755,Programme!H6755,Programme!I6755)</f>
        <v>&lt;codeEdi&gt;1895&lt;/codeEdi&gt;</v>
      </c>
    </row>
    <row r="6755" spans="1:1" x14ac:dyDescent="0.2">
      <c r="A6755" s="1135" t="str">
        <f>CONCATENATE(Programme!C6756,Programme!D6756,Programme!E6756,Programme!F6756,Programme!G6756,Programme!H6756,Programme!I6756)</f>
        <v>&lt;/cellule&gt;</v>
      </c>
    </row>
    <row r="6756" spans="1:1" x14ac:dyDescent="0.2">
      <c r="A6756" s="1135" t="str">
        <f>CONCATENATE(Programme!C6757,Programme!D6757,Programme!E6757,Programme!F6757,Programme!G6757,Programme!H6757,Programme!I6757)</f>
        <v>&lt;valeur&gt;0&lt;/valeur&gt;</v>
      </c>
    </row>
    <row r="6757" spans="1:1" x14ac:dyDescent="0.2">
      <c r="A6757" s="1135" t="str">
        <f>CONCATENATE(Programme!C6758,Programme!D6758,Programme!E6758,Programme!F6758,Programme!G6758,Programme!H6758,Programme!I6758)</f>
        <v>&lt;/ValeurCellule&gt;</v>
      </c>
    </row>
    <row r="6758" spans="1:1" x14ac:dyDescent="0.2">
      <c r="A6758" s="1135" t="str">
        <f>CONCATENATE(Programme!C6759,Programme!D6759,Programme!E6759,Programme!F6759,Programme!G6759,Programme!H6759,Programme!I6759)</f>
        <v>&lt;ValeurCellule&gt;</v>
      </c>
    </row>
    <row r="6759" spans="1:1" x14ac:dyDescent="0.2">
      <c r="A6759" s="1135" t="str">
        <f>CONCATENATE(Programme!C6760,Programme!D6760,Programme!E6760,Programme!F6760,Programme!G6760,Programme!H6760,Programme!I6760)</f>
        <v>&lt;cellule&gt;</v>
      </c>
    </row>
    <row r="6760" spans="1:1" x14ac:dyDescent="0.2">
      <c r="A6760" s="1135" t="str">
        <f>CONCATENATE(Programme!C6761,Programme!D6761,Programme!E6761,Programme!F6761,Programme!G6761,Programme!H6761,Programme!I6761)</f>
        <v>&lt;codeEdi&gt;1904&lt;/codeEdi&gt;</v>
      </c>
    </row>
    <row r="6761" spans="1:1" x14ac:dyDescent="0.2">
      <c r="A6761" s="1135" t="str">
        <f>CONCATENATE(Programme!C6762,Programme!D6762,Programme!E6762,Programme!F6762,Programme!G6762,Programme!H6762,Programme!I6762)</f>
        <v>&lt;/cellule&gt;</v>
      </c>
    </row>
    <row r="6762" spans="1:1" x14ac:dyDescent="0.2">
      <c r="A6762" s="1135" t="str">
        <f>CONCATENATE(Programme!C6763,Programme!D6763,Programme!E6763,Programme!F6763,Programme!G6763,Programme!H6763,Programme!I6763)</f>
        <v>&lt;valeur&gt;&lt;/valeur&gt;</v>
      </c>
    </row>
    <row r="6763" spans="1:1" x14ac:dyDescent="0.2">
      <c r="A6763" s="1135" t="str">
        <f>CONCATENATE(Programme!C6764,Programme!D6764,Programme!E6764,Programme!F6764,Programme!G6764,Programme!H6764,Programme!I6764)</f>
        <v>&lt;/ValeurCellule&gt;</v>
      </c>
    </row>
    <row r="6764" spans="1:1" x14ac:dyDescent="0.2">
      <c r="A6764" s="1135" t="str">
        <f>CONCATENATE(Programme!C6765,Programme!D6765,Programme!E6765,Programme!F6765,Programme!G6765,Programme!H6765,Programme!I6765)</f>
        <v>&lt;ValeurCellule&gt;</v>
      </c>
    </row>
    <row r="6765" spans="1:1" x14ac:dyDescent="0.2">
      <c r="A6765" s="1135" t="str">
        <f>CONCATENATE(Programme!C6766,Programme!D6766,Programme!E6766,Programme!F6766,Programme!G6766,Programme!H6766,Programme!I6766)</f>
        <v>&lt;cellule&gt;</v>
      </c>
    </row>
    <row r="6766" spans="1:1" x14ac:dyDescent="0.2">
      <c r="A6766" s="1135" t="str">
        <f>CONCATENATE(Programme!C6767,Programme!D6767,Programme!E6767,Programme!F6767,Programme!G6767,Programme!H6767,Programme!I6767)</f>
        <v>&lt;codeEdi&gt;1922&lt;/codeEdi&gt;</v>
      </c>
    </row>
    <row r="6767" spans="1:1" x14ac:dyDescent="0.2">
      <c r="A6767" s="1135" t="str">
        <f>CONCATENATE(Programme!C6768,Programme!D6768,Programme!E6768,Programme!F6768,Programme!G6768,Programme!H6768,Programme!I6768)</f>
        <v>&lt;/cellule&gt;</v>
      </c>
    </row>
    <row r="6768" spans="1:1" x14ac:dyDescent="0.2">
      <c r="A6768" s="1135" t="str">
        <f>CONCATENATE(Programme!C6769,Programme!D6769,Programme!E6769,Programme!F6769,Programme!G6769,Programme!H6769,Programme!I6769)</f>
        <v>&lt;valeur&gt;0&lt;/valeur&gt;</v>
      </c>
    </row>
    <row r="6769" spans="1:1" x14ac:dyDescent="0.2">
      <c r="A6769" s="1135" t="str">
        <f>CONCATENATE(Programme!C6770,Programme!D6770,Programme!E6770,Programme!F6770,Programme!G6770,Programme!H6770,Programme!I6770)</f>
        <v>&lt;/ValeurCellule&gt;</v>
      </c>
    </row>
    <row r="6770" spans="1:1" x14ac:dyDescent="0.2">
      <c r="A6770" s="1135" t="str">
        <f>CONCATENATE(Programme!C6771,Programme!D6771,Programme!E6771,Programme!F6771,Programme!G6771,Programme!H6771,Programme!I6771)</f>
        <v>&lt;ValeurCellule&gt;</v>
      </c>
    </row>
    <row r="6771" spans="1:1" x14ac:dyDescent="0.2">
      <c r="A6771" s="1135" t="str">
        <f>CONCATENATE(Programme!C6772,Programme!D6772,Programme!E6772,Programme!F6772,Programme!G6772,Programme!H6772,Programme!I6772)</f>
        <v>&lt;cellule&gt;</v>
      </c>
    </row>
    <row r="6772" spans="1:1" x14ac:dyDescent="0.2">
      <c r="A6772" s="1135" t="str">
        <f>CONCATENATE(Programme!C6773,Programme!D6773,Programme!E6773,Programme!F6773,Programme!G6773,Programme!H6773,Programme!I6773)</f>
        <v>&lt;codeEdi&gt;1913&lt;/codeEdi&gt;</v>
      </c>
    </row>
    <row r="6773" spans="1:1" x14ac:dyDescent="0.2">
      <c r="A6773" s="1135" t="str">
        <f>CONCATENATE(Programme!C6774,Programme!D6774,Programme!E6774,Programme!F6774,Programme!G6774,Programme!H6774,Programme!I6774)</f>
        <v>&lt;/cellule&gt;</v>
      </c>
    </row>
    <row r="6774" spans="1:1" x14ac:dyDescent="0.2">
      <c r="A6774" s="1135" t="str">
        <f>CONCATENATE(Programme!C6775,Programme!D6775,Programme!E6775,Programme!F6775,Programme!G6775,Programme!H6775,Programme!I6775)</f>
        <v>&lt;valeur&gt;0&lt;/valeur&gt;</v>
      </c>
    </row>
    <row r="6775" spans="1:1" x14ac:dyDescent="0.2">
      <c r="A6775" s="1135" t="str">
        <f>CONCATENATE(Programme!C6776,Programme!D6776,Programme!E6776,Programme!F6776,Programme!G6776,Programme!H6776,Programme!I6776)</f>
        <v>&lt;/ValeurCellule&gt;</v>
      </c>
    </row>
    <row r="6776" spans="1:1" x14ac:dyDescent="0.2">
      <c r="A6776" s="1135" t="str">
        <f>CONCATENATE(Programme!C6777,Programme!D6777,Programme!E6777,Programme!F6777,Programme!G6777,Programme!H6777,Programme!I6777)</f>
        <v>&lt;ValeurCellule&gt;</v>
      </c>
    </row>
    <row r="6777" spans="1:1" x14ac:dyDescent="0.2">
      <c r="A6777" s="1135" t="str">
        <f>CONCATENATE(Programme!C6778,Programme!D6778,Programme!E6778,Programme!F6778,Programme!G6778,Programme!H6778,Programme!I6778)</f>
        <v>&lt;cellule&gt;</v>
      </c>
    </row>
    <row r="6778" spans="1:1" x14ac:dyDescent="0.2">
      <c r="A6778" s="1135" t="str">
        <f>CONCATENATE(Programme!C6779,Programme!D6779,Programme!E6779,Programme!F6779,Programme!G6779,Programme!H6779,Programme!I6779)</f>
        <v>&lt;codeEdi&gt;1750&lt;/codeEdi&gt;</v>
      </c>
    </row>
    <row r="6779" spans="1:1" x14ac:dyDescent="0.2">
      <c r="A6779" s="1135" t="str">
        <f>CONCATENATE(Programme!C6780,Programme!D6780,Programme!E6780,Programme!F6780,Programme!G6780,Programme!H6780,Programme!I6780)</f>
        <v>&lt;/cellule&gt;</v>
      </c>
    </row>
    <row r="6780" spans="1:1" x14ac:dyDescent="0.2">
      <c r="A6780" s="1135" t="str">
        <f>CONCATENATE(Programme!C6781,Programme!D6781,Programme!E6781,Programme!F6781,Programme!G6781,Programme!H6781,Programme!I6781)</f>
        <v>&lt;valeur&gt;0&lt;/valeur&gt;</v>
      </c>
    </row>
    <row r="6781" spans="1:1" x14ac:dyDescent="0.2">
      <c r="A6781" s="1135" t="str">
        <f>CONCATENATE(Programme!C6782,Programme!D6782,Programme!E6782,Programme!F6782,Programme!G6782,Programme!H6782,Programme!I6782)</f>
        <v>&lt;/ValeurCellule&gt;</v>
      </c>
    </row>
    <row r="6782" spans="1:1" x14ac:dyDescent="0.2">
      <c r="A6782" s="1135" t="str">
        <f>CONCATENATE(Programme!C6783,Programme!D6783,Programme!E6783,Programme!F6783,Programme!G6783,Programme!H6783,Programme!I6783)</f>
        <v>&lt;ValeurCellule&gt;</v>
      </c>
    </row>
    <row r="6783" spans="1:1" x14ac:dyDescent="0.2">
      <c r="A6783" s="1135" t="str">
        <f>CONCATENATE(Programme!C6784,Programme!D6784,Programme!E6784,Programme!F6784,Programme!G6784,Programme!H6784,Programme!I6784)</f>
        <v>&lt;cellule&gt;</v>
      </c>
    </row>
    <row r="6784" spans="1:1" x14ac:dyDescent="0.2">
      <c r="A6784" s="1135" t="str">
        <f>CONCATENATE(Programme!C6785,Programme!D6785,Programme!E6785,Programme!F6785,Programme!G6785,Programme!H6785,Programme!I6785)</f>
        <v>&lt;codeEdi&gt;1786&lt;/codeEdi&gt;</v>
      </c>
    </row>
    <row r="6785" spans="1:1" x14ac:dyDescent="0.2">
      <c r="A6785" s="1135" t="str">
        <f>CONCATENATE(Programme!C6786,Programme!D6786,Programme!E6786,Programme!F6786,Programme!G6786,Programme!H6786,Programme!I6786)</f>
        <v>&lt;/cellule&gt;</v>
      </c>
    </row>
    <row r="6786" spans="1:1" x14ac:dyDescent="0.2">
      <c r="A6786" s="1135" t="str">
        <f>CONCATENATE(Programme!C6787,Programme!D6787,Programme!E6787,Programme!F6787,Programme!G6787,Programme!H6787,Programme!I6787)</f>
        <v>&lt;valeur&gt;&lt;/valeur&gt;</v>
      </c>
    </row>
    <row r="6787" spans="1:1" x14ac:dyDescent="0.2">
      <c r="A6787" s="1135" t="str">
        <f>CONCATENATE(Programme!C6788,Programme!D6788,Programme!E6788,Programme!F6788,Programme!G6788,Programme!H6788,Programme!I6788)</f>
        <v>&lt;/ValeurCellule&gt;</v>
      </c>
    </row>
    <row r="6788" spans="1:1" x14ac:dyDescent="0.2">
      <c r="A6788" s="1135" t="str">
        <f>CONCATENATE(Programme!C6789,Programme!D6789,Programme!E6789,Programme!F6789,Programme!G6789,Programme!H6789,Programme!I6789)</f>
        <v>&lt;ValeurCellule&gt;</v>
      </c>
    </row>
    <row r="6789" spans="1:1" x14ac:dyDescent="0.2">
      <c r="A6789" s="1135" t="str">
        <f>CONCATENATE(Programme!C6790,Programme!D6790,Programme!E6790,Programme!F6790,Programme!G6790,Programme!H6790,Programme!I6790)</f>
        <v>&lt;cellule&gt;</v>
      </c>
    </row>
    <row r="6790" spans="1:1" x14ac:dyDescent="0.2">
      <c r="A6790" s="1135" t="str">
        <f>CONCATENATE(Programme!C6791,Programme!D6791,Programme!E6791,Programme!F6791,Programme!G6791,Programme!H6791,Programme!I6791)</f>
        <v>&lt;codeEdi&gt;1829&lt;/codeEdi&gt;</v>
      </c>
    </row>
    <row r="6791" spans="1:1" x14ac:dyDescent="0.2">
      <c r="A6791" s="1135" t="str">
        <f>CONCATENATE(Programme!C6792,Programme!D6792,Programme!E6792,Programme!F6792,Programme!G6792,Programme!H6792,Programme!I6792)</f>
        <v>&lt;/cellule&gt;</v>
      </c>
    </row>
    <row r="6792" spans="1:1" x14ac:dyDescent="0.2">
      <c r="A6792" s="1135" t="str">
        <f>CONCATENATE(Programme!C6793,Programme!D6793,Programme!E6793,Programme!F6793,Programme!G6793,Programme!H6793,Programme!I6793)</f>
        <v>&lt;valeur&gt;0&lt;/valeur&gt;</v>
      </c>
    </row>
    <row r="6793" spans="1:1" x14ac:dyDescent="0.2">
      <c r="A6793" s="1135" t="str">
        <f>CONCATENATE(Programme!C6794,Programme!D6794,Programme!E6794,Programme!F6794,Programme!G6794,Programme!H6794,Programme!I6794)</f>
        <v>&lt;/ValeurCellule&gt;</v>
      </c>
    </row>
    <row r="6794" spans="1:1" x14ac:dyDescent="0.2">
      <c r="A6794" s="1135" t="str">
        <f>CONCATENATE(Programme!C6795,Programme!D6795,Programme!E6795,Programme!F6795,Programme!G6795,Programme!H6795,Programme!I6795)</f>
        <v>&lt;ValeurCellule&gt;</v>
      </c>
    </row>
    <row r="6795" spans="1:1" x14ac:dyDescent="0.2">
      <c r="A6795" s="1135" t="str">
        <f>CONCATENATE(Programme!C6796,Programme!D6796,Programme!E6796,Programme!F6796,Programme!G6796,Programme!H6796,Programme!I6796)</f>
        <v>&lt;cellule&gt;</v>
      </c>
    </row>
    <row r="6796" spans="1:1" x14ac:dyDescent="0.2">
      <c r="A6796" s="1135" t="str">
        <f>CONCATENATE(Programme!C6797,Programme!D6797,Programme!E6797,Programme!F6797,Programme!G6797,Programme!H6797,Programme!I6797)</f>
        <v>&lt;codeEdi&gt;1846&lt;/codeEdi&gt;</v>
      </c>
    </row>
    <row r="6797" spans="1:1" x14ac:dyDescent="0.2">
      <c r="A6797" s="1135" t="str">
        <f>CONCATENATE(Programme!C6798,Programme!D6798,Programme!E6798,Programme!F6798,Programme!G6798,Programme!H6798,Programme!I6798)</f>
        <v>&lt;/cellule&gt;</v>
      </c>
    </row>
    <row r="6798" spans="1:1" x14ac:dyDescent="0.2">
      <c r="A6798" s="1135" t="str">
        <f>CONCATENATE(Programme!C6799,Programme!D6799,Programme!E6799,Programme!F6799,Programme!G6799,Programme!H6799,Programme!I6799)</f>
        <v>&lt;valeur&gt;0&lt;/valeur&gt;</v>
      </c>
    </row>
    <row r="6799" spans="1:1" x14ac:dyDescent="0.2">
      <c r="A6799" s="1135" t="str">
        <f>CONCATENATE(Programme!C6800,Programme!D6800,Programme!E6800,Programme!F6800,Programme!G6800,Programme!H6800,Programme!I6800)</f>
        <v>&lt;/ValeurCellule&gt;</v>
      </c>
    </row>
    <row r="6800" spans="1:1" x14ac:dyDescent="0.2">
      <c r="A6800" s="1135" t="str">
        <f>CONCATENATE(Programme!C6801,Programme!D6801,Programme!E6801,Programme!F6801,Programme!G6801,Programme!H6801,Programme!I6801)</f>
        <v>&lt;ValeurCellule&gt;</v>
      </c>
    </row>
    <row r="6801" spans="1:1" x14ac:dyDescent="0.2">
      <c r="A6801" s="1135" t="str">
        <f>CONCATENATE(Programme!C6802,Programme!D6802,Programme!E6802,Programme!F6802,Programme!G6802,Programme!H6802,Programme!I6802)</f>
        <v>&lt;cellule&gt;</v>
      </c>
    </row>
    <row r="6802" spans="1:1" x14ac:dyDescent="0.2">
      <c r="A6802" s="1135" t="str">
        <f>CONCATENATE(Programme!C6803,Programme!D6803,Programme!E6803,Programme!F6803,Programme!G6803,Programme!H6803,Programme!I6803)</f>
        <v>&lt;codeEdi&gt;1879&lt;/codeEdi&gt;</v>
      </c>
    </row>
    <row r="6803" spans="1:1" x14ac:dyDescent="0.2">
      <c r="A6803" s="1135" t="str">
        <f>CONCATENATE(Programme!C6804,Programme!D6804,Programme!E6804,Programme!F6804,Programme!G6804,Programme!H6804,Programme!I6804)</f>
        <v>&lt;/cellule&gt;</v>
      </c>
    </row>
    <row r="6804" spans="1:1" x14ac:dyDescent="0.2">
      <c r="A6804" s="1135" t="str">
        <f>CONCATENATE(Programme!C6805,Programme!D6805,Programme!E6805,Programme!F6805,Programme!G6805,Programme!H6805,Programme!I6805)</f>
        <v>&lt;valeur&gt;0&lt;/valeur&gt;</v>
      </c>
    </row>
    <row r="6805" spans="1:1" x14ac:dyDescent="0.2">
      <c r="A6805" s="1135" t="str">
        <f>CONCATENATE(Programme!C6806,Programme!D6806,Programme!E6806,Programme!F6806,Programme!G6806,Programme!H6806,Programme!I6806)</f>
        <v>&lt;/ValeurCellule&gt;</v>
      </c>
    </row>
    <row r="6806" spans="1:1" x14ac:dyDescent="0.2">
      <c r="A6806" s="1135" t="str">
        <f>CONCATENATE(Programme!C6807,Programme!D6807,Programme!E6807,Programme!F6807,Programme!G6807,Programme!H6807,Programme!I6807)</f>
        <v>&lt;ValeurCellule&gt;</v>
      </c>
    </row>
    <row r="6807" spans="1:1" x14ac:dyDescent="0.2">
      <c r="A6807" s="1135" t="str">
        <f>CONCATENATE(Programme!C6808,Programme!D6808,Programme!E6808,Programme!F6808,Programme!G6808,Programme!H6808,Programme!I6808)</f>
        <v>&lt;cellule&gt;</v>
      </c>
    </row>
    <row r="6808" spans="1:1" x14ac:dyDescent="0.2">
      <c r="A6808" s="1135" t="str">
        <f>CONCATENATE(Programme!C6809,Programme!D6809,Programme!E6809,Programme!F6809,Programme!G6809,Programme!H6809,Programme!I6809)</f>
        <v>&lt;codeEdi&gt;1896&lt;/codeEdi&gt;</v>
      </c>
    </row>
    <row r="6809" spans="1:1" x14ac:dyDescent="0.2">
      <c r="A6809" s="1135" t="str">
        <f>CONCATENATE(Programme!C6810,Programme!D6810,Programme!E6810,Programme!F6810,Programme!G6810,Programme!H6810,Programme!I6810)</f>
        <v>&lt;/cellule&gt;</v>
      </c>
    </row>
    <row r="6810" spans="1:1" x14ac:dyDescent="0.2">
      <c r="A6810" s="1135" t="str">
        <f>CONCATENATE(Programme!C6811,Programme!D6811,Programme!E6811,Programme!F6811,Programme!G6811,Programme!H6811,Programme!I6811)</f>
        <v>&lt;valeur&gt;0&lt;/valeur&gt;</v>
      </c>
    </row>
    <row r="6811" spans="1:1" x14ac:dyDescent="0.2">
      <c r="A6811" s="1135" t="str">
        <f>CONCATENATE(Programme!C6812,Programme!D6812,Programme!E6812,Programme!F6812,Programme!G6812,Programme!H6812,Programme!I6812)</f>
        <v>&lt;/ValeurCellule&gt;</v>
      </c>
    </row>
    <row r="6812" spans="1:1" x14ac:dyDescent="0.2">
      <c r="A6812" s="1135" t="str">
        <f>CONCATENATE(Programme!C6813,Programme!D6813,Programme!E6813,Programme!F6813,Programme!G6813,Programme!H6813,Programme!I6813)</f>
        <v>&lt;ValeurCellule&gt;</v>
      </c>
    </row>
    <row r="6813" spans="1:1" x14ac:dyDescent="0.2">
      <c r="A6813" s="1135" t="str">
        <f>CONCATENATE(Programme!C6814,Programme!D6814,Programme!E6814,Programme!F6814,Programme!G6814,Programme!H6814,Programme!I6814)</f>
        <v>&lt;cellule&gt;</v>
      </c>
    </row>
    <row r="6814" spans="1:1" x14ac:dyDescent="0.2">
      <c r="A6814" s="1135" t="str">
        <f>CONCATENATE(Programme!C6815,Programme!D6815,Programme!E6815,Programme!F6815,Programme!G6815,Programme!H6815,Programme!I6815)</f>
        <v>&lt;codeEdi&gt;1905&lt;/codeEdi&gt;</v>
      </c>
    </row>
    <row r="6815" spans="1:1" x14ac:dyDescent="0.2">
      <c r="A6815" s="1135" t="str">
        <f>CONCATENATE(Programme!C6816,Programme!D6816,Programme!E6816,Programme!F6816,Programme!G6816,Programme!H6816,Programme!I6816)</f>
        <v>&lt;/cellule&gt;</v>
      </c>
    </row>
    <row r="6816" spans="1:1" x14ac:dyDescent="0.2">
      <c r="A6816" s="1135" t="str">
        <f>CONCATENATE(Programme!C6817,Programme!D6817,Programme!E6817,Programme!F6817,Programme!G6817,Programme!H6817,Programme!I6817)</f>
        <v>&lt;valeur&gt;0&lt;/valeur&gt;</v>
      </c>
    </row>
    <row r="6817" spans="1:1" x14ac:dyDescent="0.2">
      <c r="A6817" s="1135" t="str">
        <f>CONCATENATE(Programme!C6818,Programme!D6818,Programme!E6818,Programme!F6818,Programme!G6818,Programme!H6818,Programme!I6818)</f>
        <v>&lt;/ValeurCellule&gt;</v>
      </c>
    </row>
    <row r="6818" spans="1:1" x14ac:dyDescent="0.2">
      <c r="A6818" s="1135" t="str">
        <f>CONCATENATE(Programme!C6819,Programme!D6819,Programme!E6819,Programme!F6819,Programme!G6819,Programme!H6819,Programme!I6819)</f>
        <v>&lt;ValeurCellule&gt;</v>
      </c>
    </row>
    <row r="6819" spans="1:1" x14ac:dyDescent="0.2">
      <c r="A6819" s="1135" t="str">
        <f>CONCATENATE(Programme!C6820,Programme!D6820,Programme!E6820,Programme!F6820,Programme!G6820,Programme!H6820,Programme!I6820)</f>
        <v>&lt;cellule&gt;</v>
      </c>
    </row>
    <row r="6820" spans="1:1" x14ac:dyDescent="0.2">
      <c r="A6820" s="1135" t="str">
        <f>CONCATENATE(Programme!C6821,Programme!D6821,Programme!E6821,Programme!F6821,Programme!G6821,Programme!H6821,Programme!I6821)</f>
        <v>&lt;codeEdi&gt;1914&lt;/codeEdi&gt;</v>
      </c>
    </row>
    <row r="6821" spans="1:1" x14ac:dyDescent="0.2">
      <c r="A6821" s="1135" t="str">
        <f>CONCATENATE(Programme!C6822,Programme!D6822,Programme!E6822,Programme!F6822,Programme!G6822,Programme!H6822,Programme!I6822)</f>
        <v>&lt;/cellule&gt;</v>
      </c>
    </row>
    <row r="6822" spans="1:1" x14ac:dyDescent="0.2">
      <c r="A6822" s="1135" t="str">
        <f>CONCATENATE(Programme!C6823,Programme!D6823,Programme!E6823,Programme!F6823,Programme!G6823,Programme!H6823,Programme!I6823)</f>
        <v>&lt;valeur&gt;0&lt;/valeur&gt;</v>
      </c>
    </row>
    <row r="6823" spans="1:1" x14ac:dyDescent="0.2">
      <c r="A6823" s="1135" t="str">
        <f>CONCATENATE(Programme!C6824,Programme!D6824,Programme!E6824,Programme!F6824,Programme!G6824,Programme!H6824,Programme!I6824)</f>
        <v>&lt;/ValeurCellule&gt;</v>
      </c>
    </row>
    <row r="6824" spans="1:1" x14ac:dyDescent="0.2">
      <c r="A6824" s="1135" t="str">
        <f>CONCATENATE(Programme!C6825,Programme!D6825,Programme!E6825,Programme!F6825,Programme!G6825,Programme!H6825,Programme!I6825)</f>
        <v>&lt;ValeurCellule&gt;</v>
      </c>
    </row>
    <row r="6825" spans="1:1" x14ac:dyDescent="0.2">
      <c r="A6825" s="1135" t="str">
        <f>CONCATENATE(Programme!C6826,Programme!D6826,Programme!E6826,Programme!F6826,Programme!G6826,Programme!H6826,Programme!I6826)</f>
        <v>&lt;cellule&gt;</v>
      </c>
    </row>
    <row r="6826" spans="1:1" x14ac:dyDescent="0.2">
      <c r="A6826" s="1135" t="str">
        <f>CONCATENATE(Programme!C6827,Programme!D6827,Programme!E6827,Programme!F6827,Programme!G6827,Programme!H6827,Programme!I6827)</f>
        <v>&lt;codeEdi&gt;1923&lt;/codeEdi&gt;</v>
      </c>
    </row>
    <row r="6827" spans="1:1" x14ac:dyDescent="0.2">
      <c r="A6827" s="1135" t="str">
        <f>CONCATENATE(Programme!C6828,Programme!D6828,Programme!E6828,Programme!F6828,Programme!G6828,Programme!H6828,Programme!I6828)</f>
        <v>&lt;/cellule&gt;</v>
      </c>
    </row>
    <row r="6828" spans="1:1" x14ac:dyDescent="0.2">
      <c r="A6828" s="1135" t="str">
        <f>CONCATENATE(Programme!C6829,Programme!D6829,Programme!E6829,Programme!F6829,Programme!G6829,Programme!H6829,Programme!I6829)</f>
        <v>&lt;valeur&gt;0&lt;/valeur&gt;</v>
      </c>
    </row>
    <row r="6829" spans="1:1" x14ac:dyDescent="0.2">
      <c r="A6829" s="1135" t="str">
        <f>CONCATENATE(Programme!C6830,Programme!D6830,Programme!E6830,Programme!F6830,Programme!G6830,Programme!H6830,Programme!I6830)</f>
        <v>&lt;/ValeurCellule&gt;</v>
      </c>
    </row>
    <row r="6830" spans="1:1" x14ac:dyDescent="0.2">
      <c r="A6830" s="1135" t="str">
        <f>CONCATENATE(Programme!C6831,Programme!D6831,Programme!E6831,Programme!F6831,Programme!G6831,Programme!H6831,Programme!I6831)</f>
        <v>&lt;ValeurCellule&gt;</v>
      </c>
    </row>
    <row r="6831" spans="1:1" x14ac:dyDescent="0.2">
      <c r="A6831" s="1135" t="str">
        <f>CONCATENATE(Programme!C6832,Programme!D6832,Programme!E6832,Programme!F6832,Programme!G6832,Programme!H6832,Programme!I6832)</f>
        <v>&lt;cellule&gt;</v>
      </c>
    </row>
    <row r="6832" spans="1:1" x14ac:dyDescent="0.2">
      <c r="A6832" s="1135" t="str">
        <f>CONCATENATE(Programme!C6833,Programme!D6833,Programme!E6833,Programme!F6833,Programme!G6833,Programme!H6833,Programme!I6833)</f>
        <v>&lt;codeEdi&gt;1751&lt;/codeEdi&gt;</v>
      </c>
    </row>
    <row r="6833" spans="1:1" x14ac:dyDescent="0.2">
      <c r="A6833" s="1135" t="str">
        <f>CONCATENATE(Programme!C6834,Programme!D6834,Programme!E6834,Programme!F6834,Programme!G6834,Programme!H6834,Programme!I6834)</f>
        <v>&lt;/cellule&gt;</v>
      </c>
    </row>
    <row r="6834" spans="1:1" x14ac:dyDescent="0.2">
      <c r="A6834" s="1135" t="str">
        <f>CONCATENATE(Programme!C6835,Programme!D6835,Programme!E6835,Programme!F6835,Programme!G6835,Programme!H6835,Programme!I6835)</f>
        <v>&lt;valeur&gt;0&lt;/valeur&gt;</v>
      </c>
    </row>
    <row r="6835" spans="1:1" x14ac:dyDescent="0.2">
      <c r="A6835" s="1135" t="str">
        <f>CONCATENATE(Programme!C6836,Programme!D6836,Programme!E6836,Programme!F6836,Programme!G6836,Programme!H6836,Programme!I6836)</f>
        <v>&lt;/ValeurCellule&gt;</v>
      </c>
    </row>
    <row r="6836" spans="1:1" x14ac:dyDescent="0.2">
      <c r="A6836" s="1135" t="str">
        <f>CONCATENATE(Programme!C6837,Programme!D6837,Programme!E6837,Programme!F6837,Programme!G6837,Programme!H6837,Programme!I6837)</f>
        <v>&lt;ValeurCellule&gt;</v>
      </c>
    </row>
    <row r="6837" spans="1:1" x14ac:dyDescent="0.2">
      <c r="A6837" s="1135" t="str">
        <f>CONCATENATE(Programme!C6838,Programme!D6838,Programme!E6838,Programme!F6838,Programme!G6838,Programme!H6838,Programme!I6838)</f>
        <v>&lt;cellule&gt;</v>
      </c>
    </row>
    <row r="6838" spans="1:1" x14ac:dyDescent="0.2">
      <c r="A6838" s="1135" t="str">
        <f>CONCATENATE(Programme!C6839,Programme!D6839,Programme!E6839,Programme!F6839,Programme!G6839,Programme!H6839,Programme!I6839)</f>
        <v>&lt;codeEdi&gt;1787&lt;/codeEdi&gt;</v>
      </c>
    </row>
    <row r="6839" spans="1:1" x14ac:dyDescent="0.2">
      <c r="A6839" s="1135" t="str">
        <f>CONCATENATE(Programme!C6840,Programme!D6840,Programme!E6840,Programme!F6840,Programme!G6840,Programme!H6840,Programme!I6840)</f>
        <v>&lt;/cellule&gt;</v>
      </c>
    </row>
    <row r="6840" spans="1:1" x14ac:dyDescent="0.2">
      <c r="A6840" s="1135" t="str">
        <f>CONCATENATE(Programme!C6841,Programme!D6841,Programme!E6841,Programme!F6841,Programme!G6841,Programme!H6841,Programme!I6841)</f>
        <v>&lt;valeur&gt;0&lt;/valeur&gt;</v>
      </c>
    </row>
    <row r="6841" spans="1:1" x14ac:dyDescent="0.2">
      <c r="A6841" s="1135" t="str">
        <f>CONCATENATE(Programme!C6842,Programme!D6842,Programme!E6842,Programme!F6842,Programme!G6842,Programme!H6842,Programme!I6842)</f>
        <v>&lt;/ValeurCellule&gt;</v>
      </c>
    </row>
    <row r="6842" spans="1:1" x14ac:dyDescent="0.2">
      <c r="A6842" s="1135" t="str">
        <f>CONCATENATE(Programme!C6843,Programme!D6843,Programme!E6843,Programme!F6843,Programme!G6843,Programme!H6843,Programme!I6843)</f>
        <v>&lt;ValeurCellule&gt;</v>
      </c>
    </row>
    <row r="6843" spans="1:1" x14ac:dyDescent="0.2">
      <c r="A6843" s="1135" t="str">
        <f>CONCATENATE(Programme!C6844,Programme!D6844,Programme!E6844,Programme!F6844,Programme!G6844,Programme!H6844,Programme!I6844)</f>
        <v>&lt;cellule&gt;</v>
      </c>
    </row>
    <row r="6844" spans="1:1" x14ac:dyDescent="0.2">
      <c r="A6844" s="1135" t="str">
        <f>CONCATENATE(Programme!C6845,Programme!D6845,Programme!E6845,Programme!F6845,Programme!G6845,Programme!H6845,Programme!I6845)</f>
        <v>&lt;codeEdi&gt;1830&lt;/codeEdi&gt;</v>
      </c>
    </row>
    <row r="6845" spans="1:1" x14ac:dyDescent="0.2">
      <c r="A6845" s="1135" t="str">
        <f>CONCATENATE(Programme!C6846,Programme!D6846,Programme!E6846,Programme!F6846,Programme!G6846,Programme!H6846,Programme!I6846)</f>
        <v>&lt;/cellule&gt;</v>
      </c>
    </row>
    <row r="6846" spans="1:1" x14ac:dyDescent="0.2">
      <c r="A6846" s="1135" t="str">
        <f>CONCATENATE(Programme!C6847,Programme!D6847,Programme!E6847,Programme!F6847,Programme!G6847,Programme!H6847,Programme!I6847)</f>
        <v>&lt;valeur&gt;0&lt;/valeur&gt;</v>
      </c>
    </row>
    <row r="6847" spans="1:1" x14ac:dyDescent="0.2">
      <c r="A6847" s="1135" t="str">
        <f>CONCATENATE(Programme!C6848,Programme!D6848,Programme!E6848,Programme!F6848,Programme!G6848,Programme!H6848,Programme!I6848)</f>
        <v>&lt;/ValeurCellule&gt;</v>
      </c>
    </row>
    <row r="6848" spans="1:1" x14ac:dyDescent="0.2">
      <c r="A6848" s="1135" t="str">
        <f>CONCATENATE(Programme!C6849,Programme!D6849,Programme!E6849,Programme!F6849,Programme!G6849,Programme!H6849,Programme!I6849)</f>
        <v>&lt;ValeurCellule&gt;</v>
      </c>
    </row>
    <row r="6849" spans="1:1" x14ac:dyDescent="0.2">
      <c r="A6849" s="1135" t="str">
        <f>CONCATENATE(Programme!C6850,Programme!D6850,Programme!E6850,Programme!F6850,Programme!G6850,Programme!H6850,Programme!I6850)</f>
        <v>&lt;cellule&gt;</v>
      </c>
    </row>
    <row r="6850" spans="1:1" x14ac:dyDescent="0.2">
      <c r="A6850" s="1135" t="str">
        <f>CONCATENATE(Programme!C6851,Programme!D6851,Programme!E6851,Programme!F6851,Programme!G6851,Programme!H6851,Programme!I6851)</f>
        <v>&lt;codeEdi&gt;1847&lt;/codeEdi&gt;</v>
      </c>
    </row>
    <row r="6851" spans="1:1" x14ac:dyDescent="0.2">
      <c r="A6851" s="1135" t="str">
        <f>CONCATENATE(Programme!C6852,Programme!D6852,Programme!E6852,Programme!F6852,Programme!G6852,Programme!H6852,Programme!I6852)</f>
        <v>&lt;/cellule&gt;</v>
      </c>
    </row>
    <row r="6852" spans="1:1" x14ac:dyDescent="0.2">
      <c r="A6852" s="1135" t="str">
        <f>CONCATENATE(Programme!C6853,Programme!D6853,Programme!E6853,Programme!F6853,Programme!G6853,Programme!H6853,Programme!I6853)</f>
        <v>&lt;valeur&gt;0&lt;/valeur&gt;</v>
      </c>
    </row>
    <row r="6853" spans="1:1" x14ac:dyDescent="0.2">
      <c r="A6853" s="1135" t="str">
        <f>CONCATENATE(Programme!C6854,Programme!D6854,Programme!E6854,Programme!F6854,Programme!G6854,Programme!H6854,Programme!I6854)</f>
        <v>&lt;/ValeurCellule&gt;</v>
      </c>
    </row>
    <row r="6854" spans="1:1" x14ac:dyDescent="0.2">
      <c r="A6854" s="1135" t="str">
        <f>CONCATENATE(Programme!C6855,Programme!D6855,Programme!E6855,Programme!F6855,Programme!G6855,Programme!H6855,Programme!I6855)</f>
        <v>&lt;ValeurCellule&gt;</v>
      </c>
    </row>
    <row r="6855" spans="1:1" x14ac:dyDescent="0.2">
      <c r="A6855" s="1135" t="str">
        <f>CONCATENATE(Programme!C6856,Programme!D6856,Programme!E6856,Programme!F6856,Programme!G6856,Programme!H6856,Programme!I6856)</f>
        <v>&lt;cellule&gt;</v>
      </c>
    </row>
    <row r="6856" spans="1:1" x14ac:dyDescent="0.2">
      <c r="A6856" s="1135" t="str">
        <f>CONCATENATE(Programme!C6857,Programme!D6857,Programme!E6857,Programme!F6857,Programme!G6857,Programme!H6857,Programme!I6857)</f>
        <v>&lt;codeEdi&gt;1880&lt;/codeEdi&gt;</v>
      </c>
    </row>
    <row r="6857" spans="1:1" x14ac:dyDescent="0.2">
      <c r="A6857" s="1135" t="str">
        <f>CONCATENATE(Programme!C6858,Programme!D6858,Programme!E6858,Programme!F6858,Programme!G6858,Programme!H6858,Programme!I6858)</f>
        <v>&lt;/cellule&gt;</v>
      </c>
    </row>
    <row r="6858" spans="1:1" x14ac:dyDescent="0.2">
      <c r="A6858" s="1135" t="str">
        <f>CONCATENATE(Programme!C6859,Programme!D6859,Programme!E6859,Programme!F6859,Programme!G6859,Programme!H6859,Programme!I6859)</f>
        <v>&lt;valeur&gt;0&lt;/valeur&gt;</v>
      </c>
    </row>
    <row r="6859" spans="1:1" x14ac:dyDescent="0.2">
      <c r="A6859" s="1135" t="str">
        <f>CONCATENATE(Programme!C6860,Programme!D6860,Programme!E6860,Programme!F6860,Programme!G6860,Programme!H6860,Programme!I6860)</f>
        <v>&lt;/ValeurCellule&gt;</v>
      </c>
    </row>
    <row r="6860" spans="1:1" x14ac:dyDescent="0.2">
      <c r="A6860" s="1135" t="str">
        <f>CONCATENATE(Programme!C6861,Programme!D6861,Programme!E6861,Programme!F6861,Programme!G6861,Programme!H6861,Programme!I6861)</f>
        <v>&lt;ValeurCellule&gt;</v>
      </c>
    </row>
    <row r="6861" spans="1:1" x14ac:dyDescent="0.2">
      <c r="A6861" s="1135" t="str">
        <f>CONCATENATE(Programme!C6862,Programme!D6862,Programme!E6862,Programme!F6862,Programme!G6862,Programme!H6862,Programme!I6862)</f>
        <v>&lt;cellule&gt;</v>
      </c>
    </row>
    <row r="6862" spans="1:1" x14ac:dyDescent="0.2">
      <c r="A6862" s="1135" t="str">
        <f>CONCATENATE(Programme!C6863,Programme!D6863,Programme!E6863,Programme!F6863,Programme!G6863,Programme!H6863,Programme!I6863)</f>
        <v>&lt;codeEdi&gt;1897&lt;/codeEdi&gt;</v>
      </c>
    </row>
    <row r="6863" spans="1:1" x14ac:dyDescent="0.2">
      <c r="A6863" s="1135" t="str">
        <f>CONCATENATE(Programme!C6864,Programme!D6864,Programme!E6864,Programme!F6864,Programme!G6864,Programme!H6864,Programme!I6864)</f>
        <v>&lt;/cellule&gt;</v>
      </c>
    </row>
    <row r="6864" spans="1:1" x14ac:dyDescent="0.2">
      <c r="A6864" s="1135" t="str">
        <f>CONCATENATE(Programme!C6865,Programme!D6865,Programme!E6865,Programme!F6865,Programme!G6865,Programme!H6865,Programme!I6865)</f>
        <v>&lt;valeur&gt;0&lt;/valeur&gt;</v>
      </c>
    </row>
    <row r="6865" spans="1:1" x14ac:dyDescent="0.2">
      <c r="A6865" s="1135" t="str">
        <f>CONCATENATE(Programme!C6866,Programme!D6866,Programme!E6866,Programme!F6866,Programme!G6866,Programme!H6866,Programme!I6866)</f>
        <v>&lt;/ValeurCellule&gt;</v>
      </c>
    </row>
    <row r="6866" spans="1:1" x14ac:dyDescent="0.2">
      <c r="A6866" s="1135" t="str">
        <f>CONCATENATE(Programme!C6867,Programme!D6867,Programme!E6867,Programme!F6867,Programme!G6867,Programme!H6867,Programme!I6867)</f>
        <v>&lt;ValeurCellule&gt;</v>
      </c>
    </row>
    <row r="6867" spans="1:1" x14ac:dyDescent="0.2">
      <c r="A6867" s="1135" t="str">
        <f>CONCATENATE(Programme!C6868,Programme!D6868,Programme!E6868,Programme!F6868,Programme!G6868,Programme!H6868,Programme!I6868)</f>
        <v>&lt;cellule&gt;</v>
      </c>
    </row>
    <row r="6868" spans="1:1" x14ac:dyDescent="0.2">
      <c r="A6868" s="1135" t="str">
        <f>CONCATENATE(Programme!C6869,Programme!D6869,Programme!E6869,Programme!F6869,Programme!G6869,Programme!H6869,Programme!I6869)</f>
        <v>&lt;codeEdi&gt;1906&lt;/codeEdi&gt;</v>
      </c>
    </row>
    <row r="6869" spans="1:1" x14ac:dyDescent="0.2">
      <c r="A6869" s="1135" t="str">
        <f>CONCATENATE(Programme!C6870,Programme!D6870,Programme!E6870,Programme!F6870,Programme!G6870,Programme!H6870,Programme!I6870)</f>
        <v>&lt;/cellule&gt;</v>
      </c>
    </row>
    <row r="6870" spans="1:1" x14ac:dyDescent="0.2">
      <c r="A6870" s="1135" t="str">
        <f>CONCATENATE(Programme!C6871,Programme!D6871,Programme!E6871,Programme!F6871,Programme!G6871,Programme!H6871,Programme!I6871)</f>
        <v>&lt;valeur&gt;&lt;/valeur&gt;</v>
      </c>
    </row>
    <row r="6871" spans="1:1" x14ac:dyDescent="0.2">
      <c r="A6871" s="1135" t="str">
        <f>CONCATENATE(Programme!C6872,Programme!D6872,Programme!E6872,Programme!F6872,Programme!G6872,Programme!H6872,Programme!I6872)</f>
        <v>&lt;/ValeurCellule&gt;</v>
      </c>
    </row>
    <row r="6872" spans="1:1" x14ac:dyDescent="0.2">
      <c r="A6872" s="1135" t="str">
        <f>CONCATENATE(Programme!C6873,Programme!D6873,Programme!E6873,Programme!F6873,Programme!G6873,Programme!H6873,Programme!I6873)</f>
        <v>&lt;ValeurCellule&gt;</v>
      </c>
    </row>
    <row r="6873" spans="1:1" x14ac:dyDescent="0.2">
      <c r="A6873" s="1135" t="str">
        <f>CONCATENATE(Programme!C6874,Programme!D6874,Programme!E6874,Programme!F6874,Programme!G6874,Programme!H6874,Programme!I6874)</f>
        <v>&lt;cellule&gt;</v>
      </c>
    </row>
    <row r="6874" spans="1:1" x14ac:dyDescent="0.2">
      <c r="A6874" s="1135" t="str">
        <f>CONCATENATE(Programme!C6875,Programme!D6875,Programme!E6875,Programme!F6875,Programme!G6875,Programme!H6875,Programme!I6875)</f>
        <v>&lt;codeEdi&gt;1915&lt;/codeEdi&gt;</v>
      </c>
    </row>
    <row r="6875" spans="1:1" x14ac:dyDescent="0.2">
      <c r="A6875" s="1135" t="str">
        <f>CONCATENATE(Programme!C6876,Programme!D6876,Programme!E6876,Programme!F6876,Programme!G6876,Programme!H6876,Programme!I6876)</f>
        <v>&lt;/cellule&gt;</v>
      </c>
    </row>
    <row r="6876" spans="1:1" x14ac:dyDescent="0.2">
      <c r="A6876" s="1135" t="str">
        <f>CONCATENATE(Programme!C6877,Programme!D6877,Programme!E6877,Programme!F6877,Programme!G6877,Programme!H6877,Programme!I6877)</f>
        <v>&lt;valeur&gt;0&lt;/valeur&gt;</v>
      </c>
    </row>
    <row r="6877" spans="1:1" x14ac:dyDescent="0.2">
      <c r="A6877" s="1135" t="str">
        <f>CONCATENATE(Programme!C6878,Programme!D6878,Programme!E6878,Programme!F6878,Programme!G6878,Programme!H6878,Programme!I6878)</f>
        <v>&lt;/ValeurCellule&gt;</v>
      </c>
    </row>
    <row r="6878" spans="1:1" x14ac:dyDescent="0.2">
      <c r="A6878" s="1135" t="str">
        <f>CONCATENATE(Programme!C6879,Programme!D6879,Programme!E6879,Programme!F6879,Programme!G6879,Programme!H6879,Programme!I6879)</f>
        <v>&lt;ValeurCellule&gt;</v>
      </c>
    </row>
    <row r="6879" spans="1:1" x14ac:dyDescent="0.2">
      <c r="A6879" s="1135" t="str">
        <f>CONCATENATE(Programme!C6880,Programme!D6880,Programme!E6880,Programme!F6880,Programme!G6880,Programme!H6880,Programme!I6880)</f>
        <v>&lt;cellule&gt;</v>
      </c>
    </row>
    <row r="6880" spans="1:1" x14ac:dyDescent="0.2">
      <c r="A6880" s="1135" t="str">
        <f>CONCATENATE(Programme!C6881,Programme!D6881,Programme!E6881,Programme!F6881,Programme!G6881,Programme!H6881,Programme!I6881)</f>
        <v>&lt;codeEdi&gt;1924&lt;/codeEdi&gt;</v>
      </c>
    </row>
    <row r="6881" spans="1:1" x14ac:dyDescent="0.2">
      <c r="A6881" s="1135" t="str">
        <f>CONCATENATE(Programme!C6882,Programme!D6882,Programme!E6882,Programme!F6882,Programme!G6882,Programme!H6882,Programme!I6882)</f>
        <v>&lt;/cellule&gt;</v>
      </c>
    </row>
    <row r="6882" spans="1:1" x14ac:dyDescent="0.2">
      <c r="A6882" s="1135" t="str">
        <f>CONCATENATE(Programme!C6883,Programme!D6883,Programme!E6883,Programme!F6883,Programme!G6883,Programme!H6883,Programme!I6883)</f>
        <v>&lt;valeur&gt;0&lt;/valeur&gt;</v>
      </c>
    </row>
    <row r="6883" spans="1:1" x14ac:dyDescent="0.2">
      <c r="A6883" s="1135" t="str">
        <f>CONCATENATE(Programme!C6884,Programme!D6884,Programme!E6884,Programme!F6884,Programme!G6884,Programme!H6884,Programme!I6884)</f>
        <v>&lt;/ValeurCellule&gt;</v>
      </c>
    </row>
    <row r="6884" spans="1:1" x14ac:dyDescent="0.2">
      <c r="A6884" s="1135" t="str">
        <f>CONCATENATE(Programme!C6885,Programme!D6885,Programme!E6885,Programme!F6885,Programme!G6885,Programme!H6885,Programme!I6885)</f>
        <v>&lt;ValeurCellule&gt;</v>
      </c>
    </row>
    <row r="6885" spans="1:1" x14ac:dyDescent="0.2">
      <c r="A6885" s="1135" t="str">
        <f>CONCATENATE(Programme!C6886,Programme!D6886,Programme!E6886,Programme!F6886,Programme!G6886,Programme!H6886,Programme!I6886)</f>
        <v>&lt;cellule&gt;</v>
      </c>
    </row>
    <row r="6886" spans="1:1" x14ac:dyDescent="0.2">
      <c r="A6886" s="1135" t="str">
        <f>CONCATENATE(Programme!C6887,Programme!D6887,Programme!E6887,Programme!F6887,Programme!G6887,Programme!H6887,Programme!I6887)</f>
        <v>&lt;codeEdi&gt;1752&lt;/codeEdi&gt;</v>
      </c>
    </row>
    <row r="6887" spans="1:1" x14ac:dyDescent="0.2">
      <c r="A6887" s="1135" t="str">
        <f>CONCATENATE(Programme!C6888,Programme!D6888,Programme!E6888,Programme!F6888,Programme!G6888,Programme!H6888,Programme!I6888)</f>
        <v>&lt;/cellule&gt;</v>
      </c>
    </row>
    <row r="6888" spans="1:1" x14ac:dyDescent="0.2">
      <c r="A6888" s="1135" t="str">
        <f>CONCATENATE(Programme!C6889,Programme!D6889,Programme!E6889,Programme!F6889,Programme!G6889,Programme!H6889,Programme!I6889)</f>
        <v>&lt;valeur&gt;0&lt;/valeur&gt;</v>
      </c>
    </row>
    <row r="6889" spans="1:1" x14ac:dyDescent="0.2">
      <c r="A6889" s="1135" t="str">
        <f>CONCATENATE(Programme!C6890,Programme!D6890,Programme!E6890,Programme!F6890,Programme!G6890,Programme!H6890,Programme!I6890)</f>
        <v>&lt;/ValeurCellule&gt;</v>
      </c>
    </row>
    <row r="6890" spans="1:1" x14ac:dyDescent="0.2">
      <c r="A6890" s="1135" t="str">
        <f>CONCATENATE(Programme!C6891,Programme!D6891,Programme!E6891,Programme!F6891,Programme!G6891,Programme!H6891,Programme!I6891)</f>
        <v>&lt;ValeurCellule&gt;</v>
      </c>
    </row>
    <row r="6891" spans="1:1" x14ac:dyDescent="0.2">
      <c r="A6891" s="1135" t="str">
        <f>CONCATENATE(Programme!C6892,Programme!D6892,Programme!E6892,Programme!F6892,Programme!G6892,Programme!H6892,Programme!I6892)</f>
        <v>&lt;cellule&gt;</v>
      </c>
    </row>
    <row r="6892" spans="1:1" x14ac:dyDescent="0.2">
      <c r="A6892" s="1135" t="str">
        <f>CONCATENATE(Programme!C6893,Programme!D6893,Programme!E6893,Programme!F6893,Programme!G6893,Programme!H6893,Programme!I6893)</f>
        <v>&lt;codeEdi&gt;1788&lt;/codeEdi&gt;</v>
      </c>
    </row>
    <row r="6893" spans="1:1" x14ac:dyDescent="0.2">
      <c r="A6893" s="1135" t="str">
        <f>CONCATENATE(Programme!C6894,Programme!D6894,Programme!E6894,Programme!F6894,Programme!G6894,Programme!H6894,Programme!I6894)</f>
        <v>&lt;/cellule&gt;</v>
      </c>
    </row>
    <row r="6894" spans="1:1" x14ac:dyDescent="0.2">
      <c r="A6894" s="1135" t="str">
        <f>CONCATENATE(Programme!C6895,Programme!D6895,Programme!E6895,Programme!F6895,Programme!G6895,Programme!H6895,Programme!I6895)</f>
        <v>&lt;valeur&gt;&lt;/valeur&gt;</v>
      </c>
    </row>
    <row r="6895" spans="1:1" x14ac:dyDescent="0.2">
      <c r="A6895" s="1135" t="str">
        <f>CONCATENATE(Programme!C6896,Programme!D6896,Programme!E6896,Programme!F6896,Programme!G6896,Programme!H6896,Programme!I6896)</f>
        <v>&lt;/ValeurCellule&gt;</v>
      </c>
    </row>
    <row r="6896" spans="1:1" x14ac:dyDescent="0.2">
      <c r="A6896" s="1135" t="str">
        <f>CONCATENATE(Programme!C6897,Programme!D6897,Programme!E6897,Programme!F6897,Programme!G6897,Programme!H6897,Programme!I6897)</f>
        <v>&lt;ValeurCellule&gt;</v>
      </c>
    </row>
    <row r="6897" spans="1:1" x14ac:dyDescent="0.2">
      <c r="A6897" s="1135" t="str">
        <f>CONCATENATE(Programme!C6898,Programme!D6898,Programme!E6898,Programme!F6898,Programme!G6898,Programme!H6898,Programme!I6898)</f>
        <v>&lt;cellule&gt;</v>
      </c>
    </row>
    <row r="6898" spans="1:1" x14ac:dyDescent="0.2">
      <c r="A6898" s="1135" t="str">
        <f>CONCATENATE(Programme!C6899,Programme!D6899,Programme!E6899,Programme!F6899,Programme!G6899,Programme!H6899,Programme!I6899)</f>
        <v>&lt;codeEdi&gt;1831&lt;/codeEdi&gt;</v>
      </c>
    </row>
    <row r="6899" spans="1:1" x14ac:dyDescent="0.2">
      <c r="A6899" s="1135" t="str">
        <f>CONCATENATE(Programme!C6900,Programme!D6900,Programme!E6900,Programme!F6900,Programme!G6900,Programme!H6900,Programme!I6900)</f>
        <v>&lt;/cellule&gt;</v>
      </c>
    </row>
    <row r="6900" spans="1:1" x14ac:dyDescent="0.2">
      <c r="A6900" s="1135" t="str">
        <f>CONCATENATE(Programme!C6901,Programme!D6901,Programme!E6901,Programme!F6901,Programme!G6901,Programme!H6901,Programme!I6901)</f>
        <v>&lt;valeur&gt;0&lt;/valeur&gt;</v>
      </c>
    </row>
    <row r="6901" spans="1:1" x14ac:dyDescent="0.2">
      <c r="A6901" s="1135" t="str">
        <f>CONCATENATE(Programme!C6902,Programme!D6902,Programme!E6902,Programme!F6902,Programme!G6902,Programme!H6902,Programme!I6902)</f>
        <v>&lt;/ValeurCellule&gt;</v>
      </c>
    </row>
    <row r="6902" spans="1:1" x14ac:dyDescent="0.2">
      <c r="A6902" s="1135" t="str">
        <f>CONCATENATE(Programme!C6903,Programme!D6903,Programme!E6903,Programme!F6903,Programme!G6903,Programme!H6903,Programme!I6903)</f>
        <v>&lt;ValeurCellule&gt;</v>
      </c>
    </row>
    <row r="6903" spans="1:1" x14ac:dyDescent="0.2">
      <c r="A6903" s="1135" t="str">
        <f>CONCATENATE(Programme!C6904,Programme!D6904,Programme!E6904,Programme!F6904,Programme!G6904,Programme!H6904,Programme!I6904)</f>
        <v>&lt;cellule&gt;</v>
      </c>
    </row>
    <row r="6904" spans="1:1" x14ac:dyDescent="0.2">
      <c r="A6904" s="1135" t="str">
        <f>CONCATENATE(Programme!C6905,Programme!D6905,Programme!E6905,Programme!F6905,Programme!G6905,Programme!H6905,Programme!I6905)</f>
        <v>&lt;codeEdi&gt;1848&lt;/codeEdi&gt;</v>
      </c>
    </row>
    <row r="6905" spans="1:1" x14ac:dyDescent="0.2">
      <c r="A6905" s="1135" t="str">
        <f>CONCATENATE(Programme!C6906,Programme!D6906,Programme!E6906,Programme!F6906,Programme!G6906,Programme!H6906,Programme!I6906)</f>
        <v>&lt;/cellule&gt;</v>
      </c>
    </row>
    <row r="6906" spans="1:1" x14ac:dyDescent="0.2">
      <c r="A6906" s="1135" t="str">
        <f>CONCATENATE(Programme!C6907,Programme!D6907,Programme!E6907,Programme!F6907,Programme!G6907,Programme!H6907,Programme!I6907)</f>
        <v>&lt;valeur&gt;0&lt;/valeur&gt;</v>
      </c>
    </row>
    <row r="6907" spans="1:1" x14ac:dyDescent="0.2">
      <c r="A6907" s="1135" t="str">
        <f>CONCATENATE(Programme!C6908,Programme!D6908,Programme!E6908,Programme!F6908,Programme!G6908,Programme!H6908,Programme!I6908)</f>
        <v>&lt;/ValeurCellule&gt;</v>
      </c>
    </row>
    <row r="6908" spans="1:1" x14ac:dyDescent="0.2">
      <c r="A6908" s="1135" t="str">
        <f>CONCATENATE(Programme!C6909,Programme!D6909,Programme!E6909,Programme!F6909,Programme!G6909,Programme!H6909,Programme!I6909)</f>
        <v>&lt;ValeurCellule&gt;</v>
      </c>
    </row>
    <row r="6909" spans="1:1" x14ac:dyDescent="0.2">
      <c r="A6909" s="1135" t="str">
        <f>CONCATENATE(Programme!C6910,Programme!D6910,Programme!E6910,Programme!F6910,Programme!G6910,Programme!H6910,Programme!I6910)</f>
        <v>&lt;cellule&gt;</v>
      </c>
    </row>
    <row r="6910" spans="1:1" x14ac:dyDescent="0.2">
      <c r="A6910" s="1135" t="str">
        <f>CONCATENATE(Programme!C6911,Programme!D6911,Programme!E6911,Programme!F6911,Programme!G6911,Programme!H6911,Programme!I6911)</f>
        <v>&lt;codeEdi&gt;1881&lt;/codeEdi&gt;</v>
      </c>
    </row>
    <row r="6911" spans="1:1" x14ac:dyDescent="0.2">
      <c r="A6911" s="1135" t="str">
        <f>CONCATENATE(Programme!C6912,Programme!D6912,Programme!E6912,Programme!F6912,Programme!G6912,Programme!H6912,Programme!I6912)</f>
        <v>&lt;/cellule&gt;</v>
      </c>
    </row>
    <row r="6912" spans="1:1" x14ac:dyDescent="0.2">
      <c r="A6912" s="1135" t="str">
        <f>CONCATENATE(Programme!C6913,Programme!D6913,Programme!E6913,Programme!F6913,Programme!G6913,Programme!H6913,Programme!I6913)</f>
        <v>&lt;valeur&gt;0&lt;/valeur&gt;</v>
      </c>
    </row>
    <row r="6913" spans="1:1" x14ac:dyDescent="0.2">
      <c r="A6913" s="1135" t="str">
        <f>CONCATENATE(Programme!C6914,Programme!D6914,Programme!E6914,Programme!F6914,Programme!G6914,Programme!H6914,Programme!I6914)</f>
        <v>&lt;/ValeurCellule&gt;</v>
      </c>
    </row>
    <row r="6914" spans="1:1" x14ac:dyDescent="0.2">
      <c r="A6914" s="1135" t="str">
        <f>CONCATENATE(Programme!C6915,Programme!D6915,Programme!E6915,Programme!F6915,Programme!G6915,Programme!H6915,Programme!I6915)</f>
        <v>&lt;ValeurCellule&gt;</v>
      </c>
    </row>
    <row r="6915" spans="1:1" x14ac:dyDescent="0.2">
      <c r="A6915" s="1135" t="str">
        <f>CONCATENATE(Programme!C6916,Programme!D6916,Programme!E6916,Programme!F6916,Programme!G6916,Programme!H6916,Programme!I6916)</f>
        <v>&lt;cellule&gt;</v>
      </c>
    </row>
    <row r="6916" spans="1:1" x14ac:dyDescent="0.2">
      <c r="A6916" s="1135" t="str">
        <f>CONCATENATE(Programme!C6917,Programme!D6917,Programme!E6917,Programme!F6917,Programme!G6917,Programme!H6917,Programme!I6917)</f>
        <v>&lt;codeEdi&gt;1898&lt;/codeEdi&gt;</v>
      </c>
    </row>
    <row r="6917" spans="1:1" x14ac:dyDescent="0.2">
      <c r="A6917" s="1135" t="str">
        <f>CONCATENATE(Programme!C6918,Programme!D6918,Programme!E6918,Programme!F6918,Programme!G6918,Programme!H6918,Programme!I6918)</f>
        <v>&lt;/cellule&gt;</v>
      </c>
    </row>
    <row r="6918" spans="1:1" x14ac:dyDescent="0.2">
      <c r="A6918" s="1135" t="str">
        <f>CONCATENATE(Programme!C6919,Programme!D6919,Programme!E6919,Programme!F6919,Programme!G6919,Programme!H6919,Programme!I6919)</f>
        <v>&lt;valeur&gt;0&lt;/valeur&gt;</v>
      </c>
    </row>
    <row r="6919" spans="1:1" x14ac:dyDescent="0.2">
      <c r="A6919" s="1135" t="str">
        <f>CONCATENATE(Programme!C6920,Programme!D6920,Programme!E6920,Programme!F6920,Programme!G6920,Programme!H6920,Programme!I6920)</f>
        <v>&lt;/ValeurCellule&gt;</v>
      </c>
    </row>
    <row r="6920" spans="1:1" x14ac:dyDescent="0.2">
      <c r="A6920" s="1135" t="str">
        <f>CONCATENATE(Programme!C6921,Programme!D6921,Programme!E6921,Programme!F6921,Programme!G6921,Programme!H6921,Programme!I6921)</f>
        <v>&lt;ValeurCellule&gt;</v>
      </c>
    </row>
    <row r="6921" spans="1:1" x14ac:dyDescent="0.2">
      <c r="A6921" s="1135" t="str">
        <f>CONCATENATE(Programme!C6922,Programme!D6922,Programme!E6922,Programme!F6922,Programme!G6922,Programme!H6922,Programme!I6922)</f>
        <v>&lt;cellule&gt;</v>
      </c>
    </row>
    <row r="6922" spans="1:1" x14ac:dyDescent="0.2">
      <c r="A6922" s="1135" t="str">
        <f>CONCATENATE(Programme!C6923,Programme!D6923,Programme!E6923,Programme!F6923,Programme!G6923,Programme!H6923,Programme!I6923)</f>
        <v>&lt;codeEdi&gt;1907&lt;/codeEdi&gt;</v>
      </c>
    </row>
    <row r="6923" spans="1:1" x14ac:dyDescent="0.2">
      <c r="A6923" s="1135" t="str">
        <f>CONCATENATE(Programme!C6924,Programme!D6924,Programme!E6924,Programme!F6924,Programme!G6924,Programme!H6924,Programme!I6924)</f>
        <v>&lt;/cellule&gt;</v>
      </c>
    </row>
    <row r="6924" spans="1:1" x14ac:dyDescent="0.2">
      <c r="A6924" s="1135" t="str">
        <f>CONCATENATE(Programme!C6925,Programme!D6925,Programme!E6925,Programme!F6925,Programme!G6925,Programme!H6925,Programme!I6925)</f>
        <v>&lt;valeur&gt;&lt;/valeur&gt;</v>
      </c>
    </row>
    <row r="6925" spans="1:1" x14ac:dyDescent="0.2">
      <c r="A6925" s="1135" t="str">
        <f>CONCATENATE(Programme!C6926,Programme!D6926,Programme!E6926,Programme!F6926,Programme!G6926,Programme!H6926,Programme!I6926)</f>
        <v>&lt;/ValeurCellule&gt;</v>
      </c>
    </row>
    <row r="6926" spans="1:1" x14ac:dyDescent="0.2">
      <c r="A6926" s="1135" t="str">
        <f>CONCATENATE(Programme!C6927,Programme!D6927,Programme!E6927,Programme!F6927,Programme!G6927,Programme!H6927,Programme!I6927)</f>
        <v>&lt;ValeurCellule&gt;</v>
      </c>
    </row>
    <row r="6927" spans="1:1" x14ac:dyDescent="0.2">
      <c r="A6927" s="1135" t="str">
        <f>CONCATENATE(Programme!C6928,Programme!D6928,Programme!E6928,Programme!F6928,Programme!G6928,Programme!H6928,Programme!I6928)</f>
        <v>&lt;cellule&gt;</v>
      </c>
    </row>
    <row r="6928" spans="1:1" x14ac:dyDescent="0.2">
      <c r="A6928" s="1135" t="str">
        <f>CONCATENATE(Programme!C6929,Programme!D6929,Programme!E6929,Programme!F6929,Programme!G6929,Programme!H6929,Programme!I6929)</f>
        <v>&lt;codeEdi&gt;1916&lt;/codeEdi&gt;</v>
      </c>
    </row>
    <row r="6929" spans="1:1" x14ac:dyDescent="0.2">
      <c r="A6929" s="1135" t="str">
        <f>CONCATENATE(Programme!C6930,Programme!D6930,Programme!E6930,Programme!F6930,Programme!G6930,Programme!H6930,Programme!I6930)</f>
        <v>&lt;/cellule&gt;</v>
      </c>
    </row>
    <row r="6930" spans="1:1" x14ac:dyDescent="0.2">
      <c r="A6930" s="1135" t="str">
        <f>CONCATENATE(Programme!C6931,Programme!D6931,Programme!E6931,Programme!F6931,Programme!G6931,Programme!H6931,Programme!I6931)</f>
        <v>&lt;valeur&gt;0&lt;/valeur&gt;</v>
      </c>
    </row>
    <row r="6931" spans="1:1" x14ac:dyDescent="0.2">
      <c r="A6931" s="1135" t="str">
        <f>CONCATENATE(Programme!C6932,Programme!D6932,Programme!E6932,Programme!F6932,Programme!G6932,Programme!H6932,Programme!I6932)</f>
        <v>&lt;/ValeurCellule&gt;</v>
      </c>
    </row>
    <row r="6932" spans="1:1" x14ac:dyDescent="0.2">
      <c r="A6932" s="1135" t="str">
        <f>CONCATENATE(Programme!C6933,Programme!D6933,Programme!E6933,Programme!F6933,Programme!G6933,Programme!H6933,Programme!I6933)</f>
        <v>&lt;ValeurCellule&gt;</v>
      </c>
    </row>
    <row r="6933" spans="1:1" x14ac:dyDescent="0.2">
      <c r="A6933" s="1135" t="str">
        <f>CONCATENATE(Programme!C6934,Programme!D6934,Programme!E6934,Programme!F6934,Programme!G6934,Programme!H6934,Programme!I6934)</f>
        <v>&lt;cellule&gt;</v>
      </c>
    </row>
    <row r="6934" spans="1:1" x14ac:dyDescent="0.2">
      <c r="A6934" s="1135" t="str">
        <f>CONCATENATE(Programme!C6935,Programme!D6935,Programme!E6935,Programme!F6935,Programme!G6935,Programme!H6935,Programme!I6935)</f>
        <v>&lt;codeEdi&gt;1925&lt;/codeEdi&gt;</v>
      </c>
    </row>
    <row r="6935" spans="1:1" x14ac:dyDescent="0.2">
      <c r="A6935" s="1135" t="str">
        <f>CONCATENATE(Programme!C6936,Programme!D6936,Programme!E6936,Programme!F6936,Programme!G6936,Programme!H6936,Programme!I6936)</f>
        <v>&lt;/cellule&gt;</v>
      </c>
    </row>
    <row r="6936" spans="1:1" x14ac:dyDescent="0.2">
      <c r="A6936" s="1135" t="str">
        <f>CONCATENATE(Programme!C6937,Programme!D6937,Programme!E6937,Programme!F6937,Programme!G6937,Programme!H6937,Programme!I6937)</f>
        <v>&lt;valeur&gt;0&lt;/valeur&gt;</v>
      </c>
    </row>
    <row r="6937" spans="1:1" x14ac:dyDescent="0.2">
      <c r="A6937" s="1135" t="str">
        <f>CONCATENATE(Programme!C6938,Programme!D6938,Programme!E6938,Programme!F6938,Programme!G6938,Programme!H6938,Programme!I6938)</f>
        <v>&lt;/ValeurCellule&gt;</v>
      </c>
    </row>
    <row r="6938" spans="1:1" x14ac:dyDescent="0.2">
      <c r="A6938" s="1135" t="str">
        <f>CONCATENATE(Programme!C6939,Programme!D6939,Programme!E6939,Programme!F6939,Programme!G6939,Programme!H6939,Programme!I6939)</f>
        <v>&lt;ValeurCellule&gt;</v>
      </c>
    </row>
    <row r="6939" spans="1:1" x14ac:dyDescent="0.2">
      <c r="A6939" s="1135" t="str">
        <f>CONCATENATE(Programme!C6940,Programme!D6940,Programme!E6940,Programme!F6940,Programme!G6940,Programme!H6940,Programme!I6940)</f>
        <v>&lt;cellule&gt;</v>
      </c>
    </row>
    <row r="6940" spans="1:1" x14ac:dyDescent="0.2">
      <c r="A6940" s="1135" t="str">
        <f>CONCATENATE(Programme!C6941,Programme!D6941,Programme!E6941,Programme!F6941,Programme!G6941,Programme!H6941,Programme!I6941)</f>
        <v>&lt;codeEdi&gt;1753&lt;/codeEdi&gt;</v>
      </c>
    </row>
    <row r="6941" spans="1:1" x14ac:dyDescent="0.2">
      <c r="A6941" s="1135" t="str">
        <f>CONCATENATE(Programme!C6942,Programme!D6942,Programme!E6942,Programme!F6942,Programme!G6942,Programme!H6942,Programme!I6942)</f>
        <v>&lt;/cellule&gt;</v>
      </c>
    </row>
    <row r="6942" spans="1:1" x14ac:dyDescent="0.2">
      <c r="A6942" s="1135" t="str">
        <f>CONCATENATE(Programme!C6943,Programme!D6943,Programme!E6943,Programme!F6943,Programme!G6943,Programme!H6943,Programme!I6943)</f>
        <v>&lt;valeur&gt;0&lt;/valeur&gt;</v>
      </c>
    </row>
    <row r="6943" spans="1:1" x14ac:dyDescent="0.2">
      <c r="A6943" s="1135" t="str">
        <f>CONCATENATE(Programme!C6944,Programme!D6944,Programme!E6944,Programme!F6944,Programme!G6944,Programme!H6944,Programme!I6944)</f>
        <v>&lt;/ValeurCellule&gt;</v>
      </c>
    </row>
    <row r="6944" spans="1:1" x14ac:dyDescent="0.2">
      <c r="A6944" s="1135" t="str">
        <f>CONCATENATE(Programme!C6945,Programme!D6945,Programme!E6945,Programme!F6945,Programme!G6945,Programme!H6945,Programme!I6945)</f>
        <v>&lt;ValeurCellule&gt;</v>
      </c>
    </row>
    <row r="6945" spans="1:1" x14ac:dyDescent="0.2">
      <c r="A6945" s="1135" t="str">
        <f>CONCATENATE(Programme!C6946,Programme!D6946,Programme!E6946,Programme!F6946,Programme!G6946,Programme!H6946,Programme!I6946)</f>
        <v>&lt;cellule&gt;</v>
      </c>
    </row>
    <row r="6946" spans="1:1" x14ac:dyDescent="0.2">
      <c r="A6946" s="1135" t="str">
        <f>CONCATENATE(Programme!C6947,Programme!D6947,Programme!E6947,Programme!F6947,Programme!G6947,Programme!H6947,Programme!I6947)</f>
        <v>&lt;codeEdi&gt;1789&lt;/codeEdi&gt;</v>
      </c>
    </row>
    <row r="6947" spans="1:1" x14ac:dyDescent="0.2">
      <c r="A6947" s="1135" t="str">
        <f>CONCATENATE(Programme!C6948,Programme!D6948,Programme!E6948,Programme!F6948,Programme!G6948,Programme!H6948,Programme!I6948)</f>
        <v>&lt;/cellule&gt;</v>
      </c>
    </row>
    <row r="6948" spans="1:1" x14ac:dyDescent="0.2">
      <c r="A6948" s="1135" t="str">
        <f>CONCATENATE(Programme!C6949,Programme!D6949,Programme!E6949,Programme!F6949,Programme!G6949,Programme!H6949,Programme!I6949)</f>
        <v>&lt;valeur&gt;&lt;/valeur&gt;</v>
      </c>
    </row>
    <row r="6949" spans="1:1" x14ac:dyDescent="0.2">
      <c r="A6949" s="1135" t="str">
        <f>CONCATENATE(Programme!C6950,Programme!D6950,Programme!E6950,Programme!F6950,Programme!G6950,Programme!H6950,Programme!I6950)</f>
        <v>&lt;/ValeurCellule&gt;</v>
      </c>
    </row>
    <row r="6950" spans="1:1" x14ac:dyDescent="0.2">
      <c r="A6950" s="1135" t="str">
        <f>CONCATENATE(Programme!C6951,Programme!D6951,Programme!E6951,Programme!F6951,Programme!G6951,Programme!H6951,Programme!I6951)</f>
        <v>&lt;ValeurCellule&gt;</v>
      </c>
    </row>
    <row r="6951" spans="1:1" x14ac:dyDescent="0.2">
      <c r="A6951" s="1135" t="str">
        <f>CONCATENATE(Programme!C6952,Programme!D6952,Programme!E6952,Programme!F6952,Programme!G6952,Programme!H6952,Programme!I6952)</f>
        <v>&lt;cellule&gt;</v>
      </c>
    </row>
    <row r="6952" spans="1:1" x14ac:dyDescent="0.2">
      <c r="A6952" s="1135" t="str">
        <f>CONCATENATE(Programme!C6953,Programme!D6953,Programme!E6953,Programme!F6953,Programme!G6953,Programme!H6953,Programme!I6953)</f>
        <v>&lt;codeEdi&gt;1832&lt;/codeEdi&gt;</v>
      </c>
    </row>
    <row r="6953" spans="1:1" x14ac:dyDescent="0.2">
      <c r="A6953" s="1135" t="str">
        <f>CONCATENATE(Programme!C6954,Programme!D6954,Programme!E6954,Programme!F6954,Programme!G6954,Programme!H6954,Programme!I6954)</f>
        <v>&lt;/cellule&gt;</v>
      </c>
    </row>
    <row r="6954" spans="1:1" x14ac:dyDescent="0.2">
      <c r="A6954" s="1135" t="str">
        <f>CONCATENATE(Programme!C6955,Programme!D6955,Programme!E6955,Programme!F6955,Programme!G6955,Programme!H6955,Programme!I6955)</f>
        <v>&lt;valeur&gt;0&lt;/valeur&gt;</v>
      </c>
    </row>
    <row r="6955" spans="1:1" x14ac:dyDescent="0.2">
      <c r="A6955" s="1135" t="str">
        <f>CONCATENATE(Programme!C6956,Programme!D6956,Programme!E6956,Programme!F6956,Programme!G6956,Programme!H6956,Programme!I6956)</f>
        <v>&lt;/ValeurCellule&gt;</v>
      </c>
    </row>
    <row r="6956" spans="1:1" x14ac:dyDescent="0.2">
      <c r="A6956" s="1135" t="str">
        <f>CONCATENATE(Programme!C6957,Programme!D6957,Programme!E6957,Programme!F6957,Programme!G6957,Programme!H6957,Programme!I6957)</f>
        <v>&lt;ValeurCellule&gt;</v>
      </c>
    </row>
    <row r="6957" spans="1:1" x14ac:dyDescent="0.2">
      <c r="A6957" s="1135" t="str">
        <f>CONCATENATE(Programme!C6958,Programme!D6958,Programme!E6958,Programme!F6958,Programme!G6958,Programme!H6958,Programme!I6958)</f>
        <v>&lt;cellule&gt;</v>
      </c>
    </row>
    <row r="6958" spans="1:1" x14ac:dyDescent="0.2">
      <c r="A6958" s="1135" t="str">
        <f>CONCATENATE(Programme!C6959,Programme!D6959,Programme!E6959,Programme!F6959,Programme!G6959,Programme!H6959,Programme!I6959)</f>
        <v>&lt;codeEdi&gt;1849&lt;/codeEdi&gt;</v>
      </c>
    </row>
    <row r="6959" spans="1:1" x14ac:dyDescent="0.2">
      <c r="A6959" s="1135" t="str">
        <f>CONCATENATE(Programme!C6960,Programme!D6960,Programme!E6960,Programme!F6960,Programme!G6960,Programme!H6960,Programme!I6960)</f>
        <v>&lt;/cellule&gt;</v>
      </c>
    </row>
    <row r="6960" spans="1:1" x14ac:dyDescent="0.2">
      <c r="A6960" s="1135" t="str">
        <f>CONCATENATE(Programme!C6961,Programme!D6961,Programme!E6961,Programme!F6961,Programme!G6961,Programme!H6961,Programme!I6961)</f>
        <v>&lt;valeur&gt;0&lt;/valeur&gt;</v>
      </c>
    </row>
    <row r="6961" spans="1:1" x14ac:dyDescent="0.2">
      <c r="A6961" s="1135" t="str">
        <f>CONCATENATE(Programme!C6962,Programme!D6962,Programme!E6962,Programme!F6962,Programme!G6962,Programme!H6962,Programme!I6962)</f>
        <v>&lt;/ValeurCellule&gt;</v>
      </c>
    </row>
    <row r="6962" spans="1:1" x14ac:dyDescent="0.2">
      <c r="A6962" s="1135" t="str">
        <f>CONCATENATE(Programme!C6963,Programme!D6963,Programme!E6963,Programme!F6963,Programme!G6963,Programme!H6963,Programme!I6963)</f>
        <v>&lt;ValeurCellule&gt;</v>
      </c>
    </row>
    <row r="6963" spans="1:1" x14ac:dyDescent="0.2">
      <c r="A6963" s="1135" t="str">
        <f>CONCATENATE(Programme!C6964,Programme!D6964,Programme!E6964,Programme!F6964,Programme!G6964,Programme!H6964,Programme!I6964)</f>
        <v>&lt;cellule&gt;</v>
      </c>
    </row>
    <row r="6964" spans="1:1" x14ac:dyDescent="0.2">
      <c r="A6964" s="1135" t="str">
        <f>CONCATENATE(Programme!C6965,Programme!D6965,Programme!E6965,Programme!F6965,Programme!G6965,Programme!H6965,Programme!I6965)</f>
        <v>&lt;codeEdi&gt;1882&lt;/codeEdi&gt;</v>
      </c>
    </row>
    <row r="6965" spans="1:1" x14ac:dyDescent="0.2">
      <c r="A6965" s="1135" t="str">
        <f>CONCATENATE(Programme!C6966,Programme!D6966,Programme!E6966,Programme!F6966,Programme!G6966,Programme!H6966,Programme!I6966)</f>
        <v>&lt;/cellule&gt;</v>
      </c>
    </row>
    <row r="6966" spans="1:1" x14ac:dyDescent="0.2">
      <c r="A6966" s="1135" t="str">
        <f>CONCATENATE(Programme!C6967,Programme!D6967,Programme!E6967,Programme!F6967,Programme!G6967,Programme!H6967,Programme!I6967)</f>
        <v>&lt;valeur&gt;0&lt;/valeur&gt;</v>
      </c>
    </row>
    <row r="6967" spans="1:1" x14ac:dyDescent="0.2">
      <c r="A6967" s="1135" t="str">
        <f>CONCATENATE(Programme!C6968,Programme!D6968,Programme!E6968,Programme!F6968,Programme!G6968,Programme!H6968,Programme!I6968)</f>
        <v>&lt;/ValeurCellule&gt;</v>
      </c>
    </row>
    <row r="6968" spans="1:1" x14ac:dyDescent="0.2">
      <c r="A6968" s="1135" t="str">
        <f>CONCATENATE(Programme!C6969,Programme!D6969,Programme!E6969,Programme!F6969,Programme!G6969,Programme!H6969,Programme!I6969)</f>
        <v>&lt;ValeurCellule&gt;</v>
      </c>
    </row>
    <row r="6969" spans="1:1" x14ac:dyDescent="0.2">
      <c r="A6969" s="1135" t="str">
        <f>CONCATENATE(Programme!C6970,Programme!D6970,Programme!E6970,Programme!F6970,Programme!G6970,Programme!H6970,Programme!I6970)</f>
        <v>&lt;cellule&gt;</v>
      </c>
    </row>
    <row r="6970" spans="1:1" x14ac:dyDescent="0.2">
      <c r="A6970" s="1135" t="str">
        <f>CONCATENATE(Programme!C6971,Programme!D6971,Programme!E6971,Programme!F6971,Programme!G6971,Programme!H6971,Programme!I6971)</f>
        <v>&lt;codeEdi&gt;1899&lt;/codeEdi&gt;</v>
      </c>
    </row>
    <row r="6971" spans="1:1" x14ac:dyDescent="0.2">
      <c r="A6971" s="1135" t="str">
        <f>CONCATENATE(Programme!C6972,Programme!D6972,Programme!E6972,Programme!F6972,Programme!G6972,Programme!H6972,Programme!I6972)</f>
        <v>&lt;/cellule&gt;</v>
      </c>
    </row>
    <row r="6972" spans="1:1" x14ac:dyDescent="0.2">
      <c r="A6972" s="1135" t="str">
        <f>CONCATENATE(Programme!C6973,Programme!D6973,Programme!E6973,Programme!F6973,Programme!G6973,Programme!H6973,Programme!I6973)</f>
        <v>&lt;valeur&gt;0&lt;/valeur&gt;</v>
      </c>
    </row>
    <row r="6973" spans="1:1" x14ac:dyDescent="0.2">
      <c r="A6973" s="1135" t="str">
        <f>CONCATENATE(Programme!C6974,Programme!D6974,Programme!E6974,Programme!F6974,Programme!G6974,Programme!H6974,Programme!I6974)</f>
        <v>&lt;/ValeurCellule&gt;</v>
      </c>
    </row>
    <row r="6974" spans="1:1" x14ac:dyDescent="0.2">
      <c r="A6974" s="1135" t="str">
        <f>CONCATENATE(Programme!C6975,Programme!D6975,Programme!E6975,Programme!F6975,Programme!G6975,Programme!H6975,Programme!I6975)</f>
        <v>&lt;ValeurCellule&gt;</v>
      </c>
    </row>
    <row r="6975" spans="1:1" x14ac:dyDescent="0.2">
      <c r="A6975" s="1135" t="str">
        <f>CONCATENATE(Programme!C6976,Programme!D6976,Programme!E6976,Programme!F6976,Programme!G6976,Programme!H6976,Programme!I6976)</f>
        <v>&lt;cellule&gt;</v>
      </c>
    </row>
    <row r="6976" spans="1:1" x14ac:dyDescent="0.2">
      <c r="A6976" s="1135" t="str">
        <f>CONCATENATE(Programme!C6977,Programme!D6977,Programme!E6977,Programme!F6977,Programme!G6977,Programme!H6977,Programme!I6977)</f>
        <v>&lt;codeEdi&gt;1908&lt;/codeEdi&gt;</v>
      </c>
    </row>
    <row r="6977" spans="1:1" x14ac:dyDescent="0.2">
      <c r="A6977" s="1135" t="str">
        <f>CONCATENATE(Programme!C6978,Programme!D6978,Programme!E6978,Programme!F6978,Programme!G6978,Programme!H6978,Programme!I6978)</f>
        <v>&lt;/cellule&gt;</v>
      </c>
    </row>
    <row r="6978" spans="1:1" x14ac:dyDescent="0.2">
      <c r="A6978" s="1135" t="str">
        <f>CONCATENATE(Programme!C6979,Programme!D6979,Programme!E6979,Programme!F6979,Programme!G6979,Programme!H6979,Programme!I6979)</f>
        <v>&lt;valeur&gt;0&lt;/valeur&gt;</v>
      </c>
    </row>
    <row r="6979" spans="1:1" x14ac:dyDescent="0.2">
      <c r="A6979" s="1135" t="str">
        <f>CONCATENATE(Programme!C6980,Programme!D6980,Programme!E6980,Programme!F6980,Programme!G6980,Programme!H6980,Programme!I6980)</f>
        <v>&lt;/ValeurCellule&gt;</v>
      </c>
    </row>
    <row r="6980" spans="1:1" x14ac:dyDescent="0.2">
      <c r="A6980" s="1135" t="str">
        <f>CONCATENATE(Programme!C6981,Programme!D6981,Programme!E6981,Programme!F6981,Programme!G6981,Programme!H6981,Programme!I6981)</f>
        <v>&lt;ValeurCellule&gt;</v>
      </c>
    </row>
    <row r="6981" spans="1:1" x14ac:dyDescent="0.2">
      <c r="A6981" s="1135" t="str">
        <f>CONCATENATE(Programme!C6982,Programme!D6982,Programme!E6982,Programme!F6982,Programme!G6982,Programme!H6982,Programme!I6982)</f>
        <v>&lt;cellule&gt;</v>
      </c>
    </row>
    <row r="6982" spans="1:1" x14ac:dyDescent="0.2">
      <c r="A6982" s="1135" t="str">
        <f>CONCATENATE(Programme!C6983,Programme!D6983,Programme!E6983,Programme!F6983,Programme!G6983,Programme!H6983,Programme!I6983)</f>
        <v>&lt;codeEdi&gt;1917&lt;/codeEdi&gt;</v>
      </c>
    </row>
    <row r="6983" spans="1:1" x14ac:dyDescent="0.2">
      <c r="A6983" s="1135" t="str">
        <f>CONCATENATE(Programme!C6984,Programme!D6984,Programme!E6984,Programme!F6984,Programme!G6984,Programme!H6984,Programme!I6984)</f>
        <v>&lt;/cellule&gt;</v>
      </c>
    </row>
    <row r="6984" spans="1:1" x14ac:dyDescent="0.2">
      <c r="A6984" s="1135" t="str">
        <f>CONCATENATE(Programme!C6985,Programme!D6985,Programme!E6985,Programme!F6985,Programme!G6985,Programme!H6985,Programme!I6985)</f>
        <v>&lt;valeur&gt;0&lt;/valeur&gt;</v>
      </c>
    </row>
    <row r="6985" spans="1:1" x14ac:dyDescent="0.2">
      <c r="A6985" s="1135" t="str">
        <f>CONCATENATE(Programme!C6986,Programme!D6986,Programme!E6986,Programme!F6986,Programme!G6986,Programme!H6986,Programme!I6986)</f>
        <v>&lt;/ValeurCellule&gt;</v>
      </c>
    </row>
    <row r="6986" spans="1:1" x14ac:dyDescent="0.2">
      <c r="A6986" s="1135" t="str">
        <f>CONCATENATE(Programme!C6987,Programme!D6987,Programme!E6987,Programme!F6987,Programme!G6987,Programme!H6987,Programme!I6987)</f>
        <v>&lt;ValeurCellule&gt;</v>
      </c>
    </row>
    <row r="6987" spans="1:1" x14ac:dyDescent="0.2">
      <c r="A6987" s="1135" t="str">
        <f>CONCATENATE(Programme!C6988,Programme!D6988,Programme!E6988,Programme!F6988,Programme!G6988,Programme!H6988,Programme!I6988)</f>
        <v>&lt;cellule&gt;</v>
      </c>
    </row>
    <row r="6988" spans="1:1" x14ac:dyDescent="0.2">
      <c r="A6988" s="1135" t="str">
        <f>CONCATENATE(Programme!C6989,Programme!D6989,Programme!E6989,Programme!F6989,Programme!G6989,Programme!H6989,Programme!I6989)</f>
        <v>&lt;codeEdi&gt;1926&lt;/codeEdi&gt;</v>
      </c>
    </row>
    <row r="6989" spans="1:1" x14ac:dyDescent="0.2">
      <c r="A6989" s="1135" t="str">
        <f>CONCATENATE(Programme!C6990,Programme!D6990,Programme!E6990,Programme!F6990,Programme!G6990,Programme!H6990,Programme!I6990)</f>
        <v>&lt;/cellule&gt;</v>
      </c>
    </row>
    <row r="6990" spans="1:1" x14ac:dyDescent="0.2">
      <c r="A6990" s="1135" t="str">
        <f>CONCATENATE(Programme!C6991,Programme!D6991,Programme!E6991,Programme!F6991,Programme!G6991,Programme!H6991,Programme!I6991)</f>
        <v>&lt;valeur&gt;0&lt;/valeur&gt;</v>
      </c>
    </row>
    <row r="6991" spans="1:1" x14ac:dyDescent="0.2">
      <c r="A6991" s="1135" t="str">
        <f>CONCATENATE(Programme!C6992,Programme!D6992,Programme!E6992,Programme!F6992,Programme!G6992,Programme!H6992,Programme!I6992)</f>
        <v>&lt;/ValeurCellule&gt;</v>
      </c>
    </row>
    <row r="6992" spans="1:1" x14ac:dyDescent="0.2">
      <c r="A6992" s="1135" t="str">
        <f>CONCATENATE(Programme!C6993,Programme!D6993,Programme!E6993,Programme!F6993,Programme!G6993,Programme!H6993,Programme!I6993)</f>
        <v>&lt;ValeurCellule&gt;</v>
      </c>
    </row>
    <row r="6993" spans="1:1" x14ac:dyDescent="0.2">
      <c r="A6993" s="1135" t="str">
        <f>CONCATENATE(Programme!C6994,Programme!D6994,Programme!E6994,Programme!F6994,Programme!G6994,Programme!H6994,Programme!I6994)</f>
        <v>&lt;cellule&gt;</v>
      </c>
    </row>
    <row r="6994" spans="1:1" x14ac:dyDescent="0.2">
      <c r="A6994" s="1135" t="str">
        <f>CONCATENATE(Programme!C6995,Programme!D6995,Programme!E6995,Programme!F6995,Programme!G6995,Programme!H6995,Programme!I6995)</f>
        <v>&lt;codeEdi&gt;1754&lt;/codeEdi&gt;</v>
      </c>
    </row>
    <row r="6995" spans="1:1" x14ac:dyDescent="0.2">
      <c r="A6995" s="1135" t="str">
        <f>CONCATENATE(Programme!C6996,Programme!D6996,Programme!E6996,Programme!F6996,Programme!G6996,Programme!H6996,Programme!I6996)</f>
        <v>&lt;/cellule&gt;</v>
      </c>
    </row>
    <row r="6996" spans="1:1" x14ac:dyDescent="0.2">
      <c r="A6996" s="1135" t="str">
        <f>CONCATENATE(Programme!C6997,Programme!D6997,Programme!E6997,Programme!F6997,Programme!G6997,Programme!H6997,Programme!I6997)</f>
        <v>&lt;valeur&gt;0&lt;/valeur&gt;</v>
      </c>
    </row>
    <row r="6997" spans="1:1" x14ac:dyDescent="0.2">
      <c r="A6997" s="1135" t="str">
        <f>CONCATENATE(Programme!C6998,Programme!D6998,Programme!E6998,Programme!F6998,Programme!G6998,Programme!H6998,Programme!I6998)</f>
        <v>&lt;/ValeurCellule&gt;</v>
      </c>
    </row>
    <row r="6998" spans="1:1" x14ac:dyDescent="0.2">
      <c r="A6998" s="1135" t="str">
        <f>CONCATENATE(Programme!C6999,Programme!D6999,Programme!E6999,Programme!F6999,Programme!G6999,Programme!H6999,Programme!I6999)</f>
        <v>&lt;ValeurCellule&gt;</v>
      </c>
    </row>
    <row r="6999" spans="1:1" x14ac:dyDescent="0.2">
      <c r="A6999" s="1135" t="str">
        <f>CONCATENATE(Programme!C7000,Programme!D7000,Programme!E7000,Programme!F7000,Programme!G7000,Programme!H7000,Programme!I7000)</f>
        <v>&lt;cellule&gt;</v>
      </c>
    </row>
    <row r="7000" spans="1:1" x14ac:dyDescent="0.2">
      <c r="A7000" s="1135" t="str">
        <f>CONCATENATE(Programme!C7001,Programme!D7001,Programme!E7001,Programme!F7001,Programme!G7001,Programme!H7001,Programme!I7001)</f>
        <v>&lt;codeEdi&gt;1790&lt;/codeEdi&gt;</v>
      </c>
    </row>
    <row r="7001" spans="1:1" x14ac:dyDescent="0.2">
      <c r="A7001" s="1135" t="str">
        <f>CONCATENATE(Programme!C7002,Programme!D7002,Programme!E7002,Programme!F7002,Programme!G7002,Programme!H7002,Programme!I7002)</f>
        <v>&lt;/cellule&gt;</v>
      </c>
    </row>
    <row r="7002" spans="1:1" x14ac:dyDescent="0.2">
      <c r="A7002" s="1135" t="str">
        <f>CONCATENATE(Programme!C7003,Programme!D7003,Programme!E7003,Programme!F7003,Programme!G7003,Programme!H7003,Programme!I7003)</f>
        <v>&lt;valeur&gt;0&lt;/valeur&gt;</v>
      </c>
    </row>
    <row r="7003" spans="1:1" x14ac:dyDescent="0.2">
      <c r="A7003" s="1135" t="str">
        <f>CONCATENATE(Programme!C7004,Programme!D7004,Programme!E7004,Programme!F7004,Programme!G7004,Programme!H7004,Programme!I7004)</f>
        <v>&lt;/ValeurCellule&gt;</v>
      </c>
    </row>
    <row r="7004" spans="1:1" x14ac:dyDescent="0.2">
      <c r="A7004" s="1135" t="str">
        <f>CONCATENATE(Programme!C7005,Programme!D7005,Programme!E7005,Programme!F7005,Programme!G7005,Programme!H7005,Programme!I7005)</f>
        <v>&lt;ValeurCellule&gt;</v>
      </c>
    </row>
    <row r="7005" spans="1:1" x14ac:dyDescent="0.2">
      <c r="A7005" s="1135" t="str">
        <f>CONCATENATE(Programme!C7006,Programme!D7006,Programme!E7006,Programme!F7006,Programme!G7006,Programme!H7006,Programme!I7006)</f>
        <v>&lt;cellule&gt;</v>
      </c>
    </row>
    <row r="7006" spans="1:1" x14ac:dyDescent="0.2">
      <c r="A7006" s="1135" t="str">
        <f>CONCATENATE(Programme!C7007,Programme!D7007,Programme!E7007,Programme!F7007,Programme!G7007,Programme!H7007,Programme!I7007)</f>
        <v>&lt;codeEdi&gt;1833&lt;/codeEdi&gt;</v>
      </c>
    </row>
    <row r="7007" spans="1:1" x14ac:dyDescent="0.2">
      <c r="A7007" s="1135" t="str">
        <f>CONCATENATE(Programme!C7008,Programme!D7008,Programme!E7008,Programme!F7008,Programme!G7008,Programme!H7008,Programme!I7008)</f>
        <v>&lt;/cellule&gt;</v>
      </c>
    </row>
    <row r="7008" spans="1:1" x14ac:dyDescent="0.2">
      <c r="A7008" s="1135" t="str">
        <f>CONCATENATE(Programme!C7009,Programme!D7009,Programme!E7009,Programme!F7009,Programme!G7009,Programme!H7009,Programme!I7009)</f>
        <v>&lt;valeur&gt;0&lt;/valeur&gt;</v>
      </c>
    </row>
    <row r="7009" spans="1:1" x14ac:dyDescent="0.2">
      <c r="A7009" s="1135" t="str">
        <f>CONCATENATE(Programme!C7010,Programme!D7010,Programme!E7010,Programme!F7010,Programme!G7010,Programme!H7010,Programme!I7010)</f>
        <v>&lt;/ValeurCellule&gt;</v>
      </c>
    </row>
    <row r="7010" spans="1:1" x14ac:dyDescent="0.2">
      <c r="A7010" s="1135" t="str">
        <f>CONCATENATE(Programme!C7011,Programme!D7011,Programme!E7011,Programme!F7011,Programme!G7011,Programme!H7011,Programme!I7011)</f>
        <v>&lt;ValeurCellule&gt;</v>
      </c>
    </row>
    <row r="7011" spans="1:1" x14ac:dyDescent="0.2">
      <c r="A7011" s="1135" t="str">
        <f>CONCATENATE(Programme!C7012,Programme!D7012,Programme!E7012,Programme!F7012,Programme!G7012,Programme!H7012,Programme!I7012)</f>
        <v>&lt;cellule&gt;</v>
      </c>
    </row>
    <row r="7012" spans="1:1" x14ac:dyDescent="0.2">
      <c r="A7012" s="1135" t="str">
        <f>CONCATENATE(Programme!C7013,Programme!D7013,Programme!E7013,Programme!F7013,Programme!G7013,Programme!H7013,Programme!I7013)</f>
        <v>&lt;codeEdi&gt;1850&lt;/codeEdi&gt;</v>
      </c>
    </row>
    <row r="7013" spans="1:1" x14ac:dyDescent="0.2">
      <c r="A7013" s="1135" t="str">
        <f>CONCATENATE(Programme!C7014,Programme!D7014,Programme!E7014,Programme!F7014,Programme!G7014,Programme!H7014,Programme!I7014)</f>
        <v>&lt;/cellule&gt;</v>
      </c>
    </row>
    <row r="7014" spans="1:1" x14ac:dyDescent="0.2">
      <c r="A7014" s="1135" t="str">
        <f>CONCATENATE(Programme!C7015,Programme!D7015,Programme!E7015,Programme!F7015,Programme!G7015,Programme!H7015,Programme!I7015)</f>
        <v>&lt;valeur&gt;0&lt;/valeur&gt;</v>
      </c>
    </row>
    <row r="7015" spans="1:1" x14ac:dyDescent="0.2">
      <c r="A7015" s="1135" t="str">
        <f>CONCATENATE(Programme!C7016,Programme!D7016,Programme!E7016,Programme!F7016,Programme!G7016,Programme!H7016,Programme!I7016)</f>
        <v>&lt;/ValeurCellule&gt;</v>
      </c>
    </row>
    <row r="7016" spans="1:1" x14ac:dyDescent="0.2">
      <c r="A7016" s="1135" t="str">
        <f>CONCATENATE(Programme!C7017,Programme!D7017,Programme!E7017,Programme!F7017,Programme!G7017,Programme!H7017,Programme!I7017)</f>
        <v>&lt;ValeurCellule&gt;</v>
      </c>
    </row>
    <row r="7017" spans="1:1" x14ac:dyDescent="0.2">
      <c r="A7017" s="1135" t="str">
        <f>CONCATENATE(Programme!C7018,Programme!D7018,Programme!E7018,Programme!F7018,Programme!G7018,Programme!H7018,Programme!I7018)</f>
        <v>&lt;cellule&gt;</v>
      </c>
    </row>
    <row r="7018" spans="1:1" x14ac:dyDescent="0.2">
      <c r="A7018" s="1135" t="str">
        <f>CONCATENATE(Programme!C7019,Programme!D7019,Programme!E7019,Programme!F7019,Programme!G7019,Programme!H7019,Programme!I7019)</f>
        <v>&lt;codeEdi&gt;1883&lt;/codeEdi&gt;</v>
      </c>
    </row>
    <row r="7019" spans="1:1" x14ac:dyDescent="0.2">
      <c r="A7019" s="1135" t="str">
        <f>CONCATENATE(Programme!C7020,Programme!D7020,Programme!E7020,Programme!F7020,Programme!G7020,Programme!H7020,Programme!I7020)</f>
        <v>&lt;/cellule&gt;</v>
      </c>
    </row>
    <row r="7020" spans="1:1" x14ac:dyDescent="0.2">
      <c r="A7020" s="1135" t="str">
        <f>CONCATENATE(Programme!C7021,Programme!D7021,Programme!E7021,Programme!F7021,Programme!G7021,Programme!H7021,Programme!I7021)</f>
        <v>&lt;valeur&gt;0&lt;/valeur&gt;</v>
      </c>
    </row>
    <row r="7021" spans="1:1" x14ac:dyDescent="0.2">
      <c r="A7021" s="1135" t="str">
        <f>CONCATENATE(Programme!C7022,Programme!D7022,Programme!E7022,Programme!F7022,Programme!G7022,Programme!H7022,Programme!I7022)</f>
        <v>&lt;/ValeurCellule&gt;</v>
      </c>
    </row>
    <row r="7022" spans="1:1" x14ac:dyDescent="0.2">
      <c r="A7022" s="1135" t="str">
        <f>CONCATENATE(Programme!C7023,Programme!D7023,Programme!E7023,Programme!F7023,Programme!G7023,Programme!H7023,Programme!I7023)</f>
        <v>&lt;ValeurCellule&gt;</v>
      </c>
    </row>
    <row r="7023" spans="1:1" x14ac:dyDescent="0.2">
      <c r="A7023" s="1135" t="str">
        <f>CONCATENATE(Programme!C7024,Programme!D7024,Programme!E7024,Programme!F7024,Programme!G7024,Programme!H7024,Programme!I7024)</f>
        <v>&lt;cellule&gt;</v>
      </c>
    </row>
    <row r="7024" spans="1:1" x14ac:dyDescent="0.2">
      <c r="A7024" s="1135" t="str">
        <f>CONCATENATE(Programme!C7025,Programme!D7025,Programme!E7025,Programme!F7025,Programme!G7025,Programme!H7025,Programme!I7025)</f>
        <v>&lt;codeEdi&gt;1900&lt;/codeEdi&gt;</v>
      </c>
    </row>
    <row r="7025" spans="1:1" x14ac:dyDescent="0.2">
      <c r="A7025" s="1135" t="str">
        <f>CONCATENATE(Programme!C7026,Programme!D7026,Programme!E7026,Programme!F7026,Programme!G7026,Programme!H7026,Programme!I7026)</f>
        <v>&lt;/cellule&gt;</v>
      </c>
    </row>
    <row r="7026" spans="1:1" x14ac:dyDescent="0.2">
      <c r="A7026" s="1135" t="str">
        <f>CONCATENATE(Programme!C7027,Programme!D7027,Programme!E7027,Programme!F7027,Programme!G7027,Programme!H7027,Programme!I7027)</f>
        <v>&lt;valeur&gt;0&lt;/valeur&gt;</v>
      </c>
    </row>
    <row r="7027" spans="1:1" x14ac:dyDescent="0.2">
      <c r="A7027" s="1135" t="str">
        <f>CONCATENATE(Programme!C7028,Programme!D7028,Programme!E7028,Programme!F7028,Programme!G7028,Programme!H7028,Programme!I7028)</f>
        <v>&lt;/ValeurCellule&gt;</v>
      </c>
    </row>
    <row r="7028" spans="1:1" x14ac:dyDescent="0.2">
      <c r="A7028" s="1135" t="str">
        <f>CONCATENATE(Programme!C7029,Programme!D7029,Programme!E7029,Programme!F7029,Programme!G7029,Programme!H7029,Programme!I7029)</f>
        <v>&lt;ValeurCellule&gt;</v>
      </c>
    </row>
    <row r="7029" spans="1:1" x14ac:dyDescent="0.2">
      <c r="A7029" s="1135" t="str">
        <f>CONCATENATE(Programme!C7030,Programme!D7030,Programme!E7030,Programme!F7030,Programme!G7030,Programme!H7030,Programme!I7030)</f>
        <v>&lt;cellule&gt;</v>
      </c>
    </row>
    <row r="7030" spans="1:1" x14ac:dyDescent="0.2">
      <c r="A7030" s="1135" t="str">
        <f>CONCATENATE(Programme!C7031,Programme!D7031,Programme!E7031,Programme!F7031,Programme!G7031,Programme!H7031,Programme!I7031)</f>
        <v>&lt;codeEdi&gt;1909&lt;/codeEdi&gt;</v>
      </c>
    </row>
    <row r="7031" spans="1:1" x14ac:dyDescent="0.2">
      <c r="A7031" s="1135" t="str">
        <f>CONCATENATE(Programme!C7032,Programme!D7032,Programme!E7032,Programme!F7032,Programme!G7032,Programme!H7032,Programme!I7032)</f>
        <v>&lt;/cellule&gt;</v>
      </c>
    </row>
    <row r="7032" spans="1:1" x14ac:dyDescent="0.2">
      <c r="A7032" s="1135" t="str">
        <f>CONCATENATE(Programme!C7033,Programme!D7033,Programme!E7033,Programme!F7033,Programme!G7033,Programme!H7033,Programme!I7033)</f>
        <v>&lt;valeur&gt;&lt;/valeur&gt;</v>
      </c>
    </row>
    <row r="7033" spans="1:1" x14ac:dyDescent="0.2">
      <c r="A7033" s="1135" t="str">
        <f>CONCATENATE(Programme!C7034,Programme!D7034,Programme!E7034,Programme!F7034,Programme!G7034,Programme!H7034,Programme!I7034)</f>
        <v>&lt;/ValeurCellule&gt;</v>
      </c>
    </row>
    <row r="7034" spans="1:1" x14ac:dyDescent="0.2">
      <c r="A7034" s="1135" t="str">
        <f>CONCATENATE(Programme!C7035,Programme!D7035,Programme!E7035,Programme!F7035,Programme!G7035,Programme!H7035,Programme!I7035)</f>
        <v>&lt;ValeurCellule&gt;</v>
      </c>
    </row>
    <row r="7035" spans="1:1" x14ac:dyDescent="0.2">
      <c r="A7035" s="1135" t="str">
        <f>CONCATENATE(Programme!C7036,Programme!D7036,Programme!E7036,Programme!F7036,Programme!G7036,Programme!H7036,Programme!I7036)</f>
        <v>&lt;cellule&gt;</v>
      </c>
    </row>
    <row r="7036" spans="1:1" x14ac:dyDescent="0.2">
      <c r="A7036" s="1135" t="str">
        <f>CONCATENATE(Programme!C7037,Programme!D7037,Programme!E7037,Programme!F7037,Programme!G7037,Programme!H7037,Programme!I7037)</f>
        <v>&lt;codeEdi&gt;1918&lt;/codeEdi&gt;</v>
      </c>
    </row>
    <row r="7037" spans="1:1" x14ac:dyDescent="0.2">
      <c r="A7037" s="1135" t="str">
        <f>CONCATENATE(Programme!C7038,Programme!D7038,Programme!E7038,Programme!F7038,Programme!G7038,Programme!H7038,Programme!I7038)</f>
        <v>&lt;/cellule&gt;</v>
      </c>
    </row>
    <row r="7038" spans="1:1" x14ac:dyDescent="0.2">
      <c r="A7038" s="1135" t="str">
        <f>CONCATENATE(Programme!C7039,Programme!D7039,Programme!E7039,Programme!F7039,Programme!G7039,Programme!H7039,Programme!I7039)</f>
        <v>&lt;valeur&gt;&lt;/valeur&gt;</v>
      </c>
    </row>
    <row r="7039" spans="1:1" x14ac:dyDescent="0.2">
      <c r="A7039" s="1135" t="str">
        <f>CONCATENATE(Programme!C7040,Programme!D7040,Programme!E7040,Programme!F7040,Programme!G7040,Programme!H7040,Programme!I7040)</f>
        <v>&lt;/ValeurCellule&gt;</v>
      </c>
    </row>
    <row r="7040" spans="1:1" x14ac:dyDescent="0.2">
      <c r="A7040" s="1135" t="str">
        <f>CONCATENATE(Programme!C7041,Programme!D7041,Programme!E7041,Programme!F7041,Programme!G7041,Programme!H7041,Programme!I7041)</f>
        <v>&lt;ValeurCellule&gt;</v>
      </c>
    </row>
    <row r="7041" spans="1:1" x14ac:dyDescent="0.2">
      <c r="A7041" s="1135" t="str">
        <f>CONCATENATE(Programme!C7042,Programme!D7042,Programme!E7042,Programme!F7042,Programme!G7042,Programme!H7042,Programme!I7042)</f>
        <v>&lt;cellule&gt;</v>
      </c>
    </row>
    <row r="7042" spans="1:1" x14ac:dyDescent="0.2">
      <c r="A7042" s="1135" t="str">
        <f>CONCATENATE(Programme!C7043,Programme!D7043,Programme!E7043,Programme!F7043,Programme!G7043,Programme!H7043,Programme!I7043)</f>
        <v>&lt;codeEdi&gt;1927&lt;/codeEdi&gt;</v>
      </c>
    </row>
    <row r="7043" spans="1:1" x14ac:dyDescent="0.2">
      <c r="A7043" s="1135" t="str">
        <f>CONCATENATE(Programme!C7044,Programme!D7044,Programme!E7044,Programme!F7044,Programme!G7044,Programme!H7044,Programme!I7044)</f>
        <v>&lt;/cellule&gt;</v>
      </c>
    </row>
    <row r="7044" spans="1:1" x14ac:dyDescent="0.2">
      <c r="A7044" s="1135" t="str">
        <f>CONCATENATE(Programme!C7045,Programme!D7045,Programme!E7045,Programme!F7045,Programme!G7045,Programme!H7045,Programme!I7045)</f>
        <v>&lt;valeur&gt;0&lt;/valeur&gt;</v>
      </c>
    </row>
    <row r="7045" spans="1:1" x14ac:dyDescent="0.2">
      <c r="A7045" s="1135" t="str">
        <f>CONCATENATE(Programme!C7046,Programme!D7046,Programme!E7046,Programme!F7046,Programme!G7046,Programme!H7046,Programme!I7046)</f>
        <v>&lt;/ValeurCellule&gt;</v>
      </c>
    </row>
    <row r="7046" spans="1:1" x14ac:dyDescent="0.2">
      <c r="A7046" s="1135" t="str">
        <f>CONCATENATE(Programme!C7047,Programme!D7047,Programme!E7047,Programme!F7047,Programme!G7047,Programme!H7047,Programme!I7047)</f>
        <v>&lt;ValeurCellule&gt;</v>
      </c>
    </row>
    <row r="7047" spans="1:1" x14ac:dyDescent="0.2">
      <c r="A7047" s="1135" t="str">
        <f>CONCATENATE(Programme!C7048,Programme!D7048,Programme!E7048,Programme!F7048,Programme!G7048,Programme!H7048,Programme!I7048)</f>
        <v>&lt;cellule&gt;</v>
      </c>
    </row>
    <row r="7048" spans="1:1" x14ac:dyDescent="0.2">
      <c r="A7048" s="1135" t="str">
        <f>CONCATENATE(Programme!C7049,Programme!D7049,Programme!E7049,Programme!F7049,Programme!G7049,Programme!H7049,Programme!I7049)</f>
        <v>&lt;codeEdi&gt;1755&lt;/codeEdi&gt;</v>
      </c>
    </row>
    <row r="7049" spans="1:1" x14ac:dyDescent="0.2">
      <c r="A7049" s="1135" t="str">
        <f>CONCATENATE(Programme!C7050,Programme!D7050,Programme!E7050,Programme!F7050,Programme!G7050,Programme!H7050,Programme!I7050)</f>
        <v>&lt;/cellule&gt;</v>
      </c>
    </row>
    <row r="7050" spans="1:1" x14ac:dyDescent="0.2">
      <c r="A7050" s="1135" t="str">
        <f>CONCATENATE(Programme!C7051,Programme!D7051,Programme!E7051,Programme!F7051,Programme!G7051,Programme!H7051,Programme!I7051)</f>
        <v>&lt;valeur&gt;0&lt;/valeur&gt;</v>
      </c>
    </row>
    <row r="7051" spans="1:1" x14ac:dyDescent="0.2">
      <c r="A7051" s="1135" t="str">
        <f>CONCATENATE(Programme!C7052,Programme!D7052,Programme!E7052,Programme!F7052,Programme!G7052,Programme!H7052,Programme!I7052)</f>
        <v>&lt;/ValeurCellule&gt;</v>
      </c>
    </row>
    <row r="7052" spans="1:1" x14ac:dyDescent="0.2">
      <c r="A7052" s="1135" t="str">
        <f>CONCATENATE(Programme!C7053,Programme!D7053,Programme!E7053,Programme!F7053,Programme!G7053,Programme!H7053,Programme!I7053)</f>
        <v>&lt;ValeurCellule&gt;</v>
      </c>
    </row>
    <row r="7053" spans="1:1" x14ac:dyDescent="0.2">
      <c r="A7053" s="1135" t="str">
        <f>CONCATENATE(Programme!C7054,Programme!D7054,Programme!E7054,Programme!F7054,Programme!G7054,Programme!H7054,Programme!I7054)</f>
        <v>&lt;cellule&gt;</v>
      </c>
    </row>
    <row r="7054" spans="1:1" x14ac:dyDescent="0.2">
      <c r="A7054" s="1135" t="str">
        <f>CONCATENATE(Programme!C7055,Programme!D7055,Programme!E7055,Programme!F7055,Programme!G7055,Programme!H7055,Programme!I7055)</f>
        <v>&lt;codeEdi&gt;1791&lt;/codeEdi&gt;</v>
      </c>
    </row>
    <row r="7055" spans="1:1" x14ac:dyDescent="0.2">
      <c r="A7055" s="1135" t="str">
        <f>CONCATENATE(Programme!C7056,Programme!D7056,Programme!E7056,Programme!F7056,Programme!G7056,Programme!H7056,Programme!I7056)</f>
        <v>&lt;/cellule&gt;</v>
      </c>
    </row>
    <row r="7056" spans="1:1" x14ac:dyDescent="0.2">
      <c r="A7056" s="1135" t="str">
        <f>CONCATENATE(Programme!C7057,Programme!D7057,Programme!E7057,Programme!F7057,Programme!G7057,Programme!H7057,Programme!I7057)</f>
        <v>&lt;valeur&gt;0&lt;/valeur&gt;</v>
      </c>
    </row>
    <row r="7057" spans="1:1" x14ac:dyDescent="0.2">
      <c r="A7057" s="1135" t="str">
        <f>CONCATENATE(Programme!C7058,Programme!D7058,Programme!E7058,Programme!F7058,Programme!G7058,Programme!H7058,Programme!I7058)</f>
        <v>&lt;/ValeurCellule&gt;</v>
      </c>
    </row>
    <row r="7058" spans="1:1" x14ac:dyDescent="0.2">
      <c r="A7058" s="1135" t="str">
        <f>CONCATENATE(Programme!C7059,Programme!D7059,Programme!E7059,Programme!F7059,Programme!G7059,Programme!H7059,Programme!I7059)</f>
        <v>&lt;ValeurCellule&gt;</v>
      </c>
    </row>
    <row r="7059" spans="1:1" x14ac:dyDescent="0.2">
      <c r="A7059" s="1135" t="str">
        <f>CONCATENATE(Programme!C7060,Programme!D7060,Programme!E7060,Programme!F7060,Programme!G7060,Programme!H7060,Programme!I7060)</f>
        <v>&lt;cellule&gt;</v>
      </c>
    </row>
    <row r="7060" spans="1:1" x14ac:dyDescent="0.2">
      <c r="A7060" s="1135" t="str">
        <f>CONCATENATE(Programme!C7061,Programme!D7061,Programme!E7061,Programme!F7061,Programme!G7061,Programme!H7061,Programme!I7061)</f>
        <v>&lt;codeEdi&gt;1834&lt;/codeEdi&gt;</v>
      </c>
    </row>
    <row r="7061" spans="1:1" x14ac:dyDescent="0.2">
      <c r="A7061" s="1135" t="str">
        <f>CONCATENATE(Programme!C7062,Programme!D7062,Programme!E7062,Programme!F7062,Programme!G7062,Programme!H7062,Programme!I7062)</f>
        <v>&lt;/cellule&gt;</v>
      </c>
    </row>
    <row r="7062" spans="1:1" x14ac:dyDescent="0.2">
      <c r="A7062" s="1135" t="str">
        <f>CONCATENATE(Programme!C7063,Programme!D7063,Programme!E7063,Programme!F7063,Programme!G7063,Programme!H7063,Programme!I7063)</f>
        <v>&lt;valeur&gt;0&lt;/valeur&gt;</v>
      </c>
    </row>
    <row r="7063" spans="1:1" x14ac:dyDescent="0.2">
      <c r="A7063" s="1135" t="str">
        <f>CONCATENATE(Programme!C7064,Programme!D7064,Programme!E7064,Programme!F7064,Programme!G7064,Programme!H7064,Programme!I7064)</f>
        <v>&lt;/ValeurCellule&gt;</v>
      </c>
    </row>
    <row r="7064" spans="1:1" x14ac:dyDescent="0.2">
      <c r="A7064" s="1135" t="str">
        <f>CONCATENATE(Programme!C7065,Programme!D7065,Programme!E7065,Programme!F7065,Programme!G7065,Programme!H7065,Programme!I7065)</f>
        <v>&lt;ValeurCellule&gt;</v>
      </c>
    </row>
    <row r="7065" spans="1:1" x14ac:dyDescent="0.2">
      <c r="A7065" s="1135" t="str">
        <f>CONCATENATE(Programme!C7066,Programme!D7066,Programme!E7066,Programme!F7066,Programme!G7066,Programme!H7066,Programme!I7066)</f>
        <v>&lt;cellule&gt;</v>
      </c>
    </row>
    <row r="7066" spans="1:1" x14ac:dyDescent="0.2">
      <c r="A7066" s="1135" t="str">
        <f>CONCATENATE(Programme!C7067,Programme!D7067,Programme!E7067,Programme!F7067,Programme!G7067,Programme!H7067,Programme!I7067)</f>
        <v>&lt;codeEdi&gt;1851&lt;/codeEdi&gt;</v>
      </c>
    </row>
    <row r="7067" spans="1:1" x14ac:dyDescent="0.2">
      <c r="A7067" s="1135" t="str">
        <f>CONCATENATE(Programme!C7068,Programme!D7068,Programme!E7068,Programme!F7068,Programme!G7068,Programme!H7068,Programme!I7068)</f>
        <v>&lt;/cellule&gt;</v>
      </c>
    </row>
    <row r="7068" spans="1:1" x14ac:dyDescent="0.2">
      <c r="A7068" s="1135" t="str">
        <f>CONCATENATE(Programme!C7069,Programme!D7069,Programme!E7069,Programme!F7069,Programme!G7069,Programme!H7069,Programme!I7069)</f>
        <v>&lt;valeur&gt;0&lt;/valeur&gt;</v>
      </c>
    </row>
    <row r="7069" spans="1:1" x14ac:dyDescent="0.2">
      <c r="A7069" s="1135" t="str">
        <f>CONCATENATE(Programme!C7070,Programme!D7070,Programme!E7070,Programme!F7070,Programme!G7070,Programme!H7070,Programme!I7070)</f>
        <v>&lt;/ValeurCellule&gt;</v>
      </c>
    </row>
    <row r="7070" spans="1:1" x14ac:dyDescent="0.2">
      <c r="A7070" s="1135" t="str">
        <f>CONCATENATE(Programme!C7071,Programme!D7071,Programme!E7071,Programme!F7071,Programme!G7071,Programme!H7071,Programme!I7071)</f>
        <v>&lt;ValeurCellule&gt;</v>
      </c>
    </row>
    <row r="7071" spans="1:1" x14ac:dyDescent="0.2">
      <c r="A7071" s="1135" t="str">
        <f>CONCATENATE(Programme!C7072,Programme!D7072,Programme!E7072,Programme!F7072,Programme!G7072,Programme!H7072,Programme!I7072)</f>
        <v>&lt;cellule&gt;</v>
      </c>
    </row>
    <row r="7072" spans="1:1" x14ac:dyDescent="0.2">
      <c r="A7072" s="1135" t="str">
        <f>CONCATENATE(Programme!C7073,Programme!D7073,Programme!E7073,Programme!F7073,Programme!G7073,Programme!H7073,Programme!I7073)</f>
        <v>&lt;codeEdi&gt;1884&lt;/codeEdi&gt;</v>
      </c>
    </row>
    <row r="7073" spans="1:1" x14ac:dyDescent="0.2">
      <c r="A7073" s="1135" t="str">
        <f>CONCATENATE(Programme!C7074,Programme!D7074,Programme!E7074,Programme!F7074,Programme!G7074,Programme!H7074,Programme!I7074)</f>
        <v>&lt;/cellule&gt;</v>
      </c>
    </row>
    <row r="7074" spans="1:1" x14ac:dyDescent="0.2">
      <c r="A7074" s="1135" t="str">
        <f>CONCATENATE(Programme!C7075,Programme!D7075,Programme!E7075,Programme!F7075,Programme!G7075,Programme!H7075,Programme!I7075)</f>
        <v>&lt;valeur&gt;0&lt;/valeur&gt;</v>
      </c>
    </row>
    <row r="7075" spans="1:1" x14ac:dyDescent="0.2">
      <c r="A7075" s="1135" t="str">
        <f>CONCATENATE(Programme!C7076,Programme!D7076,Programme!E7076,Programme!F7076,Programme!G7076,Programme!H7076,Programme!I7076)</f>
        <v>&lt;/ValeurCellule&gt;</v>
      </c>
    </row>
    <row r="7076" spans="1:1" x14ac:dyDescent="0.2">
      <c r="A7076" s="1135" t="str">
        <f>CONCATENATE(Programme!C7077,Programme!D7077,Programme!E7077,Programme!F7077,Programme!G7077,Programme!H7077,Programme!I7077)</f>
        <v>&lt;ValeurCellule&gt;</v>
      </c>
    </row>
    <row r="7077" spans="1:1" x14ac:dyDescent="0.2">
      <c r="A7077" s="1135" t="str">
        <f>CONCATENATE(Programme!C7078,Programme!D7078,Programme!E7078,Programme!F7078,Programme!G7078,Programme!H7078,Programme!I7078)</f>
        <v>&lt;cellule&gt;</v>
      </c>
    </row>
    <row r="7078" spans="1:1" x14ac:dyDescent="0.2">
      <c r="A7078" s="1135" t="str">
        <f>CONCATENATE(Programme!C7079,Programme!D7079,Programme!E7079,Programme!F7079,Programme!G7079,Programme!H7079,Programme!I7079)</f>
        <v>&lt;codeEdi&gt;1901&lt;/codeEdi&gt;</v>
      </c>
    </row>
    <row r="7079" spans="1:1" x14ac:dyDescent="0.2">
      <c r="A7079" s="1135" t="str">
        <f>CONCATENATE(Programme!C7080,Programme!D7080,Programme!E7080,Programme!F7080,Programme!G7080,Programme!H7080,Programme!I7080)</f>
        <v>&lt;/cellule&gt;</v>
      </c>
    </row>
    <row r="7080" spans="1:1" x14ac:dyDescent="0.2">
      <c r="A7080" s="1135" t="str">
        <f>CONCATENATE(Programme!C7081,Programme!D7081,Programme!E7081,Programme!F7081,Programme!G7081,Programme!H7081,Programme!I7081)</f>
        <v>&lt;valeur&gt;0&lt;/valeur&gt;</v>
      </c>
    </row>
    <row r="7081" spans="1:1" x14ac:dyDescent="0.2">
      <c r="A7081" s="1135" t="str">
        <f>CONCATENATE(Programme!C7082,Programme!D7082,Programme!E7082,Programme!F7082,Programme!G7082,Programme!H7082,Programme!I7082)</f>
        <v>&lt;/ValeurCellule&gt;</v>
      </c>
    </row>
    <row r="7082" spans="1:1" x14ac:dyDescent="0.2">
      <c r="A7082" s="1135" t="str">
        <f>CONCATENATE(Programme!C7083,Programme!D7083,Programme!E7083,Programme!F7083,Programme!G7083,Programme!H7083,Programme!I7083)</f>
        <v>&lt;ValeurCellule&gt;</v>
      </c>
    </row>
    <row r="7083" spans="1:1" x14ac:dyDescent="0.2">
      <c r="A7083" s="1135" t="str">
        <f>CONCATENATE(Programme!C7084,Programme!D7084,Programme!E7084,Programme!F7084,Programme!G7084,Programme!H7084,Programme!I7084)</f>
        <v>&lt;cellule&gt;</v>
      </c>
    </row>
    <row r="7084" spans="1:1" x14ac:dyDescent="0.2">
      <c r="A7084" s="1135" t="str">
        <f>CONCATENATE(Programme!C7085,Programme!D7085,Programme!E7085,Programme!F7085,Programme!G7085,Programme!H7085,Programme!I7085)</f>
        <v>&lt;codeEdi&gt;1910&lt;/codeEdi&gt;</v>
      </c>
    </row>
    <row r="7085" spans="1:1" x14ac:dyDescent="0.2">
      <c r="A7085" s="1135" t="str">
        <f>CONCATENATE(Programme!C7086,Programme!D7086,Programme!E7086,Programme!F7086,Programme!G7086,Programme!H7086,Programme!I7086)</f>
        <v>&lt;/cellule&gt;</v>
      </c>
    </row>
    <row r="7086" spans="1:1" x14ac:dyDescent="0.2">
      <c r="A7086" s="1135" t="str">
        <f>CONCATENATE(Programme!C7087,Programme!D7087,Programme!E7087,Programme!F7087,Programme!G7087,Programme!H7087,Programme!I7087)</f>
        <v>&lt;valeur&gt;0&lt;/valeur&gt;</v>
      </c>
    </row>
    <row r="7087" spans="1:1" x14ac:dyDescent="0.2">
      <c r="A7087" s="1135" t="str">
        <f>CONCATENATE(Programme!C7088,Programme!D7088,Programme!E7088,Programme!F7088,Programme!G7088,Programme!H7088,Programme!I7088)</f>
        <v>&lt;/ValeurCellule&gt;</v>
      </c>
    </row>
    <row r="7088" spans="1:1" x14ac:dyDescent="0.2">
      <c r="A7088" s="1135" t="str">
        <f>CONCATENATE(Programme!C7089,Programme!D7089,Programme!E7089,Programme!F7089,Programme!G7089,Programme!H7089,Programme!I7089)</f>
        <v>&lt;ValeurCellule&gt;</v>
      </c>
    </row>
    <row r="7089" spans="1:1" x14ac:dyDescent="0.2">
      <c r="A7089" s="1135" t="str">
        <f>CONCATENATE(Programme!C7090,Programme!D7090,Programme!E7090,Programme!F7090,Programme!G7090,Programme!H7090,Programme!I7090)</f>
        <v>&lt;cellule&gt;</v>
      </c>
    </row>
    <row r="7090" spans="1:1" x14ac:dyDescent="0.2">
      <c r="A7090" s="1135" t="str">
        <f>CONCATENATE(Programme!C7091,Programme!D7091,Programme!E7091,Programme!F7091,Programme!G7091,Programme!H7091,Programme!I7091)</f>
        <v>&lt;codeEdi&gt;1919&lt;/codeEdi&gt;</v>
      </c>
    </row>
    <row r="7091" spans="1:1" x14ac:dyDescent="0.2">
      <c r="A7091" s="1135" t="str">
        <f>CONCATENATE(Programme!C7092,Programme!D7092,Programme!E7092,Programme!F7092,Programme!G7092,Programme!H7092,Programme!I7092)</f>
        <v>&lt;/cellule&gt;</v>
      </c>
    </row>
    <row r="7092" spans="1:1" x14ac:dyDescent="0.2">
      <c r="A7092" s="1135" t="str">
        <f>CONCATENATE(Programme!C7093,Programme!D7093,Programme!E7093,Programme!F7093,Programme!G7093,Programme!H7093,Programme!I7093)</f>
        <v>&lt;valeur&gt;0&lt;/valeur&gt;</v>
      </c>
    </row>
    <row r="7093" spans="1:1" x14ac:dyDescent="0.2">
      <c r="A7093" s="1135" t="str">
        <f>CONCATENATE(Programme!C7094,Programme!D7094,Programme!E7094,Programme!F7094,Programme!G7094,Programme!H7094,Programme!I7094)</f>
        <v>&lt;/ValeurCellule&gt;</v>
      </c>
    </row>
    <row r="7094" spans="1:1" x14ac:dyDescent="0.2">
      <c r="A7094" s="1135" t="str">
        <f>CONCATENATE(Programme!C7095,Programme!D7095,Programme!E7095,Programme!F7095,Programme!G7095,Programme!H7095,Programme!I7095)</f>
        <v>&lt;ValeurCellule&gt;</v>
      </c>
    </row>
    <row r="7095" spans="1:1" x14ac:dyDescent="0.2">
      <c r="A7095" s="1135" t="str">
        <f>CONCATENATE(Programme!C7096,Programme!D7096,Programme!E7096,Programme!F7096,Programme!G7096,Programme!H7096,Programme!I7096)</f>
        <v>&lt;cellule&gt;</v>
      </c>
    </row>
    <row r="7096" spans="1:1" x14ac:dyDescent="0.2">
      <c r="A7096" s="1135" t="str">
        <f>CONCATENATE(Programme!C7097,Programme!D7097,Programme!E7097,Programme!F7097,Programme!G7097,Programme!H7097,Programme!I7097)</f>
        <v>&lt;codeEdi&gt;1928&lt;/codeEdi&gt;</v>
      </c>
    </row>
    <row r="7097" spans="1:1" x14ac:dyDescent="0.2">
      <c r="A7097" s="1135" t="str">
        <f>CONCATENATE(Programme!C7098,Programme!D7098,Programme!E7098,Programme!F7098,Programme!G7098,Programme!H7098,Programme!I7098)</f>
        <v>&lt;/cellule&gt;</v>
      </c>
    </row>
    <row r="7098" spans="1:1" x14ac:dyDescent="0.2">
      <c r="A7098" s="1135" t="str">
        <f>CONCATENATE(Programme!C7099,Programme!D7099,Programme!E7099,Programme!F7099,Programme!G7099,Programme!H7099,Programme!I7099)</f>
        <v>&lt;valeur&gt;0&lt;/valeur&gt;</v>
      </c>
    </row>
    <row r="7099" spans="1:1" x14ac:dyDescent="0.2">
      <c r="A7099" s="1135" t="str">
        <f>CONCATENATE(Programme!C7100,Programme!D7100,Programme!E7100,Programme!F7100,Programme!G7100,Programme!H7100,Programme!I7100)</f>
        <v>&lt;/ValeurCellule&gt;</v>
      </c>
    </row>
    <row r="7100" spans="1:1" x14ac:dyDescent="0.2">
      <c r="A7100" s="1135" t="str">
        <f>CONCATENATE(Programme!C7101,Programme!D7101,Programme!E7101,Programme!F7101,Programme!G7101,Programme!H7101,Programme!I7101)</f>
        <v>&lt;/groupeValeurs&gt;</v>
      </c>
    </row>
    <row r="7101" spans="1:1" x14ac:dyDescent="0.2">
      <c r="A7101" s="1135" t="str">
        <f>CONCATENATE(Programme!C7102,Programme!D7102,Programme!E7102,Programme!F7102,Programme!G7102,Programme!H7102,Programme!I7102)</f>
        <v>&lt;extraFieldvaleurs&gt;</v>
      </c>
    </row>
    <row r="7102" spans="1:1" x14ac:dyDescent="0.2">
      <c r="A7102" s="1135" t="str">
        <f>CONCATENATE(Programme!C7103,Programme!D7103,Programme!E7103,Programme!F7103,Programme!G7103,Programme!H7103,Programme!I7103)</f>
        <v>&lt;ExtraFieldValeur&gt;</v>
      </c>
    </row>
    <row r="7103" spans="1:1" x14ac:dyDescent="0.2">
      <c r="A7103" s="1135" t="str">
        <f>CONCATENATE(Programme!C7104,Programme!D7104,Programme!E7104,Programme!F7104,Programme!G7104,Programme!H7104,Programme!I7104)</f>
        <v xml:space="preserve"> &lt;extraField&gt;</v>
      </c>
    </row>
    <row r="7104" spans="1:1" x14ac:dyDescent="0.2">
      <c r="A7104" s="1135" t="str">
        <f>CONCATENATE(Programme!C7105,Programme!D7105,Programme!E7105,Programme!F7105,Programme!G7105,Programme!H7105,Programme!I7105)</f>
        <v>&lt;code&gt;71&lt;/code&gt;</v>
      </c>
    </row>
    <row r="7105" spans="1:1" x14ac:dyDescent="0.2">
      <c r="A7105" s="1135" t="str">
        <f>CONCATENATE(Programme!C7106,Programme!D7106,Programme!E7106,Programme!F7106,Programme!G7106,Programme!H7106,Programme!I7106)</f>
        <v xml:space="preserve">&lt;/extraField&gt; </v>
      </c>
    </row>
    <row r="7106" spans="1:1" x14ac:dyDescent="0.2">
      <c r="A7106" s="1135" t="str">
        <f>CONCATENATE(Programme!C7107,Programme!D7107,Programme!E7107,Programme!F7107,Programme!G7107,Programme!H7107,Programme!I7107)</f>
        <v>&lt;valeur&gt;31/12/2022&lt;/valeur&gt;</v>
      </c>
    </row>
    <row r="7107" spans="1:1" x14ac:dyDescent="0.2">
      <c r="A7107" s="1135" t="str">
        <f>CONCATENATE(Programme!C7108,Programme!D7108,Programme!E7108,Programme!F7108,Programme!G7108,Programme!H7108,Programme!I7108)</f>
        <v>&lt;/ExtraFieldValeur&gt;</v>
      </c>
    </row>
    <row r="7108" spans="1:1" x14ac:dyDescent="0.2">
      <c r="A7108" s="1135" t="str">
        <f>CONCATENATE(Programme!C7109,Programme!D7109,Programme!E7109,Programme!F7109,Programme!G7109,Programme!H7109,Programme!I7109)</f>
        <v>&lt;/extraFieldvaleurs&gt;</v>
      </c>
    </row>
    <row r="7109" spans="1:1" x14ac:dyDescent="0.2">
      <c r="A7109" s="1135" t="str">
        <f>CONCATENATE(Programme!C7110,Programme!D7110,Programme!E7110,Programme!F7110,Programme!G7110,Programme!H7110,Programme!I7110)</f>
        <v>&lt;/ValeursTableau&gt;</v>
      </c>
    </row>
    <row r="7110" spans="1:1" x14ac:dyDescent="0.2">
      <c r="A7110" s="1135" t="str">
        <f>CONCATENATE(Programme!C7111,Programme!D7111,Programme!E7111,Programme!F7111,Programme!G7111,Programme!H7111,Programme!I7111)</f>
        <v>&lt;ValeursTableau&gt;</v>
      </c>
    </row>
    <row r="7111" spans="1:1" x14ac:dyDescent="0.2">
      <c r="A7111" s="1135" t="str">
        <f>CONCATENATE(Programme!C7112,Programme!D7112,Programme!E7112,Programme!F7112,Programme!G7112,Programme!H7112,Programme!I7112)</f>
        <v>&lt;tableau&gt;&lt;id&gt;38&lt;/id&gt;&lt;/tableau&gt;</v>
      </c>
    </row>
    <row r="7112" spans="1:1" x14ac:dyDescent="0.2">
      <c r="A7112" s="1135" t="str">
        <f>CONCATENATE(Programme!C7113,Programme!D7113,Programme!E7113,Programme!F7113,Programme!G7113,Programme!H7113,Programme!I7113)</f>
        <v>&lt;groupeValeurs&gt;</v>
      </c>
    </row>
    <row r="7113" spans="1:1" x14ac:dyDescent="0.2">
      <c r="A7113" s="1135" t="str">
        <f>CONCATENATE(Programme!C7114,Programme!D7114,Programme!E7114,Programme!F7114,Programme!G7114,Programme!H7114,Programme!I7114)</f>
        <v>&lt;ValeurCellule&gt;</v>
      </c>
    </row>
    <row r="7114" spans="1:1" x14ac:dyDescent="0.2">
      <c r="A7114" s="1135" t="str">
        <f>CONCATENATE(Programme!C7115,Programme!D7115,Programme!E7115,Programme!F7115,Programme!G7115,Programme!H7115,Programme!I7115)</f>
        <v>&lt;cellule&gt;&lt;codeEdi&gt;1929&lt;/codeEdi&gt;&lt;/cellule&gt;</v>
      </c>
    </row>
    <row r="7115" spans="1:1" x14ac:dyDescent="0.2">
      <c r="A7115" s="1135" t="str">
        <f>CONCATENATE(Programme!C7116,Programme!D7116,Programme!E7116,Programme!F7116,Programme!G7116,Programme!H7116,Programme!I7116)</f>
        <v>&lt;valeur&gt;&lt;/valeur&gt;</v>
      </c>
    </row>
    <row r="7116" spans="1:1" x14ac:dyDescent="0.2">
      <c r="A7116" s="1135" t="str">
        <f>CONCATENATE(Programme!C7117,Programme!D7117,Programme!E7117,Programme!F7117,Programme!G7117,Programme!H7117,Programme!I7117)</f>
        <v>&lt;numeroLigne&gt;1&lt;/numeroLigne&gt;</v>
      </c>
    </row>
    <row r="7117" spans="1:1" x14ac:dyDescent="0.2">
      <c r="A7117" s="1135" t="str">
        <f>CONCATENATE(Programme!C7118,Programme!D7118,Programme!E7118,Programme!F7118,Programme!G7118,Programme!H7118,Programme!I7118)</f>
        <v>&lt;/ValeurCellule&gt;</v>
      </c>
    </row>
    <row r="7118" spans="1:1" x14ac:dyDescent="0.2">
      <c r="A7118" s="1135" t="str">
        <f>CONCATENATE(Programme!C7119,Programme!D7119,Programme!E7119,Programme!F7119,Programme!G7119,Programme!H7119,Programme!I7119)</f>
        <v>&lt;ValeurCellule&gt;</v>
      </c>
    </row>
    <row r="7119" spans="1:1" x14ac:dyDescent="0.2">
      <c r="A7119" s="1135" t="str">
        <f>CONCATENATE(Programme!C7120,Programme!D7120,Programme!E7120,Programme!F7120,Programme!G7120,Programme!H7120,Programme!I7120)</f>
        <v>&lt;cellule&gt;&lt;codeEdi&gt;1930&lt;/codeEdi&gt;&lt;/cellule&gt;</v>
      </c>
    </row>
    <row r="7120" spans="1:1" x14ac:dyDescent="0.2">
      <c r="A7120" s="1135" t="str">
        <f>CONCATENATE(Programme!C7121,Programme!D7121,Programme!E7121,Programme!F7121,Programme!G7121,Programme!H7121,Programme!I7121)</f>
        <v>&lt;valeur&gt;&lt;/valeur&gt;</v>
      </c>
    </row>
    <row r="7121" spans="1:1" x14ac:dyDescent="0.2">
      <c r="A7121" s="1135" t="str">
        <f>CONCATENATE(Programme!C7122,Programme!D7122,Programme!E7122,Programme!F7122,Programme!G7122,Programme!H7122,Programme!I7122)</f>
        <v>&lt;numeroLigne&gt;1&lt;/numeroLigne&gt;</v>
      </c>
    </row>
    <row r="7122" spans="1:1" x14ac:dyDescent="0.2">
      <c r="A7122" s="1135" t="str">
        <f>CONCATENATE(Programme!C7123,Programme!D7123,Programme!E7123,Programme!F7123,Programme!G7123,Programme!H7123,Programme!I7123)</f>
        <v>&lt;/ValeurCellule&gt;</v>
      </c>
    </row>
    <row r="7123" spans="1:1" x14ac:dyDescent="0.2">
      <c r="A7123" s="1135" t="str">
        <f>CONCATENATE(Programme!C7124,Programme!D7124,Programme!E7124,Programme!F7124,Programme!G7124,Programme!H7124,Programme!I7124)</f>
        <v>&lt;ValeurCellule&gt;</v>
      </c>
    </row>
    <row r="7124" spans="1:1" x14ac:dyDescent="0.2">
      <c r="A7124" s="1135" t="str">
        <f>CONCATENATE(Programme!C7125,Programme!D7125,Programme!E7125,Programme!F7125,Programme!G7125,Programme!H7125,Programme!I7125)</f>
        <v>&lt;cellule&gt;&lt;codeEdi&gt;1931&lt;/codeEdi&gt;&lt;/cellule&gt;</v>
      </c>
    </row>
    <row r="7125" spans="1:1" x14ac:dyDescent="0.2">
      <c r="A7125" s="1135" t="str">
        <f>CONCATENATE(Programme!C7126,Programme!D7126,Programme!E7126,Programme!F7126,Programme!G7126,Programme!H7126,Programme!I7126)</f>
        <v>&lt;valeur&gt;&lt;/valeur&gt;</v>
      </c>
    </row>
    <row r="7126" spans="1:1" x14ac:dyDescent="0.2">
      <c r="A7126" s="1135" t="str">
        <f>CONCATENATE(Programme!C7127,Programme!D7127,Programme!E7127,Programme!F7127,Programme!G7127,Programme!H7127,Programme!I7127)</f>
        <v>&lt;numeroLigne&gt;1&lt;/numeroLigne&gt;</v>
      </c>
    </row>
    <row r="7127" spans="1:1" x14ac:dyDescent="0.2">
      <c r="A7127" s="1135" t="str">
        <f>CONCATENATE(Programme!C7128,Programme!D7128,Programme!E7128,Programme!F7128,Programme!G7128,Programme!H7128,Programme!I7128)</f>
        <v>&lt;/ValeurCellule&gt;</v>
      </c>
    </row>
    <row r="7128" spans="1:1" x14ac:dyDescent="0.2">
      <c r="A7128" s="1135" t="str">
        <f>CONCATENATE(Programme!C7129,Programme!D7129,Programme!E7129,Programme!F7129,Programme!G7129,Programme!H7129,Programme!I7129)</f>
        <v>&lt;ValeurCellule&gt;</v>
      </c>
    </row>
    <row r="7129" spans="1:1" x14ac:dyDescent="0.2">
      <c r="A7129" s="1135" t="str">
        <f>CONCATENATE(Programme!C7130,Programme!D7130,Programme!E7130,Programme!F7130,Programme!G7130,Programme!H7130,Programme!I7130)</f>
        <v>&lt;cellule&gt;&lt;codeEdi&gt;1932&lt;/codeEdi&gt;&lt;/cellule&gt;</v>
      </c>
    </row>
    <row r="7130" spans="1:1" x14ac:dyDescent="0.2">
      <c r="A7130" s="1135" t="str">
        <f>CONCATENATE(Programme!C7131,Programme!D7131,Programme!E7131,Programme!F7131,Programme!G7131,Programme!H7131,Programme!I7131)</f>
        <v>&lt;valeur&gt;&lt;/valeur&gt;</v>
      </c>
    </row>
    <row r="7131" spans="1:1" x14ac:dyDescent="0.2">
      <c r="A7131" s="1135" t="str">
        <f>CONCATENATE(Programme!C7132,Programme!D7132,Programme!E7132,Programme!F7132,Programme!G7132,Programme!H7132,Programme!I7132)</f>
        <v>&lt;numeroLigne&gt;1&lt;/numeroLigne&gt;</v>
      </c>
    </row>
    <row r="7132" spans="1:1" x14ac:dyDescent="0.2">
      <c r="A7132" s="1135" t="str">
        <f>CONCATENATE(Programme!C7133,Programme!D7133,Programme!E7133,Programme!F7133,Programme!G7133,Programme!H7133,Programme!I7133)</f>
        <v>&lt;/ValeurCellule&gt;</v>
      </c>
    </row>
    <row r="7133" spans="1:1" x14ac:dyDescent="0.2">
      <c r="A7133" s="1135" t="str">
        <f>CONCATENATE(Programme!C7134,Programme!D7134,Programme!E7134,Programme!F7134,Programme!G7134,Programme!H7134,Programme!I7134)</f>
        <v>&lt;ValeurCellule&gt;</v>
      </c>
    </row>
    <row r="7134" spans="1:1" x14ac:dyDescent="0.2">
      <c r="A7134" s="1135" t="str">
        <f>CONCATENATE(Programme!C7135,Programme!D7135,Programme!E7135,Programme!F7135,Programme!G7135,Programme!H7135,Programme!I7135)</f>
        <v>&lt;cellule&gt;&lt;codeEdi&gt;1933&lt;/codeEdi&gt;&lt;/cellule&gt;</v>
      </c>
    </row>
    <row r="7135" spans="1:1" x14ac:dyDescent="0.2">
      <c r="A7135" s="1135" t="str">
        <f>CONCATENATE(Programme!C7136,Programme!D7136,Programme!E7136,Programme!F7136,Programme!G7136,Programme!H7136,Programme!I7136)</f>
        <v>&lt;valeur&gt;&lt;/valeur&gt;</v>
      </c>
    </row>
    <row r="7136" spans="1:1" x14ac:dyDescent="0.2">
      <c r="A7136" s="1135" t="str">
        <f>CONCATENATE(Programme!C7137,Programme!D7137,Programme!E7137,Programme!F7137,Programme!G7137,Programme!H7137,Programme!I7137)</f>
        <v>&lt;numeroLigne&gt;1&lt;/numeroLigne&gt;</v>
      </c>
    </row>
    <row r="7137" spans="1:1" x14ac:dyDescent="0.2">
      <c r="A7137" s="1135" t="str">
        <f>CONCATENATE(Programme!C7138,Programme!D7138,Programme!E7138,Programme!F7138,Programme!G7138,Programme!H7138,Programme!I7138)</f>
        <v>&lt;/ValeurCellule&gt;</v>
      </c>
    </row>
    <row r="7138" spans="1:1" x14ac:dyDescent="0.2">
      <c r="A7138" s="1135" t="str">
        <f>CONCATENATE(Programme!C7139,Programme!D7139,Programme!E7139,Programme!F7139,Programme!G7139,Programme!H7139,Programme!I7139)</f>
        <v>&lt;ValeurCellule&gt;</v>
      </c>
    </row>
    <row r="7139" spans="1:1" x14ac:dyDescent="0.2">
      <c r="A7139" s="1135" t="str">
        <f>CONCATENATE(Programme!C7140,Programme!D7140,Programme!E7140,Programme!F7140,Programme!G7140,Programme!H7140,Programme!I7140)</f>
        <v>&lt;cellule&gt;&lt;codeEdi&gt;1934&lt;/codeEdi&gt;&lt;/cellule&gt;</v>
      </c>
    </row>
    <row r="7140" spans="1:1" x14ac:dyDescent="0.2">
      <c r="A7140" s="1135" t="str">
        <f>CONCATENATE(Programme!C7141,Programme!D7141,Programme!E7141,Programme!F7141,Programme!G7141,Programme!H7141,Programme!I7141)</f>
        <v>&lt;valeur&gt;&lt;/valeur&gt;</v>
      </c>
    </row>
    <row r="7141" spans="1:1" x14ac:dyDescent="0.2">
      <c r="A7141" s="1135" t="str">
        <f>CONCATENATE(Programme!C7142,Programme!D7142,Programme!E7142,Programme!F7142,Programme!G7142,Programme!H7142,Programme!I7142)</f>
        <v>&lt;numeroLigne&gt;1&lt;/numeroLigne&gt;</v>
      </c>
    </row>
    <row r="7142" spans="1:1" x14ac:dyDescent="0.2">
      <c r="A7142" s="1135" t="str">
        <f>CONCATENATE(Programme!C7143,Programme!D7143,Programme!E7143,Programme!F7143,Programme!G7143,Programme!H7143,Programme!I7143)</f>
        <v>&lt;/ValeurCellule&gt;</v>
      </c>
    </row>
    <row r="7143" spans="1:1" x14ac:dyDescent="0.2">
      <c r="A7143" s="1135" t="str">
        <f>CONCATENATE(Programme!C7144,Programme!D7144,Programme!E7144,Programme!F7144,Programme!G7144,Programme!H7144,Programme!I7144)</f>
        <v>&lt;ValeurCellule&gt;</v>
      </c>
    </row>
    <row r="7144" spans="1:1" x14ac:dyDescent="0.2">
      <c r="A7144" s="1135" t="str">
        <f>CONCATENATE(Programme!C7145,Programme!D7145,Programme!E7145,Programme!F7145,Programme!G7145,Programme!H7145,Programme!I7145)</f>
        <v>&lt;cellule&gt;&lt;codeEdi&gt;1935&lt;/codeEdi&gt;&lt;/cellule&gt;</v>
      </c>
    </row>
    <row r="7145" spans="1:1" x14ac:dyDescent="0.2">
      <c r="A7145" s="1135" t="str">
        <f>CONCATENATE(Programme!C7146,Programme!D7146,Programme!E7146,Programme!F7146,Programme!G7146,Programme!H7146,Programme!I7146)</f>
        <v>&lt;valeur&gt;&lt;/valeur&gt;</v>
      </c>
    </row>
    <row r="7146" spans="1:1" x14ac:dyDescent="0.2">
      <c r="A7146" s="1135" t="str">
        <f>CONCATENATE(Programme!C7147,Programme!D7147,Programme!E7147,Programme!F7147,Programme!G7147,Programme!H7147,Programme!I7147)</f>
        <v>&lt;numeroLigne&gt;1&lt;/numeroLigne&gt;</v>
      </c>
    </row>
    <row r="7147" spans="1:1" x14ac:dyDescent="0.2">
      <c r="A7147" s="1135" t="str">
        <f>CONCATENATE(Programme!C7148,Programme!D7148,Programme!E7148,Programme!F7148,Programme!G7148,Programme!H7148,Programme!I7148)</f>
        <v>&lt;/ValeurCellule&gt;</v>
      </c>
    </row>
    <row r="7148" spans="1:1" x14ac:dyDescent="0.2">
      <c r="A7148" s="1135" t="str">
        <f>CONCATENATE(Programme!C7149,Programme!D7149,Programme!E7149,Programme!F7149,Programme!G7149,Programme!H7149,Programme!I7149)</f>
        <v>&lt;ValeurCellule&gt;</v>
      </c>
    </row>
    <row r="7149" spans="1:1" x14ac:dyDescent="0.2">
      <c r="A7149" s="1135" t="str">
        <f>CONCATENATE(Programme!C7150,Programme!D7150,Programme!E7150,Programme!F7150,Programme!G7150,Programme!H7150,Programme!I7150)</f>
        <v>&lt;cellule&gt;&lt;codeEdi&gt;1936&lt;/codeEdi&gt;&lt;/cellule&gt;</v>
      </c>
    </row>
    <row r="7150" spans="1:1" x14ac:dyDescent="0.2">
      <c r="A7150" s="1135" t="str">
        <f>CONCATENATE(Programme!C7151,Programme!D7151,Programme!E7151,Programme!F7151,Programme!G7151,Programme!H7151,Programme!I7151)</f>
        <v>&lt;valeur&gt;0&lt;/valeur&gt;</v>
      </c>
    </row>
    <row r="7151" spans="1:1" x14ac:dyDescent="0.2">
      <c r="A7151" s="1135" t="str">
        <f>CONCATENATE(Programme!C7152,Programme!D7152,Programme!E7152,Programme!F7152,Programme!G7152,Programme!H7152,Programme!I7152)</f>
        <v>&lt;numeroLigne&gt;1&lt;/numeroLigne&gt;</v>
      </c>
    </row>
    <row r="7152" spans="1:1" x14ac:dyDescent="0.2">
      <c r="A7152" s="1135" t="str">
        <f>CONCATENATE(Programme!C7153,Programme!D7153,Programme!E7153,Programme!F7153,Programme!G7153,Programme!H7153,Programme!I7153)</f>
        <v>&lt;/ValeurCellule&gt;</v>
      </c>
    </row>
    <row r="7153" spans="1:1" x14ac:dyDescent="0.2">
      <c r="A7153" s="1135" t="str">
        <f>CONCATENATE(Programme!C7154,Programme!D7154,Programme!E7154,Programme!F7154,Programme!G7154,Programme!H7154,Programme!I7154)</f>
        <v>&lt;ValeurCellule&gt;</v>
      </c>
    </row>
    <row r="7154" spans="1:1" x14ac:dyDescent="0.2">
      <c r="A7154" s="1135" t="str">
        <f>CONCATENATE(Programme!C7155,Programme!D7155,Programme!E7155,Programme!F7155,Programme!G7155,Programme!H7155,Programme!I7155)</f>
        <v>&lt;cellule&gt;&lt;codeEdi&gt;1929&lt;/codeEdi&gt;&lt;/cellule&gt;</v>
      </c>
    </row>
    <row r="7155" spans="1:1" x14ac:dyDescent="0.2">
      <c r="A7155" s="1135" t="str">
        <f>CONCATENATE(Programme!C7156,Programme!D7156,Programme!E7156,Programme!F7156,Programme!G7156,Programme!H7156,Programme!I7156)</f>
        <v>&lt;valeur&gt;&lt;/valeur&gt;</v>
      </c>
    </row>
    <row r="7156" spans="1:1" x14ac:dyDescent="0.2">
      <c r="A7156" s="1135" t="str">
        <f>CONCATENATE(Programme!C7157,Programme!D7157,Programme!E7157,Programme!F7157,Programme!G7157,Programme!H7157,Programme!I7157)</f>
        <v>&lt;numeroLigne&gt;2&lt;/numeroLigne&gt;</v>
      </c>
    </row>
    <row r="7157" spans="1:1" x14ac:dyDescent="0.2">
      <c r="A7157" s="1135" t="str">
        <f>CONCATENATE(Programme!C7158,Programme!D7158,Programme!E7158,Programme!F7158,Programme!G7158,Programme!H7158,Programme!I7158)</f>
        <v>&lt;/ValeurCellule&gt;</v>
      </c>
    </row>
    <row r="7158" spans="1:1" x14ac:dyDescent="0.2">
      <c r="A7158" s="1135" t="str">
        <f>CONCATENATE(Programme!C7159,Programme!D7159,Programme!E7159,Programme!F7159,Programme!G7159,Programme!H7159,Programme!I7159)</f>
        <v>&lt;ValeurCellule&gt;</v>
      </c>
    </row>
    <row r="7159" spans="1:1" x14ac:dyDescent="0.2">
      <c r="A7159" s="1135" t="str">
        <f>CONCATENATE(Programme!C7160,Programme!D7160,Programme!E7160,Programme!F7160,Programme!G7160,Programme!H7160,Programme!I7160)</f>
        <v>&lt;cellule&gt;&lt;codeEdi&gt;1930&lt;/codeEdi&gt;&lt;/cellule&gt;</v>
      </c>
    </row>
    <row r="7160" spans="1:1" x14ac:dyDescent="0.2">
      <c r="A7160" s="1135" t="str">
        <f>CONCATENATE(Programme!C7161,Programme!D7161,Programme!E7161,Programme!F7161,Programme!G7161,Programme!H7161,Programme!I7161)</f>
        <v>&lt;valeur&gt;&lt;/valeur&gt;</v>
      </c>
    </row>
    <row r="7161" spans="1:1" x14ac:dyDescent="0.2">
      <c r="A7161" s="1135" t="str">
        <f>CONCATENATE(Programme!C7162,Programme!D7162,Programme!E7162,Programme!F7162,Programme!G7162,Programme!H7162,Programme!I7162)</f>
        <v>&lt;numeroLigne&gt;2&lt;/numeroLigne&gt;</v>
      </c>
    </row>
    <row r="7162" spans="1:1" x14ac:dyDescent="0.2">
      <c r="A7162" s="1135" t="str">
        <f>CONCATENATE(Programme!C7163,Programme!D7163,Programme!E7163,Programme!F7163,Programme!G7163,Programme!H7163,Programme!I7163)</f>
        <v>&lt;/ValeurCellule&gt;</v>
      </c>
    </row>
    <row r="7163" spans="1:1" x14ac:dyDescent="0.2">
      <c r="A7163" s="1135" t="str">
        <f>CONCATENATE(Programme!C7164,Programme!D7164,Programme!E7164,Programme!F7164,Programme!G7164,Programme!H7164,Programme!I7164)</f>
        <v>&lt;ValeurCellule&gt;</v>
      </c>
    </row>
    <row r="7164" spans="1:1" x14ac:dyDescent="0.2">
      <c r="A7164" s="1135" t="str">
        <f>CONCATENATE(Programme!C7165,Programme!D7165,Programme!E7165,Programme!F7165,Programme!G7165,Programme!H7165,Programme!I7165)</f>
        <v>&lt;cellule&gt;&lt;codeEdi&gt;1931&lt;/codeEdi&gt;&lt;/cellule&gt;</v>
      </c>
    </row>
    <row r="7165" spans="1:1" x14ac:dyDescent="0.2">
      <c r="A7165" s="1135" t="str">
        <f>CONCATENATE(Programme!C7166,Programme!D7166,Programme!E7166,Programme!F7166,Programme!G7166,Programme!H7166,Programme!I7166)</f>
        <v>&lt;valeur&gt;&lt;/valeur&gt;</v>
      </c>
    </row>
    <row r="7166" spans="1:1" x14ac:dyDescent="0.2">
      <c r="A7166" s="1135" t="str">
        <f>CONCATENATE(Programme!C7167,Programme!D7167,Programme!E7167,Programme!F7167,Programme!G7167,Programme!H7167,Programme!I7167)</f>
        <v>&lt;numeroLigne&gt;2&lt;/numeroLigne&gt;</v>
      </c>
    </row>
    <row r="7167" spans="1:1" x14ac:dyDescent="0.2">
      <c r="A7167" s="1135" t="str">
        <f>CONCATENATE(Programme!C7168,Programme!D7168,Programme!E7168,Programme!F7168,Programme!G7168,Programme!H7168,Programme!I7168)</f>
        <v>&lt;/ValeurCellule&gt;</v>
      </c>
    </row>
    <row r="7168" spans="1:1" x14ac:dyDescent="0.2">
      <c r="A7168" s="1135" t="str">
        <f>CONCATENATE(Programme!C7169,Programme!D7169,Programme!E7169,Programme!F7169,Programme!G7169,Programme!H7169,Programme!I7169)</f>
        <v>&lt;ValeurCellule&gt;</v>
      </c>
    </row>
    <row r="7169" spans="1:1" x14ac:dyDescent="0.2">
      <c r="A7169" s="1135" t="str">
        <f>CONCATENATE(Programme!C7170,Programme!D7170,Programme!E7170,Programme!F7170,Programme!G7170,Programme!H7170,Programme!I7170)</f>
        <v>&lt;cellule&gt;&lt;codeEdi&gt;1932&lt;/codeEdi&gt;&lt;/cellule&gt;</v>
      </c>
    </row>
    <row r="7170" spans="1:1" x14ac:dyDescent="0.2">
      <c r="A7170" s="1135" t="str">
        <f>CONCATENATE(Programme!C7171,Programme!D7171,Programme!E7171,Programme!F7171,Programme!G7171,Programme!H7171,Programme!I7171)</f>
        <v>&lt;valeur&gt;&lt;/valeur&gt;</v>
      </c>
    </row>
    <row r="7171" spans="1:1" x14ac:dyDescent="0.2">
      <c r="A7171" s="1135" t="str">
        <f>CONCATENATE(Programme!C7172,Programme!D7172,Programme!E7172,Programme!F7172,Programme!G7172,Programme!H7172,Programme!I7172)</f>
        <v>&lt;numeroLigne&gt;2&lt;/numeroLigne&gt;</v>
      </c>
    </row>
    <row r="7172" spans="1:1" x14ac:dyDescent="0.2">
      <c r="A7172" s="1135" t="str">
        <f>CONCATENATE(Programme!C7173,Programme!D7173,Programme!E7173,Programme!F7173,Programme!G7173,Programme!H7173,Programme!I7173)</f>
        <v>&lt;/ValeurCellule&gt;</v>
      </c>
    </row>
    <row r="7173" spans="1:1" x14ac:dyDescent="0.2">
      <c r="A7173" s="1135" t="str">
        <f>CONCATENATE(Programme!C7174,Programme!D7174,Programme!E7174,Programme!F7174,Programme!G7174,Programme!H7174,Programme!I7174)</f>
        <v>&lt;ValeurCellule&gt;</v>
      </c>
    </row>
    <row r="7174" spans="1:1" x14ac:dyDescent="0.2">
      <c r="A7174" s="1135" t="str">
        <f>CONCATENATE(Programme!C7175,Programme!D7175,Programme!E7175,Programme!F7175,Programme!G7175,Programme!H7175,Programme!I7175)</f>
        <v>&lt;cellule&gt;&lt;codeEdi&gt;1933&lt;/codeEdi&gt;&lt;/cellule&gt;</v>
      </c>
    </row>
    <row r="7175" spans="1:1" x14ac:dyDescent="0.2">
      <c r="A7175" s="1135" t="str">
        <f>CONCATENATE(Programme!C7176,Programme!D7176,Programme!E7176,Programme!F7176,Programme!G7176,Programme!H7176,Programme!I7176)</f>
        <v>&lt;valeur&gt;&lt;/valeur&gt;</v>
      </c>
    </row>
    <row r="7176" spans="1:1" x14ac:dyDescent="0.2">
      <c r="A7176" s="1135" t="str">
        <f>CONCATENATE(Programme!C7177,Programme!D7177,Programme!E7177,Programme!F7177,Programme!G7177,Programme!H7177,Programme!I7177)</f>
        <v>&lt;numeroLigne&gt;2&lt;/numeroLigne&gt;</v>
      </c>
    </row>
    <row r="7177" spans="1:1" x14ac:dyDescent="0.2">
      <c r="A7177" s="1135" t="str">
        <f>CONCATENATE(Programme!C7178,Programme!D7178,Programme!E7178,Programme!F7178,Programme!G7178,Programme!H7178,Programme!I7178)</f>
        <v>&lt;/ValeurCellule&gt;</v>
      </c>
    </row>
    <row r="7178" spans="1:1" x14ac:dyDescent="0.2">
      <c r="A7178" s="1135" t="str">
        <f>CONCATENATE(Programme!C7179,Programme!D7179,Programme!E7179,Programme!F7179,Programme!G7179,Programme!H7179,Programme!I7179)</f>
        <v>&lt;ValeurCellule&gt;</v>
      </c>
    </row>
    <row r="7179" spans="1:1" x14ac:dyDescent="0.2">
      <c r="A7179" s="1135" t="str">
        <f>CONCATENATE(Programme!C7180,Programme!D7180,Programme!E7180,Programme!F7180,Programme!G7180,Programme!H7180,Programme!I7180)</f>
        <v>&lt;cellule&gt;&lt;codeEdi&gt;1934&lt;/codeEdi&gt;&lt;/cellule&gt;</v>
      </c>
    </row>
    <row r="7180" spans="1:1" x14ac:dyDescent="0.2">
      <c r="A7180" s="1135" t="str">
        <f>CONCATENATE(Programme!C7181,Programme!D7181,Programme!E7181,Programme!F7181,Programme!G7181,Programme!H7181,Programme!I7181)</f>
        <v>&lt;valeur&gt;&lt;/valeur&gt;</v>
      </c>
    </row>
    <row r="7181" spans="1:1" x14ac:dyDescent="0.2">
      <c r="A7181" s="1135" t="str">
        <f>CONCATENATE(Programme!C7182,Programme!D7182,Programme!E7182,Programme!F7182,Programme!G7182,Programme!H7182,Programme!I7182)</f>
        <v>&lt;numeroLigne&gt;2&lt;/numeroLigne&gt;</v>
      </c>
    </row>
    <row r="7182" spans="1:1" x14ac:dyDescent="0.2">
      <c r="A7182" s="1135" t="str">
        <f>CONCATENATE(Programme!C7183,Programme!D7183,Programme!E7183,Programme!F7183,Programme!G7183,Programme!H7183,Programme!I7183)</f>
        <v>&lt;/ValeurCellule&gt;</v>
      </c>
    </row>
    <row r="7183" spans="1:1" x14ac:dyDescent="0.2">
      <c r="A7183" s="1135" t="str">
        <f>CONCATENATE(Programme!C7184,Programme!D7184,Programme!E7184,Programme!F7184,Programme!G7184,Programme!H7184,Programme!I7184)</f>
        <v>&lt;ValeurCellule&gt;</v>
      </c>
    </row>
    <row r="7184" spans="1:1" x14ac:dyDescent="0.2">
      <c r="A7184" s="1135" t="str">
        <f>CONCATENATE(Programme!C7185,Programme!D7185,Programme!E7185,Programme!F7185,Programme!G7185,Programme!H7185,Programme!I7185)</f>
        <v>&lt;cellule&gt;&lt;codeEdi&gt;1935&lt;/codeEdi&gt;&lt;/cellule&gt;</v>
      </c>
    </row>
    <row r="7185" spans="1:1" x14ac:dyDescent="0.2">
      <c r="A7185" s="1135" t="str">
        <f>CONCATENATE(Programme!C7186,Programme!D7186,Programme!E7186,Programme!F7186,Programme!G7186,Programme!H7186,Programme!I7186)</f>
        <v>&lt;valeur&gt;&lt;/valeur&gt;</v>
      </c>
    </row>
    <row r="7186" spans="1:1" x14ac:dyDescent="0.2">
      <c r="A7186" s="1135" t="str">
        <f>CONCATENATE(Programme!C7187,Programme!D7187,Programme!E7187,Programme!F7187,Programme!G7187,Programme!H7187,Programme!I7187)</f>
        <v>&lt;numeroLigne&gt;2&lt;/numeroLigne&gt;</v>
      </c>
    </row>
    <row r="7187" spans="1:1" x14ac:dyDescent="0.2">
      <c r="A7187" s="1135" t="str">
        <f>CONCATENATE(Programme!C7188,Programme!D7188,Programme!E7188,Programme!F7188,Programme!G7188,Programme!H7188,Programme!I7188)</f>
        <v>&lt;/ValeurCellule&gt;</v>
      </c>
    </row>
    <row r="7188" spans="1:1" x14ac:dyDescent="0.2">
      <c r="A7188" s="1135" t="str">
        <f>CONCATENATE(Programme!C7189,Programme!D7189,Programme!E7189,Programme!F7189,Programme!G7189,Programme!H7189,Programme!I7189)</f>
        <v>&lt;ValeurCellule&gt;</v>
      </c>
    </row>
    <row r="7189" spans="1:1" x14ac:dyDescent="0.2">
      <c r="A7189" s="1135" t="str">
        <f>CONCATENATE(Programme!C7190,Programme!D7190,Programme!E7190,Programme!F7190,Programme!G7190,Programme!H7190,Programme!I7190)</f>
        <v>&lt;cellule&gt;&lt;codeEdi&gt;1936&lt;/codeEdi&gt;&lt;/cellule&gt;</v>
      </c>
    </row>
    <row r="7190" spans="1:1" x14ac:dyDescent="0.2">
      <c r="A7190" s="1135" t="str">
        <f>CONCATENATE(Programme!C7191,Programme!D7191,Programme!E7191,Programme!F7191,Programme!G7191,Programme!H7191,Programme!I7191)</f>
        <v>&lt;valeur&gt;0&lt;/valeur&gt;</v>
      </c>
    </row>
    <row r="7191" spans="1:1" x14ac:dyDescent="0.2">
      <c r="A7191" s="1135" t="str">
        <f>CONCATENATE(Programme!C7192,Programme!D7192,Programme!E7192,Programme!F7192,Programme!G7192,Programme!H7192,Programme!I7192)</f>
        <v>&lt;numeroLigne&gt;2&lt;/numeroLigne&gt;</v>
      </c>
    </row>
    <row r="7192" spans="1:1" x14ac:dyDescent="0.2">
      <c r="A7192" s="1135" t="str">
        <f>CONCATENATE(Programme!C7193,Programme!D7193,Programme!E7193,Programme!F7193,Programme!G7193,Programme!H7193,Programme!I7193)</f>
        <v>&lt;/ValeurCellule&gt;</v>
      </c>
    </row>
    <row r="7193" spans="1:1" x14ac:dyDescent="0.2">
      <c r="A7193" s="1135" t="str">
        <f>CONCATENATE(Programme!C7194,Programme!D7194,Programme!E7194,Programme!F7194,Programme!G7194,Programme!H7194,Programme!I7194)</f>
        <v>&lt;ValeurCellule&gt;</v>
      </c>
    </row>
    <row r="7194" spans="1:1" x14ac:dyDescent="0.2">
      <c r="A7194" s="1135" t="str">
        <f>CONCATENATE(Programme!C7195,Programme!D7195,Programme!E7195,Programme!F7195,Programme!G7195,Programme!H7195,Programme!I7195)</f>
        <v>&lt;cellule&gt;&lt;codeEdi&gt;1929&lt;/codeEdi&gt;&lt;/cellule&gt;</v>
      </c>
    </row>
    <row r="7195" spans="1:1" x14ac:dyDescent="0.2">
      <c r="A7195" s="1135" t="str">
        <f>CONCATENATE(Programme!C7196,Programme!D7196,Programme!E7196,Programme!F7196,Programme!G7196,Programme!H7196,Programme!I7196)</f>
        <v>&lt;valeur&gt;&lt;/valeur&gt;</v>
      </c>
    </row>
    <row r="7196" spans="1:1" x14ac:dyDescent="0.2">
      <c r="A7196" s="1135" t="str">
        <f>CONCATENATE(Programme!C7197,Programme!D7197,Programme!E7197,Programme!F7197,Programme!G7197,Programme!H7197,Programme!I7197)</f>
        <v>&lt;numeroLigne&gt;3&lt;/numeroLigne&gt;</v>
      </c>
    </row>
    <row r="7197" spans="1:1" x14ac:dyDescent="0.2">
      <c r="A7197" s="1135" t="str">
        <f>CONCATENATE(Programme!C7198,Programme!D7198,Programme!E7198,Programme!F7198,Programme!G7198,Programme!H7198,Programme!I7198)</f>
        <v>&lt;/ValeurCellule&gt;</v>
      </c>
    </row>
    <row r="7198" spans="1:1" x14ac:dyDescent="0.2">
      <c r="A7198" s="1135" t="str">
        <f>CONCATENATE(Programme!C7199,Programme!D7199,Programme!E7199,Programme!F7199,Programme!G7199,Programme!H7199,Programme!I7199)</f>
        <v>&lt;ValeurCellule&gt;</v>
      </c>
    </row>
    <row r="7199" spans="1:1" x14ac:dyDescent="0.2">
      <c r="A7199" s="1135" t="str">
        <f>CONCATENATE(Programme!C7200,Programme!D7200,Programme!E7200,Programme!F7200,Programme!G7200,Programme!H7200,Programme!I7200)</f>
        <v>&lt;cellule&gt;&lt;codeEdi&gt;1930&lt;/codeEdi&gt;&lt;/cellule&gt;</v>
      </c>
    </row>
    <row r="7200" spans="1:1" x14ac:dyDescent="0.2">
      <c r="A7200" s="1135" t="str">
        <f>CONCATENATE(Programme!C7201,Programme!D7201,Programme!E7201,Programme!F7201,Programme!G7201,Programme!H7201,Programme!I7201)</f>
        <v>&lt;valeur&gt;&lt;/valeur&gt;</v>
      </c>
    </row>
    <row r="7201" spans="1:1" x14ac:dyDescent="0.2">
      <c r="A7201" s="1135" t="str">
        <f>CONCATENATE(Programme!C7202,Programme!D7202,Programme!E7202,Programme!F7202,Programme!G7202,Programme!H7202,Programme!I7202)</f>
        <v>&lt;numeroLigne&gt;3&lt;/numeroLigne&gt;</v>
      </c>
    </row>
    <row r="7202" spans="1:1" x14ac:dyDescent="0.2">
      <c r="A7202" s="1135" t="str">
        <f>CONCATENATE(Programme!C7203,Programme!D7203,Programme!E7203,Programme!F7203,Programme!G7203,Programme!H7203,Programme!I7203)</f>
        <v>&lt;/ValeurCellule&gt;</v>
      </c>
    </row>
    <row r="7203" spans="1:1" x14ac:dyDescent="0.2">
      <c r="A7203" s="1135" t="str">
        <f>CONCATENATE(Programme!C7204,Programme!D7204,Programme!E7204,Programme!F7204,Programme!G7204,Programme!H7204,Programme!I7204)</f>
        <v>&lt;ValeurCellule&gt;</v>
      </c>
    </row>
    <row r="7204" spans="1:1" x14ac:dyDescent="0.2">
      <c r="A7204" s="1135" t="str">
        <f>CONCATENATE(Programme!C7205,Programme!D7205,Programme!E7205,Programme!F7205,Programme!G7205,Programme!H7205,Programme!I7205)</f>
        <v>&lt;cellule&gt;&lt;codeEdi&gt;1931&lt;/codeEdi&gt;&lt;/cellule&gt;</v>
      </c>
    </row>
    <row r="7205" spans="1:1" x14ac:dyDescent="0.2">
      <c r="A7205" s="1135" t="str">
        <f>CONCATENATE(Programme!C7206,Programme!D7206,Programme!E7206,Programme!F7206,Programme!G7206,Programme!H7206,Programme!I7206)</f>
        <v>&lt;valeur&gt;&lt;/valeur&gt;</v>
      </c>
    </row>
    <row r="7206" spans="1:1" x14ac:dyDescent="0.2">
      <c r="A7206" s="1135" t="str">
        <f>CONCATENATE(Programme!C7207,Programme!D7207,Programme!E7207,Programme!F7207,Programme!G7207,Programme!H7207,Programme!I7207)</f>
        <v>&lt;numeroLigne&gt;3&lt;/numeroLigne&gt;</v>
      </c>
    </row>
    <row r="7207" spans="1:1" x14ac:dyDescent="0.2">
      <c r="A7207" s="1135" t="str">
        <f>CONCATENATE(Programme!C7208,Programme!D7208,Programme!E7208,Programme!F7208,Programme!G7208,Programme!H7208,Programme!I7208)</f>
        <v>&lt;/ValeurCellule&gt;</v>
      </c>
    </row>
    <row r="7208" spans="1:1" x14ac:dyDescent="0.2">
      <c r="A7208" s="1135" t="str">
        <f>CONCATENATE(Programme!C7209,Programme!D7209,Programme!E7209,Programme!F7209,Programme!G7209,Programme!H7209,Programme!I7209)</f>
        <v>&lt;ValeurCellule&gt;</v>
      </c>
    </row>
    <row r="7209" spans="1:1" x14ac:dyDescent="0.2">
      <c r="A7209" s="1135" t="str">
        <f>CONCATENATE(Programme!C7210,Programme!D7210,Programme!E7210,Programme!F7210,Programme!G7210,Programme!H7210,Programme!I7210)</f>
        <v>&lt;cellule&gt;&lt;codeEdi&gt;1932&lt;/codeEdi&gt;&lt;/cellule&gt;</v>
      </c>
    </row>
    <row r="7210" spans="1:1" x14ac:dyDescent="0.2">
      <c r="A7210" s="1135" t="str">
        <f>CONCATENATE(Programme!C7211,Programme!D7211,Programme!E7211,Programme!F7211,Programme!G7211,Programme!H7211,Programme!I7211)</f>
        <v>&lt;valeur&gt;&lt;/valeur&gt;</v>
      </c>
    </row>
    <row r="7211" spans="1:1" x14ac:dyDescent="0.2">
      <c r="A7211" s="1135" t="str">
        <f>CONCATENATE(Programme!C7212,Programme!D7212,Programme!E7212,Programme!F7212,Programme!G7212,Programme!H7212,Programme!I7212)</f>
        <v>&lt;numeroLigne&gt;3&lt;/numeroLigne&gt;</v>
      </c>
    </row>
    <row r="7212" spans="1:1" x14ac:dyDescent="0.2">
      <c r="A7212" s="1135" t="str">
        <f>CONCATENATE(Programme!C7213,Programme!D7213,Programme!E7213,Programme!F7213,Programme!G7213,Programme!H7213,Programme!I7213)</f>
        <v>&lt;/ValeurCellule&gt;</v>
      </c>
    </row>
    <row r="7213" spans="1:1" x14ac:dyDescent="0.2">
      <c r="A7213" s="1135" t="str">
        <f>CONCATENATE(Programme!C7214,Programme!D7214,Programme!E7214,Programme!F7214,Programme!G7214,Programme!H7214,Programme!I7214)</f>
        <v>&lt;ValeurCellule&gt;</v>
      </c>
    </row>
    <row r="7214" spans="1:1" x14ac:dyDescent="0.2">
      <c r="A7214" s="1135" t="str">
        <f>CONCATENATE(Programme!C7215,Programme!D7215,Programme!E7215,Programme!F7215,Programme!G7215,Programme!H7215,Programme!I7215)</f>
        <v>&lt;cellule&gt;&lt;codeEdi&gt;1933&lt;/codeEdi&gt;&lt;/cellule&gt;</v>
      </c>
    </row>
    <row r="7215" spans="1:1" x14ac:dyDescent="0.2">
      <c r="A7215" s="1135" t="str">
        <f>CONCATENATE(Programme!C7216,Programme!D7216,Programme!E7216,Programme!F7216,Programme!G7216,Programme!H7216,Programme!I7216)</f>
        <v>&lt;valeur&gt;&lt;/valeur&gt;</v>
      </c>
    </row>
    <row r="7216" spans="1:1" x14ac:dyDescent="0.2">
      <c r="A7216" s="1135" t="str">
        <f>CONCATENATE(Programme!C7217,Programme!D7217,Programme!E7217,Programme!F7217,Programme!G7217,Programme!H7217,Programme!I7217)</f>
        <v>&lt;numeroLigne&gt;3&lt;/numeroLigne&gt;</v>
      </c>
    </row>
    <row r="7217" spans="1:1" x14ac:dyDescent="0.2">
      <c r="A7217" s="1135" t="str">
        <f>CONCATENATE(Programme!C7218,Programme!D7218,Programme!E7218,Programme!F7218,Programme!G7218,Programme!H7218,Programme!I7218)</f>
        <v>&lt;/ValeurCellule&gt;</v>
      </c>
    </row>
    <row r="7218" spans="1:1" x14ac:dyDescent="0.2">
      <c r="A7218" s="1135" t="str">
        <f>CONCATENATE(Programme!C7219,Programme!D7219,Programme!E7219,Programme!F7219,Programme!G7219,Programme!H7219,Programme!I7219)</f>
        <v>&lt;ValeurCellule&gt;</v>
      </c>
    </row>
    <row r="7219" spans="1:1" x14ac:dyDescent="0.2">
      <c r="A7219" s="1135" t="str">
        <f>CONCATENATE(Programme!C7220,Programme!D7220,Programme!E7220,Programme!F7220,Programme!G7220,Programme!H7220,Programme!I7220)</f>
        <v>&lt;cellule&gt;&lt;codeEdi&gt;1934&lt;/codeEdi&gt;&lt;/cellule&gt;</v>
      </c>
    </row>
    <row r="7220" spans="1:1" x14ac:dyDescent="0.2">
      <c r="A7220" s="1135" t="str">
        <f>CONCATENATE(Programme!C7221,Programme!D7221,Programme!E7221,Programme!F7221,Programme!G7221,Programme!H7221,Programme!I7221)</f>
        <v>&lt;valeur&gt;&lt;/valeur&gt;</v>
      </c>
    </row>
    <row r="7221" spans="1:1" x14ac:dyDescent="0.2">
      <c r="A7221" s="1135" t="str">
        <f>CONCATENATE(Programme!C7222,Programme!D7222,Programme!E7222,Programme!F7222,Programme!G7222,Programme!H7222,Programme!I7222)</f>
        <v>&lt;numeroLigne&gt;3&lt;/numeroLigne&gt;</v>
      </c>
    </row>
    <row r="7222" spans="1:1" x14ac:dyDescent="0.2">
      <c r="A7222" s="1135" t="str">
        <f>CONCATENATE(Programme!C7223,Programme!D7223,Programme!E7223,Programme!F7223,Programme!G7223,Programme!H7223,Programme!I7223)</f>
        <v>&lt;/ValeurCellule&gt;</v>
      </c>
    </row>
    <row r="7223" spans="1:1" x14ac:dyDescent="0.2">
      <c r="A7223" s="1135" t="str">
        <f>CONCATENATE(Programme!C7224,Programme!D7224,Programme!E7224,Programme!F7224,Programme!G7224,Programme!H7224,Programme!I7224)</f>
        <v>&lt;ValeurCellule&gt;</v>
      </c>
    </row>
    <row r="7224" spans="1:1" x14ac:dyDescent="0.2">
      <c r="A7224" s="1135" t="str">
        <f>CONCATENATE(Programme!C7225,Programme!D7225,Programme!E7225,Programme!F7225,Programme!G7225,Programme!H7225,Programme!I7225)</f>
        <v>&lt;cellule&gt;&lt;codeEdi&gt;1935&lt;/codeEdi&gt;&lt;/cellule&gt;</v>
      </c>
    </row>
    <row r="7225" spans="1:1" x14ac:dyDescent="0.2">
      <c r="A7225" s="1135" t="str">
        <f>CONCATENATE(Programme!C7226,Programme!D7226,Programme!E7226,Programme!F7226,Programme!G7226,Programme!H7226,Programme!I7226)</f>
        <v>&lt;valeur&gt;&lt;/valeur&gt;</v>
      </c>
    </row>
    <row r="7226" spans="1:1" x14ac:dyDescent="0.2">
      <c r="A7226" s="1135" t="str">
        <f>CONCATENATE(Programme!C7227,Programme!D7227,Programme!E7227,Programme!F7227,Programme!G7227,Programme!H7227,Programme!I7227)</f>
        <v>&lt;numeroLigne&gt;3&lt;/numeroLigne&gt;</v>
      </c>
    </row>
    <row r="7227" spans="1:1" x14ac:dyDescent="0.2">
      <c r="A7227" s="1135" t="str">
        <f>CONCATENATE(Programme!C7228,Programme!D7228,Programme!E7228,Programme!F7228,Programme!G7228,Programme!H7228,Programme!I7228)</f>
        <v>&lt;/ValeurCellule&gt;</v>
      </c>
    </row>
    <row r="7228" spans="1:1" x14ac:dyDescent="0.2">
      <c r="A7228" s="1135" t="str">
        <f>CONCATENATE(Programme!C7229,Programme!D7229,Programme!E7229,Programme!F7229,Programme!G7229,Programme!H7229,Programme!I7229)</f>
        <v>&lt;ValeurCellule&gt;</v>
      </c>
    </row>
    <row r="7229" spans="1:1" x14ac:dyDescent="0.2">
      <c r="A7229" s="1135" t="str">
        <f>CONCATENATE(Programme!C7230,Programme!D7230,Programme!E7230,Programme!F7230,Programme!G7230,Programme!H7230,Programme!I7230)</f>
        <v>&lt;cellule&gt;&lt;codeEdi&gt;1936&lt;/codeEdi&gt;&lt;/cellule&gt;</v>
      </c>
    </row>
    <row r="7230" spans="1:1" x14ac:dyDescent="0.2">
      <c r="A7230" s="1135" t="str">
        <f>CONCATENATE(Programme!C7231,Programme!D7231,Programme!E7231,Programme!F7231,Programme!G7231,Programme!H7231,Programme!I7231)</f>
        <v>&lt;valeur&gt;0&lt;/valeur&gt;</v>
      </c>
    </row>
    <row r="7231" spans="1:1" x14ac:dyDescent="0.2">
      <c r="A7231" s="1135" t="str">
        <f>CONCATENATE(Programme!C7232,Programme!D7232,Programme!E7232,Programme!F7232,Programme!G7232,Programme!H7232,Programme!I7232)</f>
        <v>&lt;numeroLigne&gt;3&lt;/numeroLigne&gt;</v>
      </c>
    </row>
    <row r="7232" spans="1:1" x14ac:dyDescent="0.2">
      <c r="A7232" s="1135" t="str">
        <f>CONCATENATE(Programme!C7233,Programme!D7233,Programme!E7233,Programme!F7233,Programme!G7233,Programme!H7233,Programme!I7233)</f>
        <v>&lt;/ValeurCellule&gt;</v>
      </c>
    </row>
    <row r="7233" spans="1:1" x14ac:dyDescent="0.2">
      <c r="A7233" s="1135" t="str">
        <f>CONCATENATE(Programme!C7234,Programme!D7234,Programme!E7234,Programme!F7234,Programme!G7234,Programme!H7234,Programme!I7234)</f>
        <v>&lt;ValeurCellule&gt;</v>
      </c>
    </row>
    <row r="7234" spans="1:1" x14ac:dyDescent="0.2">
      <c r="A7234" s="1135" t="str">
        <f>CONCATENATE(Programme!C7235,Programme!D7235,Programme!E7235,Programme!F7235,Programme!G7235,Programme!H7235,Programme!I7235)</f>
        <v>&lt;cellule&gt;&lt;codeEdi&gt;1929&lt;/codeEdi&gt;&lt;/cellule&gt;</v>
      </c>
    </row>
    <row r="7235" spans="1:1" x14ac:dyDescent="0.2">
      <c r="A7235" s="1135" t="str">
        <f>CONCATENATE(Programme!C7236,Programme!D7236,Programme!E7236,Programme!F7236,Programme!G7236,Programme!H7236,Programme!I7236)</f>
        <v>&lt;valeur&gt;&lt;/valeur&gt;</v>
      </c>
    </row>
    <row r="7236" spans="1:1" x14ac:dyDescent="0.2">
      <c r="A7236" s="1135" t="str">
        <f>CONCATENATE(Programme!C7237,Programme!D7237,Programme!E7237,Programme!F7237,Programme!G7237,Programme!H7237,Programme!I7237)</f>
        <v>&lt;numeroLigne&gt;4&lt;/numeroLigne&gt;</v>
      </c>
    </row>
    <row r="7237" spans="1:1" x14ac:dyDescent="0.2">
      <c r="A7237" s="1135" t="str">
        <f>CONCATENATE(Programme!C7238,Programme!D7238,Programme!E7238,Programme!F7238,Programme!G7238,Programme!H7238,Programme!I7238)</f>
        <v>&lt;/ValeurCellule&gt;</v>
      </c>
    </row>
    <row r="7238" spans="1:1" x14ac:dyDescent="0.2">
      <c r="A7238" s="1135" t="str">
        <f>CONCATENATE(Programme!C7239,Programme!D7239,Programme!E7239,Programme!F7239,Programme!G7239,Programme!H7239,Programme!I7239)</f>
        <v>&lt;ValeurCellule&gt;</v>
      </c>
    </row>
    <row r="7239" spans="1:1" x14ac:dyDescent="0.2">
      <c r="A7239" s="1135" t="str">
        <f>CONCATENATE(Programme!C7240,Programme!D7240,Programme!E7240,Programme!F7240,Programme!G7240,Programme!H7240,Programme!I7240)</f>
        <v>&lt;cellule&gt;&lt;codeEdi&gt;1930&lt;/codeEdi&gt;&lt;/cellule&gt;</v>
      </c>
    </row>
    <row r="7240" spans="1:1" x14ac:dyDescent="0.2">
      <c r="A7240" s="1135" t="str">
        <f>CONCATENATE(Programme!C7241,Programme!D7241,Programme!E7241,Programme!F7241,Programme!G7241,Programme!H7241,Programme!I7241)</f>
        <v>&lt;valeur&gt;&lt;/valeur&gt;</v>
      </c>
    </row>
    <row r="7241" spans="1:1" x14ac:dyDescent="0.2">
      <c r="A7241" s="1135" t="str">
        <f>CONCATENATE(Programme!C7242,Programme!D7242,Programme!E7242,Programme!F7242,Programme!G7242,Programme!H7242,Programme!I7242)</f>
        <v>&lt;numeroLigne&gt;4&lt;/numeroLigne&gt;</v>
      </c>
    </row>
    <row r="7242" spans="1:1" x14ac:dyDescent="0.2">
      <c r="A7242" s="1135" t="str">
        <f>CONCATENATE(Programme!C7243,Programme!D7243,Programme!E7243,Programme!F7243,Programme!G7243,Programme!H7243,Programme!I7243)</f>
        <v>&lt;/ValeurCellule&gt;</v>
      </c>
    </row>
    <row r="7243" spans="1:1" x14ac:dyDescent="0.2">
      <c r="A7243" s="1135" t="str">
        <f>CONCATENATE(Programme!C7244,Programme!D7244,Programme!E7244,Programme!F7244,Programme!G7244,Programme!H7244,Programme!I7244)</f>
        <v>&lt;ValeurCellule&gt;</v>
      </c>
    </row>
    <row r="7244" spans="1:1" x14ac:dyDescent="0.2">
      <c r="A7244" s="1135" t="str">
        <f>CONCATENATE(Programme!C7245,Programme!D7245,Programme!E7245,Programme!F7245,Programme!G7245,Programme!H7245,Programme!I7245)</f>
        <v>&lt;cellule&gt;&lt;codeEdi&gt;1931&lt;/codeEdi&gt;&lt;/cellule&gt;</v>
      </c>
    </row>
    <row r="7245" spans="1:1" x14ac:dyDescent="0.2">
      <c r="A7245" s="1135" t="str">
        <f>CONCATENATE(Programme!C7246,Programme!D7246,Programme!E7246,Programme!F7246,Programme!G7246,Programme!H7246,Programme!I7246)</f>
        <v>&lt;valeur&gt;&lt;/valeur&gt;</v>
      </c>
    </row>
    <row r="7246" spans="1:1" x14ac:dyDescent="0.2">
      <c r="A7246" s="1135" t="str">
        <f>CONCATENATE(Programme!C7247,Programme!D7247,Programme!E7247,Programme!F7247,Programme!G7247,Programme!H7247,Programme!I7247)</f>
        <v>&lt;numeroLigne&gt;4&lt;/numeroLigne&gt;</v>
      </c>
    </row>
    <row r="7247" spans="1:1" x14ac:dyDescent="0.2">
      <c r="A7247" s="1135" t="str">
        <f>CONCATENATE(Programme!C7248,Programme!D7248,Programme!E7248,Programme!F7248,Programme!G7248,Programme!H7248,Programme!I7248)</f>
        <v>&lt;/ValeurCellule&gt;</v>
      </c>
    </row>
    <row r="7248" spans="1:1" x14ac:dyDescent="0.2">
      <c r="A7248" s="1135" t="str">
        <f>CONCATENATE(Programme!C7249,Programme!D7249,Programme!E7249,Programme!F7249,Programme!G7249,Programme!H7249,Programme!I7249)</f>
        <v>&lt;ValeurCellule&gt;</v>
      </c>
    </row>
    <row r="7249" spans="1:1" x14ac:dyDescent="0.2">
      <c r="A7249" s="1135" t="str">
        <f>CONCATENATE(Programme!C7250,Programme!D7250,Programme!E7250,Programme!F7250,Programme!G7250,Programme!H7250,Programme!I7250)</f>
        <v>&lt;cellule&gt;&lt;codeEdi&gt;1932&lt;/codeEdi&gt;&lt;/cellule&gt;</v>
      </c>
    </row>
    <row r="7250" spans="1:1" x14ac:dyDescent="0.2">
      <c r="A7250" s="1135" t="str">
        <f>CONCATENATE(Programme!C7251,Programme!D7251,Programme!E7251,Programme!F7251,Programme!G7251,Programme!H7251,Programme!I7251)</f>
        <v>&lt;valeur&gt;&lt;/valeur&gt;</v>
      </c>
    </row>
    <row r="7251" spans="1:1" x14ac:dyDescent="0.2">
      <c r="A7251" s="1135" t="str">
        <f>CONCATENATE(Programme!C7252,Programme!D7252,Programme!E7252,Programme!F7252,Programme!G7252,Programme!H7252,Programme!I7252)</f>
        <v>&lt;numeroLigne&gt;4&lt;/numeroLigne&gt;</v>
      </c>
    </row>
    <row r="7252" spans="1:1" x14ac:dyDescent="0.2">
      <c r="A7252" s="1135" t="str">
        <f>CONCATENATE(Programme!C7253,Programme!D7253,Programme!E7253,Programme!F7253,Programme!G7253,Programme!H7253,Programme!I7253)</f>
        <v>&lt;/ValeurCellule&gt;</v>
      </c>
    </row>
    <row r="7253" spans="1:1" x14ac:dyDescent="0.2">
      <c r="A7253" s="1135" t="str">
        <f>CONCATENATE(Programme!C7254,Programme!D7254,Programme!E7254,Programme!F7254,Programme!G7254,Programme!H7254,Programme!I7254)</f>
        <v>&lt;ValeurCellule&gt;</v>
      </c>
    </row>
    <row r="7254" spans="1:1" x14ac:dyDescent="0.2">
      <c r="A7254" s="1135" t="str">
        <f>CONCATENATE(Programme!C7255,Programme!D7255,Programme!E7255,Programme!F7255,Programme!G7255,Programme!H7255,Programme!I7255)</f>
        <v>&lt;cellule&gt;&lt;codeEdi&gt;1933&lt;/codeEdi&gt;&lt;/cellule&gt;</v>
      </c>
    </row>
    <row r="7255" spans="1:1" x14ac:dyDescent="0.2">
      <c r="A7255" s="1135" t="str">
        <f>CONCATENATE(Programme!C7256,Programme!D7256,Programme!E7256,Programme!F7256,Programme!G7256,Programme!H7256,Programme!I7256)</f>
        <v>&lt;valeur&gt;&lt;/valeur&gt;</v>
      </c>
    </row>
    <row r="7256" spans="1:1" x14ac:dyDescent="0.2">
      <c r="A7256" s="1135" t="str">
        <f>CONCATENATE(Programme!C7257,Programme!D7257,Programme!E7257,Programme!F7257,Programme!G7257,Programme!H7257,Programme!I7257)</f>
        <v>&lt;numeroLigne&gt;4&lt;/numeroLigne&gt;</v>
      </c>
    </row>
    <row r="7257" spans="1:1" x14ac:dyDescent="0.2">
      <c r="A7257" s="1135" t="str">
        <f>CONCATENATE(Programme!C7258,Programme!D7258,Programme!E7258,Programme!F7258,Programme!G7258,Programme!H7258,Programme!I7258)</f>
        <v>&lt;/ValeurCellule&gt;</v>
      </c>
    </row>
    <row r="7258" spans="1:1" x14ac:dyDescent="0.2">
      <c r="A7258" s="1135" t="str">
        <f>CONCATENATE(Programme!C7259,Programme!D7259,Programme!E7259,Programme!F7259,Programme!G7259,Programme!H7259,Programme!I7259)</f>
        <v>&lt;ValeurCellule&gt;</v>
      </c>
    </row>
    <row r="7259" spans="1:1" x14ac:dyDescent="0.2">
      <c r="A7259" s="1135" t="str">
        <f>CONCATENATE(Programme!C7260,Programme!D7260,Programme!E7260,Programme!F7260,Programme!G7260,Programme!H7260,Programme!I7260)</f>
        <v>&lt;cellule&gt;&lt;codeEdi&gt;1934&lt;/codeEdi&gt;&lt;/cellule&gt;</v>
      </c>
    </row>
    <row r="7260" spans="1:1" x14ac:dyDescent="0.2">
      <c r="A7260" s="1135" t="str">
        <f>CONCATENATE(Programme!C7261,Programme!D7261,Programme!E7261,Programme!F7261,Programme!G7261,Programme!H7261,Programme!I7261)</f>
        <v>&lt;valeur&gt;&lt;/valeur&gt;</v>
      </c>
    </row>
    <row r="7261" spans="1:1" x14ac:dyDescent="0.2">
      <c r="A7261" s="1135" t="str">
        <f>CONCATENATE(Programme!C7262,Programme!D7262,Programme!E7262,Programme!F7262,Programme!G7262,Programme!H7262,Programme!I7262)</f>
        <v>&lt;numeroLigne&gt;4&lt;/numeroLigne&gt;</v>
      </c>
    </row>
    <row r="7262" spans="1:1" x14ac:dyDescent="0.2">
      <c r="A7262" s="1135" t="str">
        <f>CONCATENATE(Programme!C7263,Programme!D7263,Programme!E7263,Programme!F7263,Programme!G7263,Programme!H7263,Programme!I7263)</f>
        <v>&lt;/ValeurCellule&gt;</v>
      </c>
    </row>
    <row r="7263" spans="1:1" x14ac:dyDescent="0.2">
      <c r="A7263" s="1135" t="str">
        <f>CONCATENATE(Programme!C7264,Programme!D7264,Programme!E7264,Programme!F7264,Programme!G7264,Programme!H7264,Programme!I7264)</f>
        <v>&lt;ValeurCellule&gt;</v>
      </c>
    </row>
    <row r="7264" spans="1:1" x14ac:dyDescent="0.2">
      <c r="A7264" s="1135" t="str">
        <f>CONCATENATE(Programme!C7265,Programme!D7265,Programme!E7265,Programme!F7265,Programme!G7265,Programme!H7265,Programme!I7265)</f>
        <v>&lt;cellule&gt;&lt;codeEdi&gt;1935&lt;/codeEdi&gt;&lt;/cellule&gt;</v>
      </c>
    </row>
    <row r="7265" spans="1:1" x14ac:dyDescent="0.2">
      <c r="A7265" s="1135" t="str">
        <f>CONCATENATE(Programme!C7266,Programme!D7266,Programme!E7266,Programme!F7266,Programme!G7266,Programme!H7266,Programme!I7266)</f>
        <v>&lt;valeur&gt;&lt;/valeur&gt;</v>
      </c>
    </row>
    <row r="7266" spans="1:1" x14ac:dyDescent="0.2">
      <c r="A7266" s="1135" t="str">
        <f>CONCATENATE(Programme!C7267,Programme!D7267,Programme!E7267,Programme!F7267,Programme!G7267,Programme!H7267,Programme!I7267)</f>
        <v>&lt;numeroLigne&gt;4&lt;/numeroLigne&gt;</v>
      </c>
    </row>
    <row r="7267" spans="1:1" x14ac:dyDescent="0.2">
      <c r="A7267" s="1135" t="str">
        <f>CONCATENATE(Programme!C7268,Programme!D7268,Programme!E7268,Programme!F7268,Programme!G7268,Programme!H7268,Programme!I7268)</f>
        <v>&lt;/ValeurCellule&gt;</v>
      </c>
    </row>
    <row r="7268" spans="1:1" x14ac:dyDescent="0.2">
      <c r="A7268" s="1135" t="str">
        <f>CONCATENATE(Programme!C7269,Programme!D7269,Programme!E7269,Programme!F7269,Programme!G7269,Programme!H7269,Programme!I7269)</f>
        <v>&lt;ValeurCellule&gt;</v>
      </c>
    </row>
    <row r="7269" spans="1:1" x14ac:dyDescent="0.2">
      <c r="A7269" s="1135" t="str">
        <f>CONCATENATE(Programme!C7270,Programme!D7270,Programme!E7270,Programme!F7270,Programme!G7270,Programme!H7270,Programme!I7270)</f>
        <v>&lt;cellule&gt;&lt;codeEdi&gt;1936&lt;/codeEdi&gt;&lt;/cellule&gt;</v>
      </c>
    </row>
    <row r="7270" spans="1:1" x14ac:dyDescent="0.2">
      <c r="A7270" s="1135" t="str">
        <f>CONCATENATE(Programme!C7271,Programme!D7271,Programme!E7271,Programme!F7271,Programme!G7271,Programme!H7271,Programme!I7271)</f>
        <v>&lt;valeur&gt;0&lt;/valeur&gt;</v>
      </c>
    </row>
    <row r="7271" spans="1:1" x14ac:dyDescent="0.2">
      <c r="A7271" s="1135" t="str">
        <f>CONCATENATE(Programme!C7272,Programme!D7272,Programme!E7272,Programme!F7272,Programme!G7272,Programme!H7272,Programme!I7272)</f>
        <v>&lt;numeroLigne&gt;4&lt;/numeroLigne&gt;</v>
      </c>
    </row>
    <row r="7272" spans="1:1" x14ac:dyDescent="0.2">
      <c r="A7272" s="1135" t="str">
        <f>CONCATENATE(Programme!C7273,Programme!D7273,Programme!E7273,Programme!F7273,Programme!G7273,Programme!H7273,Programme!I7273)</f>
        <v>&lt;/ValeurCellule&gt;</v>
      </c>
    </row>
    <row r="7273" spans="1:1" x14ac:dyDescent="0.2">
      <c r="A7273" s="1135" t="str">
        <f>CONCATENATE(Programme!C7274,Programme!D7274,Programme!E7274,Programme!F7274,Programme!G7274,Programme!H7274,Programme!I7274)</f>
        <v>&lt;ValeurCellule&gt;</v>
      </c>
    </row>
    <row r="7274" spans="1:1" x14ac:dyDescent="0.2">
      <c r="A7274" s="1135" t="str">
        <f>CONCATENATE(Programme!C7275,Programme!D7275,Programme!E7275,Programme!F7275,Programme!G7275,Programme!H7275,Programme!I7275)</f>
        <v>&lt;cellule&gt;&lt;codeEdi&gt;1929&lt;/codeEdi&gt;&lt;/cellule&gt;</v>
      </c>
    </row>
    <row r="7275" spans="1:1" x14ac:dyDescent="0.2">
      <c r="A7275" s="1135" t="str">
        <f>CONCATENATE(Programme!C7276,Programme!D7276,Programme!E7276,Programme!F7276,Programme!G7276,Programme!H7276,Programme!I7276)</f>
        <v>&lt;valeur&gt;&lt;/valeur&gt;</v>
      </c>
    </row>
    <row r="7276" spans="1:1" x14ac:dyDescent="0.2">
      <c r="A7276" s="1135" t="str">
        <f>CONCATENATE(Programme!C7277,Programme!D7277,Programme!E7277,Programme!F7277,Programme!G7277,Programme!H7277,Programme!I7277)</f>
        <v>&lt;numeroLigne&gt;5&lt;/numeroLigne&gt;</v>
      </c>
    </row>
    <row r="7277" spans="1:1" x14ac:dyDescent="0.2">
      <c r="A7277" s="1135" t="str">
        <f>CONCATENATE(Programme!C7278,Programme!D7278,Programme!E7278,Programme!F7278,Programme!G7278,Programme!H7278,Programme!I7278)</f>
        <v>&lt;/ValeurCellule&gt;</v>
      </c>
    </row>
    <row r="7278" spans="1:1" x14ac:dyDescent="0.2">
      <c r="A7278" s="1135" t="str">
        <f>CONCATENATE(Programme!C7279,Programme!D7279,Programme!E7279,Programme!F7279,Programme!G7279,Programme!H7279,Programme!I7279)</f>
        <v>&lt;ValeurCellule&gt;</v>
      </c>
    </row>
    <row r="7279" spans="1:1" x14ac:dyDescent="0.2">
      <c r="A7279" s="1135" t="str">
        <f>CONCATENATE(Programme!C7280,Programme!D7280,Programme!E7280,Programme!F7280,Programme!G7280,Programme!H7280,Programme!I7280)</f>
        <v>&lt;cellule&gt;&lt;codeEdi&gt;1930&lt;/codeEdi&gt;&lt;/cellule&gt;</v>
      </c>
    </row>
    <row r="7280" spans="1:1" x14ac:dyDescent="0.2">
      <c r="A7280" s="1135" t="str">
        <f>CONCATENATE(Programme!C7281,Programme!D7281,Programme!E7281,Programme!F7281,Programme!G7281,Programme!H7281,Programme!I7281)</f>
        <v>&lt;valeur&gt;&lt;/valeur&gt;</v>
      </c>
    </row>
    <row r="7281" spans="1:1" x14ac:dyDescent="0.2">
      <c r="A7281" s="1135" t="str">
        <f>CONCATENATE(Programme!C7282,Programme!D7282,Programme!E7282,Programme!F7282,Programme!G7282,Programme!H7282,Programme!I7282)</f>
        <v>&lt;numeroLigne&gt;5&lt;/numeroLigne&gt;</v>
      </c>
    </row>
    <row r="7282" spans="1:1" x14ac:dyDescent="0.2">
      <c r="A7282" s="1135" t="str">
        <f>CONCATENATE(Programme!C7283,Programme!D7283,Programme!E7283,Programme!F7283,Programme!G7283,Programme!H7283,Programme!I7283)</f>
        <v>&lt;/ValeurCellule&gt;</v>
      </c>
    </row>
    <row r="7283" spans="1:1" x14ac:dyDescent="0.2">
      <c r="A7283" s="1135" t="str">
        <f>CONCATENATE(Programme!C7284,Programme!D7284,Programme!E7284,Programme!F7284,Programme!G7284,Programme!H7284,Programme!I7284)</f>
        <v>&lt;ValeurCellule&gt;</v>
      </c>
    </row>
    <row r="7284" spans="1:1" x14ac:dyDescent="0.2">
      <c r="A7284" s="1135" t="str">
        <f>CONCATENATE(Programme!C7285,Programme!D7285,Programme!E7285,Programme!F7285,Programme!G7285,Programme!H7285,Programme!I7285)</f>
        <v>&lt;cellule&gt;&lt;codeEdi&gt;1931&lt;/codeEdi&gt;&lt;/cellule&gt;</v>
      </c>
    </row>
    <row r="7285" spans="1:1" x14ac:dyDescent="0.2">
      <c r="A7285" s="1135" t="str">
        <f>CONCATENATE(Programme!C7286,Programme!D7286,Programme!E7286,Programme!F7286,Programme!G7286,Programme!H7286,Programme!I7286)</f>
        <v>&lt;valeur&gt;&lt;/valeur&gt;</v>
      </c>
    </row>
    <row r="7286" spans="1:1" x14ac:dyDescent="0.2">
      <c r="A7286" s="1135" t="str">
        <f>CONCATENATE(Programme!C7287,Programme!D7287,Programme!E7287,Programme!F7287,Programme!G7287,Programme!H7287,Programme!I7287)</f>
        <v>&lt;numeroLigne&gt;5&lt;/numeroLigne&gt;</v>
      </c>
    </row>
    <row r="7287" spans="1:1" x14ac:dyDescent="0.2">
      <c r="A7287" s="1135" t="str">
        <f>CONCATENATE(Programme!C7288,Programme!D7288,Programme!E7288,Programme!F7288,Programme!G7288,Programme!H7288,Programme!I7288)</f>
        <v>&lt;/ValeurCellule&gt;</v>
      </c>
    </row>
    <row r="7288" spans="1:1" x14ac:dyDescent="0.2">
      <c r="A7288" s="1135" t="str">
        <f>CONCATENATE(Programme!C7289,Programme!D7289,Programme!E7289,Programme!F7289,Programme!G7289,Programme!H7289,Programme!I7289)</f>
        <v>&lt;ValeurCellule&gt;</v>
      </c>
    </row>
    <row r="7289" spans="1:1" x14ac:dyDescent="0.2">
      <c r="A7289" s="1135" t="str">
        <f>CONCATENATE(Programme!C7290,Programme!D7290,Programme!E7290,Programme!F7290,Programme!G7290,Programme!H7290,Programme!I7290)</f>
        <v>&lt;cellule&gt;&lt;codeEdi&gt;1932&lt;/codeEdi&gt;&lt;/cellule&gt;</v>
      </c>
    </row>
    <row r="7290" spans="1:1" x14ac:dyDescent="0.2">
      <c r="A7290" s="1135" t="str">
        <f>CONCATENATE(Programme!C7291,Programme!D7291,Programme!E7291,Programme!F7291,Programme!G7291,Programme!H7291,Programme!I7291)</f>
        <v>&lt;valeur&gt;&lt;/valeur&gt;</v>
      </c>
    </row>
    <row r="7291" spans="1:1" x14ac:dyDescent="0.2">
      <c r="A7291" s="1135" t="str">
        <f>CONCATENATE(Programme!C7292,Programme!D7292,Programme!E7292,Programme!F7292,Programme!G7292,Programme!H7292,Programme!I7292)</f>
        <v>&lt;numeroLigne&gt;5&lt;/numeroLigne&gt;</v>
      </c>
    </row>
    <row r="7292" spans="1:1" x14ac:dyDescent="0.2">
      <c r="A7292" s="1135" t="str">
        <f>CONCATENATE(Programme!C7293,Programme!D7293,Programme!E7293,Programme!F7293,Programme!G7293,Programme!H7293,Programme!I7293)</f>
        <v>&lt;/ValeurCellule&gt;</v>
      </c>
    </row>
    <row r="7293" spans="1:1" x14ac:dyDescent="0.2">
      <c r="A7293" s="1135" t="str">
        <f>CONCATENATE(Programme!C7294,Programme!D7294,Programme!E7294,Programme!F7294,Programme!G7294,Programme!H7294,Programme!I7294)</f>
        <v>&lt;ValeurCellule&gt;</v>
      </c>
    </row>
    <row r="7294" spans="1:1" x14ac:dyDescent="0.2">
      <c r="A7294" s="1135" t="str">
        <f>CONCATENATE(Programme!C7295,Programme!D7295,Programme!E7295,Programme!F7295,Programme!G7295,Programme!H7295,Programme!I7295)</f>
        <v>&lt;cellule&gt;&lt;codeEdi&gt;1933&lt;/codeEdi&gt;&lt;/cellule&gt;</v>
      </c>
    </row>
    <row r="7295" spans="1:1" x14ac:dyDescent="0.2">
      <c r="A7295" s="1135" t="str">
        <f>CONCATENATE(Programme!C7296,Programme!D7296,Programme!E7296,Programme!F7296,Programme!G7296,Programme!H7296,Programme!I7296)</f>
        <v>&lt;valeur&gt;&lt;/valeur&gt;</v>
      </c>
    </row>
    <row r="7296" spans="1:1" x14ac:dyDescent="0.2">
      <c r="A7296" s="1135" t="str">
        <f>CONCATENATE(Programme!C7297,Programme!D7297,Programme!E7297,Programme!F7297,Programme!G7297,Programme!H7297,Programme!I7297)</f>
        <v>&lt;numeroLigne&gt;5&lt;/numeroLigne&gt;</v>
      </c>
    </row>
    <row r="7297" spans="1:1" x14ac:dyDescent="0.2">
      <c r="A7297" s="1135" t="str">
        <f>CONCATENATE(Programme!C7298,Programme!D7298,Programme!E7298,Programme!F7298,Programme!G7298,Programme!H7298,Programme!I7298)</f>
        <v>&lt;/ValeurCellule&gt;</v>
      </c>
    </row>
    <row r="7298" spans="1:1" x14ac:dyDescent="0.2">
      <c r="A7298" s="1135" t="str">
        <f>CONCATENATE(Programme!C7299,Programme!D7299,Programme!E7299,Programme!F7299,Programme!G7299,Programme!H7299,Programme!I7299)</f>
        <v>&lt;ValeurCellule&gt;</v>
      </c>
    </row>
    <row r="7299" spans="1:1" x14ac:dyDescent="0.2">
      <c r="A7299" s="1135" t="str">
        <f>CONCATENATE(Programme!C7300,Programme!D7300,Programme!E7300,Programme!F7300,Programme!G7300,Programme!H7300,Programme!I7300)</f>
        <v>&lt;cellule&gt;&lt;codeEdi&gt;1934&lt;/codeEdi&gt;&lt;/cellule&gt;</v>
      </c>
    </row>
    <row r="7300" spans="1:1" x14ac:dyDescent="0.2">
      <c r="A7300" s="1135" t="str">
        <f>CONCATENATE(Programme!C7301,Programme!D7301,Programme!E7301,Programme!F7301,Programme!G7301,Programme!H7301,Programme!I7301)</f>
        <v>&lt;valeur&gt;&lt;/valeur&gt;</v>
      </c>
    </row>
    <row r="7301" spans="1:1" x14ac:dyDescent="0.2">
      <c r="A7301" s="1135" t="str">
        <f>CONCATENATE(Programme!C7302,Programme!D7302,Programme!E7302,Programme!F7302,Programme!G7302,Programme!H7302,Programme!I7302)</f>
        <v>&lt;numeroLigne&gt;5&lt;/numeroLigne&gt;</v>
      </c>
    </row>
    <row r="7302" spans="1:1" x14ac:dyDescent="0.2">
      <c r="A7302" s="1135" t="str">
        <f>CONCATENATE(Programme!C7303,Programme!D7303,Programme!E7303,Programme!F7303,Programme!G7303,Programme!H7303,Programme!I7303)</f>
        <v>&lt;/ValeurCellule&gt;</v>
      </c>
    </row>
    <row r="7303" spans="1:1" x14ac:dyDescent="0.2">
      <c r="A7303" s="1135" t="str">
        <f>CONCATENATE(Programme!C7304,Programme!D7304,Programme!E7304,Programme!F7304,Programme!G7304,Programme!H7304,Programme!I7304)</f>
        <v>&lt;ValeurCellule&gt;</v>
      </c>
    </row>
    <row r="7304" spans="1:1" x14ac:dyDescent="0.2">
      <c r="A7304" s="1135" t="str">
        <f>CONCATENATE(Programme!C7305,Programme!D7305,Programme!E7305,Programme!F7305,Programme!G7305,Programme!H7305,Programme!I7305)</f>
        <v>&lt;cellule&gt;&lt;codeEdi&gt;1935&lt;/codeEdi&gt;&lt;/cellule&gt;</v>
      </c>
    </row>
    <row r="7305" spans="1:1" x14ac:dyDescent="0.2">
      <c r="A7305" s="1135" t="str">
        <f>CONCATENATE(Programme!C7306,Programme!D7306,Programme!E7306,Programme!F7306,Programme!G7306,Programme!H7306,Programme!I7306)</f>
        <v>&lt;valeur&gt;&lt;/valeur&gt;</v>
      </c>
    </row>
    <row r="7306" spans="1:1" x14ac:dyDescent="0.2">
      <c r="A7306" s="1135" t="str">
        <f>CONCATENATE(Programme!C7307,Programme!D7307,Programme!E7307,Programme!F7307,Programme!G7307,Programme!H7307,Programme!I7307)</f>
        <v>&lt;numeroLigne&gt;5&lt;/numeroLigne&gt;</v>
      </c>
    </row>
    <row r="7307" spans="1:1" x14ac:dyDescent="0.2">
      <c r="A7307" s="1135" t="str">
        <f>CONCATENATE(Programme!C7308,Programme!D7308,Programme!E7308,Programme!F7308,Programme!G7308,Programme!H7308,Programme!I7308)</f>
        <v>&lt;/ValeurCellule&gt;</v>
      </c>
    </row>
    <row r="7308" spans="1:1" x14ac:dyDescent="0.2">
      <c r="A7308" s="1135" t="str">
        <f>CONCATENATE(Programme!C7309,Programme!D7309,Programme!E7309,Programme!F7309,Programme!G7309,Programme!H7309,Programme!I7309)</f>
        <v>&lt;ValeurCellule&gt;</v>
      </c>
    </row>
    <row r="7309" spans="1:1" x14ac:dyDescent="0.2">
      <c r="A7309" s="1135" t="str">
        <f>CONCATENATE(Programme!C7310,Programme!D7310,Programme!E7310,Programme!F7310,Programme!G7310,Programme!H7310,Programme!I7310)</f>
        <v>&lt;cellule&gt;&lt;codeEdi&gt;1936&lt;/codeEdi&gt;&lt;/cellule&gt;</v>
      </c>
    </row>
    <row r="7310" spans="1:1" x14ac:dyDescent="0.2">
      <c r="A7310" s="1135" t="str">
        <f>CONCATENATE(Programme!C7311,Programme!D7311,Programme!E7311,Programme!F7311,Programme!G7311,Programme!H7311,Programme!I7311)</f>
        <v>&lt;valeur&gt;0&lt;/valeur&gt;</v>
      </c>
    </row>
    <row r="7311" spans="1:1" x14ac:dyDescent="0.2">
      <c r="A7311" s="1135" t="str">
        <f>CONCATENATE(Programme!C7312,Programme!D7312,Programme!E7312,Programme!F7312,Programme!G7312,Programme!H7312,Programme!I7312)</f>
        <v>&lt;numeroLigne&gt;5&lt;/numeroLigne&gt;</v>
      </c>
    </row>
    <row r="7312" spans="1:1" x14ac:dyDescent="0.2">
      <c r="A7312" s="1135" t="str">
        <f>CONCATENATE(Programme!C7313,Programme!D7313,Programme!E7313,Programme!F7313,Programme!G7313,Programme!H7313,Programme!I7313)</f>
        <v>&lt;/ValeurCellule&gt;</v>
      </c>
    </row>
    <row r="7313" spans="1:1" x14ac:dyDescent="0.2">
      <c r="A7313" s="1135" t="str">
        <f>CONCATENATE(Programme!C7314,Programme!D7314,Programme!E7314,Programme!F7314,Programme!G7314,Programme!H7314,Programme!I7314)</f>
        <v>&lt;ValeurCellule&gt;</v>
      </c>
    </row>
    <row r="7314" spans="1:1" x14ac:dyDescent="0.2">
      <c r="A7314" s="1135" t="str">
        <f>CONCATENATE(Programme!C7315,Programme!D7315,Programme!E7315,Programme!F7315,Programme!G7315,Programme!H7315,Programme!I7315)</f>
        <v>&lt;cellule&gt;&lt;codeEdi&gt;1929&lt;/codeEdi&gt;&lt;/cellule&gt;</v>
      </c>
    </row>
    <row r="7315" spans="1:1" x14ac:dyDescent="0.2">
      <c r="A7315" s="1135" t="str">
        <f>CONCATENATE(Programme!C7316,Programme!D7316,Programme!E7316,Programme!F7316,Programme!G7316,Programme!H7316,Programme!I7316)</f>
        <v>&lt;valeur&gt;&lt;/valeur&gt;</v>
      </c>
    </row>
    <row r="7316" spans="1:1" x14ac:dyDescent="0.2">
      <c r="A7316" s="1135" t="str">
        <f>CONCATENATE(Programme!C7317,Programme!D7317,Programme!E7317,Programme!F7317,Programme!G7317,Programme!H7317,Programme!I7317)</f>
        <v>&lt;numeroLigne&gt;6&lt;/numeroLigne&gt;</v>
      </c>
    </row>
    <row r="7317" spans="1:1" x14ac:dyDescent="0.2">
      <c r="A7317" s="1135" t="str">
        <f>CONCATENATE(Programme!C7318,Programme!D7318,Programme!E7318,Programme!F7318,Programme!G7318,Programme!H7318,Programme!I7318)</f>
        <v>&lt;/ValeurCellule&gt;</v>
      </c>
    </row>
    <row r="7318" spans="1:1" x14ac:dyDescent="0.2">
      <c r="A7318" s="1135" t="str">
        <f>CONCATENATE(Programme!C7319,Programme!D7319,Programme!E7319,Programme!F7319,Programme!G7319,Programme!H7319,Programme!I7319)</f>
        <v>&lt;ValeurCellule&gt;</v>
      </c>
    </row>
    <row r="7319" spans="1:1" x14ac:dyDescent="0.2">
      <c r="A7319" s="1135" t="str">
        <f>CONCATENATE(Programme!C7320,Programme!D7320,Programme!E7320,Programme!F7320,Programme!G7320,Programme!H7320,Programme!I7320)</f>
        <v>&lt;cellule&gt;&lt;codeEdi&gt;1930&lt;/codeEdi&gt;&lt;/cellule&gt;</v>
      </c>
    </row>
    <row r="7320" spans="1:1" x14ac:dyDescent="0.2">
      <c r="A7320" s="1135" t="str">
        <f>CONCATENATE(Programme!C7321,Programme!D7321,Programme!E7321,Programme!F7321,Programme!G7321,Programme!H7321,Programme!I7321)</f>
        <v>&lt;valeur&gt;&lt;/valeur&gt;</v>
      </c>
    </row>
    <row r="7321" spans="1:1" x14ac:dyDescent="0.2">
      <c r="A7321" s="1135" t="str">
        <f>CONCATENATE(Programme!C7322,Programme!D7322,Programme!E7322,Programme!F7322,Programme!G7322,Programme!H7322,Programme!I7322)</f>
        <v>&lt;numeroLigne&gt;6&lt;/numeroLigne&gt;</v>
      </c>
    </row>
    <row r="7322" spans="1:1" x14ac:dyDescent="0.2">
      <c r="A7322" s="1135" t="str">
        <f>CONCATENATE(Programme!C7323,Programme!D7323,Programme!E7323,Programme!F7323,Programme!G7323,Programme!H7323,Programme!I7323)</f>
        <v>&lt;/ValeurCellule&gt;</v>
      </c>
    </row>
    <row r="7323" spans="1:1" x14ac:dyDescent="0.2">
      <c r="A7323" s="1135" t="str">
        <f>CONCATENATE(Programme!C7324,Programme!D7324,Programme!E7324,Programme!F7324,Programme!G7324,Programme!H7324,Programme!I7324)</f>
        <v>&lt;ValeurCellule&gt;</v>
      </c>
    </row>
    <row r="7324" spans="1:1" x14ac:dyDescent="0.2">
      <c r="A7324" s="1135" t="str">
        <f>CONCATENATE(Programme!C7325,Programme!D7325,Programme!E7325,Programme!F7325,Programme!G7325,Programme!H7325,Programme!I7325)</f>
        <v>&lt;cellule&gt;&lt;codeEdi&gt;1931&lt;/codeEdi&gt;&lt;/cellule&gt;</v>
      </c>
    </row>
    <row r="7325" spans="1:1" x14ac:dyDescent="0.2">
      <c r="A7325" s="1135" t="str">
        <f>CONCATENATE(Programme!C7326,Programme!D7326,Programme!E7326,Programme!F7326,Programme!G7326,Programme!H7326,Programme!I7326)</f>
        <v>&lt;valeur&gt;&lt;/valeur&gt;</v>
      </c>
    </row>
    <row r="7326" spans="1:1" x14ac:dyDescent="0.2">
      <c r="A7326" s="1135" t="str">
        <f>CONCATENATE(Programme!C7327,Programme!D7327,Programme!E7327,Programme!F7327,Programme!G7327,Programme!H7327,Programme!I7327)</f>
        <v>&lt;numeroLigne&gt;6&lt;/numeroLigne&gt;</v>
      </c>
    </row>
    <row r="7327" spans="1:1" x14ac:dyDescent="0.2">
      <c r="A7327" s="1135" t="str">
        <f>CONCATENATE(Programme!C7328,Programme!D7328,Programme!E7328,Programme!F7328,Programme!G7328,Programme!H7328,Programme!I7328)</f>
        <v>&lt;/ValeurCellule&gt;</v>
      </c>
    </row>
    <row r="7328" spans="1:1" x14ac:dyDescent="0.2">
      <c r="A7328" s="1135" t="str">
        <f>CONCATENATE(Programme!C7329,Programme!D7329,Programme!E7329,Programme!F7329,Programme!G7329,Programme!H7329,Programme!I7329)</f>
        <v>&lt;ValeurCellule&gt;</v>
      </c>
    </row>
    <row r="7329" spans="1:1" x14ac:dyDescent="0.2">
      <c r="A7329" s="1135" t="str">
        <f>CONCATENATE(Programme!C7330,Programme!D7330,Programme!E7330,Programme!F7330,Programme!G7330,Programme!H7330,Programme!I7330)</f>
        <v>&lt;cellule&gt;&lt;codeEdi&gt;1932&lt;/codeEdi&gt;&lt;/cellule&gt;</v>
      </c>
    </row>
    <row r="7330" spans="1:1" x14ac:dyDescent="0.2">
      <c r="A7330" s="1135" t="str">
        <f>CONCATENATE(Programme!C7331,Programme!D7331,Programme!E7331,Programme!F7331,Programme!G7331,Programme!H7331,Programme!I7331)</f>
        <v>&lt;valeur&gt;&lt;/valeur&gt;</v>
      </c>
    </row>
    <row r="7331" spans="1:1" x14ac:dyDescent="0.2">
      <c r="A7331" s="1135" t="str">
        <f>CONCATENATE(Programme!C7332,Programme!D7332,Programme!E7332,Programme!F7332,Programme!G7332,Programme!H7332,Programme!I7332)</f>
        <v>&lt;numeroLigne&gt;6&lt;/numeroLigne&gt;</v>
      </c>
    </row>
    <row r="7332" spans="1:1" x14ac:dyDescent="0.2">
      <c r="A7332" s="1135" t="str">
        <f>CONCATENATE(Programme!C7333,Programme!D7333,Programme!E7333,Programme!F7333,Programme!G7333,Programme!H7333,Programme!I7333)</f>
        <v>&lt;/ValeurCellule&gt;</v>
      </c>
    </row>
    <row r="7333" spans="1:1" x14ac:dyDescent="0.2">
      <c r="A7333" s="1135" t="str">
        <f>CONCATENATE(Programme!C7334,Programme!D7334,Programme!E7334,Programme!F7334,Programme!G7334,Programme!H7334,Programme!I7334)</f>
        <v>&lt;ValeurCellule&gt;</v>
      </c>
    </row>
    <row r="7334" spans="1:1" x14ac:dyDescent="0.2">
      <c r="A7334" s="1135" t="str">
        <f>CONCATENATE(Programme!C7335,Programme!D7335,Programme!E7335,Programme!F7335,Programme!G7335,Programme!H7335,Programme!I7335)</f>
        <v>&lt;cellule&gt;&lt;codeEdi&gt;1933&lt;/codeEdi&gt;&lt;/cellule&gt;</v>
      </c>
    </row>
    <row r="7335" spans="1:1" x14ac:dyDescent="0.2">
      <c r="A7335" s="1135" t="str">
        <f>CONCATENATE(Programme!C7336,Programme!D7336,Programme!E7336,Programme!F7336,Programme!G7336,Programme!H7336,Programme!I7336)</f>
        <v>&lt;valeur&gt;0&lt;/valeur&gt;</v>
      </c>
    </row>
    <row r="7336" spans="1:1" x14ac:dyDescent="0.2">
      <c r="A7336" s="1135" t="str">
        <f>CONCATENATE(Programme!C7337,Programme!D7337,Programme!E7337,Programme!F7337,Programme!G7337,Programme!H7337,Programme!I7337)</f>
        <v>&lt;numeroLigne&gt;6&lt;/numeroLigne&gt;</v>
      </c>
    </row>
    <row r="7337" spans="1:1" x14ac:dyDescent="0.2">
      <c r="A7337" s="1135" t="str">
        <f>CONCATENATE(Programme!C7338,Programme!D7338,Programme!E7338,Programme!F7338,Programme!G7338,Programme!H7338,Programme!I7338)</f>
        <v>&lt;/ValeurCellule&gt;</v>
      </c>
    </row>
    <row r="7338" spans="1:1" x14ac:dyDescent="0.2">
      <c r="A7338" s="1135" t="str">
        <f>CONCATENATE(Programme!C7339,Programme!D7339,Programme!E7339,Programme!F7339,Programme!G7339,Programme!H7339,Programme!I7339)</f>
        <v>&lt;ValeurCellule&gt;</v>
      </c>
    </row>
    <row r="7339" spans="1:1" x14ac:dyDescent="0.2">
      <c r="A7339" s="1135" t="str">
        <f>CONCATENATE(Programme!C7340,Programme!D7340,Programme!E7340,Programme!F7340,Programme!G7340,Programme!H7340,Programme!I7340)</f>
        <v>&lt;cellule&gt;&lt;codeEdi&gt;1934&lt;/codeEdi&gt;&lt;/cellule&gt;</v>
      </c>
    </row>
    <row r="7340" spans="1:1" x14ac:dyDescent="0.2">
      <c r="A7340" s="1135" t="str">
        <f>CONCATENATE(Programme!C7341,Programme!D7341,Programme!E7341,Programme!F7341,Programme!G7341,Programme!H7341,Programme!I7341)</f>
        <v>&lt;valeur&gt;&lt;/valeur&gt;</v>
      </c>
    </row>
    <row r="7341" spans="1:1" x14ac:dyDescent="0.2">
      <c r="A7341" s="1135" t="str">
        <f>CONCATENATE(Programme!C7342,Programme!D7342,Programme!E7342,Programme!F7342,Programme!G7342,Programme!H7342,Programme!I7342)</f>
        <v>&lt;numeroLigne&gt;6&lt;/numeroLigne&gt;</v>
      </c>
    </row>
    <row r="7342" spans="1:1" x14ac:dyDescent="0.2">
      <c r="A7342" s="1135" t="str">
        <f>CONCATENATE(Programme!C7343,Programme!D7343,Programme!E7343,Programme!F7343,Programme!G7343,Programme!H7343,Programme!I7343)</f>
        <v>&lt;/ValeurCellule&gt;</v>
      </c>
    </row>
    <row r="7343" spans="1:1" x14ac:dyDescent="0.2">
      <c r="A7343" s="1135" t="str">
        <f>CONCATENATE(Programme!C7344,Programme!D7344,Programme!E7344,Programme!F7344,Programme!G7344,Programme!H7344,Programme!I7344)</f>
        <v>&lt;ValeurCellule&gt;</v>
      </c>
    </row>
    <row r="7344" spans="1:1" x14ac:dyDescent="0.2">
      <c r="A7344" s="1135" t="str">
        <f>CONCATENATE(Programme!C7345,Programme!D7345,Programme!E7345,Programme!F7345,Programme!G7345,Programme!H7345,Programme!I7345)</f>
        <v>&lt;cellule&gt;&lt;codeEdi&gt;1935&lt;/codeEdi&gt;&lt;/cellule&gt;</v>
      </c>
    </row>
    <row r="7345" spans="1:1" x14ac:dyDescent="0.2">
      <c r="A7345" s="1135" t="str">
        <f>CONCATENATE(Programme!C7346,Programme!D7346,Programme!E7346,Programme!F7346,Programme!G7346,Programme!H7346,Programme!I7346)</f>
        <v>&lt;valeur&gt;0&lt;/valeur&gt;</v>
      </c>
    </row>
    <row r="7346" spans="1:1" x14ac:dyDescent="0.2">
      <c r="A7346" s="1135" t="str">
        <f>CONCATENATE(Programme!C7347,Programme!D7347,Programme!E7347,Programme!F7347,Programme!G7347,Programme!H7347,Programme!I7347)</f>
        <v>&lt;numeroLigne&gt;6&lt;/numeroLigne&gt;</v>
      </c>
    </row>
    <row r="7347" spans="1:1" x14ac:dyDescent="0.2">
      <c r="A7347" s="1135" t="str">
        <f>CONCATENATE(Programme!C7348,Programme!D7348,Programme!E7348,Programme!F7348,Programme!G7348,Programme!H7348,Programme!I7348)</f>
        <v>&lt;/ValeurCellule&gt;</v>
      </c>
    </row>
    <row r="7348" spans="1:1" x14ac:dyDescent="0.2">
      <c r="A7348" s="1135" t="str">
        <f>CONCATENATE(Programme!C7349,Programme!D7349,Programme!E7349,Programme!F7349,Programme!G7349,Programme!H7349,Programme!I7349)</f>
        <v>&lt;ValeurCellule&gt;</v>
      </c>
    </row>
    <row r="7349" spans="1:1" x14ac:dyDescent="0.2">
      <c r="A7349" s="1135" t="str">
        <f>CONCATENATE(Programme!C7350,Programme!D7350,Programme!E7350,Programme!F7350,Programme!G7350,Programme!H7350,Programme!I7350)</f>
        <v>&lt;cellule&gt;&lt;codeEdi&gt;1936&lt;/codeEdi&gt;&lt;/cellule&gt;</v>
      </c>
    </row>
    <row r="7350" spans="1:1" x14ac:dyDescent="0.2">
      <c r="A7350" s="1135" t="str">
        <f>CONCATENATE(Programme!C7351,Programme!D7351,Programme!E7351,Programme!F7351,Programme!G7351,Programme!H7351,Programme!I7351)</f>
        <v>&lt;valeur&gt;0&lt;/valeur&gt;</v>
      </c>
    </row>
    <row r="7351" spans="1:1" x14ac:dyDescent="0.2">
      <c r="A7351" s="1135" t="str">
        <f>CONCATENATE(Programme!C7352,Programme!D7352,Programme!E7352,Programme!F7352,Programme!G7352,Programme!H7352,Programme!I7352)</f>
        <v>&lt;numeroLigne&gt;6&lt;/numeroLigne&gt;</v>
      </c>
    </row>
    <row r="7352" spans="1:1" x14ac:dyDescent="0.2">
      <c r="A7352" s="1135" t="str">
        <f>CONCATENATE(Programme!C7353,Programme!D7353,Programme!E7353,Programme!F7353,Programme!G7353,Programme!H7353,Programme!I7353)</f>
        <v>&lt;/ValeurCellule&gt;</v>
      </c>
    </row>
    <row r="7353" spans="1:1" x14ac:dyDescent="0.2">
      <c r="A7353" s="1135" t="str">
        <f>CONCATENATE(Programme!C7354,Programme!D7354,Programme!E7354,Programme!F7354,Programme!G7354,Programme!H7354,Programme!I7354)</f>
        <v>&lt;ValeurCellule&gt;</v>
      </c>
    </row>
    <row r="7354" spans="1:1" x14ac:dyDescent="0.2">
      <c r="A7354" s="1135" t="str">
        <f>CONCATENATE(Programme!C7355,Programme!D7355,Programme!E7355,Programme!F7355,Programme!G7355,Programme!H7355,Programme!I7355)</f>
        <v>&lt;cellule&gt;</v>
      </c>
    </row>
    <row r="7355" spans="1:1" x14ac:dyDescent="0.2">
      <c r="A7355" s="1135" t="str">
        <f>CONCATENATE(Programme!C7356,Programme!D7356,Programme!E7356,Programme!F7356,Programme!G7356,Programme!H7356,Programme!I7356)</f>
        <v>&lt;codeEdi&gt;2037&lt;/codeEdi&gt;</v>
      </c>
    </row>
    <row r="7356" spans="1:1" x14ac:dyDescent="0.2">
      <c r="A7356" s="1135" t="str">
        <f>CONCATENATE(Programme!C7357,Programme!D7357,Programme!E7357,Programme!F7357,Programme!G7357,Programme!H7357,Programme!I7357)</f>
        <v>&lt;/cellule&gt;</v>
      </c>
    </row>
    <row r="7357" spans="1:1" x14ac:dyDescent="0.2">
      <c r="A7357" s="1135" t="str">
        <f>CONCATENATE(Programme!C7358,Programme!D7358,Programme!E7358,Programme!F7358,Programme!G7358,Programme!H7358,Programme!I7358)</f>
        <v>&lt;valeur&gt;0&lt;/valeur&gt;</v>
      </c>
    </row>
    <row r="7358" spans="1:1" x14ac:dyDescent="0.2">
      <c r="A7358" s="1135" t="str">
        <f>CONCATENATE(Programme!C7359,Programme!D7359,Programme!E7359,Programme!F7359,Programme!G7359,Programme!H7359,Programme!I7359)</f>
        <v>&lt;/ValeurCellule&gt;</v>
      </c>
    </row>
    <row r="7359" spans="1:1" x14ac:dyDescent="0.2">
      <c r="A7359" s="1135" t="str">
        <f>CONCATENATE(Programme!C7360,Programme!D7360,Programme!E7360,Programme!F7360,Programme!G7360,Programme!H7360,Programme!I7360)</f>
        <v>&lt;ValeurCellule&gt;</v>
      </c>
    </row>
    <row r="7360" spans="1:1" x14ac:dyDescent="0.2">
      <c r="A7360" s="1135" t="str">
        <f>CONCATENATE(Programme!C7361,Programme!D7361,Programme!E7361,Programme!F7361,Programme!G7361,Programme!H7361,Programme!I7361)</f>
        <v>&lt;cellule&gt;</v>
      </c>
    </row>
    <row r="7361" spans="1:1" x14ac:dyDescent="0.2">
      <c r="A7361" s="1135" t="str">
        <f>CONCATENATE(Programme!C7362,Programme!D7362,Programme!E7362,Programme!F7362,Programme!G7362,Programme!H7362,Programme!I7362)</f>
        <v>&lt;codeEdi&gt;2038&lt;/codeEdi&gt;</v>
      </c>
    </row>
    <row r="7362" spans="1:1" x14ac:dyDescent="0.2">
      <c r="A7362" s="1135" t="str">
        <f>CONCATENATE(Programme!C7363,Programme!D7363,Programme!E7363,Programme!F7363,Programme!G7363,Programme!H7363,Programme!I7363)</f>
        <v>&lt;/cellule&gt;</v>
      </c>
    </row>
    <row r="7363" spans="1:1" x14ac:dyDescent="0.2">
      <c r="A7363" s="1135" t="str">
        <f>CONCATENATE(Programme!C7364,Programme!D7364,Programme!E7364,Programme!F7364,Programme!G7364,Programme!H7364,Programme!I7364)</f>
        <v>&lt;valeur&gt;0&lt;/valeur&gt;</v>
      </c>
    </row>
    <row r="7364" spans="1:1" x14ac:dyDescent="0.2">
      <c r="A7364" s="1135" t="str">
        <f>CONCATENATE(Programme!C7365,Programme!D7365,Programme!E7365,Programme!F7365,Programme!G7365,Programme!H7365,Programme!I7365)</f>
        <v>&lt;/ValeurCellule&gt;</v>
      </c>
    </row>
    <row r="7365" spans="1:1" x14ac:dyDescent="0.2">
      <c r="A7365" s="1135" t="str">
        <f>CONCATENATE(Programme!C7366,Programme!D7366,Programme!E7366,Programme!F7366,Programme!G7366,Programme!H7366,Programme!I7366)</f>
        <v>&lt;ValeurCellule&gt;</v>
      </c>
    </row>
    <row r="7366" spans="1:1" x14ac:dyDescent="0.2">
      <c r="A7366" s="1135" t="str">
        <f>CONCATENATE(Programme!C7367,Programme!D7367,Programme!E7367,Programme!F7367,Programme!G7367,Programme!H7367,Programme!I7367)</f>
        <v>&lt;cellule&gt;</v>
      </c>
    </row>
    <row r="7367" spans="1:1" x14ac:dyDescent="0.2">
      <c r="A7367" s="1135" t="str">
        <f>CONCATENATE(Programme!C7368,Programme!D7368,Programme!E7368,Programme!F7368,Programme!G7368,Programme!H7368,Programme!I7368)</f>
        <v>&lt;codeEdi&gt;2039&lt;/codeEdi&gt;</v>
      </c>
    </row>
    <row r="7368" spans="1:1" x14ac:dyDescent="0.2">
      <c r="A7368" s="1135" t="str">
        <f>CONCATENATE(Programme!C7369,Programme!D7369,Programme!E7369,Programme!F7369,Programme!G7369,Programme!H7369,Programme!I7369)</f>
        <v>&lt;/cellule&gt;</v>
      </c>
    </row>
    <row r="7369" spans="1:1" x14ac:dyDescent="0.2">
      <c r="A7369" s="1135" t="str">
        <f>CONCATENATE(Programme!C7370,Programme!D7370,Programme!E7370,Programme!F7370,Programme!G7370,Programme!H7370,Programme!I7370)</f>
        <v>&lt;valeur&gt;0&lt;/valeur&gt;</v>
      </c>
    </row>
    <row r="7370" spans="1:1" x14ac:dyDescent="0.2">
      <c r="A7370" s="1135" t="str">
        <f>CONCATENATE(Programme!C7371,Programme!D7371,Programme!E7371,Programme!F7371,Programme!G7371,Programme!H7371,Programme!I7371)</f>
        <v>&lt;/ValeurCellule&gt;</v>
      </c>
    </row>
    <row r="7371" spans="1:1" x14ac:dyDescent="0.2">
      <c r="A7371" s="1135" t="str">
        <f>CONCATENATE(Programme!C7372,Programme!D7372,Programme!E7372,Programme!F7372,Programme!G7372,Programme!H7372,Programme!I7372)</f>
        <v>&lt;ValeurCellule&gt;</v>
      </c>
    </row>
    <row r="7372" spans="1:1" x14ac:dyDescent="0.2">
      <c r="A7372" s="1135" t="str">
        <f>CONCATENATE(Programme!C7373,Programme!D7373,Programme!E7373,Programme!F7373,Programme!G7373,Programme!H7373,Programme!I7373)</f>
        <v>&lt;cellule&gt;</v>
      </c>
    </row>
    <row r="7373" spans="1:1" x14ac:dyDescent="0.2">
      <c r="A7373" s="1135" t="str">
        <f>CONCATENATE(Programme!C7374,Programme!D7374,Programme!E7374,Programme!F7374,Programme!G7374,Programme!H7374,Programme!I7374)</f>
        <v>&lt;codeEdi&gt;2040&lt;/codeEdi&gt;</v>
      </c>
    </row>
    <row r="7374" spans="1:1" x14ac:dyDescent="0.2">
      <c r="A7374" s="1135" t="str">
        <f>CONCATENATE(Programme!C7375,Programme!D7375,Programme!E7375,Programme!F7375,Programme!G7375,Programme!H7375,Programme!I7375)</f>
        <v>&lt;/cellule&gt;</v>
      </c>
    </row>
    <row r="7375" spans="1:1" x14ac:dyDescent="0.2">
      <c r="A7375" s="1135" t="str">
        <f>CONCATENATE(Programme!C7376,Programme!D7376,Programme!E7376,Programme!F7376,Programme!G7376,Programme!H7376,Programme!I7376)</f>
        <v>&lt;valeur&gt;0&lt;/valeur&gt;</v>
      </c>
    </row>
    <row r="7376" spans="1:1" x14ac:dyDescent="0.2">
      <c r="A7376" s="1135" t="str">
        <f>CONCATENATE(Programme!C7377,Programme!D7377,Programme!E7377,Programme!F7377,Programme!G7377,Programme!H7377,Programme!I7377)</f>
        <v>&lt;/ValeurCellule&gt;</v>
      </c>
    </row>
    <row r="7377" spans="1:1" x14ac:dyDescent="0.2">
      <c r="A7377" s="1135" t="str">
        <f>CONCATENATE(Programme!C7378,Programme!D7378,Programme!E7378,Programme!F7378,Programme!G7378,Programme!H7378,Programme!I7378)</f>
        <v>&lt;ValeurCellule&gt;</v>
      </c>
    </row>
    <row r="7378" spans="1:1" x14ac:dyDescent="0.2">
      <c r="A7378" s="1135" t="str">
        <f>CONCATENATE(Programme!C7379,Programme!D7379,Programme!E7379,Programme!F7379,Programme!G7379,Programme!H7379,Programme!I7379)</f>
        <v>&lt;cellule&gt;</v>
      </c>
    </row>
    <row r="7379" spans="1:1" x14ac:dyDescent="0.2">
      <c r="A7379" s="1135" t="str">
        <f>CONCATENATE(Programme!C7380,Programme!D7380,Programme!E7380,Programme!F7380,Programme!G7380,Programme!H7380,Programme!I7380)</f>
        <v>&lt;codeEdi&gt;2041&lt;/codeEdi&gt;</v>
      </c>
    </row>
    <row r="7380" spans="1:1" x14ac:dyDescent="0.2">
      <c r="A7380" s="1135" t="str">
        <f>CONCATENATE(Programme!C7381,Programme!D7381,Programme!E7381,Programme!F7381,Programme!G7381,Programme!H7381,Programme!I7381)</f>
        <v>&lt;/cellule&gt;</v>
      </c>
    </row>
    <row r="7381" spans="1:1" x14ac:dyDescent="0.2">
      <c r="A7381" s="1135" t="str">
        <f>CONCATENATE(Programme!C7382,Programme!D7382,Programme!E7382,Programme!F7382,Programme!G7382,Programme!H7382,Programme!I7382)</f>
        <v>&lt;valeur&gt;0&lt;/valeur&gt;</v>
      </c>
    </row>
    <row r="7382" spans="1:1" x14ac:dyDescent="0.2">
      <c r="A7382" s="1135" t="str">
        <f>CONCATENATE(Programme!C7383,Programme!D7383,Programme!E7383,Programme!F7383,Programme!G7383,Programme!H7383,Programme!I7383)</f>
        <v>&lt;/ValeurCellule&gt;</v>
      </c>
    </row>
    <row r="7383" spans="1:1" x14ac:dyDescent="0.2">
      <c r="A7383" s="1135" t="str">
        <f>CONCATENATE(Programme!C7384,Programme!D7384,Programme!E7384,Programme!F7384,Programme!G7384,Programme!H7384,Programme!I7384)</f>
        <v>&lt;ValeurCellule&gt;</v>
      </c>
    </row>
    <row r="7384" spans="1:1" x14ac:dyDescent="0.2">
      <c r="A7384" s="1135" t="str">
        <f>CONCATENATE(Programme!C7385,Programme!D7385,Programme!E7385,Programme!F7385,Programme!G7385,Programme!H7385,Programme!I7385)</f>
        <v>&lt;cellule&gt;</v>
      </c>
    </row>
    <row r="7385" spans="1:1" x14ac:dyDescent="0.2">
      <c r="A7385" s="1135" t="str">
        <f>CONCATENATE(Programme!C7386,Programme!D7386,Programme!E7386,Programme!F7386,Programme!G7386,Programme!H7386,Programme!I7386)</f>
        <v>&lt;codeEdi&gt;2042&lt;/codeEdi&gt;</v>
      </c>
    </row>
    <row r="7386" spans="1:1" x14ac:dyDescent="0.2">
      <c r="A7386" s="1135" t="str">
        <f>CONCATENATE(Programme!C7387,Programme!D7387,Programme!E7387,Programme!F7387,Programme!G7387,Programme!H7387,Programme!I7387)</f>
        <v>&lt;/cellule&gt;</v>
      </c>
    </row>
    <row r="7387" spans="1:1" x14ac:dyDescent="0.2">
      <c r="A7387" s="1135" t="str">
        <f>CONCATENATE(Programme!C7388,Programme!D7388,Programme!E7388,Programme!F7388,Programme!G7388,Programme!H7388,Programme!I7388)</f>
        <v>&lt;valeur&gt;0&lt;/valeur&gt;</v>
      </c>
    </row>
    <row r="7388" spans="1:1" x14ac:dyDescent="0.2">
      <c r="A7388" s="1135" t="str">
        <f>CONCATENATE(Programme!C7389,Programme!D7389,Programme!E7389,Programme!F7389,Programme!G7389,Programme!H7389,Programme!I7389)</f>
        <v>&lt;/ValeurCellule&gt;</v>
      </c>
    </row>
    <row r="7389" spans="1:1" x14ac:dyDescent="0.2">
      <c r="A7389" s="1135" t="str">
        <f>CONCATENATE(Programme!C7390,Programme!D7390,Programme!E7390,Programme!F7390,Programme!G7390,Programme!H7390,Programme!I7390)</f>
        <v>&lt;ValeurCellule&gt;</v>
      </c>
    </row>
    <row r="7390" spans="1:1" x14ac:dyDescent="0.2">
      <c r="A7390" s="1135" t="str">
        <f>CONCATENATE(Programme!C7391,Programme!D7391,Programme!E7391,Programme!F7391,Programme!G7391,Programme!H7391,Programme!I7391)</f>
        <v>&lt;cellule&gt;</v>
      </c>
    </row>
    <row r="7391" spans="1:1" x14ac:dyDescent="0.2">
      <c r="A7391" s="1135" t="str">
        <f>CONCATENATE(Programme!C7392,Programme!D7392,Programme!E7392,Programme!F7392,Programme!G7392,Programme!H7392,Programme!I7392)</f>
        <v>&lt;codeEdi&gt;2043&lt;/codeEdi&gt;</v>
      </c>
    </row>
    <row r="7392" spans="1:1" x14ac:dyDescent="0.2">
      <c r="A7392" s="1135" t="str">
        <f>CONCATENATE(Programme!C7393,Programme!D7393,Programme!E7393,Programme!F7393,Programme!G7393,Programme!H7393,Programme!I7393)</f>
        <v>&lt;/cellule&gt;</v>
      </c>
    </row>
    <row r="7393" spans="1:1" x14ac:dyDescent="0.2">
      <c r="A7393" s="1135" t="str">
        <f>CONCATENATE(Programme!C7394,Programme!D7394,Programme!E7394,Programme!F7394,Programme!G7394,Programme!H7394,Programme!I7394)</f>
        <v>&lt;valeur&gt;0&lt;/valeur&gt;</v>
      </c>
    </row>
    <row r="7394" spans="1:1" x14ac:dyDescent="0.2">
      <c r="A7394" s="1135" t="str">
        <f>CONCATENATE(Programme!C7395,Programme!D7395,Programme!E7395,Programme!F7395,Programme!G7395,Programme!H7395,Programme!I7395)</f>
        <v>&lt;/ValeurCellule&gt;</v>
      </c>
    </row>
    <row r="7395" spans="1:1" x14ac:dyDescent="0.2">
      <c r="A7395" s="1135" t="str">
        <f>CONCATENATE(Programme!C7396,Programme!D7396,Programme!E7396,Programme!F7396,Programme!G7396,Programme!H7396,Programme!I7396)</f>
        <v>&lt;/groupeValeurs&gt;</v>
      </c>
    </row>
    <row r="7396" spans="1:1" x14ac:dyDescent="0.2">
      <c r="A7396" s="1135" t="str">
        <f>CONCATENATE(Programme!C7397,Programme!D7397,Programme!E7397,Programme!F7397,Programme!G7397,Programme!H7397,Programme!I7397)</f>
        <v>&lt;extraFieldvaleurs&gt;</v>
      </c>
    </row>
    <row r="7397" spans="1:1" x14ac:dyDescent="0.2">
      <c r="A7397" s="1135" t="str">
        <f>CONCATENATE(Programme!C7398,Programme!D7398,Programme!E7398,Programme!F7398,Programme!G7398,Programme!H7398,Programme!I7398)</f>
        <v>&lt;ExtraFieldValeur&gt;</v>
      </c>
    </row>
    <row r="7398" spans="1:1" x14ac:dyDescent="0.2">
      <c r="A7398" s="1135" t="str">
        <f>CONCATENATE(Programme!C7399,Programme!D7399,Programme!E7399,Programme!F7399,Programme!G7399,Programme!H7399,Programme!I7399)</f>
        <v xml:space="preserve"> &lt;extraField&gt;</v>
      </c>
    </row>
    <row r="7399" spans="1:1" x14ac:dyDescent="0.2">
      <c r="A7399" s="1135" t="str">
        <f>CONCATENATE(Programme!C7400,Programme!D7400,Programme!E7400,Programme!F7400,Programme!G7400,Programme!H7400,Programme!I7400)</f>
        <v>&lt;code&gt;72&lt;/code&gt;</v>
      </c>
    </row>
    <row r="7400" spans="1:1" x14ac:dyDescent="0.2">
      <c r="A7400" s="1135" t="str">
        <f>CONCATENATE(Programme!C7401,Programme!D7401,Programme!E7401,Programme!F7401,Programme!G7401,Programme!H7401,Programme!I7401)</f>
        <v xml:space="preserve">&lt;/extraField&gt; </v>
      </c>
    </row>
    <row r="7401" spans="1:1" x14ac:dyDescent="0.2">
      <c r="A7401" s="1135" t="str">
        <f>CONCATENATE(Programme!C7402,Programme!D7402,Programme!E7402,Programme!F7402,Programme!G7402,Programme!H7402,Programme!I7402)</f>
        <v>&lt;valeur&gt;31/12/2022&lt;/valeur&gt;</v>
      </c>
    </row>
    <row r="7402" spans="1:1" x14ac:dyDescent="0.2">
      <c r="A7402" s="1135" t="str">
        <f>CONCATENATE(Programme!C7403,Programme!D7403,Programme!E7403,Programme!F7403,Programme!G7403,Programme!H7403,Programme!I7403)</f>
        <v>&lt;/ExtraFieldValeur&gt;</v>
      </c>
    </row>
    <row r="7403" spans="1:1" x14ac:dyDescent="0.2">
      <c r="A7403" s="1135" t="str">
        <f>CONCATENATE(Programme!C7404,Programme!D7404,Programme!E7404,Programme!F7404,Programme!G7404,Programme!H7404,Programme!I7404)</f>
        <v>&lt;/extraFieldvaleurs&gt;</v>
      </c>
    </row>
    <row r="7404" spans="1:1" x14ac:dyDescent="0.2">
      <c r="A7404" s="1135" t="str">
        <f>CONCATENATE(Programme!C7405,Programme!D7405,Programme!E7405,Programme!F7405,Programme!G7405,Programme!H7405,Programme!I7405)</f>
        <v>&lt;/ValeursTableau&gt;</v>
      </c>
    </row>
    <row r="7405" spans="1:1" x14ac:dyDescent="0.2">
      <c r="A7405" s="1135" t="str">
        <f>CONCATENATE(Programme!C7406,Programme!D7406,Programme!E7406,Programme!F7406,Programme!G7406,Programme!H7406,Programme!I7406)</f>
        <v>&lt;ValeursTableau&gt;</v>
      </c>
    </row>
    <row r="7406" spans="1:1" x14ac:dyDescent="0.2">
      <c r="A7406" s="1135" t="str">
        <f>CONCATENATE(Programme!C7407,Programme!D7407,Programme!E7407,Programme!F7407,Programme!G7407,Programme!H7407,Programme!I7407)</f>
        <v>&lt;tableau&gt;&lt;id&gt;39&lt;/id&gt;&lt;/tableau&gt;</v>
      </c>
    </row>
    <row r="7407" spans="1:1" x14ac:dyDescent="0.2">
      <c r="A7407" s="1135" t="str">
        <f>CONCATENATE(Programme!C7408,Programme!D7408,Programme!E7408,Programme!F7408,Programme!G7408,Programme!H7408,Programme!I7408)</f>
        <v>&lt;groupeValeurs&gt;</v>
      </c>
    </row>
    <row r="7408" spans="1:1" x14ac:dyDescent="0.2">
      <c r="A7408" s="1135" t="str">
        <f>CONCATENATE(Programme!C7409,Programme!D7409,Programme!E7409,Programme!F7409,Programme!G7409,Programme!H7409,Programme!I7409)</f>
        <v>&lt;ValeurCellule&gt;</v>
      </c>
    </row>
    <row r="7409" spans="1:1" x14ac:dyDescent="0.2">
      <c r="A7409" s="1135" t="str">
        <f>CONCATENATE(Programme!C7410,Programme!D7410,Programme!E7410,Programme!F7410,Programme!G7410,Programme!H7410,Programme!I7410)</f>
        <v>&lt;cellule&gt;&lt;codeEdi&gt;2044&lt;/codeEdi&gt;&lt;/cellule&gt;</v>
      </c>
    </row>
    <row r="7410" spans="1:1" x14ac:dyDescent="0.2">
      <c r="A7410" s="1135" t="str">
        <f>CONCATENATE(Programme!C7411,Programme!D7411,Programme!E7411,Programme!F7411,Programme!G7411,Programme!H7411,Programme!I7411)</f>
        <v>&lt;valeur&gt;&lt;/valeur&gt;</v>
      </c>
    </row>
    <row r="7411" spans="1:1" x14ac:dyDescent="0.2">
      <c r="A7411" s="1135" t="str">
        <f>CONCATENATE(Programme!C7412,Programme!D7412,Programme!E7412,Programme!F7412,Programme!G7412,Programme!H7412,Programme!I7412)</f>
        <v>&lt;numeroLigne&gt;1&lt;/numeroLigne&gt;</v>
      </c>
    </row>
    <row r="7412" spans="1:1" x14ac:dyDescent="0.2">
      <c r="A7412" s="1135" t="str">
        <f>CONCATENATE(Programme!C7413,Programme!D7413,Programme!E7413,Programme!F7413,Programme!G7413,Programme!H7413,Programme!I7413)</f>
        <v>&lt;/ValeurCellule&gt;</v>
      </c>
    </row>
    <row r="7413" spans="1:1" x14ac:dyDescent="0.2">
      <c r="A7413" s="1135" t="str">
        <f>CONCATENATE(Programme!C7414,Programme!D7414,Programme!E7414,Programme!F7414,Programme!G7414,Programme!H7414,Programme!I7414)</f>
        <v>&lt;ValeurCellule&gt;</v>
      </c>
    </row>
    <row r="7414" spans="1:1" x14ac:dyDescent="0.2">
      <c r="A7414" s="1135" t="str">
        <f>CONCATENATE(Programme!C7415,Programme!D7415,Programme!E7415,Programme!F7415,Programme!G7415,Programme!H7415,Programme!I7415)</f>
        <v>&lt;cellule&gt;&lt;codeEdi&gt;2045&lt;/codeEdi&gt;&lt;/cellule&gt;</v>
      </c>
    </row>
    <row r="7415" spans="1:1" x14ac:dyDescent="0.2">
      <c r="A7415" s="1135" t="str">
        <f>CONCATENATE(Programme!C7416,Programme!D7416,Programme!E7416,Programme!F7416,Programme!G7416,Programme!H7416,Programme!I7416)</f>
        <v>&lt;valeur&gt;&lt;/valeur&gt;</v>
      </c>
    </row>
    <row r="7416" spans="1:1" x14ac:dyDescent="0.2">
      <c r="A7416" s="1135" t="str">
        <f>CONCATENATE(Programme!C7417,Programme!D7417,Programme!E7417,Programme!F7417,Programme!G7417,Programme!H7417,Programme!I7417)</f>
        <v>&lt;numeroLigne&gt;1&lt;/numeroLigne&gt;</v>
      </c>
    </row>
    <row r="7417" spans="1:1" x14ac:dyDescent="0.2">
      <c r="A7417" s="1135" t="str">
        <f>CONCATENATE(Programme!C7418,Programme!D7418,Programme!E7418,Programme!F7418,Programme!G7418,Programme!H7418,Programme!I7418)</f>
        <v>&lt;/ValeurCellule&gt;</v>
      </c>
    </row>
    <row r="7418" spans="1:1" x14ac:dyDescent="0.2">
      <c r="A7418" s="1135" t="str">
        <f>CONCATENATE(Programme!C7419,Programme!D7419,Programme!E7419,Programme!F7419,Programme!G7419,Programme!H7419,Programme!I7419)</f>
        <v>&lt;ValeurCellule&gt;</v>
      </c>
    </row>
    <row r="7419" spans="1:1" x14ac:dyDescent="0.2">
      <c r="A7419" s="1135" t="str">
        <f>CONCATENATE(Programme!C7420,Programme!D7420,Programme!E7420,Programme!F7420,Programme!G7420,Programme!H7420,Programme!I7420)</f>
        <v>&lt;cellule&gt;&lt;codeEdi&gt;2046&lt;/codeEdi&gt;&lt;/cellule&gt;</v>
      </c>
    </row>
    <row r="7420" spans="1:1" x14ac:dyDescent="0.2">
      <c r="A7420" s="1135" t="str">
        <f>CONCATENATE(Programme!C7421,Programme!D7421,Programme!E7421,Programme!F7421,Programme!G7421,Programme!H7421,Programme!I7421)</f>
        <v>&lt;valeur&gt;&lt;/valeur&gt;</v>
      </c>
    </row>
    <row r="7421" spans="1:1" x14ac:dyDescent="0.2">
      <c r="A7421" s="1135" t="str">
        <f>CONCATENATE(Programme!C7422,Programme!D7422,Programme!E7422,Programme!F7422,Programme!G7422,Programme!H7422,Programme!I7422)</f>
        <v>&lt;numeroLigne&gt;1&lt;/numeroLigne&gt;</v>
      </c>
    </row>
    <row r="7422" spans="1:1" x14ac:dyDescent="0.2">
      <c r="A7422" s="1135" t="str">
        <f>CONCATENATE(Programme!C7423,Programme!D7423,Programme!E7423,Programme!F7423,Programme!G7423,Programme!H7423,Programme!I7423)</f>
        <v>&lt;/ValeurCellule&gt;</v>
      </c>
    </row>
    <row r="7423" spans="1:1" x14ac:dyDescent="0.2">
      <c r="A7423" s="1135" t="str">
        <f>CONCATENATE(Programme!C7424,Programme!D7424,Programme!E7424,Programme!F7424,Programme!G7424,Programme!H7424,Programme!I7424)</f>
        <v>&lt;ValeurCellule&gt;</v>
      </c>
    </row>
    <row r="7424" spans="1:1" x14ac:dyDescent="0.2">
      <c r="A7424" s="1135" t="str">
        <f>CONCATENATE(Programme!C7425,Programme!D7425,Programme!E7425,Programme!F7425,Programme!G7425,Programme!H7425,Programme!I7425)</f>
        <v>&lt;cellule&gt;&lt;codeEdi&gt;2047&lt;/codeEdi&gt;&lt;/cellule&gt;</v>
      </c>
    </row>
    <row r="7425" spans="1:1" x14ac:dyDescent="0.2">
      <c r="A7425" s="1135" t="str">
        <f>CONCATENATE(Programme!C7426,Programme!D7426,Programme!E7426,Programme!F7426,Programme!G7426,Programme!H7426,Programme!I7426)</f>
        <v>&lt;valeur&gt;&lt;/valeur&gt;</v>
      </c>
    </row>
    <row r="7426" spans="1:1" x14ac:dyDescent="0.2">
      <c r="A7426" s="1135" t="str">
        <f>CONCATENATE(Programme!C7427,Programme!D7427,Programme!E7427,Programme!F7427,Programme!G7427,Programme!H7427,Programme!I7427)</f>
        <v>&lt;numeroLigne&gt;1&lt;/numeroLigne&gt;</v>
      </c>
    </row>
    <row r="7427" spans="1:1" x14ac:dyDescent="0.2">
      <c r="A7427" s="1135" t="str">
        <f>CONCATENATE(Programme!C7428,Programme!D7428,Programme!E7428,Programme!F7428,Programme!G7428,Programme!H7428,Programme!I7428)</f>
        <v>&lt;/ValeurCellule&gt;</v>
      </c>
    </row>
    <row r="7428" spans="1:1" x14ac:dyDescent="0.2">
      <c r="A7428" s="1135" t="str">
        <f>CONCATENATE(Programme!C7429,Programme!D7429,Programme!E7429,Programme!F7429,Programme!G7429,Programme!H7429,Programme!I7429)</f>
        <v>&lt;ValeurCellule&gt;</v>
      </c>
    </row>
    <row r="7429" spans="1:1" x14ac:dyDescent="0.2">
      <c r="A7429" s="1135" t="str">
        <f>CONCATENATE(Programme!C7430,Programme!D7430,Programme!E7430,Programme!F7430,Programme!G7430,Programme!H7430,Programme!I7430)</f>
        <v>&lt;cellule&gt;&lt;codeEdi&gt;2048&lt;/codeEdi&gt;&lt;/cellule&gt;</v>
      </c>
    </row>
    <row r="7430" spans="1:1" x14ac:dyDescent="0.2">
      <c r="A7430" s="1135" t="str">
        <f>CONCATENATE(Programme!C7431,Programme!D7431,Programme!E7431,Programme!F7431,Programme!G7431,Programme!H7431,Programme!I7431)</f>
        <v>&lt;valeur&gt;&lt;/valeur&gt;</v>
      </c>
    </row>
    <row r="7431" spans="1:1" x14ac:dyDescent="0.2">
      <c r="A7431" s="1135" t="str">
        <f>CONCATENATE(Programme!C7432,Programme!D7432,Programme!E7432,Programme!F7432,Programme!G7432,Programme!H7432,Programme!I7432)</f>
        <v>&lt;numeroLigne&gt;1&lt;/numeroLigne&gt;</v>
      </c>
    </row>
    <row r="7432" spans="1:1" x14ac:dyDescent="0.2">
      <c r="A7432" s="1135" t="str">
        <f>CONCATENATE(Programme!C7433,Programme!D7433,Programme!E7433,Programme!F7433,Programme!G7433,Programme!H7433,Programme!I7433)</f>
        <v>&lt;/ValeurCellule&gt;</v>
      </c>
    </row>
    <row r="7433" spans="1:1" x14ac:dyDescent="0.2">
      <c r="A7433" s="1135" t="str">
        <f>CONCATENATE(Programme!C7434,Programme!D7434,Programme!E7434,Programme!F7434,Programme!G7434,Programme!H7434,Programme!I7434)</f>
        <v>&lt;ValeurCellule&gt;</v>
      </c>
    </row>
    <row r="7434" spans="1:1" x14ac:dyDescent="0.2">
      <c r="A7434" s="1135" t="str">
        <f>CONCATENATE(Programme!C7435,Programme!D7435,Programme!E7435,Programme!F7435,Programme!G7435,Programme!H7435,Programme!I7435)</f>
        <v>&lt;cellule&gt;&lt;codeEdi&gt;2049&lt;/codeEdi&gt;&lt;/cellule&gt;</v>
      </c>
    </row>
    <row r="7435" spans="1:1" x14ac:dyDescent="0.2">
      <c r="A7435" s="1135" t="str">
        <f>CONCATENATE(Programme!C7436,Programme!D7436,Programme!E7436,Programme!F7436,Programme!G7436,Programme!H7436,Programme!I7436)</f>
        <v>&lt;valeur&gt;&lt;/valeur&gt;</v>
      </c>
    </row>
    <row r="7436" spans="1:1" x14ac:dyDescent="0.2">
      <c r="A7436" s="1135" t="str">
        <f>CONCATENATE(Programme!C7437,Programme!D7437,Programme!E7437,Programme!F7437,Programme!G7437,Programme!H7437,Programme!I7437)</f>
        <v>&lt;numeroLigne&gt;1&lt;/numeroLigne&gt;</v>
      </c>
    </row>
    <row r="7437" spans="1:1" x14ac:dyDescent="0.2">
      <c r="A7437" s="1135" t="str">
        <f>CONCATENATE(Programme!C7438,Programme!D7438,Programme!E7438,Programme!F7438,Programme!G7438,Programme!H7438,Programme!I7438)</f>
        <v>&lt;/ValeurCellule&gt;</v>
      </c>
    </row>
    <row r="7438" spans="1:1" x14ac:dyDescent="0.2">
      <c r="A7438" s="1135" t="str">
        <f>CONCATENATE(Programme!C7439,Programme!D7439,Programme!E7439,Programme!F7439,Programme!G7439,Programme!H7439,Programme!I7439)</f>
        <v>&lt;ValeurCellule&gt;</v>
      </c>
    </row>
    <row r="7439" spans="1:1" x14ac:dyDescent="0.2">
      <c r="A7439" s="1135" t="str">
        <f>CONCATENATE(Programme!C7440,Programme!D7440,Programme!E7440,Programme!F7440,Programme!G7440,Programme!H7440,Programme!I7440)</f>
        <v>&lt;cellule&gt;&lt;codeEdi&gt;2050&lt;/codeEdi&gt;&lt;/cellule&gt;</v>
      </c>
    </row>
    <row r="7440" spans="1:1" x14ac:dyDescent="0.2">
      <c r="A7440" s="1135" t="str">
        <f>CONCATENATE(Programme!C7441,Programme!D7441,Programme!E7441,Programme!F7441,Programme!G7441,Programme!H7441,Programme!I7441)</f>
        <v>&lt;valeur&gt;&lt;/valeur&gt;</v>
      </c>
    </row>
    <row r="7441" spans="1:1" x14ac:dyDescent="0.2">
      <c r="A7441" s="1135" t="str">
        <f>CONCATENATE(Programme!C7442,Programme!D7442,Programme!E7442,Programme!F7442,Programme!G7442,Programme!H7442,Programme!I7442)</f>
        <v>&lt;numeroLigne&gt;1&lt;/numeroLigne&gt;</v>
      </c>
    </row>
    <row r="7442" spans="1:1" x14ac:dyDescent="0.2">
      <c r="A7442" s="1135" t="str">
        <f>CONCATENATE(Programme!C7443,Programme!D7443,Programme!E7443,Programme!F7443,Programme!G7443,Programme!H7443,Programme!I7443)</f>
        <v>&lt;/ValeurCellule&gt;</v>
      </c>
    </row>
    <row r="7443" spans="1:1" x14ac:dyDescent="0.2">
      <c r="A7443" s="1135" t="str">
        <f>CONCATENATE(Programme!C7444,Programme!D7444,Programme!E7444,Programme!F7444,Programme!G7444,Programme!H7444,Programme!I7444)</f>
        <v>&lt;ValeurCellule&gt;</v>
      </c>
    </row>
    <row r="7444" spans="1:1" x14ac:dyDescent="0.2">
      <c r="A7444" s="1135" t="str">
        <f>CONCATENATE(Programme!C7445,Programme!D7445,Programme!E7445,Programme!F7445,Programme!G7445,Programme!H7445,Programme!I7445)</f>
        <v>&lt;cellule&gt;&lt;codeEdi&gt;2051&lt;/codeEdi&gt;&lt;/cellule&gt;</v>
      </c>
    </row>
    <row r="7445" spans="1:1" x14ac:dyDescent="0.2">
      <c r="A7445" s="1135" t="str">
        <f>CONCATENATE(Programme!C7446,Programme!D7446,Programme!E7446,Programme!F7446,Programme!G7446,Programme!H7446,Programme!I7446)</f>
        <v>&lt;valeur&gt;&lt;/valeur&gt;</v>
      </c>
    </row>
    <row r="7446" spans="1:1" x14ac:dyDescent="0.2">
      <c r="A7446" s="1135" t="str">
        <f>CONCATENATE(Programme!C7447,Programme!D7447,Programme!E7447,Programme!F7447,Programme!G7447,Programme!H7447,Programme!I7447)</f>
        <v>&lt;numeroLigne&gt;1&lt;/numeroLigne&gt;</v>
      </c>
    </row>
    <row r="7447" spans="1:1" x14ac:dyDescent="0.2">
      <c r="A7447" s="1135" t="str">
        <f>CONCATENATE(Programme!C7448,Programme!D7448,Programme!E7448,Programme!F7448,Programme!G7448,Programme!H7448,Programme!I7448)</f>
        <v>&lt;/ValeurCellule&gt;</v>
      </c>
    </row>
    <row r="7448" spans="1:1" x14ac:dyDescent="0.2">
      <c r="A7448" s="1135" t="str">
        <f>CONCATENATE(Programme!C7449,Programme!D7449,Programme!E7449,Programme!F7449,Programme!G7449,Programme!H7449,Programme!I7449)</f>
        <v>&lt;ValeurCellule&gt;</v>
      </c>
    </row>
    <row r="7449" spans="1:1" x14ac:dyDescent="0.2">
      <c r="A7449" s="1135" t="str">
        <f>CONCATENATE(Programme!C7450,Programme!D7450,Programme!E7450,Programme!F7450,Programme!G7450,Programme!H7450,Programme!I7450)</f>
        <v>&lt;cellule&gt;&lt;codeEdi&gt;2052&lt;/codeEdi&gt;&lt;/cellule&gt;</v>
      </c>
    </row>
    <row r="7450" spans="1:1" x14ac:dyDescent="0.2">
      <c r="A7450" s="1135" t="str">
        <f>CONCATENATE(Programme!C7451,Programme!D7451,Programme!E7451,Programme!F7451,Programme!G7451,Programme!H7451,Programme!I7451)</f>
        <v>&lt;valeur&gt;&lt;/valeur&gt;</v>
      </c>
    </row>
    <row r="7451" spans="1:1" x14ac:dyDescent="0.2">
      <c r="A7451" s="1135" t="str">
        <f>CONCATENATE(Programme!C7452,Programme!D7452,Programme!E7452,Programme!F7452,Programme!G7452,Programme!H7452,Programme!I7452)</f>
        <v>&lt;numeroLigne&gt;1&lt;/numeroLigne&gt;</v>
      </c>
    </row>
    <row r="7452" spans="1:1" x14ac:dyDescent="0.2">
      <c r="A7452" s="1135" t="str">
        <f>CONCATENATE(Programme!C7453,Programme!D7453,Programme!E7453,Programme!F7453,Programme!G7453,Programme!H7453,Programme!I7453)</f>
        <v>&lt;/ValeurCellule&gt;</v>
      </c>
    </row>
    <row r="7453" spans="1:1" x14ac:dyDescent="0.2">
      <c r="A7453" s="1135" t="str">
        <f>CONCATENATE(Programme!C7454,Programme!D7454,Programme!E7454,Programme!F7454,Programme!G7454,Programme!H7454,Programme!I7454)</f>
        <v>&lt;ValeurCellule&gt;</v>
      </c>
    </row>
    <row r="7454" spans="1:1" x14ac:dyDescent="0.2">
      <c r="A7454" s="1135" t="str">
        <f>CONCATENATE(Programme!C7455,Programme!D7455,Programme!E7455,Programme!F7455,Programme!G7455,Programme!H7455,Programme!I7455)</f>
        <v>&lt;cellule&gt;&lt;codeEdi&gt;2053&lt;/codeEdi&gt;&lt;/cellule&gt;</v>
      </c>
    </row>
    <row r="7455" spans="1:1" x14ac:dyDescent="0.2">
      <c r="A7455" s="1135" t="str">
        <f>CONCATENATE(Programme!C7456,Programme!D7456,Programme!E7456,Programme!F7456,Programme!G7456,Programme!H7456,Programme!I7456)</f>
        <v>&lt;valeur&gt;&lt;/valeur&gt;</v>
      </c>
    </row>
    <row r="7456" spans="1:1" x14ac:dyDescent="0.2">
      <c r="A7456" s="1135" t="str">
        <f>CONCATENATE(Programme!C7457,Programme!D7457,Programme!E7457,Programme!F7457,Programme!G7457,Programme!H7457,Programme!I7457)</f>
        <v>&lt;numeroLigne&gt;1&lt;/numeroLigne&gt;</v>
      </c>
    </row>
    <row r="7457" spans="1:1" x14ac:dyDescent="0.2">
      <c r="A7457" s="1135" t="str">
        <f>CONCATENATE(Programme!C7458,Programme!D7458,Programme!E7458,Programme!F7458,Programme!G7458,Programme!H7458,Programme!I7458)</f>
        <v>&lt;/ValeurCellule&gt;</v>
      </c>
    </row>
    <row r="7458" spans="1:1" x14ac:dyDescent="0.2">
      <c r="A7458" s="1135" t="str">
        <f>CONCATENATE(Programme!C7459,Programme!D7459,Programme!E7459,Programme!F7459,Programme!G7459,Programme!H7459,Programme!I7459)</f>
        <v>&lt;ValeurCellule&gt;</v>
      </c>
    </row>
    <row r="7459" spans="1:1" x14ac:dyDescent="0.2">
      <c r="A7459" s="1135" t="str">
        <f>CONCATENATE(Programme!C7460,Programme!D7460,Programme!E7460,Programme!F7460,Programme!G7460,Programme!H7460,Programme!I7460)</f>
        <v>&lt;cellule&gt;&lt;codeEdi&gt;2044&lt;/codeEdi&gt;&lt;/cellule&gt;</v>
      </c>
    </row>
    <row r="7460" spans="1:1" x14ac:dyDescent="0.2">
      <c r="A7460" s="1135" t="str">
        <f>CONCATENATE(Programme!C7461,Programme!D7461,Programme!E7461,Programme!F7461,Programme!G7461,Programme!H7461,Programme!I7461)</f>
        <v>&lt;valeur&gt;&lt;/valeur&gt;</v>
      </c>
    </row>
    <row r="7461" spans="1:1" x14ac:dyDescent="0.2">
      <c r="A7461" s="1135" t="str">
        <f>CONCATENATE(Programme!C7462,Programme!D7462,Programme!E7462,Programme!F7462,Programme!G7462,Programme!H7462,Programme!I7462)</f>
        <v>&lt;numeroLigne&gt;2&lt;/numeroLigne&gt;</v>
      </c>
    </row>
    <row r="7462" spans="1:1" x14ac:dyDescent="0.2">
      <c r="A7462" s="1135" t="str">
        <f>CONCATENATE(Programme!C7463,Programme!D7463,Programme!E7463,Programme!F7463,Programme!G7463,Programme!H7463,Programme!I7463)</f>
        <v>&lt;/ValeurCellule&gt;</v>
      </c>
    </row>
    <row r="7463" spans="1:1" x14ac:dyDescent="0.2">
      <c r="A7463" s="1135" t="str">
        <f>CONCATENATE(Programme!C7464,Programme!D7464,Programme!E7464,Programme!F7464,Programme!G7464,Programme!H7464,Programme!I7464)</f>
        <v>&lt;ValeurCellule&gt;</v>
      </c>
    </row>
    <row r="7464" spans="1:1" x14ac:dyDescent="0.2">
      <c r="A7464" s="1135" t="str">
        <f>CONCATENATE(Programme!C7465,Programme!D7465,Programme!E7465,Programme!F7465,Programme!G7465,Programme!H7465,Programme!I7465)</f>
        <v>&lt;cellule&gt;&lt;codeEdi&gt;2045&lt;/codeEdi&gt;&lt;/cellule&gt;</v>
      </c>
    </row>
    <row r="7465" spans="1:1" x14ac:dyDescent="0.2">
      <c r="A7465" s="1135" t="str">
        <f>CONCATENATE(Programme!C7466,Programme!D7466,Programme!E7466,Programme!F7466,Programme!G7466,Programme!H7466,Programme!I7466)</f>
        <v>&lt;valeur&gt;&lt;/valeur&gt;</v>
      </c>
    </row>
    <row r="7466" spans="1:1" x14ac:dyDescent="0.2">
      <c r="A7466" s="1135" t="str">
        <f>CONCATENATE(Programme!C7467,Programme!D7467,Programme!E7467,Programme!F7467,Programme!G7467,Programme!H7467,Programme!I7467)</f>
        <v>&lt;numeroLigne&gt;2&lt;/numeroLigne&gt;</v>
      </c>
    </row>
    <row r="7467" spans="1:1" x14ac:dyDescent="0.2">
      <c r="A7467" s="1135" t="str">
        <f>CONCATENATE(Programme!C7468,Programme!D7468,Programme!E7468,Programme!F7468,Programme!G7468,Programme!H7468,Programme!I7468)</f>
        <v>&lt;/ValeurCellule&gt;</v>
      </c>
    </row>
    <row r="7468" spans="1:1" x14ac:dyDescent="0.2">
      <c r="A7468" s="1135" t="str">
        <f>CONCATENATE(Programme!C7469,Programme!D7469,Programme!E7469,Programme!F7469,Programme!G7469,Programme!H7469,Programme!I7469)</f>
        <v>&lt;ValeurCellule&gt;</v>
      </c>
    </row>
    <row r="7469" spans="1:1" x14ac:dyDescent="0.2">
      <c r="A7469" s="1135" t="str">
        <f>CONCATENATE(Programme!C7470,Programme!D7470,Programme!E7470,Programme!F7470,Programme!G7470,Programme!H7470,Programme!I7470)</f>
        <v>&lt;cellule&gt;&lt;codeEdi&gt;2046&lt;/codeEdi&gt;&lt;/cellule&gt;</v>
      </c>
    </row>
    <row r="7470" spans="1:1" x14ac:dyDescent="0.2">
      <c r="A7470" s="1135" t="str">
        <f>CONCATENATE(Programme!C7471,Programme!D7471,Programme!E7471,Programme!F7471,Programme!G7471,Programme!H7471,Programme!I7471)</f>
        <v>&lt;valeur&gt;&lt;/valeur&gt;</v>
      </c>
    </row>
    <row r="7471" spans="1:1" x14ac:dyDescent="0.2">
      <c r="A7471" s="1135" t="str">
        <f>CONCATENATE(Programme!C7472,Programme!D7472,Programme!E7472,Programme!F7472,Programme!G7472,Programme!H7472,Programme!I7472)</f>
        <v>&lt;numeroLigne&gt;2&lt;/numeroLigne&gt;</v>
      </c>
    </row>
    <row r="7472" spans="1:1" x14ac:dyDescent="0.2">
      <c r="A7472" s="1135" t="str">
        <f>CONCATENATE(Programme!C7473,Programme!D7473,Programme!E7473,Programme!F7473,Programme!G7473,Programme!H7473,Programme!I7473)</f>
        <v>&lt;/ValeurCellule&gt;</v>
      </c>
    </row>
    <row r="7473" spans="1:1" x14ac:dyDescent="0.2">
      <c r="A7473" s="1135" t="str">
        <f>CONCATENATE(Programme!C7474,Programme!D7474,Programme!E7474,Programme!F7474,Programme!G7474,Programme!H7474,Programme!I7474)</f>
        <v>&lt;ValeurCellule&gt;</v>
      </c>
    </row>
    <row r="7474" spans="1:1" x14ac:dyDescent="0.2">
      <c r="A7474" s="1135" t="str">
        <f>CONCATENATE(Programme!C7475,Programme!D7475,Programme!E7475,Programme!F7475,Programme!G7475,Programme!H7475,Programme!I7475)</f>
        <v>&lt;cellule&gt;&lt;codeEdi&gt;2047&lt;/codeEdi&gt;&lt;/cellule&gt;</v>
      </c>
    </row>
    <row r="7475" spans="1:1" x14ac:dyDescent="0.2">
      <c r="A7475" s="1135" t="str">
        <f>CONCATENATE(Programme!C7476,Programme!D7476,Programme!E7476,Programme!F7476,Programme!G7476,Programme!H7476,Programme!I7476)</f>
        <v>&lt;valeur&gt;&lt;/valeur&gt;</v>
      </c>
    </row>
    <row r="7476" spans="1:1" x14ac:dyDescent="0.2">
      <c r="A7476" s="1135" t="str">
        <f>CONCATENATE(Programme!C7477,Programme!D7477,Programme!E7477,Programme!F7477,Programme!G7477,Programme!H7477,Programme!I7477)</f>
        <v>&lt;numeroLigne&gt;2&lt;/numeroLigne&gt;</v>
      </c>
    </row>
    <row r="7477" spans="1:1" x14ac:dyDescent="0.2">
      <c r="A7477" s="1135" t="str">
        <f>CONCATENATE(Programme!C7478,Programme!D7478,Programme!E7478,Programme!F7478,Programme!G7478,Programme!H7478,Programme!I7478)</f>
        <v>&lt;/ValeurCellule&gt;</v>
      </c>
    </row>
    <row r="7478" spans="1:1" x14ac:dyDescent="0.2">
      <c r="A7478" s="1135" t="str">
        <f>CONCATENATE(Programme!C7479,Programme!D7479,Programme!E7479,Programme!F7479,Programme!G7479,Programme!H7479,Programme!I7479)</f>
        <v>&lt;ValeurCellule&gt;</v>
      </c>
    </row>
    <row r="7479" spans="1:1" x14ac:dyDescent="0.2">
      <c r="A7479" s="1135" t="str">
        <f>CONCATENATE(Programme!C7480,Programme!D7480,Programme!E7480,Programme!F7480,Programme!G7480,Programme!H7480,Programme!I7480)</f>
        <v>&lt;cellule&gt;&lt;codeEdi&gt;2048&lt;/codeEdi&gt;&lt;/cellule&gt;</v>
      </c>
    </row>
    <row r="7480" spans="1:1" x14ac:dyDescent="0.2">
      <c r="A7480" s="1135" t="str">
        <f>CONCATENATE(Programme!C7481,Programme!D7481,Programme!E7481,Programme!F7481,Programme!G7481,Programme!H7481,Programme!I7481)</f>
        <v>&lt;valeur&gt;&lt;/valeur&gt;</v>
      </c>
    </row>
    <row r="7481" spans="1:1" x14ac:dyDescent="0.2">
      <c r="A7481" s="1135" t="str">
        <f>CONCATENATE(Programme!C7482,Programme!D7482,Programme!E7482,Programme!F7482,Programme!G7482,Programme!H7482,Programme!I7482)</f>
        <v>&lt;numeroLigne&gt;2&lt;/numeroLigne&gt;</v>
      </c>
    </row>
    <row r="7482" spans="1:1" x14ac:dyDescent="0.2">
      <c r="A7482" s="1135" t="str">
        <f>CONCATENATE(Programme!C7483,Programme!D7483,Programme!E7483,Programme!F7483,Programme!G7483,Programme!H7483,Programme!I7483)</f>
        <v>&lt;/ValeurCellule&gt;</v>
      </c>
    </row>
    <row r="7483" spans="1:1" x14ac:dyDescent="0.2">
      <c r="A7483" s="1135" t="str">
        <f>CONCATENATE(Programme!C7484,Programme!D7484,Programme!E7484,Programme!F7484,Programme!G7484,Programme!H7484,Programme!I7484)</f>
        <v>&lt;ValeurCellule&gt;</v>
      </c>
    </row>
    <row r="7484" spans="1:1" x14ac:dyDescent="0.2">
      <c r="A7484" s="1135" t="str">
        <f>CONCATENATE(Programme!C7485,Programme!D7485,Programme!E7485,Programme!F7485,Programme!G7485,Programme!H7485,Programme!I7485)</f>
        <v>&lt;cellule&gt;&lt;codeEdi&gt;2049&lt;/codeEdi&gt;&lt;/cellule&gt;</v>
      </c>
    </row>
    <row r="7485" spans="1:1" x14ac:dyDescent="0.2">
      <c r="A7485" s="1135" t="str">
        <f>CONCATENATE(Programme!C7486,Programme!D7486,Programme!E7486,Programme!F7486,Programme!G7486,Programme!H7486,Programme!I7486)</f>
        <v>&lt;valeur&gt;&lt;/valeur&gt;</v>
      </c>
    </row>
    <row r="7486" spans="1:1" x14ac:dyDescent="0.2">
      <c r="A7486" s="1135" t="str">
        <f>CONCATENATE(Programme!C7487,Programme!D7487,Programme!E7487,Programme!F7487,Programme!G7487,Programme!H7487,Programme!I7487)</f>
        <v>&lt;numeroLigne&gt;2&lt;/numeroLigne&gt;</v>
      </c>
    </row>
    <row r="7487" spans="1:1" x14ac:dyDescent="0.2">
      <c r="A7487" s="1135" t="str">
        <f>CONCATENATE(Programme!C7488,Programme!D7488,Programme!E7488,Programme!F7488,Programme!G7488,Programme!H7488,Programme!I7488)</f>
        <v>&lt;/ValeurCellule&gt;</v>
      </c>
    </row>
    <row r="7488" spans="1:1" x14ac:dyDescent="0.2">
      <c r="A7488" s="1135" t="str">
        <f>CONCATENATE(Programme!C7489,Programme!D7489,Programme!E7489,Programme!F7489,Programme!G7489,Programme!H7489,Programme!I7489)</f>
        <v>&lt;ValeurCellule&gt;</v>
      </c>
    </row>
    <row r="7489" spans="1:1" x14ac:dyDescent="0.2">
      <c r="A7489" s="1135" t="str">
        <f>CONCATENATE(Programme!C7490,Programme!D7490,Programme!E7490,Programme!F7490,Programme!G7490,Programme!H7490,Programme!I7490)</f>
        <v>&lt;cellule&gt;&lt;codeEdi&gt;2050&lt;/codeEdi&gt;&lt;/cellule&gt;</v>
      </c>
    </row>
    <row r="7490" spans="1:1" x14ac:dyDescent="0.2">
      <c r="A7490" s="1135" t="str">
        <f>CONCATENATE(Programme!C7491,Programme!D7491,Programme!E7491,Programme!F7491,Programme!G7491,Programme!H7491,Programme!I7491)</f>
        <v>&lt;valeur&gt;&lt;/valeur&gt;</v>
      </c>
    </row>
    <row r="7491" spans="1:1" x14ac:dyDescent="0.2">
      <c r="A7491" s="1135" t="str">
        <f>CONCATENATE(Programme!C7492,Programme!D7492,Programme!E7492,Programme!F7492,Programme!G7492,Programme!H7492,Programme!I7492)</f>
        <v>&lt;numeroLigne&gt;2&lt;/numeroLigne&gt;</v>
      </c>
    </row>
    <row r="7492" spans="1:1" x14ac:dyDescent="0.2">
      <c r="A7492" s="1135" t="str">
        <f>CONCATENATE(Programme!C7493,Programme!D7493,Programme!E7493,Programme!F7493,Programme!G7493,Programme!H7493,Programme!I7493)</f>
        <v>&lt;/ValeurCellule&gt;</v>
      </c>
    </row>
    <row r="7493" spans="1:1" x14ac:dyDescent="0.2">
      <c r="A7493" s="1135" t="str">
        <f>CONCATENATE(Programme!C7494,Programme!D7494,Programme!E7494,Programme!F7494,Programme!G7494,Programme!H7494,Programme!I7494)</f>
        <v>&lt;ValeurCellule&gt;</v>
      </c>
    </row>
    <row r="7494" spans="1:1" x14ac:dyDescent="0.2">
      <c r="A7494" s="1135" t="str">
        <f>CONCATENATE(Programme!C7495,Programme!D7495,Programme!E7495,Programme!F7495,Programme!G7495,Programme!H7495,Programme!I7495)</f>
        <v>&lt;cellule&gt;&lt;codeEdi&gt;2051&lt;/codeEdi&gt;&lt;/cellule&gt;</v>
      </c>
    </row>
    <row r="7495" spans="1:1" x14ac:dyDescent="0.2">
      <c r="A7495" s="1135" t="str">
        <f>CONCATENATE(Programme!C7496,Programme!D7496,Programme!E7496,Programme!F7496,Programme!G7496,Programme!H7496,Programme!I7496)</f>
        <v>&lt;valeur&gt;&lt;/valeur&gt;</v>
      </c>
    </row>
    <row r="7496" spans="1:1" x14ac:dyDescent="0.2">
      <c r="A7496" s="1135" t="str">
        <f>CONCATENATE(Programme!C7497,Programme!D7497,Programme!E7497,Programme!F7497,Programme!G7497,Programme!H7497,Programme!I7497)</f>
        <v>&lt;numeroLigne&gt;2&lt;/numeroLigne&gt;</v>
      </c>
    </row>
    <row r="7497" spans="1:1" x14ac:dyDescent="0.2">
      <c r="A7497" s="1135" t="str">
        <f>CONCATENATE(Programme!C7498,Programme!D7498,Programme!E7498,Programme!F7498,Programme!G7498,Programme!H7498,Programme!I7498)</f>
        <v>&lt;/ValeurCellule&gt;</v>
      </c>
    </row>
    <row r="7498" spans="1:1" x14ac:dyDescent="0.2">
      <c r="A7498" s="1135" t="str">
        <f>CONCATENATE(Programme!C7499,Programme!D7499,Programme!E7499,Programme!F7499,Programme!G7499,Programme!H7499,Programme!I7499)</f>
        <v>&lt;ValeurCellule&gt;</v>
      </c>
    </row>
    <row r="7499" spans="1:1" x14ac:dyDescent="0.2">
      <c r="A7499" s="1135" t="str">
        <f>CONCATENATE(Programme!C7500,Programme!D7500,Programme!E7500,Programme!F7500,Programme!G7500,Programme!H7500,Programme!I7500)</f>
        <v>&lt;cellule&gt;&lt;codeEdi&gt;2052&lt;/codeEdi&gt;&lt;/cellule&gt;</v>
      </c>
    </row>
    <row r="7500" spans="1:1" x14ac:dyDescent="0.2">
      <c r="A7500" s="1135" t="str">
        <f>CONCATENATE(Programme!C7501,Programme!D7501,Programme!E7501,Programme!F7501,Programme!G7501,Programme!H7501,Programme!I7501)</f>
        <v>&lt;valeur&gt;&lt;/valeur&gt;</v>
      </c>
    </row>
    <row r="7501" spans="1:1" x14ac:dyDescent="0.2">
      <c r="A7501" s="1135" t="str">
        <f>CONCATENATE(Programme!C7502,Programme!D7502,Programme!E7502,Programme!F7502,Programme!G7502,Programme!H7502,Programme!I7502)</f>
        <v>&lt;numeroLigne&gt;2&lt;/numeroLigne&gt;</v>
      </c>
    </row>
    <row r="7502" spans="1:1" x14ac:dyDescent="0.2">
      <c r="A7502" s="1135" t="str">
        <f>CONCATENATE(Programme!C7503,Programme!D7503,Programme!E7503,Programme!F7503,Programme!G7503,Programme!H7503,Programme!I7503)</f>
        <v>&lt;/ValeurCellule&gt;</v>
      </c>
    </row>
    <row r="7503" spans="1:1" x14ac:dyDescent="0.2">
      <c r="A7503" s="1135" t="str">
        <f>CONCATENATE(Programme!C7504,Programme!D7504,Programme!E7504,Programme!F7504,Programme!G7504,Programme!H7504,Programme!I7504)</f>
        <v>&lt;ValeurCellule&gt;</v>
      </c>
    </row>
    <row r="7504" spans="1:1" x14ac:dyDescent="0.2">
      <c r="A7504" s="1135" t="str">
        <f>CONCATENATE(Programme!C7505,Programme!D7505,Programme!E7505,Programme!F7505,Programme!G7505,Programme!H7505,Programme!I7505)</f>
        <v>&lt;cellule&gt;&lt;codeEdi&gt;2053&lt;/codeEdi&gt;&lt;/cellule&gt;</v>
      </c>
    </row>
    <row r="7505" spans="1:1" x14ac:dyDescent="0.2">
      <c r="A7505" s="1135" t="str">
        <f>CONCATENATE(Programme!C7506,Programme!D7506,Programme!E7506,Programme!F7506,Programme!G7506,Programme!H7506,Programme!I7506)</f>
        <v>&lt;valeur&gt;&lt;/valeur&gt;</v>
      </c>
    </row>
    <row r="7506" spans="1:1" x14ac:dyDescent="0.2">
      <c r="A7506" s="1135" t="str">
        <f>CONCATENATE(Programme!C7507,Programme!D7507,Programme!E7507,Programme!F7507,Programme!G7507,Programme!H7507,Programme!I7507)</f>
        <v>&lt;numeroLigne&gt;2&lt;/numeroLigne&gt;</v>
      </c>
    </row>
    <row r="7507" spans="1:1" x14ac:dyDescent="0.2">
      <c r="A7507" s="1135" t="str">
        <f>CONCATENATE(Programme!C7508,Programme!D7508,Programme!E7508,Programme!F7508,Programme!G7508,Programme!H7508,Programme!I7508)</f>
        <v>&lt;/ValeurCellule&gt;</v>
      </c>
    </row>
    <row r="7508" spans="1:1" x14ac:dyDescent="0.2">
      <c r="A7508" s="1135" t="str">
        <f>CONCATENATE(Programme!C7509,Programme!D7509,Programme!E7509,Programme!F7509,Programme!G7509,Programme!H7509,Programme!I7509)</f>
        <v>&lt;ValeurCellule&gt;</v>
      </c>
    </row>
    <row r="7509" spans="1:1" x14ac:dyDescent="0.2">
      <c r="A7509" s="1135" t="str">
        <f>CONCATENATE(Programme!C7510,Programme!D7510,Programme!E7510,Programme!F7510,Programme!G7510,Programme!H7510,Programme!I7510)</f>
        <v>&lt;cellule&gt;&lt;codeEdi&gt;2044&lt;/codeEdi&gt;&lt;/cellule&gt;</v>
      </c>
    </row>
    <row r="7510" spans="1:1" x14ac:dyDescent="0.2">
      <c r="A7510" s="1135" t="str">
        <f>CONCATENATE(Programme!C7511,Programme!D7511,Programme!E7511,Programme!F7511,Programme!G7511,Programme!H7511,Programme!I7511)</f>
        <v>&lt;valeur&gt;&lt;/valeur&gt;</v>
      </c>
    </row>
    <row r="7511" spans="1:1" x14ac:dyDescent="0.2">
      <c r="A7511" s="1135" t="str">
        <f>CONCATENATE(Programme!C7512,Programme!D7512,Programme!E7512,Programme!F7512,Programme!G7512,Programme!H7512,Programme!I7512)</f>
        <v>&lt;numeroLigne&gt;3&lt;/numeroLigne&gt;</v>
      </c>
    </row>
    <row r="7512" spans="1:1" x14ac:dyDescent="0.2">
      <c r="A7512" s="1135" t="str">
        <f>CONCATENATE(Programme!C7513,Programme!D7513,Programme!E7513,Programme!F7513,Programme!G7513,Programme!H7513,Programme!I7513)</f>
        <v>&lt;/ValeurCellule&gt;</v>
      </c>
    </row>
    <row r="7513" spans="1:1" x14ac:dyDescent="0.2">
      <c r="A7513" s="1135" t="str">
        <f>CONCATENATE(Programme!C7514,Programme!D7514,Programme!E7514,Programme!F7514,Programme!G7514,Programme!H7514,Programme!I7514)</f>
        <v>&lt;ValeurCellule&gt;</v>
      </c>
    </row>
    <row r="7514" spans="1:1" x14ac:dyDescent="0.2">
      <c r="A7514" s="1135" t="str">
        <f>CONCATENATE(Programme!C7515,Programme!D7515,Programme!E7515,Programme!F7515,Programme!G7515,Programme!H7515,Programme!I7515)</f>
        <v>&lt;cellule&gt;&lt;codeEdi&gt;2045&lt;/codeEdi&gt;&lt;/cellule&gt;</v>
      </c>
    </row>
    <row r="7515" spans="1:1" x14ac:dyDescent="0.2">
      <c r="A7515" s="1135" t="str">
        <f>CONCATENATE(Programme!C7516,Programme!D7516,Programme!E7516,Programme!F7516,Programme!G7516,Programme!H7516,Programme!I7516)</f>
        <v>&lt;valeur&gt;&lt;/valeur&gt;</v>
      </c>
    </row>
    <row r="7516" spans="1:1" x14ac:dyDescent="0.2">
      <c r="A7516" s="1135" t="str">
        <f>CONCATENATE(Programme!C7517,Programme!D7517,Programme!E7517,Programme!F7517,Programme!G7517,Programme!H7517,Programme!I7517)</f>
        <v>&lt;numeroLigne&gt;3&lt;/numeroLigne&gt;</v>
      </c>
    </row>
    <row r="7517" spans="1:1" x14ac:dyDescent="0.2">
      <c r="A7517" s="1135" t="str">
        <f>CONCATENATE(Programme!C7518,Programme!D7518,Programme!E7518,Programme!F7518,Programme!G7518,Programme!H7518,Programme!I7518)</f>
        <v>&lt;/ValeurCellule&gt;</v>
      </c>
    </row>
    <row r="7518" spans="1:1" x14ac:dyDescent="0.2">
      <c r="A7518" s="1135" t="str">
        <f>CONCATENATE(Programme!C7519,Programme!D7519,Programme!E7519,Programme!F7519,Programme!G7519,Programme!H7519,Programme!I7519)</f>
        <v>&lt;ValeurCellule&gt;</v>
      </c>
    </row>
    <row r="7519" spans="1:1" x14ac:dyDescent="0.2">
      <c r="A7519" s="1135" t="str">
        <f>CONCATENATE(Programme!C7520,Programme!D7520,Programme!E7520,Programme!F7520,Programme!G7520,Programme!H7520,Programme!I7520)</f>
        <v>&lt;cellule&gt;&lt;codeEdi&gt;2046&lt;/codeEdi&gt;&lt;/cellule&gt;</v>
      </c>
    </row>
    <row r="7520" spans="1:1" x14ac:dyDescent="0.2">
      <c r="A7520" s="1135" t="str">
        <f>CONCATENATE(Programme!C7521,Programme!D7521,Programme!E7521,Programme!F7521,Programme!G7521,Programme!H7521,Programme!I7521)</f>
        <v>&lt;valeur&gt;&lt;/valeur&gt;</v>
      </c>
    </row>
    <row r="7521" spans="1:1" x14ac:dyDescent="0.2">
      <c r="A7521" s="1135" t="str">
        <f>CONCATENATE(Programme!C7522,Programme!D7522,Programme!E7522,Programme!F7522,Programme!G7522,Programme!H7522,Programme!I7522)</f>
        <v>&lt;numeroLigne&gt;3&lt;/numeroLigne&gt;</v>
      </c>
    </row>
    <row r="7522" spans="1:1" x14ac:dyDescent="0.2">
      <c r="A7522" s="1135" t="str">
        <f>CONCATENATE(Programme!C7523,Programme!D7523,Programme!E7523,Programme!F7523,Programme!G7523,Programme!H7523,Programme!I7523)</f>
        <v>&lt;/ValeurCellule&gt;</v>
      </c>
    </row>
    <row r="7523" spans="1:1" x14ac:dyDescent="0.2">
      <c r="A7523" s="1135" t="str">
        <f>CONCATENATE(Programme!C7524,Programme!D7524,Programme!E7524,Programme!F7524,Programme!G7524,Programme!H7524,Programme!I7524)</f>
        <v>&lt;ValeurCellule&gt;</v>
      </c>
    </row>
    <row r="7524" spans="1:1" x14ac:dyDescent="0.2">
      <c r="A7524" s="1135" t="str">
        <f>CONCATENATE(Programme!C7525,Programme!D7525,Programme!E7525,Programme!F7525,Programme!G7525,Programme!H7525,Programme!I7525)</f>
        <v>&lt;cellule&gt;&lt;codeEdi&gt;2047&lt;/codeEdi&gt;&lt;/cellule&gt;</v>
      </c>
    </row>
    <row r="7525" spans="1:1" x14ac:dyDescent="0.2">
      <c r="A7525" s="1135" t="str">
        <f>CONCATENATE(Programme!C7526,Programme!D7526,Programme!E7526,Programme!F7526,Programme!G7526,Programme!H7526,Programme!I7526)</f>
        <v>&lt;valeur&gt;&lt;/valeur&gt;</v>
      </c>
    </row>
    <row r="7526" spans="1:1" x14ac:dyDescent="0.2">
      <c r="A7526" s="1135" t="str">
        <f>CONCATENATE(Programme!C7527,Programme!D7527,Programme!E7527,Programme!F7527,Programme!G7527,Programme!H7527,Programme!I7527)</f>
        <v>&lt;numeroLigne&gt;3&lt;/numeroLigne&gt;</v>
      </c>
    </row>
    <row r="7527" spans="1:1" x14ac:dyDescent="0.2">
      <c r="A7527" s="1135" t="str">
        <f>CONCATENATE(Programme!C7528,Programme!D7528,Programme!E7528,Programme!F7528,Programme!G7528,Programme!H7528,Programme!I7528)</f>
        <v>&lt;/ValeurCellule&gt;</v>
      </c>
    </row>
    <row r="7528" spans="1:1" x14ac:dyDescent="0.2">
      <c r="A7528" s="1135" t="str">
        <f>CONCATENATE(Programme!C7529,Programme!D7529,Programme!E7529,Programme!F7529,Programme!G7529,Programme!H7529,Programme!I7529)</f>
        <v>&lt;ValeurCellule&gt;</v>
      </c>
    </row>
    <row r="7529" spans="1:1" x14ac:dyDescent="0.2">
      <c r="A7529" s="1135" t="str">
        <f>CONCATENATE(Programme!C7530,Programme!D7530,Programme!E7530,Programme!F7530,Programme!G7530,Programme!H7530,Programme!I7530)</f>
        <v>&lt;cellule&gt;&lt;codeEdi&gt;2048&lt;/codeEdi&gt;&lt;/cellule&gt;</v>
      </c>
    </row>
    <row r="7530" spans="1:1" x14ac:dyDescent="0.2">
      <c r="A7530" s="1135" t="str">
        <f>CONCATENATE(Programme!C7531,Programme!D7531,Programme!E7531,Programme!F7531,Programme!G7531,Programme!H7531,Programme!I7531)</f>
        <v>&lt;valeur&gt;&lt;/valeur&gt;</v>
      </c>
    </row>
    <row r="7531" spans="1:1" x14ac:dyDescent="0.2">
      <c r="A7531" s="1135" t="str">
        <f>CONCATENATE(Programme!C7532,Programme!D7532,Programme!E7532,Programme!F7532,Programme!G7532,Programme!H7532,Programme!I7532)</f>
        <v>&lt;numeroLigne&gt;3&lt;/numeroLigne&gt;</v>
      </c>
    </row>
    <row r="7532" spans="1:1" x14ac:dyDescent="0.2">
      <c r="A7532" s="1135" t="str">
        <f>CONCATENATE(Programme!C7533,Programme!D7533,Programme!E7533,Programme!F7533,Programme!G7533,Programme!H7533,Programme!I7533)</f>
        <v>&lt;/ValeurCellule&gt;</v>
      </c>
    </row>
    <row r="7533" spans="1:1" x14ac:dyDescent="0.2">
      <c r="A7533" s="1135" t="str">
        <f>CONCATENATE(Programme!C7534,Programme!D7534,Programme!E7534,Programme!F7534,Programme!G7534,Programme!H7534,Programme!I7534)</f>
        <v>&lt;ValeurCellule&gt;</v>
      </c>
    </row>
    <row r="7534" spans="1:1" x14ac:dyDescent="0.2">
      <c r="A7534" s="1135" t="str">
        <f>CONCATENATE(Programme!C7535,Programme!D7535,Programme!E7535,Programme!F7535,Programme!G7535,Programme!H7535,Programme!I7535)</f>
        <v>&lt;cellule&gt;&lt;codeEdi&gt;2049&lt;/codeEdi&gt;&lt;/cellule&gt;</v>
      </c>
    </row>
    <row r="7535" spans="1:1" x14ac:dyDescent="0.2">
      <c r="A7535" s="1135" t="str">
        <f>CONCATENATE(Programme!C7536,Programme!D7536,Programme!E7536,Programme!F7536,Programme!G7536,Programme!H7536,Programme!I7536)</f>
        <v>&lt;valeur&gt;&lt;/valeur&gt;</v>
      </c>
    </row>
    <row r="7536" spans="1:1" x14ac:dyDescent="0.2">
      <c r="A7536" s="1135" t="str">
        <f>CONCATENATE(Programme!C7537,Programme!D7537,Programme!E7537,Programme!F7537,Programme!G7537,Programme!H7537,Programme!I7537)</f>
        <v>&lt;numeroLigne&gt;3&lt;/numeroLigne&gt;</v>
      </c>
    </row>
    <row r="7537" spans="1:1" x14ac:dyDescent="0.2">
      <c r="A7537" s="1135" t="str">
        <f>CONCATENATE(Programme!C7538,Programme!D7538,Programme!E7538,Programme!F7538,Programme!G7538,Programme!H7538,Programme!I7538)</f>
        <v>&lt;/ValeurCellule&gt;</v>
      </c>
    </row>
    <row r="7538" spans="1:1" x14ac:dyDescent="0.2">
      <c r="A7538" s="1135" t="str">
        <f>CONCATENATE(Programme!C7539,Programme!D7539,Programme!E7539,Programme!F7539,Programme!G7539,Programme!H7539,Programme!I7539)</f>
        <v>&lt;ValeurCellule&gt;</v>
      </c>
    </row>
    <row r="7539" spans="1:1" x14ac:dyDescent="0.2">
      <c r="A7539" s="1135" t="str">
        <f>CONCATENATE(Programme!C7540,Programme!D7540,Programme!E7540,Programme!F7540,Programme!G7540,Programme!H7540,Programme!I7540)</f>
        <v>&lt;cellule&gt;&lt;codeEdi&gt;2050&lt;/codeEdi&gt;&lt;/cellule&gt;</v>
      </c>
    </row>
    <row r="7540" spans="1:1" x14ac:dyDescent="0.2">
      <c r="A7540" s="1135" t="str">
        <f>CONCATENATE(Programme!C7541,Programme!D7541,Programme!E7541,Programme!F7541,Programme!G7541,Programme!H7541,Programme!I7541)</f>
        <v>&lt;valeur&gt;&lt;/valeur&gt;</v>
      </c>
    </row>
    <row r="7541" spans="1:1" x14ac:dyDescent="0.2">
      <c r="A7541" s="1135" t="str">
        <f>CONCATENATE(Programme!C7542,Programme!D7542,Programme!E7542,Programme!F7542,Programme!G7542,Programme!H7542,Programme!I7542)</f>
        <v>&lt;numeroLigne&gt;3&lt;/numeroLigne&gt;</v>
      </c>
    </row>
    <row r="7542" spans="1:1" x14ac:dyDescent="0.2">
      <c r="A7542" s="1135" t="str">
        <f>CONCATENATE(Programme!C7543,Programme!D7543,Programme!E7543,Programme!F7543,Programme!G7543,Programme!H7543,Programme!I7543)</f>
        <v>&lt;/ValeurCellule&gt;</v>
      </c>
    </row>
    <row r="7543" spans="1:1" x14ac:dyDescent="0.2">
      <c r="A7543" s="1135" t="str">
        <f>CONCATENATE(Programme!C7544,Programme!D7544,Programme!E7544,Programme!F7544,Programme!G7544,Programme!H7544,Programme!I7544)</f>
        <v>&lt;ValeurCellule&gt;</v>
      </c>
    </row>
    <row r="7544" spans="1:1" x14ac:dyDescent="0.2">
      <c r="A7544" s="1135" t="str">
        <f>CONCATENATE(Programme!C7545,Programme!D7545,Programme!E7545,Programme!F7545,Programme!G7545,Programme!H7545,Programme!I7545)</f>
        <v>&lt;cellule&gt;&lt;codeEdi&gt;2051&lt;/codeEdi&gt;&lt;/cellule&gt;</v>
      </c>
    </row>
    <row r="7545" spans="1:1" x14ac:dyDescent="0.2">
      <c r="A7545" s="1135" t="str">
        <f>CONCATENATE(Programme!C7546,Programme!D7546,Programme!E7546,Programme!F7546,Programme!G7546,Programme!H7546,Programme!I7546)</f>
        <v>&lt;valeur&gt;&lt;/valeur&gt;</v>
      </c>
    </row>
    <row r="7546" spans="1:1" x14ac:dyDescent="0.2">
      <c r="A7546" s="1135" t="str">
        <f>CONCATENATE(Programme!C7547,Programme!D7547,Programme!E7547,Programme!F7547,Programme!G7547,Programme!H7547,Programme!I7547)</f>
        <v>&lt;numeroLigne&gt;3&lt;/numeroLigne&gt;</v>
      </c>
    </row>
    <row r="7547" spans="1:1" x14ac:dyDescent="0.2">
      <c r="A7547" s="1135" t="str">
        <f>CONCATENATE(Programme!C7548,Programme!D7548,Programme!E7548,Programme!F7548,Programme!G7548,Programme!H7548,Programme!I7548)</f>
        <v>&lt;/ValeurCellule&gt;</v>
      </c>
    </row>
    <row r="7548" spans="1:1" x14ac:dyDescent="0.2">
      <c r="A7548" s="1135" t="str">
        <f>CONCATENATE(Programme!C7549,Programme!D7549,Programme!E7549,Programme!F7549,Programme!G7549,Programme!H7549,Programme!I7549)</f>
        <v>&lt;ValeurCellule&gt;</v>
      </c>
    </row>
    <row r="7549" spans="1:1" x14ac:dyDescent="0.2">
      <c r="A7549" s="1135" t="str">
        <f>CONCATENATE(Programme!C7550,Programme!D7550,Programme!E7550,Programme!F7550,Programme!G7550,Programme!H7550,Programme!I7550)</f>
        <v>&lt;cellule&gt;&lt;codeEdi&gt;2052&lt;/codeEdi&gt;&lt;/cellule&gt;</v>
      </c>
    </row>
    <row r="7550" spans="1:1" x14ac:dyDescent="0.2">
      <c r="A7550" s="1135" t="str">
        <f>CONCATENATE(Programme!C7551,Programme!D7551,Programme!E7551,Programme!F7551,Programme!G7551,Programme!H7551,Programme!I7551)</f>
        <v>&lt;valeur&gt;&lt;/valeur&gt;</v>
      </c>
    </row>
    <row r="7551" spans="1:1" x14ac:dyDescent="0.2">
      <c r="A7551" s="1135" t="str">
        <f>CONCATENATE(Programme!C7552,Programme!D7552,Programme!E7552,Programme!F7552,Programme!G7552,Programme!H7552,Programme!I7552)</f>
        <v>&lt;numeroLigne&gt;3&lt;/numeroLigne&gt;</v>
      </c>
    </row>
    <row r="7552" spans="1:1" x14ac:dyDescent="0.2">
      <c r="A7552" s="1135" t="str">
        <f>CONCATENATE(Programme!C7553,Programme!D7553,Programme!E7553,Programme!F7553,Programme!G7553,Programme!H7553,Programme!I7553)</f>
        <v>&lt;/ValeurCellule&gt;</v>
      </c>
    </row>
    <row r="7553" spans="1:1" x14ac:dyDescent="0.2">
      <c r="A7553" s="1135" t="str">
        <f>CONCATENATE(Programme!C7554,Programme!D7554,Programme!E7554,Programme!F7554,Programme!G7554,Programme!H7554,Programme!I7554)</f>
        <v>&lt;ValeurCellule&gt;</v>
      </c>
    </row>
    <row r="7554" spans="1:1" x14ac:dyDescent="0.2">
      <c r="A7554" s="1135" t="str">
        <f>CONCATENATE(Programme!C7555,Programme!D7555,Programme!E7555,Programme!F7555,Programme!G7555,Programme!H7555,Programme!I7555)</f>
        <v>&lt;cellule&gt;&lt;codeEdi&gt;2053&lt;/codeEdi&gt;&lt;/cellule&gt;</v>
      </c>
    </row>
    <row r="7555" spans="1:1" x14ac:dyDescent="0.2">
      <c r="A7555" s="1135" t="str">
        <f>CONCATENATE(Programme!C7556,Programme!D7556,Programme!E7556,Programme!F7556,Programme!G7556,Programme!H7556,Programme!I7556)</f>
        <v>&lt;valeur&gt;&lt;/valeur&gt;</v>
      </c>
    </row>
    <row r="7556" spans="1:1" x14ac:dyDescent="0.2">
      <c r="A7556" s="1135" t="str">
        <f>CONCATENATE(Programme!C7557,Programme!D7557,Programme!E7557,Programme!F7557,Programme!G7557,Programme!H7557,Programme!I7557)</f>
        <v>&lt;numeroLigne&gt;3&lt;/numeroLigne&gt;</v>
      </c>
    </row>
    <row r="7557" spans="1:1" x14ac:dyDescent="0.2">
      <c r="A7557" s="1135" t="str">
        <f>CONCATENATE(Programme!C7558,Programme!D7558,Programme!E7558,Programme!F7558,Programme!G7558,Programme!H7558,Programme!I7558)</f>
        <v>&lt;/ValeurCellule&gt;</v>
      </c>
    </row>
    <row r="7558" spans="1:1" x14ac:dyDescent="0.2">
      <c r="A7558" s="1135" t="str">
        <f>CONCATENATE(Programme!C7559,Programme!D7559,Programme!E7559,Programme!F7559,Programme!G7559,Programme!H7559,Programme!I7559)</f>
        <v>&lt;ValeurCellule&gt;</v>
      </c>
    </row>
    <row r="7559" spans="1:1" x14ac:dyDescent="0.2">
      <c r="A7559" s="1135" t="str">
        <f>CONCATENATE(Programme!C7560,Programme!D7560,Programme!E7560,Programme!F7560,Programme!G7560,Programme!H7560,Programme!I7560)</f>
        <v>&lt;cellule&gt;&lt;codeEdi&gt;2044&lt;/codeEdi&gt;&lt;/cellule&gt;</v>
      </c>
    </row>
    <row r="7560" spans="1:1" x14ac:dyDescent="0.2">
      <c r="A7560" s="1135" t="str">
        <f>CONCATENATE(Programme!C7561,Programme!D7561,Programme!E7561,Programme!F7561,Programme!G7561,Programme!H7561,Programme!I7561)</f>
        <v>&lt;valeur&gt;&lt;/valeur&gt;</v>
      </c>
    </row>
    <row r="7561" spans="1:1" x14ac:dyDescent="0.2">
      <c r="A7561" s="1135" t="str">
        <f>CONCATENATE(Programme!C7562,Programme!D7562,Programme!E7562,Programme!F7562,Programme!G7562,Programme!H7562,Programme!I7562)</f>
        <v>&lt;numeroLigne&gt;4&lt;/numeroLigne&gt;</v>
      </c>
    </row>
    <row r="7562" spans="1:1" x14ac:dyDescent="0.2">
      <c r="A7562" s="1135" t="str">
        <f>CONCATENATE(Programme!C7563,Programme!D7563,Programme!E7563,Programme!F7563,Programme!G7563,Programme!H7563,Programme!I7563)</f>
        <v>&lt;/ValeurCellule&gt;</v>
      </c>
    </row>
    <row r="7563" spans="1:1" x14ac:dyDescent="0.2">
      <c r="A7563" s="1135" t="str">
        <f>CONCATENATE(Programme!C7564,Programme!D7564,Programme!E7564,Programme!F7564,Programme!G7564,Programme!H7564,Programme!I7564)</f>
        <v>&lt;ValeurCellule&gt;</v>
      </c>
    </row>
    <row r="7564" spans="1:1" x14ac:dyDescent="0.2">
      <c r="A7564" s="1135" t="str">
        <f>CONCATENATE(Programme!C7565,Programme!D7565,Programme!E7565,Programme!F7565,Programme!G7565,Programme!H7565,Programme!I7565)</f>
        <v>&lt;cellule&gt;&lt;codeEdi&gt;2045&lt;/codeEdi&gt;&lt;/cellule&gt;</v>
      </c>
    </row>
    <row r="7565" spans="1:1" x14ac:dyDescent="0.2">
      <c r="A7565" s="1135" t="str">
        <f>CONCATENATE(Programme!C7566,Programme!D7566,Programme!E7566,Programme!F7566,Programme!G7566,Programme!H7566,Programme!I7566)</f>
        <v>&lt;valeur&gt;&lt;/valeur&gt;</v>
      </c>
    </row>
    <row r="7566" spans="1:1" x14ac:dyDescent="0.2">
      <c r="A7566" s="1135" t="str">
        <f>CONCATENATE(Programme!C7567,Programme!D7567,Programme!E7567,Programme!F7567,Programme!G7567,Programme!H7567,Programme!I7567)</f>
        <v>&lt;numeroLigne&gt;4&lt;/numeroLigne&gt;</v>
      </c>
    </row>
    <row r="7567" spans="1:1" x14ac:dyDescent="0.2">
      <c r="A7567" s="1135" t="str">
        <f>CONCATENATE(Programme!C7568,Programme!D7568,Programme!E7568,Programme!F7568,Programme!G7568,Programme!H7568,Programme!I7568)</f>
        <v>&lt;/ValeurCellule&gt;</v>
      </c>
    </row>
    <row r="7568" spans="1:1" x14ac:dyDescent="0.2">
      <c r="A7568" s="1135" t="str">
        <f>CONCATENATE(Programme!C7569,Programme!D7569,Programme!E7569,Programme!F7569,Programme!G7569,Programme!H7569,Programme!I7569)</f>
        <v>&lt;ValeurCellule&gt;</v>
      </c>
    </row>
    <row r="7569" spans="1:1" x14ac:dyDescent="0.2">
      <c r="A7569" s="1135" t="str">
        <f>CONCATENATE(Programme!C7570,Programme!D7570,Programme!E7570,Programme!F7570,Programme!G7570,Programme!H7570,Programme!I7570)</f>
        <v>&lt;cellule&gt;&lt;codeEdi&gt;2046&lt;/codeEdi&gt;&lt;/cellule&gt;</v>
      </c>
    </row>
    <row r="7570" spans="1:1" x14ac:dyDescent="0.2">
      <c r="A7570" s="1135" t="str">
        <f>CONCATENATE(Programme!C7571,Programme!D7571,Programme!E7571,Programme!F7571,Programme!G7571,Programme!H7571,Programme!I7571)</f>
        <v>&lt;valeur&gt;&lt;/valeur&gt;</v>
      </c>
    </row>
    <row r="7571" spans="1:1" x14ac:dyDescent="0.2">
      <c r="A7571" s="1135" t="str">
        <f>CONCATENATE(Programme!C7572,Programme!D7572,Programme!E7572,Programme!F7572,Programme!G7572,Programme!H7572,Programme!I7572)</f>
        <v>&lt;numeroLigne&gt;4&lt;/numeroLigne&gt;</v>
      </c>
    </row>
    <row r="7572" spans="1:1" x14ac:dyDescent="0.2">
      <c r="A7572" s="1135" t="str">
        <f>CONCATENATE(Programme!C7573,Programme!D7573,Programme!E7573,Programme!F7573,Programme!G7573,Programme!H7573,Programme!I7573)</f>
        <v>&lt;/ValeurCellule&gt;</v>
      </c>
    </row>
    <row r="7573" spans="1:1" x14ac:dyDescent="0.2">
      <c r="A7573" s="1135" t="str">
        <f>CONCATENATE(Programme!C7574,Programme!D7574,Programme!E7574,Programme!F7574,Programme!G7574,Programme!H7574,Programme!I7574)</f>
        <v>&lt;ValeurCellule&gt;</v>
      </c>
    </row>
    <row r="7574" spans="1:1" x14ac:dyDescent="0.2">
      <c r="A7574" s="1135" t="str">
        <f>CONCATENATE(Programme!C7575,Programme!D7575,Programme!E7575,Programme!F7575,Programme!G7575,Programme!H7575,Programme!I7575)</f>
        <v>&lt;cellule&gt;&lt;codeEdi&gt;2047&lt;/codeEdi&gt;&lt;/cellule&gt;</v>
      </c>
    </row>
    <row r="7575" spans="1:1" x14ac:dyDescent="0.2">
      <c r="A7575" s="1135" t="str">
        <f>CONCATENATE(Programme!C7576,Programme!D7576,Programme!E7576,Programme!F7576,Programme!G7576,Programme!H7576,Programme!I7576)</f>
        <v>&lt;valeur&gt;&lt;/valeur&gt;</v>
      </c>
    </row>
    <row r="7576" spans="1:1" x14ac:dyDescent="0.2">
      <c r="A7576" s="1135" t="str">
        <f>CONCATENATE(Programme!C7577,Programme!D7577,Programme!E7577,Programme!F7577,Programme!G7577,Programme!H7577,Programme!I7577)</f>
        <v>&lt;numeroLigne&gt;4&lt;/numeroLigne&gt;</v>
      </c>
    </row>
    <row r="7577" spans="1:1" x14ac:dyDescent="0.2">
      <c r="A7577" s="1135" t="str">
        <f>CONCATENATE(Programme!C7578,Programme!D7578,Programme!E7578,Programme!F7578,Programme!G7578,Programme!H7578,Programme!I7578)</f>
        <v>&lt;/ValeurCellule&gt;</v>
      </c>
    </row>
    <row r="7578" spans="1:1" x14ac:dyDescent="0.2">
      <c r="A7578" s="1135" t="str">
        <f>CONCATENATE(Programme!C7579,Programme!D7579,Programme!E7579,Programme!F7579,Programme!G7579,Programme!H7579,Programme!I7579)</f>
        <v>&lt;ValeurCellule&gt;</v>
      </c>
    </row>
    <row r="7579" spans="1:1" x14ac:dyDescent="0.2">
      <c r="A7579" s="1135" t="str">
        <f>CONCATENATE(Programme!C7580,Programme!D7580,Programme!E7580,Programme!F7580,Programme!G7580,Programme!H7580,Programme!I7580)</f>
        <v>&lt;cellule&gt;&lt;codeEdi&gt;2048&lt;/codeEdi&gt;&lt;/cellule&gt;</v>
      </c>
    </row>
    <row r="7580" spans="1:1" x14ac:dyDescent="0.2">
      <c r="A7580" s="1135" t="str">
        <f>CONCATENATE(Programme!C7581,Programme!D7581,Programme!E7581,Programme!F7581,Programme!G7581,Programme!H7581,Programme!I7581)</f>
        <v>&lt;valeur&gt;&lt;/valeur&gt;</v>
      </c>
    </row>
    <row r="7581" spans="1:1" x14ac:dyDescent="0.2">
      <c r="A7581" s="1135" t="str">
        <f>CONCATENATE(Programme!C7582,Programme!D7582,Programme!E7582,Programme!F7582,Programme!G7582,Programme!H7582,Programme!I7582)</f>
        <v>&lt;numeroLigne&gt;4&lt;/numeroLigne&gt;</v>
      </c>
    </row>
    <row r="7582" spans="1:1" x14ac:dyDescent="0.2">
      <c r="A7582" s="1135" t="str">
        <f>CONCATENATE(Programme!C7583,Programme!D7583,Programme!E7583,Programme!F7583,Programme!G7583,Programme!H7583,Programme!I7583)</f>
        <v>&lt;/ValeurCellule&gt;</v>
      </c>
    </row>
    <row r="7583" spans="1:1" x14ac:dyDescent="0.2">
      <c r="A7583" s="1135" t="str">
        <f>CONCATENATE(Programme!C7584,Programme!D7584,Programme!E7584,Programme!F7584,Programme!G7584,Programme!H7584,Programme!I7584)</f>
        <v>&lt;ValeurCellule&gt;</v>
      </c>
    </row>
    <row r="7584" spans="1:1" x14ac:dyDescent="0.2">
      <c r="A7584" s="1135" t="str">
        <f>CONCATENATE(Programme!C7585,Programme!D7585,Programme!E7585,Programme!F7585,Programme!G7585,Programme!H7585,Programme!I7585)</f>
        <v>&lt;cellule&gt;&lt;codeEdi&gt;2049&lt;/codeEdi&gt;&lt;/cellule&gt;</v>
      </c>
    </row>
    <row r="7585" spans="1:1" x14ac:dyDescent="0.2">
      <c r="A7585" s="1135" t="str">
        <f>CONCATENATE(Programme!C7586,Programme!D7586,Programme!E7586,Programme!F7586,Programme!G7586,Programme!H7586,Programme!I7586)</f>
        <v>&lt;valeur&gt;&lt;/valeur&gt;</v>
      </c>
    </row>
    <row r="7586" spans="1:1" x14ac:dyDescent="0.2">
      <c r="A7586" s="1135" t="str">
        <f>CONCATENATE(Programme!C7587,Programme!D7587,Programme!E7587,Programme!F7587,Programme!G7587,Programme!H7587,Programme!I7587)</f>
        <v>&lt;numeroLigne&gt;4&lt;/numeroLigne&gt;</v>
      </c>
    </row>
    <row r="7587" spans="1:1" x14ac:dyDescent="0.2">
      <c r="A7587" s="1135" t="str">
        <f>CONCATENATE(Programme!C7588,Programme!D7588,Programme!E7588,Programme!F7588,Programme!G7588,Programme!H7588,Programme!I7588)</f>
        <v>&lt;/ValeurCellule&gt;</v>
      </c>
    </row>
    <row r="7588" spans="1:1" x14ac:dyDescent="0.2">
      <c r="A7588" s="1135" t="str">
        <f>CONCATENATE(Programme!C7589,Programme!D7589,Programme!E7589,Programme!F7589,Programme!G7589,Programme!H7589,Programme!I7589)</f>
        <v>&lt;ValeurCellule&gt;</v>
      </c>
    </row>
    <row r="7589" spans="1:1" x14ac:dyDescent="0.2">
      <c r="A7589" s="1135" t="str">
        <f>CONCATENATE(Programme!C7590,Programme!D7590,Programme!E7590,Programme!F7590,Programme!G7590,Programme!H7590,Programme!I7590)</f>
        <v>&lt;cellule&gt;&lt;codeEdi&gt;2050&lt;/codeEdi&gt;&lt;/cellule&gt;</v>
      </c>
    </row>
    <row r="7590" spans="1:1" x14ac:dyDescent="0.2">
      <c r="A7590" s="1135" t="str">
        <f>CONCATENATE(Programme!C7591,Programme!D7591,Programme!E7591,Programme!F7591,Programme!G7591,Programme!H7591,Programme!I7591)</f>
        <v>&lt;valeur&gt;&lt;/valeur&gt;</v>
      </c>
    </row>
    <row r="7591" spans="1:1" x14ac:dyDescent="0.2">
      <c r="A7591" s="1135" t="str">
        <f>CONCATENATE(Programme!C7592,Programme!D7592,Programme!E7592,Programme!F7592,Programme!G7592,Programme!H7592,Programme!I7592)</f>
        <v>&lt;numeroLigne&gt;4&lt;/numeroLigne&gt;</v>
      </c>
    </row>
    <row r="7592" spans="1:1" x14ac:dyDescent="0.2">
      <c r="A7592" s="1135" t="str">
        <f>CONCATENATE(Programme!C7593,Programme!D7593,Programme!E7593,Programme!F7593,Programme!G7593,Programme!H7593,Programme!I7593)</f>
        <v>&lt;/ValeurCellule&gt;</v>
      </c>
    </row>
    <row r="7593" spans="1:1" x14ac:dyDescent="0.2">
      <c r="A7593" s="1135" t="str">
        <f>CONCATENATE(Programme!C7594,Programme!D7594,Programme!E7594,Programme!F7594,Programme!G7594,Programme!H7594,Programme!I7594)</f>
        <v>&lt;ValeurCellule&gt;</v>
      </c>
    </row>
    <row r="7594" spans="1:1" x14ac:dyDescent="0.2">
      <c r="A7594" s="1135" t="str">
        <f>CONCATENATE(Programme!C7595,Programme!D7595,Programme!E7595,Programme!F7595,Programme!G7595,Programme!H7595,Programme!I7595)</f>
        <v>&lt;cellule&gt;&lt;codeEdi&gt;2051&lt;/codeEdi&gt;&lt;/cellule&gt;</v>
      </c>
    </row>
    <row r="7595" spans="1:1" x14ac:dyDescent="0.2">
      <c r="A7595" s="1135" t="str">
        <f>CONCATENATE(Programme!C7596,Programme!D7596,Programme!E7596,Programme!F7596,Programme!G7596,Programme!H7596,Programme!I7596)</f>
        <v>&lt;valeur&gt;&lt;/valeur&gt;</v>
      </c>
    </row>
    <row r="7596" spans="1:1" x14ac:dyDescent="0.2">
      <c r="A7596" s="1135" t="str">
        <f>CONCATENATE(Programme!C7597,Programme!D7597,Programme!E7597,Programme!F7597,Programme!G7597,Programme!H7597,Programme!I7597)</f>
        <v>&lt;numeroLigne&gt;4&lt;/numeroLigne&gt;</v>
      </c>
    </row>
    <row r="7597" spans="1:1" x14ac:dyDescent="0.2">
      <c r="A7597" s="1135" t="str">
        <f>CONCATENATE(Programme!C7598,Programme!D7598,Programme!E7598,Programme!F7598,Programme!G7598,Programme!H7598,Programme!I7598)</f>
        <v>&lt;/ValeurCellule&gt;</v>
      </c>
    </row>
    <row r="7598" spans="1:1" x14ac:dyDescent="0.2">
      <c r="A7598" s="1135" t="str">
        <f>CONCATENATE(Programme!C7599,Programme!D7599,Programme!E7599,Programme!F7599,Programme!G7599,Programme!H7599,Programme!I7599)</f>
        <v>&lt;ValeurCellule&gt;</v>
      </c>
    </row>
    <row r="7599" spans="1:1" x14ac:dyDescent="0.2">
      <c r="A7599" s="1135" t="str">
        <f>CONCATENATE(Programme!C7600,Programme!D7600,Programme!E7600,Programme!F7600,Programme!G7600,Programme!H7600,Programme!I7600)</f>
        <v>&lt;cellule&gt;&lt;codeEdi&gt;2052&lt;/codeEdi&gt;&lt;/cellule&gt;</v>
      </c>
    </row>
    <row r="7600" spans="1:1" x14ac:dyDescent="0.2">
      <c r="A7600" s="1135" t="str">
        <f>CONCATENATE(Programme!C7601,Programme!D7601,Programme!E7601,Programme!F7601,Programme!G7601,Programme!H7601,Programme!I7601)</f>
        <v>&lt;valeur&gt;&lt;/valeur&gt;</v>
      </c>
    </row>
    <row r="7601" spans="1:1" x14ac:dyDescent="0.2">
      <c r="A7601" s="1135" t="str">
        <f>CONCATENATE(Programme!C7602,Programme!D7602,Programme!E7602,Programme!F7602,Programme!G7602,Programme!H7602,Programme!I7602)</f>
        <v>&lt;numeroLigne&gt;4&lt;/numeroLigne&gt;</v>
      </c>
    </row>
    <row r="7602" spans="1:1" x14ac:dyDescent="0.2">
      <c r="A7602" s="1135" t="str">
        <f>CONCATENATE(Programme!C7603,Programme!D7603,Programme!E7603,Programme!F7603,Programme!G7603,Programme!H7603,Programme!I7603)</f>
        <v>&lt;/ValeurCellule&gt;</v>
      </c>
    </row>
    <row r="7603" spans="1:1" x14ac:dyDescent="0.2">
      <c r="A7603" s="1135" t="str">
        <f>CONCATENATE(Programme!C7604,Programme!D7604,Programme!E7604,Programme!F7604,Programme!G7604,Programme!H7604,Programme!I7604)</f>
        <v>&lt;ValeurCellule&gt;</v>
      </c>
    </row>
    <row r="7604" spans="1:1" x14ac:dyDescent="0.2">
      <c r="A7604" s="1135" t="str">
        <f>CONCATENATE(Programme!C7605,Programme!D7605,Programme!E7605,Programme!F7605,Programme!G7605,Programme!H7605,Programme!I7605)</f>
        <v>&lt;cellule&gt;&lt;codeEdi&gt;2053&lt;/codeEdi&gt;&lt;/cellule&gt;</v>
      </c>
    </row>
    <row r="7605" spans="1:1" x14ac:dyDescent="0.2">
      <c r="A7605" s="1135" t="str">
        <f>CONCATENATE(Programme!C7606,Programme!D7606,Programme!E7606,Programme!F7606,Programme!G7606,Programme!H7606,Programme!I7606)</f>
        <v>&lt;valeur&gt;&lt;/valeur&gt;</v>
      </c>
    </row>
    <row r="7606" spans="1:1" x14ac:dyDescent="0.2">
      <c r="A7606" s="1135" t="str">
        <f>CONCATENATE(Programme!C7607,Programme!D7607,Programme!E7607,Programme!F7607,Programme!G7607,Programme!H7607,Programme!I7607)</f>
        <v>&lt;numeroLigne&gt;4&lt;/numeroLigne&gt;</v>
      </c>
    </row>
    <row r="7607" spans="1:1" x14ac:dyDescent="0.2">
      <c r="A7607" s="1135" t="str">
        <f>CONCATENATE(Programme!C7608,Programme!D7608,Programme!E7608,Programme!F7608,Programme!G7608,Programme!H7608,Programme!I7608)</f>
        <v>&lt;/ValeurCellule&gt;</v>
      </c>
    </row>
    <row r="7608" spans="1:1" x14ac:dyDescent="0.2">
      <c r="A7608" s="1135" t="str">
        <f>CONCATENATE(Programme!C7609,Programme!D7609,Programme!E7609,Programme!F7609,Programme!G7609,Programme!H7609,Programme!I7609)</f>
        <v>&lt;ValeurCellule&gt;</v>
      </c>
    </row>
    <row r="7609" spans="1:1" x14ac:dyDescent="0.2">
      <c r="A7609" s="1135" t="str">
        <f>CONCATENATE(Programme!C7610,Programme!D7610,Programme!E7610,Programme!F7610,Programme!G7610,Programme!H7610,Programme!I7610)</f>
        <v>&lt;cellule&gt;</v>
      </c>
    </row>
    <row r="7610" spans="1:1" x14ac:dyDescent="0.2">
      <c r="A7610" s="1135" t="str">
        <f>CONCATENATE(Programme!C7611,Programme!D7611,Programme!E7611,Programme!F7611,Programme!G7611,Programme!H7611,Programme!I7611)</f>
        <v>&lt;codeEdi&gt;2056&lt;/codeEdi&gt;</v>
      </c>
    </row>
    <row r="7611" spans="1:1" x14ac:dyDescent="0.2">
      <c r="A7611" s="1135" t="str">
        <f>CONCATENATE(Programme!C7612,Programme!D7612,Programme!E7612,Programme!F7612,Programme!G7612,Programme!H7612,Programme!I7612)</f>
        <v>&lt;/cellule&gt;</v>
      </c>
    </row>
    <row r="7612" spans="1:1" x14ac:dyDescent="0.2">
      <c r="A7612" s="1135" t="str">
        <f>CONCATENATE(Programme!C7613,Programme!D7613,Programme!E7613,Programme!F7613,Programme!G7613,Programme!H7613,Programme!I7613)</f>
        <v>&lt;valeur&gt;&lt;/valeur&gt;</v>
      </c>
    </row>
    <row r="7613" spans="1:1" x14ac:dyDescent="0.2">
      <c r="A7613" s="1135" t="str">
        <f>CONCATENATE(Programme!C7614,Programme!D7614,Programme!E7614,Programme!F7614,Programme!G7614,Programme!H7614,Programme!I7614)</f>
        <v>&lt;/ValeurCellule&gt;</v>
      </c>
    </row>
    <row r="7614" spans="1:1" x14ac:dyDescent="0.2">
      <c r="A7614" s="1135" t="str">
        <f>CONCATENATE(Programme!C7615,Programme!D7615,Programme!E7615,Programme!F7615,Programme!G7615,Programme!H7615,Programme!I7615)</f>
        <v>&lt;ValeurCellule&gt;</v>
      </c>
    </row>
    <row r="7615" spans="1:1" x14ac:dyDescent="0.2">
      <c r="A7615" s="1135" t="str">
        <f>CONCATENATE(Programme!C7616,Programme!D7616,Programme!E7616,Programme!F7616,Programme!G7616,Programme!H7616,Programme!I7616)</f>
        <v>&lt;cellule&gt;</v>
      </c>
    </row>
    <row r="7616" spans="1:1" x14ac:dyDescent="0.2">
      <c r="A7616" s="1135" t="str">
        <f>CONCATENATE(Programme!C7617,Programme!D7617,Programme!E7617,Programme!F7617,Programme!G7617,Programme!H7617,Programme!I7617)</f>
        <v>&lt;codeEdi&gt;2057&lt;/codeEdi&gt;</v>
      </c>
    </row>
    <row r="7617" spans="1:1" x14ac:dyDescent="0.2">
      <c r="A7617" s="1135" t="str">
        <f>CONCATENATE(Programme!C7618,Programme!D7618,Programme!E7618,Programme!F7618,Programme!G7618,Programme!H7618,Programme!I7618)</f>
        <v>&lt;/cellule&gt;</v>
      </c>
    </row>
    <row r="7618" spans="1:1" x14ac:dyDescent="0.2">
      <c r="A7618" s="1135" t="str">
        <f>CONCATENATE(Programme!C7619,Programme!D7619,Programme!E7619,Programme!F7619,Programme!G7619,Programme!H7619,Programme!I7619)</f>
        <v>&lt;valeur&gt;&lt;/valeur&gt;</v>
      </c>
    </row>
    <row r="7619" spans="1:1" x14ac:dyDescent="0.2">
      <c r="A7619" s="1135" t="str">
        <f>CONCATENATE(Programme!C7620,Programme!D7620,Programme!E7620,Programme!F7620,Programme!G7620,Programme!H7620,Programme!I7620)</f>
        <v>&lt;/ValeurCellule&gt;</v>
      </c>
    </row>
    <row r="7620" spans="1:1" x14ac:dyDescent="0.2">
      <c r="A7620" s="1135" t="str">
        <f>CONCATENATE(Programme!C7621,Programme!D7621,Programme!E7621,Programme!F7621,Programme!G7621,Programme!H7621,Programme!I7621)</f>
        <v>&lt;ValeurCellule&gt;</v>
      </c>
    </row>
    <row r="7621" spans="1:1" x14ac:dyDescent="0.2">
      <c r="A7621" s="1135" t="str">
        <f>CONCATENATE(Programme!C7622,Programme!D7622,Programme!E7622,Programme!F7622,Programme!G7622,Programme!H7622,Programme!I7622)</f>
        <v>&lt;cellule&gt;</v>
      </c>
    </row>
    <row r="7622" spans="1:1" x14ac:dyDescent="0.2">
      <c r="A7622" s="1135" t="str">
        <f>CONCATENATE(Programme!C7623,Programme!D7623,Programme!E7623,Programme!F7623,Programme!G7623,Programme!H7623,Programme!I7623)</f>
        <v>&lt;codeEdi&gt;2058&lt;/codeEdi&gt;</v>
      </c>
    </row>
    <row r="7623" spans="1:1" x14ac:dyDescent="0.2">
      <c r="A7623" s="1135" t="str">
        <f>CONCATENATE(Programme!C7624,Programme!D7624,Programme!E7624,Programme!F7624,Programme!G7624,Programme!H7624,Programme!I7624)</f>
        <v>&lt;/cellule&gt;</v>
      </c>
    </row>
    <row r="7624" spans="1:1" x14ac:dyDescent="0.2">
      <c r="A7624" s="1135" t="str">
        <f>CONCATENATE(Programme!C7625,Programme!D7625,Programme!E7625,Programme!F7625,Programme!G7625,Programme!H7625,Programme!I7625)</f>
        <v>&lt;valeur&gt;0&lt;/valeur&gt;</v>
      </c>
    </row>
    <row r="7625" spans="1:1" x14ac:dyDescent="0.2">
      <c r="A7625" s="1135" t="str">
        <f>CONCATENATE(Programme!C7626,Programme!D7626,Programme!E7626,Programme!F7626,Programme!G7626,Programme!H7626,Programme!I7626)</f>
        <v>&lt;/ValeurCellule&gt;</v>
      </c>
    </row>
    <row r="7626" spans="1:1" x14ac:dyDescent="0.2">
      <c r="A7626" s="1135" t="str">
        <f>CONCATENATE(Programme!C7627,Programme!D7627,Programme!E7627,Programme!F7627,Programme!G7627,Programme!H7627,Programme!I7627)</f>
        <v>&lt;ValeurCellule&gt;</v>
      </c>
    </row>
    <row r="7627" spans="1:1" x14ac:dyDescent="0.2">
      <c r="A7627" s="1135" t="str">
        <f>CONCATENATE(Programme!C7628,Programme!D7628,Programme!E7628,Programme!F7628,Programme!G7628,Programme!H7628,Programme!I7628)</f>
        <v>&lt;cellule&gt;</v>
      </c>
    </row>
    <row r="7628" spans="1:1" x14ac:dyDescent="0.2">
      <c r="A7628" s="1135" t="str">
        <f>CONCATENATE(Programme!C7629,Programme!D7629,Programme!E7629,Programme!F7629,Programme!G7629,Programme!H7629,Programme!I7629)</f>
        <v>&lt;codeEdi&gt;2059&lt;/codeEdi&gt;</v>
      </c>
    </row>
    <row r="7629" spans="1:1" x14ac:dyDescent="0.2">
      <c r="A7629" s="1135" t="str">
        <f>CONCATENATE(Programme!C7630,Programme!D7630,Programme!E7630,Programme!F7630,Programme!G7630,Programme!H7630,Programme!I7630)</f>
        <v>&lt;/cellule&gt;</v>
      </c>
    </row>
    <row r="7630" spans="1:1" x14ac:dyDescent="0.2">
      <c r="A7630" s="1135" t="str">
        <f>CONCATENATE(Programme!C7631,Programme!D7631,Programme!E7631,Programme!F7631,Programme!G7631,Programme!H7631,Programme!I7631)</f>
        <v>&lt;valeur&gt;0&lt;/valeur&gt;</v>
      </c>
    </row>
    <row r="7631" spans="1:1" x14ac:dyDescent="0.2">
      <c r="A7631" s="1135" t="str">
        <f>CONCATENATE(Programme!C7632,Programme!D7632,Programme!E7632,Programme!F7632,Programme!G7632,Programme!H7632,Programme!I7632)</f>
        <v>&lt;/ValeurCellule&gt;</v>
      </c>
    </row>
    <row r="7632" spans="1:1" x14ac:dyDescent="0.2">
      <c r="A7632" s="1135" t="str">
        <f>CONCATENATE(Programme!C7633,Programme!D7633,Programme!E7633,Programme!F7633,Programme!G7633,Programme!H7633,Programme!I7633)</f>
        <v>&lt;ValeurCellule&gt;</v>
      </c>
    </row>
    <row r="7633" spans="1:1" x14ac:dyDescent="0.2">
      <c r="A7633" s="1135" t="str">
        <f>CONCATENATE(Programme!C7634,Programme!D7634,Programme!E7634,Programme!F7634,Programme!G7634,Programme!H7634,Programme!I7634)</f>
        <v>&lt;cellule&gt;</v>
      </c>
    </row>
    <row r="7634" spans="1:1" x14ac:dyDescent="0.2">
      <c r="A7634" s="1135" t="str">
        <f>CONCATENATE(Programme!C7635,Programme!D7635,Programme!E7635,Programme!F7635,Programme!G7635,Programme!H7635,Programme!I7635)</f>
        <v>&lt;codeEdi&gt;2060&lt;/codeEdi&gt;</v>
      </c>
    </row>
    <row r="7635" spans="1:1" x14ac:dyDescent="0.2">
      <c r="A7635" s="1135" t="str">
        <f>CONCATENATE(Programme!C7636,Programme!D7636,Programme!E7636,Programme!F7636,Programme!G7636,Programme!H7636,Programme!I7636)</f>
        <v>&lt;/cellule&gt;</v>
      </c>
    </row>
    <row r="7636" spans="1:1" x14ac:dyDescent="0.2">
      <c r="A7636" s="1135" t="str">
        <f>CONCATENATE(Programme!C7637,Programme!D7637,Programme!E7637,Programme!F7637,Programme!G7637,Programme!H7637,Programme!I7637)</f>
        <v>&lt;valeur&gt;&lt;/valeur&gt;</v>
      </c>
    </row>
    <row r="7637" spans="1:1" x14ac:dyDescent="0.2">
      <c r="A7637" s="1135" t="str">
        <f>CONCATENATE(Programme!C7638,Programme!D7638,Programme!E7638,Programme!F7638,Programme!G7638,Programme!H7638,Programme!I7638)</f>
        <v>&lt;/ValeurCellule&gt;</v>
      </c>
    </row>
    <row r="7638" spans="1:1" x14ac:dyDescent="0.2">
      <c r="A7638" s="1135" t="str">
        <f>CONCATENATE(Programme!C7639,Programme!D7639,Programme!E7639,Programme!F7639,Programme!G7639,Programme!H7639,Programme!I7639)</f>
        <v>&lt;ValeurCellule&gt;</v>
      </c>
    </row>
    <row r="7639" spans="1:1" x14ac:dyDescent="0.2">
      <c r="A7639" s="1135" t="str">
        <f>CONCATENATE(Programme!C7640,Programme!D7640,Programme!E7640,Programme!F7640,Programme!G7640,Programme!H7640,Programme!I7640)</f>
        <v>&lt;cellule&gt;</v>
      </c>
    </row>
    <row r="7640" spans="1:1" x14ac:dyDescent="0.2">
      <c r="A7640" s="1135" t="str">
        <f>CONCATENATE(Programme!C7641,Programme!D7641,Programme!E7641,Programme!F7641,Programme!G7641,Programme!H7641,Programme!I7641)</f>
        <v>&lt;codeEdi&gt;2061&lt;/codeEdi&gt;</v>
      </c>
    </row>
    <row r="7641" spans="1:1" x14ac:dyDescent="0.2">
      <c r="A7641" s="1135" t="str">
        <f>CONCATENATE(Programme!C7642,Programme!D7642,Programme!E7642,Programme!F7642,Programme!G7642,Programme!H7642,Programme!I7642)</f>
        <v>&lt;/cellule&gt;</v>
      </c>
    </row>
    <row r="7642" spans="1:1" x14ac:dyDescent="0.2">
      <c r="A7642" s="1135" t="str">
        <f>CONCATENATE(Programme!C7643,Programme!D7643,Programme!E7643,Programme!F7643,Programme!G7643,Programme!H7643,Programme!I7643)</f>
        <v>&lt;valeur&gt;&lt;/valeur&gt;</v>
      </c>
    </row>
    <row r="7643" spans="1:1" x14ac:dyDescent="0.2">
      <c r="A7643" s="1135" t="str">
        <f>CONCATENATE(Programme!C7644,Programme!D7644,Programme!E7644,Programme!F7644,Programme!G7644,Programme!H7644,Programme!I7644)</f>
        <v>&lt;/ValeurCellule&gt;</v>
      </c>
    </row>
    <row r="7644" spans="1:1" x14ac:dyDescent="0.2">
      <c r="A7644" s="1135" t="str">
        <f>CONCATENATE(Programme!C7645,Programme!D7645,Programme!E7645,Programme!F7645,Programme!G7645,Programme!H7645,Programme!I7645)</f>
        <v>&lt;ValeurCellule&gt;</v>
      </c>
    </row>
    <row r="7645" spans="1:1" x14ac:dyDescent="0.2">
      <c r="A7645" s="1135" t="str">
        <f>CONCATENATE(Programme!C7646,Programme!D7646,Programme!E7646,Programme!F7646,Programme!G7646,Programme!H7646,Programme!I7646)</f>
        <v>&lt;cellule&gt;</v>
      </c>
    </row>
    <row r="7646" spans="1:1" x14ac:dyDescent="0.2">
      <c r="A7646" s="1135" t="str">
        <f>CONCATENATE(Programme!C7647,Programme!D7647,Programme!E7647,Programme!F7647,Programme!G7647,Programme!H7647,Programme!I7647)</f>
        <v>&lt;codeEdi&gt;2062&lt;/codeEdi&gt;</v>
      </c>
    </row>
    <row r="7647" spans="1:1" x14ac:dyDescent="0.2">
      <c r="A7647" s="1135" t="str">
        <f>CONCATENATE(Programme!C7648,Programme!D7648,Programme!E7648,Programme!F7648,Programme!G7648,Programme!H7648,Programme!I7648)</f>
        <v>&lt;/cellule&gt;</v>
      </c>
    </row>
    <row r="7648" spans="1:1" x14ac:dyDescent="0.2">
      <c r="A7648" s="1135" t="str">
        <f>CONCATENATE(Programme!C7649,Programme!D7649,Programme!E7649,Programme!F7649,Programme!G7649,Programme!H7649,Programme!I7649)</f>
        <v>&lt;valeur&gt;&lt;/valeur&gt;</v>
      </c>
    </row>
    <row r="7649" spans="1:1" x14ac:dyDescent="0.2">
      <c r="A7649" s="1135" t="str">
        <f>CONCATENATE(Programme!C7650,Programme!D7650,Programme!E7650,Programme!F7650,Programme!G7650,Programme!H7650,Programme!I7650)</f>
        <v>&lt;/ValeurCellule&gt;</v>
      </c>
    </row>
    <row r="7650" spans="1:1" x14ac:dyDescent="0.2">
      <c r="A7650" s="1135" t="str">
        <f>CONCATENATE(Programme!C7651,Programme!D7651,Programme!E7651,Programme!F7651,Programme!G7651,Programme!H7651,Programme!I7651)</f>
        <v>&lt;ValeurCellule&gt;</v>
      </c>
    </row>
    <row r="7651" spans="1:1" x14ac:dyDescent="0.2">
      <c r="A7651" s="1135" t="str">
        <f>CONCATENATE(Programme!C7652,Programme!D7652,Programme!E7652,Programme!F7652,Programme!G7652,Programme!H7652,Programme!I7652)</f>
        <v>&lt;cellule&gt;</v>
      </c>
    </row>
    <row r="7652" spans="1:1" x14ac:dyDescent="0.2">
      <c r="A7652" s="1135" t="str">
        <f>CONCATENATE(Programme!C7653,Programme!D7653,Programme!E7653,Programme!F7653,Programme!G7653,Programme!H7653,Programme!I7653)</f>
        <v>&lt;codeEdi&gt;2063&lt;/codeEdi&gt;</v>
      </c>
    </row>
    <row r="7653" spans="1:1" x14ac:dyDescent="0.2">
      <c r="A7653" s="1135" t="str">
        <f>CONCATENATE(Programme!C7654,Programme!D7654,Programme!E7654,Programme!F7654,Programme!G7654,Programme!H7654,Programme!I7654)</f>
        <v>&lt;/cellule&gt;</v>
      </c>
    </row>
    <row r="7654" spans="1:1" x14ac:dyDescent="0.2">
      <c r="A7654" s="1135" t="str">
        <f>CONCATENATE(Programme!C7655,Programme!D7655,Programme!E7655,Programme!F7655,Programme!G7655,Programme!H7655,Programme!I7655)</f>
        <v>&lt;valeur&gt;0&lt;/valeur&gt;</v>
      </c>
    </row>
    <row r="7655" spans="1:1" x14ac:dyDescent="0.2">
      <c r="A7655" s="1135" t="str">
        <f>CONCATENATE(Programme!C7656,Programme!D7656,Programme!E7656,Programme!F7656,Programme!G7656,Programme!H7656,Programme!I7656)</f>
        <v>&lt;/ValeurCellule&gt;</v>
      </c>
    </row>
    <row r="7656" spans="1:1" x14ac:dyDescent="0.2">
      <c r="A7656" s="1135" t="str">
        <f>CONCATENATE(Programme!C7657,Programme!D7657,Programme!E7657,Programme!F7657,Programme!G7657,Programme!H7657,Programme!I7657)</f>
        <v>&lt;/groupeValeurs&gt;</v>
      </c>
    </row>
    <row r="7657" spans="1:1" x14ac:dyDescent="0.2">
      <c r="A7657" s="1135" t="str">
        <f>CONCATENATE(Programme!C7658,Programme!D7658,Programme!E7658,Programme!F7658,Programme!G7658,Programme!H7658,Programme!I7658)</f>
        <v>&lt;extraFieldvaleurs&gt;</v>
      </c>
    </row>
    <row r="7658" spans="1:1" x14ac:dyDescent="0.2">
      <c r="A7658" s="1135" t="str">
        <f>CONCATENATE(Programme!C7659,Programme!D7659,Programme!E7659,Programme!F7659,Programme!G7659,Programme!H7659,Programme!I7659)</f>
        <v>&lt;/extraFieldvaleurs&gt;</v>
      </c>
    </row>
    <row r="7659" spans="1:1" x14ac:dyDescent="0.2">
      <c r="A7659" s="1135" t="str">
        <f>CONCATENATE(Programme!C7660,Programme!D7660,Programme!E7660,Programme!F7660,Programme!G7660,Programme!H7660,Programme!I7660)</f>
        <v>&lt;/ValeursTableau&gt;</v>
      </c>
    </row>
    <row r="7660" spans="1:1" x14ac:dyDescent="0.2">
      <c r="A7660" s="1135" t="str">
        <f>CONCATENATE(Programme!C7661,Programme!D7661,Programme!E7661,Programme!F7661,Programme!G7661,Programme!H7661,Programme!I7661)</f>
        <v>&lt;ValeursTableau&gt;</v>
      </c>
    </row>
    <row r="7661" spans="1:1" x14ac:dyDescent="0.2">
      <c r="A7661" s="1135" t="str">
        <f>CONCATENATE(Programme!C7662,Programme!D7662,Programme!E7662,Programme!F7662,Programme!G7662,Programme!H7662,Programme!I7662)</f>
        <v>&lt;tableau&gt;&lt;id&gt;40&lt;/id&gt;&lt;/tableau&gt;</v>
      </c>
    </row>
    <row r="7662" spans="1:1" x14ac:dyDescent="0.2">
      <c r="A7662" s="1135" t="str">
        <f>CONCATENATE(Programme!C7663,Programme!D7663,Programme!E7663,Programme!F7663,Programme!G7663,Programme!H7663,Programme!I7663)</f>
        <v>&lt;groupeValeurs&gt;</v>
      </c>
    </row>
    <row r="7663" spans="1:1" x14ac:dyDescent="0.2">
      <c r="A7663" s="1135" t="str">
        <f>CONCATENATE(Programme!C7664,Programme!D7664,Programme!E7664,Programme!F7664,Programme!G7664,Programme!H7664,Programme!I7664)</f>
        <v>&lt;ValeurCellule&gt;</v>
      </c>
    </row>
    <row r="7664" spans="1:1" x14ac:dyDescent="0.2">
      <c r="A7664" s="1135" t="str">
        <f>CONCATENATE(Programme!C7665,Programme!D7665,Programme!E7665,Programme!F7665,Programme!G7665,Programme!H7665,Programme!I7665)</f>
        <v>&lt;cellule&gt;</v>
      </c>
    </row>
    <row r="7665" spans="1:1" x14ac:dyDescent="0.2">
      <c r="A7665" s="1135" t="str">
        <f>CONCATENATE(Programme!C7666,Programme!D7666,Programme!E7666,Programme!F7666,Programme!G7666,Programme!H7666,Programme!I7666)</f>
        <v>&lt;codeEdi&gt;2065&lt;/codeEdi&gt;</v>
      </c>
    </row>
    <row r="7666" spans="1:1" x14ac:dyDescent="0.2">
      <c r="A7666" s="1135" t="str">
        <f>CONCATENATE(Programme!C7667,Programme!D7667,Programme!E7667,Programme!F7667,Programme!G7667,Programme!H7667,Programme!I7667)</f>
        <v>&lt;/cellule&gt;</v>
      </c>
    </row>
    <row r="7667" spans="1:1" x14ac:dyDescent="0.2">
      <c r="A7667" s="1135" t="str">
        <f>CONCATENATE(Programme!C7668,Programme!D7668,Programme!E7668,Programme!F7668,Programme!G7668,Programme!H7668,Programme!I7668)</f>
        <v>&lt;valeur&gt;0&lt;/valeur&gt;</v>
      </c>
    </row>
    <row r="7668" spans="1:1" x14ac:dyDescent="0.2">
      <c r="A7668" s="1135" t="str">
        <f>CONCATENATE(Programme!C7669,Programme!D7669,Programme!E7669,Programme!F7669,Programme!G7669,Programme!H7669,Programme!I7669)</f>
        <v>&lt;/ValeurCellule&gt;</v>
      </c>
    </row>
    <row r="7669" spans="1:1" x14ac:dyDescent="0.2">
      <c r="A7669" s="1135" t="str">
        <f>CONCATENATE(Programme!C7670,Programme!D7670,Programme!E7670,Programme!F7670,Programme!G7670,Programme!H7670,Programme!I7670)</f>
        <v>&lt;ValeurCellule&gt;</v>
      </c>
    </row>
    <row r="7670" spans="1:1" x14ac:dyDescent="0.2">
      <c r="A7670" s="1135" t="str">
        <f>CONCATENATE(Programme!C7671,Programme!D7671,Programme!E7671,Programme!F7671,Programme!G7671,Programme!H7671,Programme!I7671)</f>
        <v>&lt;cellule&gt;</v>
      </c>
    </row>
    <row r="7671" spans="1:1" x14ac:dyDescent="0.2">
      <c r="A7671" s="1135" t="str">
        <f>CONCATENATE(Programme!C7672,Programme!D7672,Programme!E7672,Programme!F7672,Programme!G7672,Programme!H7672,Programme!I7672)</f>
        <v>&lt;codeEdi&gt;2070&lt;/codeEdi&gt;</v>
      </c>
    </row>
    <row r="7672" spans="1:1" x14ac:dyDescent="0.2">
      <c r="A7672" s="1135" t="str">
        <f>CONCATENATE(Programme!C7673,Programme!D7673,Programme!E7673,Programme!F7673,Programme!G7673,Programme!H7673,Programme!I7673)</f>
        <v>&lt;/cellule&gt;</v>
      </c>
    </row>
    <row r="7673" spans="1:1" x14ac:dyDescent="0.2">
      <c r="A7673" s="1135" t="str">
        <f>CONCATENATE(Programme!C7674,Programme!D7674,Programme!E7674,Programme!F7674,Programme!G7674,Programme!H7674,Programme!I7674)</f>
        <v>&lt;valeur&gt;0&lt;/valeur&gt;</v>
      </c>
    </row>
    <row r="7674" spans="1:1" x14ac:dyDescent="0.2">
      <c r="A7674" s="1135" t="str">
        <f>CONCATENATE(Programme!C7675,Programme!D7675,Programme!E7675,Programme!F7675,Programme!G7675,Programme!H7675,Programme!I7675)</f>
        <v>&lt;/ValeurCellule&gt;</v>
      </c>
    </row>
    <row r="7675" spans="1:1" x14ac:dyDescent="0.2">
      <c r="A7675" s="1135" t="str">
        <f>CONCATENATE(Programme!C7676,Programme!D7676,Programme!E7676,Programme!F7676,Programme!G7676,Programme!H7676,Programme!I7676)</f>
        <v>&lt;ValeurCellule&gt;</v>
      </c>
    </row>
    <row r="7676" spans="1:1" x14ac:dyDescent="0.2">
      <c r="A7676" s="1135" t="str">
        <f>CONCATENATE(Programme!C7677,Programme!D7677,Programme!E7677,Programme!F7677,Programme!G7677,Programme!H7677,Programme!I7677)</f>
        <v>&lt;cellule&gt;</v>
      </c>
    </row>
    <row r="7677" spans="1:1" x14ac:dyDescent="0.2">
      <c r="A7677" s="1135" t="str">
        <f>CONCATENATE(Programme!C7678,Programme!D7678,Programme!E7678,Programme!F7678,Programme!G7678,Programme!H7678,Programme!I7678)</f>
        <v>&lt;codeEdi&gt;2075&lt;/codeEdi&gt;</v>
      </c>
    </row>
    <row r="7678" spans="1:1" x14ac:dyDescent="0.2">
      <c r="A7678" s="1135" t="str">
        <f>CONCATENATE(Programme!C7679,Programme!D7679,Programme!E7679,Programme!F7679,Programme!G7679,Programme!H7679,Programme!I7679)</f>
        <v>&lt;/cellule&gt;</v>
      </c>
    </row>
    <row r="7679" spans="1:1" x14ac:dyDescent="0.2">
      <c r="A7679" s="1135" t="str">
        <f>CONCATENATE(Programme!C7680,Programme!D7680,Programme!E7680,Programme!F7680,Programme!G7680,Programme!H7680,Programme!I7680)</f>
        <v>&lt;valeur&gt;0&lt;/valeur&gt;</v>
      </c>
    </row>
    <row r="7680" spans="1:1" x14ac:dyDescent="0.2">
      <c r="A7680" s="1135" t="str">
        <f>CONCATENATE(Programme!C7681,Programme!D7681,Programme!E7681,Programme!F7681,Programme!G7681,Programme!H7681,Programme!I7681)</f>
        <v>&lt;/ValeurCellule&gt;</v>
      </c>
    </row>
    <row r="7681" spans="1:1" x14ac:dyDescent="0.2">
      <c r="A7681" s="1135" t="str">
        <f>CONCATENATE(Programme!C7682,Programme!D7682,Programme!E7682,Programme!F7682,Programme!G7682,Programme!H7682,Programme!I7682)</f>
        <v>&lt;ValeurCellule&gt;</v>
      </c>
    </row>
    <row r="7682" spans="1:1" x14ac:dyDescent="0.2">
      <c r="A7682" s="1135" t="str">
        <f>CONCATENATE(Programme!C7683,Programme!D7683,Programme!E7683,Programme!F7683,Programme!G7683,Programme!H7683,Programme!I7683)</f>
        <v>&lt;cellule&gt;</v>
      </c>
    </row>
    <row r="7683" spans="1:1" x14ac:dyDescent="0.2">
      <c r="A7683" s="1135" t="str">
        <f>CONCATENATE(Programme!C7684,Programme!D7684,Programme!E7684,Programme!F7684,Programme!G7684,Programme!H7684,Programme!I7684)</f>
        <v>&lt;codeEdi&gt;2080&lt;/codeEdi&gt;</v>
      </c>
    </row>
    <row r="7684" spans="1:1" x14ac:dyDescent="0.2">
      <c r="A7684" s="1135" t="str">
        <f>CONCATENATE(Programme!C7685,Programme!D7685,Programme!E7685,Programme!F7685,Programme!G7685,Programme!H7685,Programme!I7685)</f>
        <v>&lt;/cellule&gt;</v>
      </c>
    </row>
    <row r="7685" spans="1:1" x14ac:dyDescent="0.2">
      <c r="A7685" s="1135" t="str">
        <f>CONCATENATE(Programme!C7686,Programme!D7686,Programme!E7686,Programme!F7686,Programme!G7686,Programme!H7686,Programme!I7686)</f>
        <v>&lt;valeur&gt;0&lt;/valeur&gt;</v>
      </c>
    </row>
    <row r="7686" spans="1:1" x14ac:dyDescent="0.2">
      <c r="A7686" s="1135" t="str">
        <f>CONCATENATE(Programme!C7687,Programme!D7687,Programme!E7687,Programme!F7687,Programme!G7687,Programme!H7687,Programme!I7687)</f>
        <v>&lt;/ValeurCellule&gt;</v>
      </c>
    </row>
    <row r="7687" spans="1:1" x14ac:dyDescent="0.2">
      <c r="A7687" s="1135" t="str">
        <f>CONCATENATE(Programme!C7688,Programme!D7688,Programme!E7688,Programme!F7688,Programme!G7688,Programme!H7688,Programme!I7688)</f>
        <v>&lt;ValeurCellule&gt;</v>
      </c>
    </row>
    <row r="7688" spans="1:1" x14ac:dyDescent="0.2">
      <c r="A7688" s="1135" t="str">
        <f>CONCATENATE(Programme!C7689,Programme!D7689,Programme!E7689,Programme!F7689,Programme!G7689,Programme!H7689,Programme!I7689)</f>
        <v>&lt;cellule&gt;</v>
      </c>
    </row>
    <row r="7689" spans="1:1" x14ac:dyDescent="0.2">
      <c r="A7689" s="1135" t="str">
        <f>CONCATENATE(Programme!C7690,Programme!D7690,Programme!E7690,Programme!F7690,Programme!G7690,Programme!H7690,Programme!I7690)</f>
        <v>&lt;codeEdi&gt;2085&lt;/codeEdi&gt;</v>
      </c>
    </row>
    <row r="7690" spans="1:1" x14ac:dyDescent="0.2">
      <c r="A7690" s="1135" t="str">
        <f>CONCATENATE(Programme!C7691,Programme!D7691,Programme!E7691,Programme!F7691,Programme!G7691,Programme!H7691,Programme!I7691)</f>
        <v>&lt;/cellule&gt;</v>
      </c>
    </row>
    <row r="7691" spans="1:1" x14ac:dyDescent="0.2">
      <c r="A7691" s="1135" t="str">
        <f>CONCATENATE(Programme!C7692,Programme!D7692,Programme!E7692,Programme!F7692,Programme!G7692,Programme!H7692,Programme!I7692)</f>
        <v>&lt;valeur&gt;0&lt;/valeur&gt;</v>
      </c>
    </row>
    <row r="7692" spans="1:1" x14ac:dyDescent="0.2">
      <c r="A7692" s="1135" t="str">
        <f>CONCATENATE(Programme!C7693,Programme!D7693,Programme!E7693,Programme!F7693,Programme!G7693,Programme!H7693,Programme!I7693)</f>
        <v>&lt;/ValeurCellule&gt;</v>
      </c>
    </row>
    <row r="7693" spans="1:1" x14ac:dyDescent="0.2">
      <c r="A7693" s="1135" t="str">
        <f>CONCATENATE(Programme!C7694,Programme!D7694,Programme!E7694,Programme!F7694,Programme!G7694,Programme!H7694,Programme!I7694)</f>
        <v>&lt;ValeurCellule&gt;</v>
      </c>
    </row>
    <row r="7694" spans="1:1" x14ac:dyDescent="0.2">
      <c r="A7694" s="1135" t="str">
        <f>CONCATENATE(Programme!C7695,Programme!D7695,Programme!E7695,Programme!F7695,Programme!G7695,Programme!H7695,Programme!I7695)</f>
        <v>&lt;cellule&gt;</v>
      </c>
    </row>
    <row r="7695" spans="1:1" x14ac:dyDescent="0.2">
      <c r="A7695" s="1135" t="str">
        <f>CONCATENATE(Programme!C7696,Programme!D7696,Programme!E7696,Programme!F7696,Programme!G7696,Programme!H7696,Programme!I7696)</f>
        <v>&lt;codeEdi&gt;2066&lt;/codeEdi&gt;</v>
      </c>
    </row>
    <row r="7696" spans="1:1" x14ac:dyDescent="0.2">
      <c r="A7696" s="1135" t="str">
        <f>CONCATENATE(Programme!C7697,Programme!D7697,Programme!E7697,Programme!F7697,Programme!G7697,Programme!H7697,Programme!I7697)</f>
        <v>&lt;/cellule&gt;</v>
      </c>
    </row>
    <row r="7697" spans="1:1" x14ac:dyDescent="0.2">
      <c r="A7697" s="1135" t="str">
        <f>CONCATENATE(Programme!C7698,Programme!D7698,Programme!E7698,Programme!F7698,Programme!G7698,Programme!H7698,Programme!I7698)</f>
        <v>&lt;valeur&gt;76333,33&lt;/valeur&gt;</v>
      </c>
    </row>
    <row r="7698" spans="1:1" x14ac:dyDescent="0.2">
      <c r="A7698" s="1135" t="str">
        <f>CONCATENATE(Programme!C7699,Programme!D7699,Programme!E7699,Programme!F7699,Programme!G7699,Programme!H7699,Programme!I7699)</f>
        <v>&lt;/ValeurCellule&gt;</v>
      </c>
    </row>
    <row r="7699" spans="1:1" x14ac:dyDescent="0.2">
      <c r="A7699" s="1135" t="str">
        <f>CONCATENATE(Programme!C7700,Programme!D7700,Programme!E7700,Programme!F7700,Programme!G7700,Programme!H7700,Programme!I7700)</f>
        <v>&lt;ValeurCellule&gt;</v>
      </c>
    </row>
    <row r="7700" spans="1:1" x14ac:dyDescent="0.2">
      <c r="A7700" s="1135" t="str">
        <f>CONCATENATE(Programme!C7701,Programme!D7701,Programme!E7701,Programme!F7701,Programme!G7701,Programme!H7701,Programme!I7701)</f>
        <v>&lt;cellule&gt;</v>
      </c>
    </row>
    <row r="7701" spans="1:1" x14ac:dyDescent="0.2">
      <c r="A7701" s="1135" t="str">
        <f>CONCATENATE(Programme!C7702,Programme!D7702,Programme!E7702,Programme!F7702,Programme!G7702,Programme!H7702,Programme!I7702)</f>
        <v>&lt;codeEdi&gt;2071&lt;/codeEdi&gt;</v>
      </c>
    </row>
    <row r="7702" spans="1:1" x14ac:dyDescent="0.2">
      <c r="A7702" s="1135" t="str">
        <f>CONCATENATE(Programme!C7703,Programme!D7703,Programme!E7703,Programme!F7703,Programme!G7703,Programme!H7703,Programme!I7703)</f>
        <v>&lt;/cellule&gt;</v>
      </c>
    </row>
    <row r="7703" spans="1:1" x14ac:dyDescent="0.2">
      <c r="A7703" s="1135" t="str">
        <f>CONCATENATE(Programme!C7704,Programme!D7704,Programme!E7704,Programme!F7704,Programme!G7704,Programme!H7704,Programme!I7704)</f>
        <v>&lt;valeur&gt;46860,01&lt;/valeur&gt;</v>
      </c>
    </row>
    <row r="7704" spans="1:1" x14ac:dyDescent="0.2">
      <c r="A7704" s="1135" t="str">
        <f>CONCATENATE(Programme!C7705,Programme!D7705,Programme!E7705,Programme!F7705,Programme!G7705,Programme!H7705,Programme!I7705)</f>
        <v>&lt;/ValeurCellule&gt;</v>
      </c>
    </row>
    <row r="7705" spans="1:1" x14ac:dyDescent="0.2">
      <c r="A7705" s="1135" t="str">
        <f>CONCATENATE(Programme!C7706,Programme!D7706,Programme!E7706,Programme!F7706,Programme!G7706,Programme!H7706,Programme!I7706)</f>
        <v>&lt;ValeurCellule&gt;</v>
      </c>
    </row>
    <row r="7706" spans="1:1" x14ac:dyDescent="0.2">
      <c r="A7706" s="1135" t="str">
        <f>CONCATENATE(Programme!C7707,Programme!D7707,Programme!E7707,Programme!F7707,Programme!G7707,Programme!H7707,Programme!I7707)</f>
        <v>&lt;cellule&gt;</v>
      </c>
    </row>
    <row r="7707" spans="1:1" x14ac:dyDescent="0.2">
      <c r="A7707" s="1135" t="str">
        <f>CONCATENATE(Programme!C7708,Programme!D7708,Programme!E7708,Programme!F7708,Programme!G7708,Programme!H7708,Programme!I7708)</f>
        <v>&lt;codeEdi&gt;2076&lt;/codeEdi&gt;</v>
      </c>
    </row>
    <row r="7708" spans="1:1" x14ac:dyDescent="0.2">
      <c r="A7708" s="1135" t="str">
        <f>CONCATENATE(Programme!C7709,Programme!D7709,Programme!E7709,Programme!F7709,Programme!G7709,Programme!H7709,Programme!I7709)</f>
        <v>&lt;/cellule&gt;</v>
      </c>
    </row>
    <row r="7709" spans="1:1" x14ac:dyDescent="0.2">
      <c r="A7709" s="1135" t="str">
        <f>CONCATENATE(Programme!C7710,Programme!D7710,Programme!E7710,Programme!F7710,Programme!G7710,Programme!H7710,Programme!I7710)</f>
        <v>&lt;valeur&gt;42169,66&lt;/valeur&gt;</v>
      </c>
    </row>
    <row r="7710" spans="1:1" x14ac:dyDescent="0.2">
      <c r="A7710" s="1135" t="str">
        <f>CONCATENATE(Programme!C7711,Programme!D7711,Programme!E7711,Programme!F7711,Programme!G7711,Programme!H7711,Programme!I7711)</f>
        <v>&lt;/ValeurCellule&gt;</v>
      </c>
    </row>
    <row r="7711" spans="1:1" x14ac:dyDescent="0.2">
      <c r="A7711" s="1135" t="str">
        <f>CONCATENATE(Programme!C7712,Programme!D7712,Programme!E7712,Programme!F7712,Programme!G7712,Programme!H7712,Programme!I7712)</f>
        <v>&lt;ValeurCellule&gt;</v>
      </c>
    </row>
    <row r="7712" spans="1:1" x14ac:dyDescent="0.2">
      <c r="A7712" s="1135" t="str">
        <f>CONCATENATE(Programme!C7713,Programme!D7713,Programme!E7713,Programme!F7713,Programme!G7713,Programme!H7713,Programme!I7713)</f>
        <v>&lt;cellule&gt;</v>
      </c>
    </row>
    <row r="7713" spans="1:1" x14ac:dyDescent="0.2">
      <c r="A7713" s="1135" t="str">
        <f>CONCATENATE(Programme!C7714,Programme!D7714,Programme!E7714,Programme!F7714,Programme!G7714,Programme!H7714,Programme!I7714)</f>
        <v>&lt;codeEdi&gt;2081&lt;/codeEdi&gt;</v>
      </c>
    </row>
    <row r="7714" spans="1:1" x14ac:dyDescent="0.2">
      <c r="A7714" s="1135" t="str">
        <f>CONCATENATE(Programme!C7715,Programme!D7715,Programme!E7715,Programme!F7715,Programme!G7715,Programme!H7715,Programme!I7715)</f>
        <v>&lt;/cellule&gt;</v>
      </c>
    </row>
    <row r="7715" spans="1:1" x14ac:dyDescent="0.2">
      <c r="A7715" s="1135" t="str">
        <f>CONCATENATE(Programme!C7716,Programme!D7716,Programme!E7716,Programme!F7716,Programme!G7716,Programme!H7716,Programme!I7716)</f>
        <v>&lt;valeur&gt;4690,35&lt;/valeur&gt;</v>
      </c>
    </row>
    <row r="7716" spans="1:1" x14ac:dyDescent="0.2">
      <c r="A7716" s="1135" t="str">
        <f>CONCATENATE(Programme!C7717,Programme!D7717,Programme!E7717,Programme!F7717,Programme!G7717,Programme!H7717,Programme!I7717)</f>
        <v>&lt;/ValeurCellule&gt;</v>
      </c>
    </row>
    <row r="7717" spans="1:1" x14ac:dyDescent="0.2">
      <c r="A7717" s="1135" t="str">
        <f>CONCATENATE(Programme!C7718,Programme!D7718,Programme!E7718,Programme!F7718,Programme!G7718,Programme!H7718,Programme!I7718)</f>
        <v>&lt;ValeurCellule&gt;</v>
      </c>
    </row>
    <row r="7718" spans="1:1" x14ac:dyDescent="0.2">
      <c r="A7718" s="1135" t="str">
        <f>CONCATENATE(Programme!C7719,Programme!D7719,Programme!E7719,Programme!F7719,Programme!G7719,Programme!H7719,Programme!I7719)</f>
        <v>&lt;cellule&gt;</v>
      </c>
    </row>
    <row r="7719" spans="1:1" x14ac:dyDescent="0.2">
      <c r="A7719" s="1135" t="str">
        <f>CONCATENATE(Programme!C7720,Programme!D7720,Programme!E7720,Programme!F7720,Programme!G7720,Programme!H7720,Programme!I7720)</f>
        <v>&lt;codeEdi&gt;2086&lt;/codeEdi&gt;</v>
      </c>
    </row>
    <row r="7720" spans="1:1" x14ac:dyDescent="0.2">
      <c r="A7720" s="1135" t="str">
        <f>CONCATENATE(Programme!C7721,Programme!D7721,Programme!E7721,Programme!F7721,Programme!G7721,Programme!H7721,Programme!I7721)</f>
        <v>&lt;/cellule&gt;</v>
      </c>
    </row>
    <row r="7721" spans="1:1" x14ac:dyDescent="0.2">
      <c r="A7721" s="1135" t="str">
        <f>CONCATENATE(Programme!C7722,Programme!D7722,Programme!E7722,Programme!F7722,Programme!G7722,Programme!H7722,Programme!I7722)</f>
        <v>&lt;valeur&gt;29473,32&lt;/valeur&gt;</v>
      </c>
    </row>
    <row r="7722" spans="1:1" x14ac:dyDescent="0.2">
      <c r="A7722" s="1135" t="str">
        <f>CONCATENATE(Programme!C7723,Programme!D7723,Programme!E7723,Programme!F7723,Programme!G7723,Programme!H7723,Programme!I7723)</f>
        <v>&lt;/ValeurCellule&gt;</v>
      </c>
    </row>
    <row r="7723" spans="1:1" x14ac:dyDescent="0.2">
      <c r="A7723" s="1135" t="str">
        <f>CONCATENATE(Programme!C7724,Programme!D7724,Programme!E7724,Programme!F7724,Programme!G7724,Programme!H7724,Programme!I7724)</f>
        <v>&lt;ValeurCellule&gt;</v>
      </c>
    </row>
    <row r="7724" spans="1:1" x14ac:dyDescent="0.2">
      <c r="A7724" s="1135" t="str">
        <f>CONCATENATE(Programme!C7725,Programme!D7725,Programme!E7725,Programme!F7725,Programme!G7725,Programme!H7725,Programme!I7725)</f>
        <v>&lt;cellule&gt;</v>
      </c>
    </row>
    <row r="7725" spans="1:1" x14ac:dyDescent="0.2">
      <c r="A7725" s="1135" t="str">
        <f>CONCATENATE(Programme!C7726,Programme!D7726,Programme!E7726,Programme!F7726,Programme!G7726,Programme!H7726,Programme!I7726)</f>
        <v>&lt;codeEdi&gt;2067&lt;/codeEdi&gt;</v>
      </c>
    </row>
    <row r="7726" spans="1:1" x14ac:dyDescent="0.2">
      <c r="A7726" s="1135" t="str">
        <f>CONCATENATE(Programme!C7727,Programme!D7727,Programme!E7727,Programme!F7727,Programme!G7727,Programme!H7727,Programme!I7727)</f>
        <v>&lt;/cellule&gt;</v>
      </c>
    </row>
    <row r="7727" spans="1:1" x14ac:dyDescent="0.2">
      <c r="A7727" s="1135" t="str">
        <f>CONCATENATE(Programme!C7728,Programme!D7728,Programme!E7728,Programme!F7728,Programme!G7728,Programme!H7728,Programme!I7728)</f>
        <v>&lt;valeur&gt;28334&lt;/valeur&gt;</v>
      </c>
    </row>
    <row r="7728" spans="1:1" x14ac:dyDescent="0.2">
      <c r="A7728" s="1135" t="str">
        <f>CONCATENATE(Programme!C7729,Programme!D7729,Programme!E7729,Programme!F7729,Programme!G7729,Programme!H7729,Programme!I7729)</f>
        <v>&lt;/ValeurCellule&gt;</v>
      </c>
    </row>
    <row r="7729" spans="1:1" x14ac:dyDescent="0.2">
      <c r="A7729" s="1135" t="str">
        <f>CONCATENATE(Programme!C7730,Programme!D7730,Programme!E7730,Programme!F7730,Programme!G7730,Programme!H7730,Programme!I7730)</f>
        <v>&lt;ValeurCellule&gt;</v>
      </c>
    </row>
    <row r="7730" spans="1:1" x14ac:dyDescent="0.2">
      <c r="A7730" s="1135" t="str">
        <f>CONCATENATE(Programme!C7731,Programme!D7731,Programme!E7731,Programme!F7731,Programme!G7731,Programme!H7731,Programme!I7731)</f>
        <v>&lt;cellule&gt;</v>
      </c>
    </row>
    <row r="7731" spans="1:1" x14ac:dyDescent="0.2">
      <c r="A7731" s="1135" t="str">
        <f>CONCATENATE(Programme!C7732,Programme!D7732,Programme!E7732,Programme!F7732,Programme!G7732,Programme!H7732,Programme!I7732)</f>
        <v>&lt;codeEdi&gt;2072&lt;/codeEdi&gt;</v>
      </c>
    </row>
    <row r="7732" spans="1:1" x14ac:dyDescent="0.2">
      <c r="A7732" s="1135" t="str">
        <f>CONCATENATE(Programme!C7733,Programme!D7733,Programme!E7733,Programme!F7733,Programme!G7733,Programme!H7733,Programme!I7733)</f>
        <v>&lt;/cellule&gt;</v>
      </c>
    </row>
    <row r="7733" spans="1:1" x14ac:dyDescent="0.2">
      <c r="A7733" s="1135" t="str">
        <f>CONCATENATE(Programme!C7734,Programme!D7734,Programme!E7734,Programme!F7734,Programme!G7734,Programme!H7734,Programme!I7734)</f>
        <v>&lt;valeur&gt;26059,29&lt;/valeur&gt;</v>
      </c>
    </row>
    <row r="7734" spans="1:1" x14ac:dyDescent="0.2">
      <c r="A7734" s="1135" t="str">
        <f>CONCATENATE(Programme!C7735,Programme!D7735,Programme!E7735,Programme!F7735,Programme!G7735,Programme!H7735,Programme!I7735)</f>
        <v>&lt;/ValeurCellule&gt;</v>
      </c>
    </row>
    <row r="7735" spans="1:1" x14ac:dyDescent="0.2">
      <c r="A7735" s="1135" t="str">
        <f>CONCATENATE(Programme!C7736,Programme!D7736,Programme!E7736,Programme!F7736,Programme!G7736,Programme!H7736,Programme!I7736)</f>
        <v>&lt;ValeurCellule&gt;</v>
      </c>
    </row>
    <row r="7736" spans="1:1" x14ac:dyDescent="0.2">
      <c r="A7736" s="1135" t="str">
        <f>CONCATENATE(Programme!C7737,Programme!D7737,Programme!E7737,Programme!F7737,Programme!G7737,Programme!H7737,Programme!I7737)</f>
        <v>&lt;cellule&gt;</v>
      </c>
    </row>
    <row r="7737" spans="1:1" x14ac:dyDescent="0.2">
      <c r="A7737" s="1135" t="str">
        <f>CONCATENATE(Programme!C7738,Programme!D7738,Programme!E7738,Programme!F7738,Programme!G7738,Programme!H7738,Programme!I7738)</f>
        <v>&lt;codeEdi&gt;2077&lt;/codeEdi&gt;</v>
      </c>
    </row>
    <row r="7738" spans="1:1" x14ac:dyDescent="0.2">
      <c r="A7738" s="1135" t="str">
        <f>CONCATENATE(Programme!C7739,Programme!D7739,Programme!E7739,Programme!F7739,Programme!G7739,Programme!H7739,Programme!I7739)</f>
        <v>&lt;/cellule&gt;</v>
      </c>
    </row>
    <row r="7739" spans="1:1" x14ac:dyDescent="0.2">
      <c r="A7739" s="1135" t="str">
        <f>CONCATENATE(Programme!C7740,Programme!D7740,Programme!E7740,Programme!F7740,Programme!G7740,Programme!H7740,Programme!I7740)</f>
        <v>&lt;valeur&gt;22567,97&lt;/valeur&gt;</v>
      </c>
    </row>
    <row r="7740" spans="1:1" x14ac:dyDescent="0.2">
      <c r="A7740" s="1135" t="str">
        <f>CONCATENATE(Programme!C7741,Programme!D7741,Programme!E7741,Programme!F7741,Programme!G7741,Programme!H7741,Programme!I7741)</f>
        <v>&lt;/ValeurCellule&gt;</v>
      </c>
    </row>
    <row r="7741" spans="1:1" x14ac:dyDescent="0.2">
      <c r="A7741" s="1135" t="str">
        <f>CONCATENATE(Programme!C7742,Programme!D7742,Programme!E7742,Programme!F7742,Programme!G7742,Programme!H7742,Programme!I7742)</f>
        <v>&lt;ValeurCellule&gt;</v>
      </c>
    </row>
    <row r="7742" spans="1:1" x14ac:dyDescent="0.2">
      <c r="A7742" s="1135" t="str">
        <f>CONCATENATE(Programme!C7743,Programme!D7743,Programme!E7743,Programme!F7743,Programme!G7743,Programme!H7743,Programme!I7743)</f>
        <v>&lt;cellule&gt;</v>
      </c>
    </row>
    <row r="7743" spans="1:1" x14ac:dyDescent="0.2">
      <c r="A7743" s="1135" t="str">
        <f>CONCATENATE(Programme!C7744,Programme!D7744,Programme!E7744,Programme!F7744,Programme!G7744,Programme!H7744,Programme!I7744)</f>
        <v>&lt;codeEdi&gt;2082&lt;/codeEdi&gt;</v>
      </c>
    </row>
    <row r="7744" spans="1:1" x14ac:dyDescent="0.2">
      <c r="A7744" s="1135" t="str">
        <f>CONCATENATE(Programme!C7745,Programme!D7745,Programme!E7745,Programme!F7745,Programme!G7745,Programme!H7745,Programme!I7745)</f>
        <v>&lt;/cellule&gt;</v>
      </c>
    </row>
    <row r="7745" spans="1:1" x14ac:dyDescent="0.2">
      <c r="A7745" s="1135" t="str">
        <f>CONCATENATE(Programme!C7746,Programme!D7746,Programme!E7746,Programme!F7746,Programme!G7746,Programme!H7746,Programme!I7746)</f>
        <v>&lt;valeur&gt;3491,32&lt;/valeur&gt;</v>
      </c>
    </row>
    <row r="7746" spans="1:1" x14ac:dyDescent="0.2">
      <c r="A7746" s="1135" t="str">
        <f>CONCATENATE(Programme!C7747,Programme!D7747,Programme!E7747,Programme!F7747,Programme!G7747,Programme!H7747,Programme!I7747)</f>
        <v>&lt;/ValeurCellule&gt;</v>
      </c>
    </row>
    <row r="7747" spans="1:1" x14ac:dyDescent="0.2">
      <c r="A7747" s="1135" t="str">
        <f>CONCATENATE(Programme!C7748,Programme!D7748,Programme!E7748,Programme!F7748,Programme!G7748,Programme!H7748,Programme!I7748)</f>
        <v>&lt;ValeurCellule&gt;</v>
      </c>
    </row>
    <row r="7748" spans="1:1" x14ac:dyDescent="0.2">
      <c r="A7748" s="1135" t="str">
        <f>CONCATENATE(Programme!C7749,Programme!D7749,Programme!E7749,Programme!F7749,Programme!G7749,Programme!H7749,Programme!I7749)</f>
        <v>&lt;cellule&gt;</v>
      </c>
    </row>
    <row r="7749" spans="1:1" x14ac:dyDescent="0.2">
      <c r="A7749" s="1135" t="str">
        <f>CONCATENATE(Programme!C7750,Programme!D7750,Programme!E7750,Programme!F7750,Programme!G7750,Programme!H7750,Programme!I7750)</f>
        <v>&lt;codeEdi&gt;2087&lt;/codeEdi&gt;</v>
      </c>
    </row>
    <row r="7750" spans="1:1" x14ac:dyDescent="0.2">
      <c r="A7750" s="1135" t="str">
        <f>CONCATENATE(Programme!C7751,Programme!D7751,Programme!E7751,Programme!F7751,Programme!G7751,Programme!H7751,Programme!I7751)</f>
        <v>&lt;/cellule&gt;</v>
      </c>
    </row>
    <row r="7751" spans="1:1" x14ac:dyDescent="0.2">
      <c r="A7751" s="1135" t="str">
        <f>CONCATENATE(Programme!C7752,Programme!D7752,Programme!E7752,Programme!F7752,Programme!G7752,Programme!H7752,Programme!I7752)</f>
        <v>&lt;valeur&gt;2274,71&lt;/valeur&gt;</v>
      </c>
    </row>
    <row r="7752" spans="1:1" x14ac:dyDescent="0.2">
      <c r="A7752" s="1135" t="str">
        <f>CONCATENATE(Programme!C7753,Programme!D7753,Programme!E7753,Programme!F7753,Programme!G7753,Programme!H7753,Programme!I7753)</f>
        <v>&lt;/ValeurCellule&gt;</v>
      </c>
    </row>
    <row r="7753" spans="1:1" x14ac:dyDescent="0.2">
      <c r="A7753" s="1135" t="str">
        <f>CONCATENATE(Programme!C7754,Programme!D7754,Programme!E7754,Programme!F7754,Programme!G7754,Programme!H7754,Programme!I7754)</f>
        <v>&lt;ValeurCellule&gt;</v>
      </c>
    </row>
    <row r="7754" spans="1:1" x14ac:dyDescent="0.2">
      <c r="A7754" s="1135" t="str">
        <f>CONCATENATE(Programme!C7755,Programme!D7755,Programme!E7755,Programme!F7755,Programme!G7755,Programme!H7755,Programme!I7755)</f>
        <v>&lt;cellule&gt;</v>
      </c>
    </row>
    <row r="7755" spans="1:1" x14ac:dyDescent="0.2">
      <c r="A7755" s="1135" t="str">
        <f>CONCATENATE(Programme!C7756,Programme!D7756,Programme!E7756,Programme!F7756,Programme!G7756,Programme!H7756,Programme!I7756)</f>
        <v>&lt;codeEdi&gt;2068&lt;/codeEdi&gt;</v>
      </c>
    </row>
    <row r="7756" spans="1:1" x14ac:dyDescent="0.2">
      <c r="A7756" s="1135" t="str">
        <f>CONCATENATE(Programme!C7757,Programme!D7757,Programme!E7757,Programme!F7757,Programme!G7757,Programme!H7757,Programme!I7757)</f>
        <v>&lt;/cellule&gt;</v>
      </c>
    </row>
    <row r="7757" spans="1:1" x14ac:dyDescent="0.2">
      <c r="A7757" s="1135" t="str">
        <f>CONCATENATE(Programme!C7758,Programme!D7758,Programme!E7758,Programme!F7758,Programme!G7758,Programme!H7758,Programme!I7758)</f>
        <v>&lt;valeur&gt;47999,33&lt;/valeur&gt;</v>
      </c>
    </row>
    <row r="7758" spans="1:1" x14ac:dyDescent="0.2">
      <c r="A7758" s="1135" t="str">
        <f>CONCATENATE(Programme!C7759,Programme!D7759,Programme!E7759,Programme!F7759,Programme!G7759,Programme!H7759,Programme!I7759)</f>
        <v>&lt;/ValeurCellule&gt;</v>
      </c>
    </row>
    <row r="7759" spans="1:1" x14ac:dyDescent="0.2">
      <c r="A7759" s="1135" t="str">
        <f>CONCATENATE(Programme!C7760,Programme!D7760,Programme!E7760,Programme!F7760,Programme!G7760,Programme!H7760,Programme!I7760)</f>
        <v>&lt;ValeurCellule&gt;</v>
      </c>
    </row>
    <row r="7760" spans="1:1" x14ac:dyDescent="0.2">
      <c r="A7760" s="1135" t="str">
        <f>CONCATENATE(Programme!C7761,Programme!D7761,Programme!E7761,Programme!F7761,Programme!G7761,Programme!H7761,Programme!I7761)</f>
        <v>&lt;cellule&gt;</v>
      </c>
    </row>
    <row r="7761" spans="1:1" x14ac:dyDescent="0.2">
      <c r="A7761" s="1135" t="str">
        <f>CONCATENATE(Programme!C7762,Programme!D7762,Programme!E7762,Programme!F7762,Programme!G7762,Programme!H7762,Programme!I7762)</f>
        <v>&lt;codeEdi&gt;2073&lt;/codeEdi&gt;</v>
      </c>
    </row>
    <row r="7762" spans="1:1" x14ac:dyDescent="0.2">
      <c r="A7762" s="1135" t="str">
        <f>CONCATENATE(Programme!C7763,Programme!D7763,Programme!E7763,Programme!F7763,Programme!G7763,Programme!H7763,Programme!I7763)</f>
        <v>&lt;/cellule&gt;</v>
      </c>
    </row>
    <row r="7763" spans="1:1" x14ac:dyDescent="0.2">
      <c r="A7763" s="1135" t="str">
        <f>CONCATENATE(Programme!C7764,Programme!D7764,Programme!E7764,Programme!F7764,Programme!G7764,Programme!H7764,Programme!I7764)</f>
        <v>&lt;valeur&gt;20800,72&lt;/valeur&gt;</v>
      </c>
    </row>
    <row r="7764" spans="1:1" x14ac:dyDescent="0.2">
      <c r="A7764" s="1135" t="str">
        <f>CONCATENATE(Programme!C7765,Programme!D7765,Programme!E7765,Programme!F7765,Programme!G7765,Programme!H7765,Programme!I7765)</f>
        <v>&lt;/ValeurCellule&gt;</v>
      </c>
    </row>
    <row r="7765" spans="1:1" x14ac:dyDescent="0.2">
      <c r="A7765" s="1135" t="str">
        <f>CONCATENATE(Programme!C7766,Programme!D7766,Programme!E7766,Programme!F7766,Programme!G7766,Programme!H7766,Programme!I7766)</f>
        <v>&lt;ValeurCellule&gt;</v>
      </c>
    </row>
    <row r="7766" spans="1:1" x14ac:dyDescent="0.2">
      <c r="A7766" s="1135" t="str">
        <f>CONCATENATE(Programme!C7767,Programme!D7767,Programme!E7767,Programme!F7767,Programme!G7767,Programme!H7767,Programme!I7767)</f>
        <v>&lt;cellule&gt;</v>
      </c>
    </row>
    <row r="7767" spans="1:1" x14ac:dyDescent="0.2">
      <c r="A7767" s="1135" t="str">
        <f>CONCATENATE(Programme!C7768,Programme!D7768,Programme!E7768,Programme!F7768,Programme!G7768,Programme!H7768,Programme!I7768)</f>
        <v>&lt;codeEdi&gt;2078&lt;/codeEdi&gt;</v>
      </c>
    </row>
    <row r="7768" spans="1:1" x14ac:dyDescent="0.2">
      <c r="A7768" s="1135" t="str">
        <f>CONCATENATE(Programme!C7769,Programme!D7769,Programme!E7769,Programme!F7769,Programme!G7769,Programme!H7769,Programme!I7769)</f>
        <v>&lt;/cellule&gt;</v>
      </c>
    </row>
    <row r="7769" spans="1:1" x14ac:dyDescent="0.2">
      <c r="A7769" s="1135" t="str">
        <f>CONCATENATE(Programme!C7770,Programme!D7770,Programme!E7770,Programme!F7770,Programme!G7770,Programme!H7770,Programme!I7770)</f>
        <v>&lt;valeur&gt;19601,69&lt;/valeur&gt;</v>
      </c>
    </row>
    <row r="7770" spans="1:1" x14ac:dyDescent="0.2">
      <c r="A7770" s="1135" t="str">
        <f>CONCATENATE(Programme!C7771,Programme!D7771,Programme!E7771,Programme!F7771,Programme!G7771,Programme!H7771,Programme!I7771)</f>
        <v>&lt;/ValeurCellule&gt;</v>
      </c>
    </row>
    <row r="7771" spans="1:1" x14ac:dyDescent="0.2">
      <c r="A7771" s="1135" t="str">
        <f>CONCATENATE(Programme!C7772,Programme!D7772,Programme!E7772,Programme!F7772,Programme!G7772,Programme!H7772,Programme!I7772)</f>
        <v>&lt;ValeurCellule&gt;</v>
      </c>
    </row>
    <row r="7772" spans="1:1" x14ac:dyDescent="0.2">
      <c r="A7772" s="1135" t="str">
        <f>CONCATENATE(Programme!C7773,Programme!D7773,Programme!E7773,Programme!F7773,Programme!G7773,Programme!H7773,Programme!I7773)</f>
        <v>&lt;cellule&gt;</v>
      </c>
    </row>
    <row r="7773" spans="1:1" x14ac:dyDescent="0.2">
      <c r="A7773" s="1135" t="str">
        <f>CONCATENATE(Programme!C7774,Programme!D7774,Programme!E7774,Programme!F7774,Programme!G7774,Programme!H7774,Programme!I7774)</f>
        <v>&lt;codeEdi&gt;2083&lt;/codeEdi&gt;</v>
      </c>
    </row>
    <row r="7774" spans="1:1" x14ac:dyDescent="0.2">
      <c r="A7774" s="1135" t="str">
        <f>CONCATENATE(Programme!C7775,Programme!D7775,Programme!E7775,Programme!F7775,Programme!G7775,Programme!H7775,Programme!I7775)</f>
        <v>&lt;/cellule&gt;</v>
      </c>
    </row>
    <row r="7775" spans="1:1" x14ac:dyDescent="0.2">
      <c r="A7775" s="1135" t="str">
        <f>CONCATENATE(Programme!C7776,Programme!D7776,Programme!E7776,Programme!F7776,Programme!G7776,Programme!H7776,Programme!I7776)</f>
        <v>&lt;valeur&gt;1199,03&lt;/valeur&gt;</v>
      </c>
    </row>
    <row r="7776" spans="1:1" x14ac:dyDescent="0.2">
      <c r="A7776" s="1135" t="str">
        <f>CONCATENATE(Programme!C7777,Programme!D7777,Programme!E7777,Programme!F7777,Programme!G7777,Programme!H7777,Programme!I7777)</f>
        <v>&lt;/ValeurCellule&gt;</v>
      </c>
    </row>
    <row r="7777" spans="1:1" x14ac:dyDescent="0.2">
      <c r="A7777" s="1135" t="str">
        <f>CONCATENATE(Programme!C7778,Programme!D7778,Programme!E7778,Programme!F7778,Programme!G7778,Programme!H7778,Programme!I7778)</f>
        <v>&lt;ValeurCellule&gt;</v>
      </c>
    </row>
    <row r="7778" spans="1:1" x14ac:dyDescent="0.2">
      <c r="A7778" s="1135" t="str">
        <f>CONCATENATE(Programme!C7779,Programme!D7779,Programme!E7779,Programme!F7779,Programme!G7779,Programme!H7779,Programme!I7779)</f>
        <v>&lt;cellule&gt;</v>
      </c>
    </row>
    <row r="7779" spans="1:1" x14ac:dyDescent="0.2">
      <c r="A7779" s="1135" t="str">
        <f>CONCATENATE(Programme!C7780,Programme!D7780,Programme!E7780,Programme!F7780,Programme!G7780,Programme!H7780,Programme!I7780)</f>
        <v>&lt;codeEdi&gt;2088&lt;/codeEdi&gt;</v>
      </c>
    </row>
    <row r="7780" spans="1:1" x14ac:dyDescent="0.2">
      <c r="A7780" s="1135" t="str">
        <f>CONCATENATE(Programme!C7781,Programme!D7781,Programme!E7781,Programme!F7781,Programme!G7781,Programme!H7781,Programme!I7781)</f>
        <v>&lt;/cellule&gt;</v>
      </c>
    </row>
    <row r="7781" spans="1:1" x14ac:dyDescent="0.2">
      <c r="A7781" s="1135" t="str">
        <f>CONCATENATE(Programme!C7782,Programme!D7782,Programme!E7782,Programme!F7782,Programme!G7782,Programme!H7782,Programme!I7782)</f>
        <v>&lt;valeur&gt;27198,61&lt;/valeur&gt;</v>
      </c>
    </row>
    <row r="7782" spans="1:1" x14ac:dyDescent="0.2">
      <c r="A7782" s="1135" t="str">
        <f>CONCATENATE(Programme!C7783,Programme!D7783,Programme!E7783,Programme!F7783,Programme!G7783,Programme!H7783,Programme!I7783)</f>
        <v>&lt;/ValeurCellule&gt;</v>
      </c>
    </row>
    <row r="7783" spans="1:1" x14ac:dyDescent="0.2">
      <c r="A7783" s="1135" t="str">
        <f>CONCATENATE(Programme!C7784,Programme!D7784,Programme!E7784,Programme!F7784,Programme!G7784,Programme!H7784,Programme!I7784)</f>
        <v>&lt;/groupeValeurs&gt;</v>
      </c>
    </row>
    <row r="7784" spans="1:1" x14ac:dyDescent="0.2">
      <c r="A7784" s="1135" t="str">
        <f>CONCATENATE(Programme!C7785,Programme!D7785,Programme!E7785,Programme!F7785,Programme!G7785,Programme!H7785,Programme!I7785)</f>
        <v>&lt;extraFieldvaleurs&gt;</v>
      </c>
    </row>
    <row r="7785" spans="1:1" x14ac:dyDescent="0.2">
      <c r="A7785" s="1135" t="str">
        <f>CONCATENATE(Programme!C7786,Programme!D7786,Programme!E7786,Programme!F7786,Programme!G7786,Programme!H7786,Programme!I7786)</f>
        <v>&lt;/extraFieldvaleurs&gt;</v>
      </c>
    </row>
    <row r="7786" spans="1:1" x14ac:dyDescent="0.2">
      <c r="A7786" s="1135" t="str">
        <f>CONCATENATE(Programme!C7787,Programme!D7787,Programme!E7787,Programme!F7787,Programme!G7787,Programme!H7787,Programme!I7787)</f>
        <v>&lt;/ValeursTableau&gt;</v>
      </c>
    </row>
    <row r="7787" spans="1:1" x14ac:dyDescent="0.2">
      <c r="A7787" s="1135" t="str">
        <f>CONCATENATE(Programme!C7788,Programme!D7788,Programme!E7788,Programme!F7788,Programme!G7788,Programme!H7788,Programme!I7788)</f>
        <v>&lt;ValeursTableau&gt;</v>
      </c>
    </row>
    <row r="7788" spans="1:1" x14ac:dyDescent="0.2">
      <c r="A7788" s="1135" t="str">
        <f>CONCATENATE(Programme!C7789,Programme!D7789,Programme!E7789,Programme!F7789,Programme!G7789,Programme!H7789,Programme!I7789)</f>
        <v>&lt;tableau&gt;&lt;id&gt;41&lt;/id&gt;&lt;/tableau&gt;</v>
      </c>
    </row>
    <row r="7789" spans="1:1" x14ac:dyDescent="0.2">
      <c r="A7789" s="1135" t="str">
        <f>CONCATENATE(Programme!C7790,Programme!D7790,Programme!E7790,Programme!F7790,Programme!G7790,Programme!H7790,Programme!I7790)</f>
        <v>&lt;groupeValeurs&gt;</v>
      </c>
    </row>
    <row r="7790" spans="1:1" x14ac:dyDescent="0.2">
      <c r="A7790" s="1135" t="str">
        <f>CONCATENATE(Programme!C7791,Programme!D7791,Programme!E7791,Programme!F7791,Programme!G7791,Programme!H7791,Programme!I7791)</f>
        <v>&lt;ValeurCellule&gt;</v>
      </c>
    </row>
    <row r="7791" spans="1:1" x14ac:dyDescent="0.2">
      <c r="A7791" s="1135" t="str">
        <f>CONCATENATE(Programme!C7792,Programme!D7792,Programme!E7792,Programme!F7792,Programme!G7792,Programme!H7792,Programme!I7792)</f>
        <v>&lt;cellule&gt;&lt;codeEdi&gt;2094&lt;/codeEdi&gt;&lt;/cellule&gt;</v>
      </c>
    </row>
    <row r="7792" spans="1:1" x14ac:dyDescent="0.2">
      <c r="A7792" s="1135" t="str">
        <f>CONCATENATE(Programme!C7793,Programme!D7793,Programme!E7793,Programme!F7793,Programme!G7793,Programme!H7793,Programme!I7793)</f>
        <v>&lt;valeur&gt;&lt;/valeur&gt;</v>
      </c>
    </row>
    <row r="7793" spans="1:1" x14ac:dyDescent="0.2">
      <c r="A7793" s="1135" t="str">
        <f>CONCATENATE(Programme!C7794,Programme!D7794,Programme!E7794,Programme!F7794,Programme!G7794,Programme!H7794,Programme!I7794)</f>
        <v>&lt;numeroLigne&gt;1&lt;/numeroLigne&gt;</v>
      </c>
    </row>
    <row r="7794" spans="1:1" x14ac:dyDescent="0.2">
      <c r="A7794" s="1135" t="str">
        <f>CONCATENATE(Programme!C7795,Programme!D7795,Programme!E7795,Programme!F7795,Programme!G7795,Programme!H7795,Programme!I7795)</f>
        <v>&lt;/ValeurCellule&gt;</v>
      </c>
    </row>
    <row r="7795" spans="1:1" x14ac:dyDescent="0.2">
      <c r="A7795" s="1135" t="str">
        <f>CONCATENATE(Programme!C7796,Programme!D7796,Programme!E7796,Programme!F7796,Programme!G7796,Programme!H7796,Programme!I7796)</f>
        <v>&lt;ValeurCellule&gt;</v>
      </c>
    </row>
    <row r="7796" spans="1:1" x14ac:dyDescent="0.2">
      <c r="A7796" s="1135" t="str">
        <f>CONCATENATE(Programme!C7797,Programme!D7797,Programme!E7797,Programme!F7797,Programme!G7797,Programme!H7797,Programme!I7797)</f>
        <v>&lt;cellule&gt;&lt;codeEdi&gt;13536&lt;/codeEdi&gt;&lt;/cellule&gt;</v>
      </c>
    </row>
    <row r="7797" spans="1:1" x14ac:dyDescent="0.2">
      <c r="A7797" s="1135" t="str">
        <f>CONCATENATE(Programme!C7798,Programme!D7798,Programme!E7798,Programme!F7798,Programme!G7798,Programme!H7798,Programme!I7798)</f>
        <v>&lt;valeur&gt;&lt;/valeur&gt;</v>
      </c>
    </row>
    <row r="7798" spans="1:1" x14ac:dyDescent="0.2">
      <c r="A7798" s="1135" t="str">
        <f>CONCATENATE(Programme!C7799,Programme!D7799,Programme!E7799,Programme!F7799,Programme!G7799,Programme!H7799,Programme!I7799)</f>
        <v>&lt;numeroLigne&gt;1&lt;/numeroLigne&gt;</v>
      </c>
    </row>
    <row r="7799" spans="1:1" x14ac:dyDescent="0.2">
      <c r="A7799" s="1135" t="str">
        <f>CONCATENATE(Programme!C7800,Programme!D7800,Programme!E7800,Programme!F7800,Programme!G7800,Programme!H7800,Programme!I7800)</f>
        <v>&lt;/ValeurCellule&gt;</v>
      </c>
    </row>
    <row r="7800" spans="1:1" x14ac:dyDescent="0.2">
      <c r="A7800" s="1135" t="str">
        <f>CONCATENATE(Programme!C7801,Programme!D7801,Programme!E7801,Programme!F7801,Programme!G7801,Programme!H7801,Programme!I7801)</f>
        <v>&lt;ValeurCellule&gt;</v>
      </c>
    </row>
    <row r="7801" spans="1:1" x14ac:dyDescent="0.2">
      <c r="A7801" s="1135" t="str">
        <f>CONCATENATE(Programme!C7802,Programme!D7802,Programme!E7802,Programme!F7802,Programme!G7802,Programme!H7802,Programme!I7802)</f>
        <v>&lt;cellule&gt;&lt;codeEdi&gt;13537&lt;/codeEdi&gt;&lt;/cellule&gt;</v>
      </c>
    </row>
    <row r="7802" spans="1:1" x14ac:dyDescent="0.2">
      <c r="A7802" s="1135" t="str">
        <f>CONCATENATE(Programme!C7803,Programme!D7803,Programme!E7803,Programme!F7803,Programme!G7803,Programme!H7803,Programme!I7803)</f>
        <v>&lt;valeur&gt;&lt;/valeur&gt;</v>
      </c>
    </row>
    <row r="7803" spans="1:1" x14ac:dyDescent="0.2">
      <c r="A7803" s="1135" t="str">
        <f>CONCATENATE(Programme!C7804,Programme!D7804,Programme!E7804,Programme!F7804,Programme!G7804,Programme!H7804,Programme!I7804)</f>
        <v>&lt;numeroLigne&gt;1&lt;/numeroLigne&gt;</v>
      </c>
    </row>
    <row r="7804" spans="1:1" x14ac:dyDescent="0.2">
      <c r="A7804" s="1135" t="str">
        <f>CONCATENATE(Programme!C7805,Programme!D7805,Programme!E7805,Programme!F7805,Programme!G7805,Programme!H7805,Programme!I7805)</f>
        <v>&lt;/ValeurCellule&gt;</v>
      </c>
    </row>
    <row r="7805" spans="1:1" x14ac:dyDescent="0.2">
      <c r="A7805" s="1135" t="str">
        <f>CONCATENATE(Programme!C7806,Programme!D7806,Programme!E7806,Programme!F7806,Programme!G7806,Programme!H7806,Programme!I7806)</f>
        <v>&lt;ValeurCellule&gt;</v>
      </c>
    </row>
    <row r="7806" spans="1:1" x14ac:dyDescent="0.2">
      <c r="A7806" s="1135" t="str">
        <f>CONCATENATE(Programme!C7807,Programme!D7807,Programme!E7807,Programme!F7807,Programme!G7807,Programme!H7807,Programme!I7807)</f>
        <v>&lt;cellule&gt;&lt;codeEdi&gt;2095&lt;/codeEdi&gt;&lt;/cellule&gt;</v>
      </c>
    </row>
    <row r="7807" spans="1:1" x14ac:dyDescent="0.2">
      <c r="A7807" s="1135" t="str">
        <f>CONCATENATE(Programme!C7808,Programme!D7808,Programme!E7808,Programme!F7808,Programme!G7808,Programme!H7808,Programme!I7808)</f>
        <v>&lt;valeur&gt;&lt;/valeur&gt;</v>
      </c>
    </row>
    <row r="7808" spans="1:1" x14ac:dyDescent="0.2">
      <c r="A7808" s="1135" t="str">
        <f>CONCATENATE(Programme!C7809,Programme!D7809,Programme!E7809,Programme!F7809,Programme!G7809,Programme!H7809,Programme!I7809)</f>
        <v>&lt;numeroLigne&gt;1&lt;/numeroLigne&gt;</v>
      </c>
    </row>
    <row r="7809" spans="1:1" x14ac:dyDescent="0.2">
      <c r="A7809" s="1135" t="str">
        <f>CONCATENATE(Programme!C7810,Programme!D7810,Programme!E7810,Programme!F7810,Programme!G7810,Programme!H7810,Programme!I7810)</f>
        <v>&lt;/ValeurCellule&gt;</v>
      </c>
    </row>
    <row r="7810" spans="1:1" x14ac:dyDescent="0.2">
      <c r="A7810" s="1135" t="str">
        <f>CONCATENATE(Programme!C7811,Programme!D7811,Programme!E7811,Programme!F7811,Programme!G7811,Programme!H7811,Programme!I7811)</f>
        <v>&lt;ValeurCellule&gt;</v>
      </c>
    </row>
    <row r="7811" spans="1:1" x14ac:dyDescent="0.2">
      <c r="A7811" s="1135" t="str">
        <f>CONCATENATE(Programme!C7812,Programme!D7812,Programme!E7812,Programme!F7812,Programme!G7812,Programme!H7812,Programme!I7812)</f>
        <v>&lt;cellule&gt;&lt;codeEdi&gt;2096&lt;/codeEdi&gt;&lt;/cellule&gt;</v>
      </c>
    </row>
    <row r="7812" spans="1:1" x14ac:dyDescent="0.2">
      <c r="A7812" s="1135" t="str">
        <f>CONCATENATE(Programme!C7813,Programme!D7813,Programme!E7813,Programme!F7813,Programme!G7813,Programme!H7813,Programme!I7813)</f>
        <v>&lt;valeur&gt;&lt;/valeur&gt;</v>
      </c>
    </row>
    <row r="7813" spans="1:1" x14ac:dyDescent="0.2">
      <c r="A7813" s="1135" t="str">
        <f>CONCATENATE(Programme!C7814,Programme!D7814,Programme!E7814,Programme!F7814,Programme!G7814,Programme!H7814,Programme!I7814)</f>
        <v>&lt;numeroLigne&gt;1&lt;/numeroLigne&gt;</v>
      </c>
    </row>
    <row r="7814" spans="1:1" x14ac:dyDescent="0.2">
      <c r="A7814" s="1135" t="str">
        <f>CONCATENATE(Programme!C7815,Programme!D7815,Programme!E7815,Programme!F7815,Programme!G7815,Programme!H7815,Programme!I7815)</f>
        <v>&lt;/ValeurCellule&gt;</v>
      </c>
    </row>
    <row r="7815" spans="1:1" x14ac:dyDescent="0.2">
      <c r="A7815" s="1135" t="str">
        <f>CONCATENATE(Programme!C7816,Programme!D7816,Programme!E7816,Programme!F7816,Programme!G7816,Programme!H7816,Programme!I7816)</f>
        <v>&lt;ValeurCellule&gt;</v>
      </c>
    </row>
    <row r="7816" spans="1:1" x14ac:dyDescent="0.2">
      <c r="A7816" s="1135" t="str">
        <f>CONCATENATE(Programme!C7817,Programme!D7817,Programme!E7817,Programme!F7817,Programme!G7817,Programme!H7817,Programme!I7817)</f>
        <v>&lt;cellule&gt;&lt;codeEdi&gt;2097&lt;/codeEdi&gt;&lt;/cellule&gt;</v>
      </c>
    </row>
    <row r="7817" spans="1:1" x14ac:dyDescent="0.2">
      <c r="A7817" s="1135" t="str">
        <f>CONCATENATE(Programme!C7818,Programme!D7818,Programme!E7818,Programme!F7818,Programme!G7818,Programme!H7818,Programme!I7818)</f>
        <v>&lt;valeur&gt;&lt;/valeur&gt;</v>
      </c>
    </row>
    <row r="7818" spans="1:1" x14ac:dyDescent="0.2">
      <c r="A7818" s="1135" t="str">
        <f>CONCATENATE(Programme!C7819,Programme!D7819,Programme!E7819,Programme!F7819,Programme!G7819,Programme!H7819,Programme!I7819)</f>
        <v>&lt;numeroLigne&gt;1&lt;/numeroLigne&gt;</v>
      </c>
    </row>
    <row r="7819" spans="1:1" x14ac:dyDescent="0.2">
      <c r="A7819" s="1135" t="str">
        <f>CONCATENATE(Programme!C7820,Programme!D7820,Programme!E7820,Programme!F7820,Programme!G7820,Programme!H7820,Programme!I7820)</f>
        <v>&lt;/ValeurCellule&gt;</v>
      </c>
    </row>
    <row r="7820" spans="1:1" x14ac:dyDescent="0.2">
      <c r="A7820" s="1135" t="str">
        <f>CONCATENATE(Programme!C7821,Programme!D7821,Programme!E7821,Programme!F7821,Programme!G7821,Programme!H7821,Programme!I7821)</f>
        <v>&lt;ValeurCellule&gt;</v>
      </c>
    </row>
    <row r="7821" spans="1:1" x14ac:dyDescent="0.2">
      <c r="A7821" s="1135" t="str">
        <f>CONCATENATE(Programme!C7822,Programme!D7822,Programme!E7822,Programme!F7822,Programme!G7822,Programme!H7822,Programme!I7822)</f>
        <v>&lt;cellule&gt;&lt;codeEdi&gt;2098&lt;/codeEdi&gt;&lt;/cellule&gt;</v>
      </c>
    </row>
    <row r="7822" spans="1:1" x14ac:dyDescent="0.2">
      <c r="A7822" s="1135" t="str">
        <f>CONCATENATE(Programme!C7823,Programme!D7823,Programme!E7823,Programme!F7823,Programme!G7823,Programme!H7823,Programme!I7823)</f>
        <v>&lt;valeur&gt;&lt;/valeur&gt;</v>
      </c>
    </row>
    <row r="7823" spans="1:1" x14ac:dyDescent="0.2">
      <c r="A7823" s="1135" t="str">
        <f>CONCATENATE(Programme!C7824,Programme!D7824,Programme!E7824,Programme!F7824,Programme!G7824,Programme!H7824,Programme!I7824)</f>
        <v>&lt;numeroLigne&gt;1&lt;/numeroLigne&gt;</v>
      </c>
    </row>
    <row r="7824" spans="1:1" x14ac:dyDescent="0.2">
      <c r="A7824" s="1135" t="str">
        <f>CONCATENATE(Programme!C7825,Programme!D7825,Programme!E7825,Programme!F7825,Programme!G7825,Programme!H7825,Programme!I7825)</f>
        <v>&lt;/ValeurCellule&gt;</v>
      </c>
    </row>
    <row r="7825" spans="1:1" x14ac:dyDescent="0.2">
      <c r="A7825" s="1135" t="str">
        <f>CONCATENATE(Programme!C7826,Programme!D7826,Programme!E7826,Programme!F7826,Programme!G7826,Programme!H7826,Programme!I7826)</f>
        <v>&lt;ValeurCellule&gt;</v>
      </c>
    </row>
    <row r="7826" spans="1:1" x14ac:dyDescent="0.2">
      <c r="A7826" s="1135" t="str">
        <f>CONCATENATE(Programme!C7827,Programme!D7827,Programme!E7827,Programme!F7827,Programme!G7827,Programme!H7827,Programme!I7827)</f>
        <v>&lt;cellule&gt;&lt;codeEdi&gt;2099&lt;/codeEdi&gt;&lt;/cellule&gt;</v>
      </c>
    </row>
    <row r="7827" spans="1:1" x14ac:dyDescent="0.2">
      <c r="A7827" s="1135" t="str">
        <f>CONCATENATE(Programme!C7828,Programme!D7828,Programme!E7828,Programme!F7828,Programme!G7828,Programme!H7828,Programme!I7828)</f>
        <v>&lt;valeur&gt;&lt;/valeur&gt;</v>
      </c>
    </row>
    <row r="7828" spans="1:1" x14ac:dyDescent="0.2">
      <c r="A7828" s="1135" t="str">
        <f>CONCATENATE(Programme!C7829,Programme!D7829,Programme!E7829,Programme!F7829,Programme!G7829,Programme!H7829,Programme!I7829)</f>
        <v>&lt;numeroLigne&gt;1&lt;/numeroLigne&gt;</v>
      </c>
    </row>
    <row r="7829" spans="1:1" x14ac:dyDescent="0.2">
      <c r="A7829" s="1135" t="str">
        <f>CONCATENATE(Programme!C7830,Programme!D7830,Programme!E7830,Programme!F7830,Programme!G7830,Programme!H7830,Programme!I7830)</f>
        <v>&lt;/ValeurCellule&gt;</v>
      </c>
    </row>
    <row r="7830" spans="1:1" x14ac:dyDescent="0.2">
      <c r="A7830" s="1135" t="str">
        <f>CONCATENATE(Programme!C7831,Programme!D7831,Programme!E7831,Programme!F7831,Programme!G7831,Programme!H7831,Programme!I7831)</f>
        <v>&lt;ValeurCellule&gt;</v>
      </c>
    </row>
    <row r="7831" spans="1:1" x14ac:dyDescent="0.2">
      <c r="A7831" s="1135" t="str">
        <f>CONCATENATE(Programme!C7832,Programme!D7832,Programme!E7832,Programme!F7832,Programme!G7832,Programme!H7832,Programme!I7832)</f>
        <v>&lt;cellule&gt;&lt;codeEdi&gt;2100&lt;/codeEdi&gt;&lt;/cellule&gt;</v>
      </c>
    </row>
    <row r="7832" spans="1:1" x14ac:dyDescent="0.2">
      <c r="A7832" s="1135" t="str">
        <f>CONCATENATE(Programme!C7833,Programme!D7833,Programme!E7833,Programme!F7833,Programme!G7833,Programme!H7833,Programme!I7833)</f>
        <v>&lt;valeur&gt;&lt;/valeur&gt;</v>
      </c>
    </row>
    <row r="7833" spans="1:1" x14ac:dyDescent="0.2">
      <c r="A7833" s="1135" t="str">
        <f>CONCATENATE(Programme!C7834,Programme!D7834,Programme!E7834,Programme!F7834,Programme!G7834,Programme!H7834,Programme!I7834)</f>
        <v>&lt;numeroLigne&gt;1&lt;/numeroLigne&gt;</v>
      </c>
    </row>
    <row r="7834" spans="1:1" x14ac:dyDescent="0.2">
      <c r="A7834" s="1135" t="str">
        <f>CONCATENATE(Programme!C7835,Programme!D7835,Programme!E7835,Programme!F7835,Programme!G7835,Programme!H7835,Programme!I7835)</f>
        <v>&lt;/ValeurCellule&gt;</v>
      </c>
    </row>
    <row r="7835" spans="1:1" x14ac:dyDescent="0.2">
      <c r="A7835" s="1135" t="str">
        <f>CONCATENATE(Programme!C7836,Programme!D7836,Programme!E7836,Programme!F7836,Programme!G7836,Programme!H7836,Programme!I7836)</f>
        <v>&lt;ValeurCellule&gt;</v>
      </c>
    </row>
    <row r="7836" spans="1:1" x14ac:dyDescent="0.2">
      <c r="A7836" s="1135" t="str">
        <f>CONCATENATE(Programme!C7837,Programme!D7837,Programme!E7837,Programme!F7837,Programme!G7837,Programme!H7837,Programme!I7837)</f>
        <v>&lt;cellule&gt;&lt;codeEdi&gt;2101&lt;/codeEdi&gt;&lt;/cellule&gt;</v>
      </c>
    </row>
    <row r="7837" spans="1:1" x14ac:dyDescent="0.2">
      <c r="A7837" s="1135" t="str">
        <f>CONCATENATE(Programme!C7838,Programme!D7838,Programme!E7838,Programme!F7838,Programme!G7838,Programme!H7838,Programme!I7838)</f>
        <v>&lt;valeur&gt;&lt;/valeur&gt;</v>
      </c>
    </row>
    <row r="7838" spans="1:1" x14ac:dyDescent="0.2">
      <c r="A7838" s="1135" t="str">
        <f>CONCATENATE(Programme!C7839,Programme!D7839,Programme!E7839,Programme!F7839,Programme!G7839,Programme!H7839,Programme!I7839)</f>
        <v>&lt;numeroLigne&gt;1&lt;/numeroLigne&gt;</v>
      </c>
    </row>
    <row r="7839" spans="1:1" x14ac:dyDescent="0.2">
      <c r="A7839" s="1135" t="str">
        <f>CONCATENATE(Programme!C7840,Programme!D7840,Programme!E7840,Programme!F7840,Programme!G7840,Programme!H7840,Programme!I7840)</f>
        <v>&lt;/ValeurCellule&gt;</v>
      </c>
    </row>
    <row r="7840" spans="1:1" x14ac:dyDescent="0.2">
      <c r="A7840" s="1135" t="str">
        <f>CONCATENATE(Programme!C7841,Programme!D7841,Programme!E7841,Programme!F7841,Programme!G7841,Programme!H7841,Programme!I7841)</f>
        <v>&lt;ValeurCellule&gt;</v>
      </c>
    </row>
    <row r="7841" spans="1:1" x14ac:dyDescent="0.2">
      <c r="A7841" s="1135" t="str">
        <f>CONCATENATE(Programme!C7842,Programme!D7842,Programme!E7842,Programme!F7842,Programme!G7842,Programme!H7842,Programme!I7842)</f>
        <v>&lt;cellule&gt;&lt;codeEdi&gt;2094&lt;/codeEdi&gt;&lt;/cellule&gt;</v>
      </c>
    </row>
    <row r="7842" spans="1:1" x14ac:dyDescent="0.2">
      <c r="A7842" s="1135" t="str">
        <f>CONCATENATE(Programme!C7843,Programme!D7843,Programme!E7843,Programme!F7843,Programme!G7843,Programme!H7843,Programme!I7843)</f>
        <v>&lt;valeur&gt;&lt;/valeur&gt;</v>
      </c>
    </row>
    <row r="7843" spans="1:1" x14ac:dyDescent="0.2">
      <c r="A7843" s="1135" t="str">
        <f>CONCATENATE(Programme!C7844,Programme!D7844,Programme!E7844,Programme!F7844,Programme!G7844,Programme!H7844,Programme!I7844)</f>
        <v>&lt;numeroLigne&gt;2&lt;/numeroLigne&gt;</v>
      </c>
    </row>
    <row r="7844" spans="1:1" x14ac:dyDescent="0.2">
      <c r="A7844" s="1135" t="str">
        <f>CONCATENATE(Programme!C7845,Programme!D7845,Programme!E7845,Programme!F7845,Programme!G7845,Programme!H7845,Programme!I7845)</f>
        <v>&lt;/ValeurCellule&gt;</v>
      </c>
    </row>
    <row r="7845" spans="1:1" x14ac:dyDescent="0.2">
      <c r="A7845" s="1135" t="str">
        <f>CONCATENATE(Programme!C7846,Programme!D7846,Programme!E7846,Programme!F7846,Programme!G7846,Programme!H7846,Programme!I7846)</f>
        <v>&lt;ValeurCellule&gt;</v>
      </c>
    </row>
    <row r="7846" spans="1:1" x14ac:dyDescent="0.2">
      <c r="A7846" s="1135" t="str">
        <f>CONCATENATE(Programme!C7847,Programme!D7847,Programme!E7847,Programme!F7847,Programme!G7847,Programme!H7847,Programme!I7847)</f>
        <v>&lt;cellule&gt;&lt;codeEdi&gt;13536&lt;/codeEdi&gt;&lt;/cellule&gt;</v>
      </c>
    </row>
    <row r="7847" spans="1:1" x14ac:dyDescent="0.2">
      <c r="A7847" s="1135" t="str">
        <f>CONCATENATE(Programme!C7848,Programme!D7848,Programme!E7848,Programme!F7848,Programme!G7848,Programme!H7848,Programme!I7848)</f>
        <v>&lt;valeur&gt;&lt;/valeur&gt;</v>
      </c>
    </row>
    <row r="7848" spans="1:1" x14ac:dyDescent="0.2">
      <c r="A7848" s="1135" t="str">
        <f>CONCATENATE(Programme!C7849,Programme!D7849,Programme!E7849,Programme!F7849,Programme!G7849,Programme!H7849,Programme!I7849)</f>
        <v>&lt;numeroLigne&gt;2&lt;/numeroLigne&gt;</v>
      </c>
    </row>
    <row r="7849" spans="1:1" x14ac:dyDescent="0.2">
      <c r="A7849" s="1135" t="str">
        <f>CONCATENATE(Programme!C7850,Programme!D7850,Programme!E7850,Programme!F7850,Programme!G7850,Programme!H7850,Programme!I7850)</f>
        <v>&lt;/ValeurCellule&gt;</v>
      </c>
    </row>
    <row r="7850" spans="1:1" x14ac:dyDescent="0.2">
      <c r="A7850" s="1135" t="str">
        <f>CONCATENATE(Programme!C7851,Programme!D7851,Programme!E7851,Programme!F7851,Programme!G7851,Programme!H7851,Programme!I7851)</f>
        <v>&lt;ValeurCellule&gt;</v>
      </c>
    </row>
    <row r="7851" spans="1:1" x14ac:dyDescent="0.2">
      <c r="A7851" s="1135" t="str">
        <f>CONCATENATE(Programme!C7852,Programme!D7852,Programme!E7852,Programme!F7852,Programme!G7852,Programme!H7852,Programme!I7852)</f>
        <v>&lt;cellule&gt;&lt;codeEdi&gt;13537&lt;/codeEdi&gt;&lt;/cellule&gt;</v>
      </c>
    </row>
    <row r="7852" spans="1:1" x14ac:dyDescent="0.2">
      <c r="A7852" s="1135" t="str">
        <f>CONCATENATE(Programme!C7853,Programme!D7853,Programme!E7853,Programme!F7853,Programme!G7853,Programme!H7853,Programme!I7853)</f>
        <v>&lt;valeur&gt;&lt;/valeur&gt;</v>
      </c>
    </row>
    <row r="7853" spans="1:1" x14ac:dyDescent="0.2">
      <c r="A7853" s="1135" t="str">
        <f>CONCATENATE(Programme!C7854,Programme!D7854,Programme!E7854,Programme!F7854,Programme!G7854,Programme!H7854,Programme!I7854)</f>
        <v>&lt;numeroLigne&gt;2&lt;/numeroLigne&gt;</v>
      </c>
    </row>
    <row r="7854" spans="1:1" x14ac:dyDescent="0.2">
      <c r="A7854" s="1135" t="str">
        <f>CONCATENATE(Programme!C7855,Programme!D7855,Programme!E7855,Programme!F7855,Programme!G7855,Programme!H7855,Programme!I7855)</f>
        <v>&lt;/ValeurCellule&gt;</v>
      </c>
    </row>
    <row r="7855" spans="1:1" x14ac:dyDescent="0.2">
      <c r="A7855" s="1135" t="str">
        <f>CONCATENATE(Programme!C7856,Programme!D7856,Programme!E7856,Programme!F7856,Programme!G7856,Programme!H7856,Programme!I7856)</f>
        <v>&lt;ValeurCellule&gt;</v>
      </c>
    </row>
    <row r="7856" spans="1:1" x14ac:dyDescent="0.2">
      <c r="A7856" s="1135" t="str">
        <f>CONCATENATE(Programme!C7857,Programme!D7857,Programme!E7857,Programme!F7857,Programme!G7857,Programme!H7857,Programme!I7857)</f>
        <v>&lt;cellule&gt;&lt;codeEdi&gt;2095&lt;/codeEdi&gt;&lt;/cellule&gt;</v>
      </c>
    </row>
    <row r="7857" spans="1:1" x14ac:dyDescent="0.2">
      <c r="A7857" s="1135" t="str">
        <f>CONCATENATE(Programme!C7858,Programme!D7858,Programme!E7858,Programme!F7858,Programme!G7858,Programme!H7858,Programme!I7858)</f>
        <v>&lt;valeur&gt;&lt;/valeur&gt;</v>
      </c>
    </row>
    <row r="7858" spans="1:1" x14ac:dyDescent="0.2">
      <c r="A7858" s="1135" t="str">
        <f>CONCATENATE(Programme!C7859,Programme!D7859,Programme!E7859,Programme!F7859,Programme!G7859,Programme!H7859,Programme!I7859)</f>
        <v>&lt;numeroLigne&gt;2&lt;/numeroLigne&gt;</v>
      </c>
    </row>
    <row r="7859" spans="1:1" x14ac:dyDescent="0.2">
      <c r="A7859" s="1135" t="str">
        <f>CONCATENATE(Programme!C7860,Programme!D7860,Programme!E7860,Programme!F7860,Programme!G7860,Programme!H7860,Programme!I7860)</f>
        <v>&lt;/ValeurCellule&gt;</v>
      </c>
    </row>
    <row r="7860" spans="1:1" x14ac:dyDescent="0.2">
      <c r="A7860" s="1135" t="str">
        <f>CONCATENATE(Programme!C7861,Programme!D7861,Programme!E7861,Programme!F7861,Programme!G7861,Programme!H7861,Programme!I7861)</f>
        <v>&lt;ValeurCellule&gt;</v>
      </c>
    </row>
    <row r="7861" spans="1:1" x14ac:dyDescent="0.2">
      <c r="A7861" s="1135" t="str">
        <f>CONCATENATE(Programme!C7862,Programme!D7862,Programme!E7862,Programme!F7862,Programme!G7862,Programme!H7862,Programme!I7862)</f>
        <v>&lt;cellule&gt;&lt;codeEdi&gt;2096&lt;/codeEdi&gt;&lt;/cellule&gt;</v>
      </c>
    </row>
    <row r="7862" spans="1:1" x14ac:dyDescent="0.2">
      <c r="A7862" s="1135" t="str">
        <f>CONCATENATE(Programme!C7863,Programme!D7863,Programme!E7863,Programme!F7863,Programme!G7863,Programme!H7863,Programme!I7863)</f>
        <v>&lt;valeur&gt;&lt;/valeur&gt;</v>
      </c>
    </row>
    <row r="7863" spans="1:1" x14ac:dyDescent="0.2">
      <c r="A7863" s="1135" t="str">
        <f>CONCATENATE(Programme!C7864,Programme!D7864,Programme!E7864,Programme!F7864,Programme!G7864,Programme!H7864,Programme!I7864)</f>
        <v>&lt;numeroLigne&gt;2&lt;/numeroLigne&gt;</v>
      </c>
    </row>
    <row r="7864" spans="1:1" x14ac:dyDescent="0.2">
      <c r="A7864" s="1135" t="str">
        <f>CONCATENATE(Programme!C7865,Programme!D7865,Programme!E7865,Programme!F7865,Programme!G7865,Programme!H7865,Programme!I7865)</f>
        <v>&lt;/ValeurCellule&gt;</v>
      </c>
    </row>
    <row r="7865" spans="1:1" x14ac:dyDescent="0.2">
      <c r="A7865" s="1135" t="str">
        <f>CONCATENATE(Programme!C7866,Programme!D7866,Programme!E7866,Programme!F7866,Programme!G7866,Programme!H7866,Programme!I7866)</f>
        <v>&lt;ValeurCellule&gt;</v>
      </c>
    </row>
    <row r="7866" spans="1:1" x14ac:dyDescent="0.2">
      <c r="A7866" s="1135" t="str">
        <f>CONCATENATE(Programme!C7867,Programme!D7867,Programme!E7867,Programme!F7867,Programme!G7867,Programme!H7867,Programme!I7867)</f>
        <v>&lt;cellule&gt;&lt;codeEdi&gt;2097&lt;/codeEdi&gt;&lt;/cellule&gt;</v>
      </c>
    </row>
    <row r="7867" spans="1:1" x14ac:dyDescent="0.2">
      <c r="A7867" s="1135" t="str">
        <f>CONCATENATE(Programme!C7868,Programme!D7868,Programme!E7868,Programme!F7868,Programme!G7868,Programme!H7868,Programme!I7868)</f>
        <v>&lt;valeur&gt;&lt;/valeur&gt;</v>
      </c>
    </row>
    <row r="7868" spans="1:1" x14ac:dyDescent="0.2">
      <c r="A7868" s="1135" t="str">
        <f>CONCATENATE(Programme!C7869,Programme!D7869,Programme!E7869,Programme!F7869,Programme!G7869,Programme!H7869,Programme!I7869)</f>
        <v>&lt;numeroLigne&gt;2&lt;/numeroLigne&gt;</v>
      </c>
    </row>
    <row r="7869" spans="1:1" x14ac:dyDescent="0.2">
      <c r="A7869" s="1135" t="str">
        <f>CONCATENATE(Programme!C7870,Programme!D7870,Programme!E7870,Programme!F7870,Programme!G7870,Programme!H7870,Programme!I7870)</f>
        <v>&lt;/ValeurCellule&gt;</v>
      </c>
    </row>
    <row r="7870" spans="1:1" x14ac:dyDescent="0.2">
      <c r="A7870" s="1135" t="str">
        <f>CONCATENATE(Programme!C7871,Programme!D7871,Programme!E7871,Programme!F7871,Programme!G7871,Programme!H7871,Programme!I7871)</f>
        <v>&lt;ValeurCellule&gt;</v>
      </c>
    </row>
    <row r="7871" spans="1:1" x14ac:dyDescent="0.2">
      <c r="A7871" s="1135" t="str">
        <f>CONCATENATE(Programme!C7872,Programme!D7872,Programme!E7872,Programme!F7872,Programme!G7872,Programme!H7872,Programme!I7872)</f>
        <v>&lt;cellule&gt;&lt;codeEdi&gt;2098&lt;/codeEdi&gt;&lt;/cellule&gt;</v>
      </c>
    </row>
    <row r="7872" spans="1:1" x14ac:dyDescent="0.2">
      <c r="A7872" s="1135" t="str">
        <f>CONCATENATE(Programme!C7873,Programme!D7873,Programme!E7873,Programme!F7873,Programme!G7873,Programme!H7873,Programme!I7873)</f>
        <v>&lt;valeur&gt;&lt;/valeur&gt;</v>
      </c>
    </row>
    <row r="7873" spans="1:1" x14ac:dyDescent="0.2">
      <c r="A7873" s="1135" t="str">
        <f>CONCATENATE(Programme!C7874,Programme!D7874,Programme!E7874,Programme!F7874,Programme!G7874,Programme!H7874,Programme!I7874)</f>
        <v>&lt;numeroLigne&gt;2&lt;/numeroLigne&gt;</v>
      </c>
    </row>
    <row r="7874" spans="1:1" x14ac:dyDescent="0.2">
      <c r="A7874" s="1135" t="str">
        <f>CONCATENATE(Programme!C7875,Programme!D7875,Programme!E7875,Programme!F7875,Programme!G7875,Programme!H7875,Programme!I7875)</f>
        <v>&lt;/ValeurCellule&gt;</v>
      </c>
    </row>
    <row r="7875" spans="1:1" x14ac:dyDescent="0.2">
      <c r="A7875" s="1135" t="str">
        <f>CONCATENATE(Programme!C7876,Programme!D7876,Programme!E7876,Programme!F7876,Programme!G7876,Programme!H7876,Programme!I7876)</f>
        <v>&lt;ValeurCellule&gt;</v>
      </c>
    </row>
    <row r="7876" spans="1:1" x14ac:dyDescent="0.2">
      <c r="A7876" s="1135" t="str">
        <f>CONCATENATE(Programme!C7877,Programme!D7877,Programme!E7877,Programme!F7877,Programme!G7877,Programme!H7877,Programme!I7877)</f>
        <v>&lt;cellule&gt;&lt;codeEdi&gt;2099&lt;/codeEdi&gt;&lt;/cellule&gt;</v>
      </c>
    </row>
    <row r="7877" spans="1:1" x14ac:dyDescent="0.2">
      <c r="A7877" s="1135" t="str">
        <f>CONCATENATE(Programme!C7878,Programme!D7878,Programme!E7878,Programme!F7878,Programme!G7878,Programme!H7878,Programme!I7878)</f>
        <v>&lt;valeur&gt;0&lt;/valeur&gt;</v>
      </c>
    </row>
    <row r="7878" spans="1:1" x14ac:dyDescent="0.2">
      <c r="A7878" s="1135" t="str">
        <f>CONCATENATE(Programme!C7879,Programme!D7879,Programme!E7879,Programme!F7879,Programme!G7879,Programme!H7879,Programme!I7879)</f>
        <v>&lt;numeroLigne&gt;2&lt;/numeroLigne&gt;</v>
      </c>
    </row>
    <row r="7879" spans="1:1" x14ac:dyDescent="0.2">
      <c r="A7879" s="1135" t="str">
        <f>CONCATENATE(Programme!C7880,Programme!D7880,Programme!E7880,Programme!F7880,Programme!G7880,Programme!H7880,Programme!I7880)</f>
        <v>&lt;/ValeurCellule&gt;</v>
      </c>
    </row>
    <row r="7880" spans="1:1" x14ac:dyDescent="0.2">
      <c r="A7880" s="1135" t="str">
        <f>CONCATENATE(Programme!C7881,Programme!D7881,Programme!E7881,Programme!F7881,Programme!G7881,Programme!H7881,Programme!I7881)</f>
        <v>&lt;ValeurCellule&gt;</v>
      </c>
    </row>
    <row r="7881" spans="1:1" x14ac:dyDescent="0.2">
      <c r="A7881" s="1135" t="str">
        <f>CONCATENATE(Programme!C7882,Programme!D7882,Programme!E7882,Programme!F7882,Programme!G7882,Programme!H7882,Programme!I7882)</f>
        <v>&lt;cellule&gt;&lt;codeEdi&gt;2100&lt;/codeEdi&gt;&lt;/cellule&gt;</v>
      </c>
    </row>
    <row r="7882" spans="1:1" x14ac:dyDescent="0.2">
      <c r="A7882" s="1135" t="str">
        <f>CONCATENATE(Programme!C7883,Programme!D7883,Programme!E7883,Programme!F7883,Programme!G7883,Programme!H7883,Programme!I7883)</f>
        <v>&lt;valeur&gt;0&lt;/valeur&gt;</v>
      </c>
    </row>
    <row r="7883" spans="1:1" x14ac:dyDescent="0.2">
      <c r="A7883" s="1135" t="str">
        <f>CONCATENATE(Programme!C7884,Programme!D7884,Programme!E7884,Programme!F7884,Programme!G7884,Programme!H7884,Programme!I7884)</f>
        <v>&lt;numeroLigne&gt;2&lt;/numeroLigne&gt;</v>
      </c>
    </row>
    <row r="7884" spans="1:1" x14ac:dyDescent="0.2">
      <c r="A7884" s="1135" t="str">
        <f>CONCATENATE(Programme!C7885,Programme!D7885,Programme!E7885,Programme!F7885,Programme!G7885,Programme!H7885,Programme!I7885)</f>
        <v>&lt;/ValeurCellule&gt;</v>
      </c>
    </row>
    <row r="7885" spans="1:1" x14ac:dyDescent="0.2">
      <c r="A7885" s="1135" t="str">
        <f>CONCATENATE(Programme!C7886,Programme!D7886,Programme!E7886,Programme!F7886,Programme!G7886,Programme!H7886,Programme!I7886)</f>
        <v>&lt;ValeurCellule&gt;</v>
      </c>
    </row>
    <row r="7886" spans="1:1" x14ac:dyDescent="0.2">
      <c r="A7886" s="1135" t="str">
        <f>CONCATENATE(Programme!C7887,Programme!D7887,Programme!E7887,Programme!F7887,Programme!G7887,Programme!H7887,Programme!I7887)</f>
        <v>&lt;cellule&gt;&lt;codeEdi&gt;2101&lt;/codeEdi&gt;&lt;/cellule&gt;</v>
      </c>
    </row>
    <row r="7887" spans="1:1" x14ac:dyDescent="0.2">
      <c r="A7887" s="1135" t="str">
        <f>CONCATENATE(Programme!C7888,Programme!D7888,Programme!E7888,Programme!F7888,Programme!G7888,Programme!H7888,Programme!I7888)</f>
        <v>&lt;valeur&gt;0&lt;/valeur&gt;</v>
      </c>
    </row>
    <row r="7888" spans="1:1" x14ac:dyDescent="0.2">
      <c r="A7888" s="1135" t="str">
        <f>CONCATENATE(Programme!C7889,Programme!D7889,Programme!E7889,Programme!F7889,Programme!G7889,Programme!H7889,Programme!I7889)</f>
        <v>&lt;numeroLigne&gt;2&lt;/numeroLigne&gt;</v>
      </c>
    </row>
    <row r="7889" spans="1:1" x14ac:dyDescent="0.2">
      <c r="A7889" s="1135" t="str">
        <f>CONCATENATE(Programme!C7890,Programme!D7890,Programme!E7890,Programme!F7890,Programme!G7890,Programme!H7890,Programme!I7890)</f>
        <v>&lt;/ValeurCellule&gt;</v>
      </c>
    </row>
    <row r="7890" spans="1:1" x14ac:dyDescent="0.2">
      <c r="A7890" s="1135" t="str">
        <f>CONCATENATE(Programme!C7891,Programme!D7891,Programme!E7891,Programme!F7891,Programme!G7891,Programme!H7891,Programme!I7891)</f>
        <v>&lt;ValeurCellule&gt;</v>
      </c>
    </row>
    <row r="7891" spans="1:1" x14ac:dyDescent="0.2">
      <c r="A7891" s="1135" t="str">
        <f>CONCATENATE(Programme!C7892,Programme!D7892,Programme!E7892,Programme!F7892,Programme!G7892,Programme!H7892,Programme!I7892)</f>
        <v>&lt;cellule&gt;&lt;codeEdi&gt;2094&lt;/codeEdi&gt;&lt;/cellule&gt;</v>
      </c>
    </row>
    <row r="7892" spans="1:1" x14ac:dyDescent="0.2">
      <c r="A7892" s="1135" t="str">
        <f>CONCATENATE(Programme!C7893,Programme!D7893,Programme!E7893,Programme!F7893,Programme!G7893,Programme!H7893,Programme!I7893)</f>
        <v>&lt;valeur&gt;&lt;/valeur&gt;</v>
      </c>
    </row>
    <row r="7893" spans="1:1" x14ac:dyDescent="0.2">
      <c r="A7893" s="1135" t="str">
        <f>CONCATENATE(Programme!C7894,Programme!D7894,Programme!E7894,Programme!F7894,Programme!G7894,Programme!H7894,Programme!I7894)</f>
        <v>&lt;numeroLigne&gt;3&lt;/numeroLigne&gt;</v>
      </c>
    </row>
    <row r="7894" spans="1:1" x14ac:dyDescent="0.2">
      <c r="A7894" s="1135" t="str">
        <f>CONCATENATE(Programme!C7895,Programme!D7895,Programme!E7895,Programme!F7895,Programme!G7895,Programme!H7895,Programme!I7895)</f>
        <v>&lt;/ValeurCellule&gt;</v>
      </c>
    </row>
    <row r="7895" spans="1:1" x14ac:dyDescent="0.2">
      <c r="A7895" s="1135" t="str">
        <f>CONCATENATE(Programme!C7896,Programme!D7896,Programme!E7896,Programme!F7896,Programme!G7896,Programme!H7896,Programme!I7896)</f>
        <v>&lt;ValeurCellule&gt;</v>
      </c>
    </row>
    <row r="7896" spans="1:1" x14ac:dyDescent="0.2">
      <c r="A7896" s="1135" t="str">
        <f>CONCATENATE(Programme!C7897,Programme!D7897,Programme!E7897,Programme!F7897,Programme!G7897,Programme!H7897,Programme!I7897)</f>
        <v>&lt;cellule&gt;&lt;codeEdi&gt;13536&lt;/codeEdi&gt;&lt;/cellule&gt;</v>
      </c>
    </row>
    <row r="7897" spans="1:1" x14ac:dyDescent="0.2">
      <c r="A7897" s="1135" t="str">
        <f>CONCATENATE(Programme!C7898,Programme!D7898,Programme!E7898,Programme!F7898,Programme!G7898,Programme!H7898,Programme!I7898)</f>
        <v>&lt;valeur&gt;&lt;/valeur&gt;</v>
      </c>
    </row>
    <row r="7898" spans="1:1" x14ac:dyDescent="0.2">
      <c r="A7898" s="1135" t="str">
        <f>CONCATENATE(Programme!C7899,Programme!D7899,Programme!E7899,Programme!F7899,Programme!G7899,Programme!H7899,Programme!I7899)</f>
        <v>&lt;numeroLigne&gt;3&lt;/numeroLigne&gt;</v>
      </c>
    </row>
    <row r="7899" spans="1:1" x14ac:dyDescent="0.2">
      <c r="A7899" s="1135" t="str">
        <f>CONCATENATE(Programme!C7900,Programme!D7900,Programme!E7900,Programme!F7900,Programme!G7900,Programme!H7900,Programme!I7900)</f>
        <v>&lt;/ValeurCellule&gt;</v>
      </c>
    </row>
    <row r="7900" spans="1:1" x14ac:dyDescent="0.2">
      <c r="A7900" s="1135" t="str">
        <f>CONCATENATE(Programme!C7901,Programme!D7901,Programme!E7901,Programme!F7901,Programme!G7901,Programme!H7901,Programme!I7901)</f>
        <v>&lt;ValeurCellule&gt;</v>
      </c>
    </row>
    <row r="7901" spans="1:1" x14ac:dyDescent="0.2">
      <c r="A7901" s="1135" t="str">
        <f>CONCATENATE(Programme!C7902,Programme!D7902,Programme!E7902,Programme!F7902,Programme!G7902,Programme!H7902,Programme!I7902)</f>
        <v>&lt;cellule&gt;&lt;codeEdi&gt;13537&lt;/codeEdi&gt;&lt;/cellule&gt;</v>
      </c>
    </row>
    <row r="7902" spans="1:1" x14ac:dyDescent="0.2">
      <c r="A7902" s="1135" t="str">
        <f>CONCATENATE(Programme!C7903,Programme!D7903,Programme!E7903,Programme!F7903,Programme!G7903,Programme!H7903,Programme!I7903)</f>
        <v>&lt;valeur&gt;&lt;/valeur&gt;</v>
      </c>
    </row>
    <row r="7903" spans="1:1" x14ac:dyDescent="0.2">
      <c r="A7903" s="1135" t="str">
        <f>CONCATENATE(Programme!C7904,Programme!D7904,Programme!E7904,Programme!F7904,Programme!G7904,Programme!H7904,Programme!I7904)</f>
        <v>&lt;numeroLigne&gt;3&lt;/numeroLigne&gt;</v>
      </c>
    </row>
    <row r="7904" spans="1:1" x14ac:dyDescent="0.2">
      <c r="A7904" s="1135" t="str">
        <f>CONCATENATE(Programme!C7905,Programme!D7905,Programme!E7905,Programme!F7905,Programme!G7905,Programme!H7905,Programme!I7905)</f>
        <v>&lt;/ValeurCellule&gt;</v>
      </c>
    </row>
    <row r="7905" spans="1:1" x14ac:dyDescent="0.2">
      <c r="A7905" s="1135" t="str">
        <f>CONCATENATE(Programme!C7906,Programme!D7906,Programme!E7906,Programme!F7906,Programme!G7906,Programme!H7906,Programme!I7906)</f>
        <v>&lt;ValeurCellule&gt;</v>
      </c>
    </row>
    <row r="7906" spans="1:1" x14ac:dyDescent="0.2">
      <c r="A7906" s="1135" t="str">
        <f>CONCATENATE(Programme!C7907,Programme!D7907,Programme!E7907,Programme!F7907,Programme!G7907,Programme!H7907,Programme!I7907)</f>
        <v>&lt;cellule&gt;&lt;codeEdi&gt;2095&lt;/codeEdi&gt;&lt;/cellule&gt;</v>
      </c>
    </row>
    <row r="7907" spans="1:1" x14ac:dyDescent="0.2">
      <c r="A7907" s="1135" t="str">
        <f>CONCATENATE(Programme!C7908,Programme!D7908,Programme!E7908,Programme!F7908,Programme!G7908,Programme!H7908,Programme!I7908)</f>
        <v>&lt;valeur&gt;&lt;/valeur&gt;</v>
      </c>
    </row>
    <row r="7908" spans="1:1" x14ac:dyDescent="0.2">
      <c r="A7908" s="1135" t="str">
        <f>CONCATENATE(Programme!C7909,Programme!D7909,Programme!E7909,Programme!F7909,Programme!G7909,Programme!H7909,Programme!I7909)</f>
        <v>&lt;numeroLigne&gt;3&lt;/numeroLigne&gt;</v>
      </c>
    </row>
    <row r="7909" spans="1:1" x14ac:dyDescent="0.2">
      <c r="A7909" s="1135" t="str">
        <f>CONCATENATE(Programme!C7910,Programme!D7910,Programme!E7910,Programme!F7910,Programme!G7910,Programme!H7910,Programme!I7910)</f>
        <v>&lt;/ValeurCellule&gt;</v>
      </c>
    </row>
    <row r="7910" spans="1:1" x14ac:dyDescent="0.2">
      <c r="A7910" s="1135" t="str">
        <f>CONCATENATE(Programme!C7911,Programme!D7911,Programme!E7911,Programme!F7911,Programme!G7911,Programme!H7911,Programme!I7911)</f>
        <v>&lt;ValeurCellule&gt;</v>
      </c>
    </row>
    <row r="7911" spans="1:1" x14ac:dyDescent="0.2">
      <c r="A7911" s="1135" t="str">
        <f>CONCATENATE(Programme!C7912,Programme!D7912,Programme!E7912,Programme!F7912,Programme!G7912,Programme!H7912,Programme!I7912)</f>
        <v>&lt;cellule&gt;&lt;codeEdi&gt;2096&lt;/codeEdi&gt;&lt;/cellule&gt;</v>
      </c>
    </row>
    <row r="7912" spans="1:1" x14ac:dyDescent="0.2">
      <c r="A7912" s="1135" t="str">
        <f>CONCATENATE(Programme!C7913,Programme!D7913,Programme!E7913,Programme!F7913,Programme!G7913,Programme!H7913,Programme!I7913)</f>
        <v>&lt;valeur&gt;&lt;/valeur&gt;</v>
      </c>
    </row>
    <row r="7913" spans="1:1" x14ac:dyDescent="0.2">
      <c r="A7913" s="1135" t="str">
        <f>CONCATENATE(Programme!C7914,Programme!D7914,Programme!E7914,Programme!F7914,Programme!G7914,Programme!H7914,Programme!I7914)</f>
        <v>&lt;numeroLigne&gt;3&lt;/numeroLigne&gt;</v>
      </c>
    </row>
    <row r="7914" spans="1:1" x14ac:dyDescent="0.2">
      <c r="A7914" s="1135" t="str">
        <f>CONCATENATE(Programme!C7915,Programme!D7915,Programme!E7915,Programme!F7915,Programme!G7915,Programme!H7915,Programme!I7915)</f>
        <v>&lt;/ValeurCellule&gt;</v>
      </c>
    </row>
    <row r="7915" spans="1:1" x14ac:dyDescent="0.2">
      <c r="A7915" s="1135" t="str">
        <f>CONCATENATE(Programme!C7916,Programme!D7916,Programme!E7916,Programme!F7916,Programme!G7916,Programme!H7916,Programme!I7916)</f>
        <v>&lt;ValeurCellule&gt;</v>
      </c>
    </row>
    <row r="7916" spans="1:1" x14ac:dyDescent="0.2">
      <c r="A7916" s="1135" t="str">
        <f>CONCATENATE(Programme!C7917,Programme!D7917,Programme!E7917,Programme!F7917,Programme!G7917,Programme!H7917,Programme!I7917)</f>
        <v>&lt;cellule&gt;&lt;codeEdi&gt;2097&lt;/codeEdi&gt;&lt;/cellule&gt;</v>
      </c>
    </row>
    <row r="7917" spans="1:1" x14ac:dyDescent="0.2">
      <c r="A7917" s="1135" t="str">
        <f>CONCATENATE(Programme!C7918,Programme!D7918,Programme!E7918,Programme!F7918,Programme!G7918,Programme!H7918,Programme!I7918)</f>
        <v>&lt;valeur&gt;&lt;/valeur&gt;</v>
      </c>
    </row>
    <row r="7918" spans="1:1" x14ac:dyDescent="0.2">
      <c r="A7918" s="1135" t="str">
        <f>CONCATENATE(Programme!C7919,Programme!D7919,Programme!E7919,Programme!F7919,Programme!G7919,Programme!H7919,Programme!I7919)</f>
        <v>&lt;numeroLigne&gt;3&lt;/numeroLigne&gt;</v>
      </c>
    </row>
    <row r="7919" spans="1:1" x14ac:dyDescent="0.2">
      <c r="A7919" s="1135" t="str">
        <f>CONCATENATE(Programme!C7920,Programme!D7920,Programme!E7920,Programme!F7920,Programme!G7920,Programme!H7920,Programme!I7920)</f>
        <v>&lt;/ValeurCellule&gt;</v>
      </c>
    </row>
    <row r="7920" spans="1:1" x14ac:dyDescent="0.2">
      <c r="A7920" s="1135" t="str">
        <f>CONCATENATE(Programme!C7921,Programme!D7921,Programme!E7921,Programme!F7921,Programme!G7921,Programme!H7921,Programme!I7921)</f>
        <v>&lt;ValeurCellule&gt;</v>
      </c>
    </row>
    <row r="7921" spans="1:1" x14ac:dyDescent="0.2">
      <c r="A7921" s="1135" t="str">
        <f>CONCATENATE(Programme!C7922,Programme!D7922,Programme!E7922,Programme!F7922,Programme!G7922,Programme!H7922,Programme!I7922)</f>
        <v>&lt;cellule&gt;&lt;codeEdi&gt;2098&lt;/codeEdi&gt;&lt;/cellule&gt;</v>
      </c>
    </row>
    <row r="7922" spans="1:1" x14ac:dyDescent="0.2">
      <c r="A7922" s="1135" t="str">
        <f>CONCATENATE(Programme!C7923,Programme!D7923,Programme!E7923,Programme!F7923,Programme!G7923,Programme!H7923,Programme!I7923)</f>
        <v>&lt;valeur&gt;&lt;/valeur&gt;</v>
      </c>
    </row>
    <row r="7923" spans="1:1" x14ac:dyDescent="0.2">
      <c r="A7923" s="1135" t="str">
        <f>CONCATENATE(Programme!C7924,Programme!D7924,Programme!E7924,Programme!F7924,Programme!G7924,Programme!H7924,Programme!I7924)</f>
        <v>&lt;numeroLigne&gt;3&lt;/numeroLigne&gt;</v>
      </c>
    </row>
    <row r="7924" spans="1:1" x14ac:dyDescent="0.2">
      <c r="A7924" s="1135" t="str">
        <f>CONCATENATE(Programme!C7925,Programme!D7925,Programme!E7925,Programme!F7925,Programme!G7925,Programme!H7925,Programme!I7925)</f>
        <v>&lt;/ValeurCellule&gt;</v>
      </c>
    </row>
    <row r="7925" spans="1:1" x14ac:dyDescent="0.2">
      <c r="A7925" s="1135" t="str">
        <f>CONCATENATE(Programme!C7926,Programme!D7926,Programme!E7926,Programme!F7926,Programme!G7926,Programme!H7926,Programme!I7926)</f>
        <v>&lt;ValeurCellule&gt;</v>
      </c>
    </row>
    <row r="7926" spans="1:1" x14ac:dyDescent="0.2">
      <c r="A7926" s="1135" t="str">
        <f>CONCATENATE(Programme!C7927,Programme!D7927,Programme!E7927,Programme!F7927,Programme!G7927,Programme!H7927,Programme!I7927)</f>
        <v>&lt;cellule&gt;&lt;codeEdi&gt;2099&lt;/codeEdi&gt;&lt;/cellule&gt;</v>
      </c>
    </row>
    <row r="7927" spans="1:1" x14ac:dyDescent="0.2">
      <c r="A7927" s="1135" t="str">
        <f>CONCATENATE(Programme!C7928,Programme!D7928,Programme!E7928,Programme!F7928,Programme!G7928,Programme!H7928,Programme!I7928)</f>
        <v>&lt;valeur&gt;0&lt;/valeur&gt;</v>
      </c>
    </row>
    <row r="7928" spans="1:1" x14ac:dyDescent="0.2">
      <c r="A7928" s="1135" t="str">
        <f>CONCATENATE(Programme!C7929,Programme!D7929,Programme!E7929,Programme!F7929,Programme!G7929,Programme!H7929,Programme!I7929)</f>
        <v>&lt;numeroLigne&gt;3&lt;/numeroLigne&gt;</v>
      </c>
    </row>
    <row r="7929" spans="1:1" x14ac:dyDescent="0.2">
      <c r="A7929" s="1135" t="str">
        <f>CONCATENATE(Programme!C7930,Programme!D7930,Programme!E7930,Programme!F7930,Programme!G7930,Programme!H7930,Programme!I7930)</f>
        <v>&lt;/ValeurCellule&gt;</v>
      </c>
    </row>
    <row r="7930" spans="1:1" x14ac:dyDescent="0.2">
      <c r="A7930" s="1135" t="str">
        <f>CONCATENATE(Programme!C7931,Programme!D7931,Programme!E7931,Programme!F7931,Programme!G7931,Programme!H7931,Programme!I7931)</f>
        <v>&lt;ValeurCellule&gt;</v>
      </c>
    </row>
    <row r="7931" spans="1:1" x14ac:dyDescent="0.2">
      <c r="A7931" s="1135" t="str">
        <f>CONCATENATE(Programme!C7932,Programme!D7932,Programme!E7932,Programme!F7932,Programme!G7932,Programme!H7932,Programme!I7932)</f>
        <v>&lt;cellule&gt;&lt;codeEdi&gt;2100&lt;/codeEdi&gt;&lt;/cellule&gt;</v>
      </c>
    </row>
    <row r="7932" spans="1:1" x14ac:dyDescent="0.2">
      <c r="A7932" s="1135" t="str">
        <f>CONCATENATE(Programme!C7933,Programme!D7933,Programme!E7933,Programme!F7933,Programme!G7933,Programme!H7933,Programme!I7933)</f>
        <v>&lt;valeur&gt;0&lt;/valeur&gt;</v>
      </c>
    </row>
    <row r="7933" spans="1:1" x14ac:dyDescent="0.2">
      <c r="A7933" s="1135" t="str">
        <f>CONCATENATE(Programme!C7934,Programme!D7934,Programme!E7934,Programme!F7934,Programme!G7934,Programme!H7934,Programme!I7934)</f>
        <v>&lt;numeroLigne&gt;3&lt;/numeroLigne&gt;</v>
      </c>
    </row>
    <row r="7934" spans="1:1" x14ac:dyDescent="0.2">
      <c r="A7934" s="1135" t="str">
        <f>CONCATENATE(Programme!C7935,Programme!D7935,Programme!E7935,Programme!F7935,Programme!G7935,Programme!H7935,Programme!I7935)</f>
        <v>&lt;/ValeurCellule&gt;</v>
      </c>
    </row>
    <row r="7935" spans="1:1" x14ac:dyDescent="0.2">
      <c r="A7935" s="1135" t="str">
        <f>CONCATENATE(Programme!C7936,Programme!D7936,Programme!E7936,Programme!F7936,Programme!G7936,Programme!H7936,Programme!I7936)</f>
        <v>&lt;ValeurCellule&gt;</v>
      </c>
    </row>
    <row r="7936" spans="1:1" x14ac:dyDescent="0.2">
      <c r="A7936" s="1135" t="str">
        <f>CONCATENATE(Programme!C7937,Programme!D7937,Programme!E7937,Programme!F7937,Programme!G7937,Programme!H7937,Programme!I7937)</f>
        <v>&lt;cellule&gt;&lt;codeEdi&gt;2101&lt;/codeEdi&gt;&lt;/cellule&gt;</v>
      </c>
    </row>
    <row r="7937" spans="1:1" x14ac:dyDescent="0.2">
      <c r="A7937" s="1135" t="str">
        <f>CONCATENATE(Programme!C7938,Programme!D7938,Programme!E7938,Programme!F7938,Programme!G7938,Programme!H7938,Programme!I7938)</f>
        <v>&lt;valeur&gt;0&lt;/valeur&gt;</v>
      </c>
    </row>
    <row r="7938" spans="1:1" x14ac:dyDescent="0.2">
      <c r="A7938" s="1135" t="str">
        <f>CONCATENATE(Programme!C7939,Programme!D7939,Programme!E7939,Programme!F7939,Programme!G7939,Programme!H7939,Programme!I7939)</f>
        <v>&lt;numeroLigne&gt;3&lt;/numeroLigne&gt;</v>
      </c>
    </row>
    <row r="7939" spans="1:1" x14ac:dyDescent="0.2">
      <c r="A7939" s="1135" t="str">
        <f>CONCATENATE(Programme!C7940,Programme!D7940,Programme!E7940,Programme!F7940,Programme!G7940,Programme!H7940,Programme!I7940)</f>
        <v>&lt;/ValeurCellule&gt;</v>
      </c>
    </row>
    <row r="7940" spans="1:1" x14ac:dyDescent="0.2">
      <c r="A7940" s="1135" t="str">
        <f>CONCATENATE(Programme!C7941,Programme!D7941,Programme!E7941,Programme!F7941,Programme!G7941,Programme!H7941,Programme!I7941)</f>
        <v>&lt;ValeurCellule&gt;</v>
      </c>
    </row>
    <row r="7941" spans="1:1" x14ac:dyDescent="0.2">
      <c r="A7941" s="1135" t="str">
        <f>CONCATENATE(Programme!C7942,Programme!D7942,Programme!E7942,Programme!F7942,Programme!G7942,Programme!H7942,Programme!I7942)</f>
        <v>&lt;cellule&gt;&lt;codeEdi&gt;2094&lt;/codeEdi&gt;&lt;/cellule&gt;</v>
      </c>
    </row>
    <row r="7942" spans="1:1" x14ac:dyDescent="0.2">
      <c r="A7942" s="1135" t="str">
        <f>CONCATENATE(Programme!C7943,Programme!D7943,Programme!E7943,Programme!F7943,Programme!G7943,Programme!H7943,Programme!I7943)</f>
        <v>&lt;valeur&gt;&lt;/valeur&gt;</v>
      </c>
    </row>
    <row r="7943" spans="1:1" x14ac:dyDescent="0.2">
      <c r="A7943" s="1135" t="str">
        <f>CONCATENATE(Programme!C7944,Programme!D7944,Programme!E7944,Programme!F7944,Programme!G7944,Programme!H7944,Programme!I7944)</f>
        <v>&lt;numeroLigne&gt;4&lt;/numeroLigne&gt;</v>
      </c>
    </row>
    <row r="7944" spans="1:1" x14ac:dyDescent="0.2">
      <c r="A7944" s="1135" t="str">
        <f>CONCATENATE(Programme!C7945,Programme!D7945,Programme!E7945,Programme!F7945,Programme!G7945,Programme!H7945,Programme!I7945)</f>
        <v>&lt;/ValeurCellule&gt;</v>
      </c>
    </row>
    <row r="7945" spans="1:1" x14ac:dyDescent="0.2">
      <c r="A7945" s="1135" t="str">
        <f>CONCATENATE(Programme!C7946,Programme!D7946,Programme!E7946,Programme!F7946,Programme!G7946,Programme!H7946,Programme!I7946)</f>
        <v>&lt;ValeurCellule&gt;</v>
      </c>
    </row>
    <row r="7946" spans="1:1" x14ac:dyDescent="0.2">
      <c r="A7946" s="1135" t="str">
        <f>CONCATENATE(Programme!C7947,Programme!D7947,Programme!E7947,Programme!F7947,Programme!G7947,Programme!H7947,Programme!I7947)</f>
        <v>&lt;cellule&gt;&lt;codeEdi&gt;13536&lt;/codeEdi&gt;&lt;/cellule&gt;</v>
      </c>
    </row>
    <row r="7947" spans="1:1" x14ac:dyDescent="0.2">
      <c r="A7947" s="1135" t="str">
        <f>CONCATENATE(Programme!C7948,Programme!D7948,Programme!E7948,Programme!F7948,Programme!G7948,Programme!H7948,Programme!I7948)</f>
        <v>&lt;valeur&gt;&lt;/valeur&gt;</v>
      </c>
    </row>
    <row r="7948" spans="1:1" x14ac:dyDescent="0.2">
      <c r="A7948" s="1135" t="str">
        <f>CONCATENATE(Programme!C7949,Programme!D7949,Programme!E7949,Programme!F7949,Programme!G7949,Programme!H7949,Programme!I7949)</f>
        <v>&lt;numeroLigne&gt;4&lt;/numeroLigne&gt;</v>
      </c>
    </row>
    <row r="7949" spans="1:1" x14ac:dyDescent="0.2">
      <c r="A7949" s="1135" t="str">
        <f>CONCATENATE(Programme!C7950,Programme!D7950,Programme!E7950,Programme!F7950,Programme!G7950,Programme!H7950,Programme!I7950)</f>
        <v>&lt;/ValeurCellule&gt;</v>
      </c>
    </row>
    <row r="7950" spans="1:1" x14ac:dyDescent="0.2">
      <c r="A7950" s="1135" t="str">
        <f>CONCATENATE(Programme!C7951,Programme!D7951,Programme!E7951,Programme!F7951,Programme!G7951,Programme!H7951,Programme!I7951)</f>
        <v>&lt;ValeurCellule&gt;</v>
      </c>
    </row>
    <row r="7951" spans="1:1" x14ac:dyDescent="0.2">
      <c r="A7951" s="1135" t="str">
        <f>CONCATENATE(Programme!C7952,Programme!D7952,Programme!E7952,Programme!F7952,Programme!G7952,Programme!H7952,Programme!I7952)</f>
        <v>&lt;cellule&gt;&lt;codeEdi&gt;13537&lt;/codeEdi&gt;&lt;/cellule&gt;</v>
      </c>
    </row>
    <row r="7952" spans="1:1" x14ac:dyDescent="0.2">
      <c r="A7952" s="1135" t="str">
        <f>CONCATENATE(Programme!C7953,Programme!D7953,Programme!E7953,Programme!F7953,Programme!G7953,Programme!H7953,Programme!I7953)</f>
        <v>&lt;valeur&gt;&lt;/valeur&gt;</v>
      </c>
    </row>
    <row r="7953" spans="1:1" x14ac:dyDescent="0.2">
      <c r="A7953" s="1135" t="str">
        <f>CONCATENATE(Programme!C7954,Programme!D7954,Programme!E7954,Programme!F7954,Programme!G7954,Programme!H7954,Programme!I7954)</f>
        <v>&lt;numeroLigne&gt;4&lt;/numeroLigne&gt;</v>
      </c>
    </row>
    <row r="7954" spans="1:1" x14ac:dyDescent="0.2">
      <c r="A7954" s="1135" t="str">
        <f>CONCATENATE(Programme!C7955,Programme!D7955,Programme!E7955,Programme!F7955,Programme!G7955,Programme!H7955,Programme!I7955)</f>
        <v>&lt;/ValeurCellule&gt;</v>
      </c>
    </row>
    <row r="7955" spans="1:1" x14ac:dyDescent="0.2">
      <c r="A7955" s="1135" t="str">
        <f>CONCATENATE(Programme!C7956,Programme!D7956,Programme!E7956,Programme!F7956,Programme!G7956,Programme!H7956,Programme!I7956)</f>
        <v>&lt;ValeurCellule&gt;</v>
      </c>
    </row>
    <row r="7956" spans="1:1" x14ac:dyDescent="0.2">
      <c r="A7956" s="1135" t="str">
        <f>CONCATENATE(Programme!C7957,Programme!D7957,Programme!E7957,Programme!F7957,Programme!G7957,Programme!H7957,Programme!I7957)</f>
        <v>&lt;cellule&gt;&lt;codeEdi&gt;2095&lt;/codeEdi&gt;&lt;/cellule&gt;</v>
      </c>
    </row>
    <row r="7957" spans="1:1" x14ac:dyDescent="0.2">
      <c r="A7957" s="1135" t="str">
        <f>CONCATENATE(Programme!C7958,Programme!D7958,Programme!E7958,Programme!F7958,Programme!G7958,Programme!H7958,Programme!I7958)</f>
        <v>&lt;valeur&gt;&lt;/valeur&gt;</v>
      </c>
    </row>
    <row r="7958" spans="1:1" x14ac:dyDescent="0.2">
      <c r="A7958" s="1135" t="str">
        <f>CONCATENATE(Programme!C7959,Programme!D7959,Programme!E7959,Programme!F7959,Programme!G7959,Programme!H7959,Programme!I7959)</f>
        <v>&lt;numeroLigne&gt;4&lt;/numeroLigne&gt;</v>
      </c>
    </row>
    <row r="7959" spans="1:1" x14ac:dyDescent="0.2">
      <c r="A7959" s="1135" t="str">
        <f>CONCATENATE(Programme!C7960,Programme!D7960,Programme!E7960,Programme!F7960,Programme!G7960,Programme!H7960,Programme!I7960)</f>
        <v>&lt;/ValeurCellule&gt;</v>
      </c>
    </row>
    <row r="7960" spans="1:1" x14ac:dyDescent="0.2">
      <c r="A7960" s="1135" t="str">
        <f>CONCATENATE(Programme!C7961,Programme!D7961,Programme!E7961,Programme!F7961,Programme!G7961,Programme!H7961,Programme!I7961)</f>
        <v>&lt;ValeurCellule&gt;</v>
      </c>
    </row>
    <row r="7961" spans="1:1" x14ac:dyDescent="0.2">
      <c r="A7961" s="1135" t="str">
        <f>CONCATENATE(Programme!C7962,Programme!D7962,Programme!E7962,Programme!F7962,Programme!G7962,Programme!H7962,Programme!I7962)</f>
        <v>&lt;cellule&gt;&lt;codeEdi&gt;2096&lt;/codeEdi&gt;&lt;/cellule&gt;</v>
      </c>
    </row>
    <row r="7962" spans="1:1" x14ac:dyDescent="0.2">
      <c r="A7962" s="1135" t="str">
        <f>CONCATENATE(Programme!C7963,Programme!D7963,Programme!E7963,Programme!F7963,Programme!G7963,Programme!H7963,Programme!I7963)</f>
        <v>&lt;valeur&gt;&lt;/valeur&gt;</v>
      </c>
    </row>
    <row r="7963" spans="1:1" x14ac:dyDescent="0.2">
      <c r="A7963" s="1135" t="str">
        <f>CONCATENATE(Programme!C7964,Programme!D7964,Programme!E7964,Programme!F7964,Programme!G7964,Programme!H7964,Programme!I7964)</f>
        <v>&lt;numeroLigne&gt;4&lt;/numeroLigne&gt;</v>
      </c>
    </row>
    <row r="7964" spans="1:1" x14ac:dyDescent="0.2">
      <c r="A7964" s="1135" t="str">
        <f>CONCATENATE(Programme!C7965,Programme!D7965,Programme!E7965,Programme!F7965,Programme!G7965,Programme!H7965,Programme!I7965)</f>
        <v>&lt;/ValeurCellule&gt;</v>
      </c>
    </row>
    <row r="7965" spans="1:1" x14ac:dyDescent="0.2">
      <c r="A7965" s="1135" t="str">
        <f>CONCATENATE(Programme!C7966,Programme!D7966,Programme!E7966,Programme!F7966,Programme!G7966,Programme!H7966,Programme!I7966)</f>
        <v>&lt;ValeurCellule&gt;</v>
      </c>
    </row>
    <row r="7966" spans="1:1" x14ac:dyDescent="0.2">
      <c r="A7966" s="1135" t="str">
        <f>CONCATENATE(Programme!C7967,Programme!D7967,Programme!E7967,Programme!F7967,Programme!G7967,Programme!H7967,Programme!I7967)</f>
        <v>&lt;cellule&gt;&lt;codeEdi&gt;2097&lt;/codeEdi&gt;&lt;/cellule&gt;</v>
      </c>
    </row>
    <row r="7967" spans="1:1" x14ac:dyDescent="0.2">
      <c r="A7967" s="1135" t="str">
        <f>CONCATENATE(Programme!C7968,Programme!D7968,Programme!E7968,Programme!F7968,Programme!G7968,Programme!H7968,Programme!I7968)</f>
        <v>&lt;valeur&gt;&lt;/valeur&gt;</v>
      </c>
    </row>
    <row r="7968" spans="1:1" x14ac:dyDescent="0.2">
      <c r="A7968" s="1135" t="str">
        <f>CONCATENATE(Programme!C7969,Programme!D7969,Programme!E7969,Programme!F7969,Programme!G7969,Programme!H7969,Programme!I7969)</f>
        <v>&lt;numeroLigne&gt;4&lt;/numeroLigne&gt;</v>
      </c>
    </row>
    <row r="7969" spans="1:1" x14ac:dyDescent="0.2">
      <c r="A7969" s="1135" t="str">
        <f>CONCATENATE(Programme!C7970,Programme!D7970,Programme!E7970,Programme!F7970,Programme!G7970,Programme!H7970,Programme!I7970)</f>
        <v>&lt;/ValeurCellule&gt;</v>
      </c>
    </row>
    <row r="7970" spans="1:1" x14ac:dyDescent="0.2">
      <c r="A7970" s="1135" t="str">
        <f>CONCATENATE(Programme!C7971,Programme!D7971,Programme!E7971,Programme!F7971,Programme!G7971,Programme!H7971,Programme!I7971)</f>
        <v>&lt;ValeurCellule&gt;</v>
      </c>
    </row>
    <row r="7971" spans="1:1" x14ac:dyDescent="0.2">
      <c r="A7971" s="1135" t="str">
        <f>CONCATENATE(Programme!C7972,Programme!D7972,Programme!E7972,Programme!F7972,Programme!G7972,Programme!H7972,Programme!I7972)</f>
        <v>&lt;cellule&gt;&lt;codeEdi&gt;2098&lt;/codeEdi&gt;&lt;/cellule&gt;</v>
      </c>
    </row>
    <row r="7972" spans="1:1" x14ac:dyDescent="0.2">
      <c r="A7972" s="1135" t="str">
        <f>CONCATENATE(Programme!C7973,Programme!D7973,Programme!E7973,Programme!F7973,Programme!G7973,Programme!H7973,Programme!I7973)</f>
        <v>&lt;valeur&gt;&lt;/valeur&gt;</v>
      </c>
    </row>
    <row r="7973" spans="1:1" x14ac:dyDescent="0.2">
      <c r="A7973" s="1135" t="str">
        <f>CONCATENATE(Programme!C7974,Programme!D7974,Programme!E7974,Programme!F7974,Programme!G7974,Programme!H7974,Programme!I7974)</f>
        <v>&lt;numeroLigne&gt;4&lt;/numeroLigne&gt;</v>
      </c>
    </row>
    <row r="7974" spans="1:1" x14ac:dyDescent="0.2">
      <c r="A7974" s="1135" t="str">
        <f>CONCATENATE(Programme!C7975,Programme!D7975,Programme!E7975,Programme!F7975,Programme!G7975,Programme!H7975,Programme!I7975)</f>
        <v>&lt;/ValeurCellule&gt;</v>
      </c>
    </row>
    <row r="7975" spans="1:1" x14ac:dyDescent="0.2">
      <c r="A7975" s="1135" t="str">
        <f>CONCATENATE(Programme!C7976,Programme!D7976,Programme!E7976,Programme!F7976,Programme!G7976,Programme!H7976,Programme!I7976)</f>
        <v>&lt;ValeurCellule&gt;</v>
      </c>
    </row>
    <row r="7976" spans="1:1" x14ac:dyDescent="0.2">
      <c r="A7976" s="1135" t="str">
        <f>CONCATENATE(Programme!C7977,Programme!D7977,Programme!E7977,Programme!F7977,Programme!G7977,Programme!H7977,Programme!I7977)</f>
        <v>&lt;cellule&gt;&lt;codeEdi&gt;2099&lt;/codeEdi&gt;&lt;/cellule&gt;</v>
      </c>
    </row>
    <row r="7977" spans="1:1" x14ac:dyDescent="0.2">
      <c r="A7977" s="1135" t="str">
        <f>CONCATENATE(Programme!C7978,Programme!D7978,Programme!E7978,Programme!F7978,Programme!G7978,Programme!H7978,Programme!I7978)</f>
        <v>&lt;valeur&gt;0&lt;/valeur&gt;</v>
      </c>
    </row>
    <row r="7978" spans="1:1" x14ac:dyDescent="0.2">
      <c r="A7978" s="1135" t="str">
        <f>CONCATENATE(Programme!C7979,Programme!D7979,Programme!E7979,Programme!F7979,Programme!G7979,Programme!H7979,Programme!I7979)</f>
        <v>&lt;numeroLigne&gt;4&lt;/numeroLigne&gt;</v>
      </c>
    </row>
    <row r="7979" spans="1:1" x14ac:dyDescent="0.2">
      <c r="A7979" s="1135" t="str">
        <f>CONCATENATE(Programme!C7980,Programme!D7980,Programme!E7980,Programme!F7980,Programme!G7980,Programme!H7980,Programme!I7980)</f>
        <v>&lt;/ValeurCellule&gt;</v>
      </c>
    </row>
    <row r="7980" spans="1:1" x14ac:dyDescent="0.2">
      <c r="A7980" s="1135" t="str">
        <f>CONCATENATE(Programme!C7981,Programme!D7981,Programme!E7981,Programme!F7981,Programme!G7981,Programme!H7981,Programme!I7981)</f>
        <v>&lt;ValeurCellule&gt;</v>
      </c>
    </row>
    <row r="7981" spans="1:1" x14ac:dyDescent="0.2">
      <c r="A7981" s="1135" t="str">
        <f>CONCATENATE(Programme!C7982,Programme!D7982,Programme!E7982,Programme!F7982,Programme!G7982,Programme!H7982,Programme!I7982)</f>
        <v>&lt;cellule&gt;&lt;codeEdi&gt;2100&lt;/codeEdi&gt;&lt;/cellule&gt;</v>
      </c>
    </row>
    <row r="7982" spans="1:1" x14ac:dyDescent="0.2">
      <c r="A7982" s="1135" t="str">
        <f>CONCATENATE(Programme!C7983,Programme!D7983,Programme!E7983,Programme!F7983,Programme!G7983,Programme!H7983,Programme!I7983)</f>
        <v>&lt;valeur&gt;0&lt;/valeur&gt;</v>
      </c>
    </row>
    <row r="7983" spans="1:1" x14ac:dyDescent="0.2">
      <c r="A7983" s="1135" t="str">
        <f>CONCATENATE(Programme!C7984,Programme!D7984,Programme!E7984,Programme!F7984,Programme!G7984,Programme!H7984,Programme!I7984)</f>
        <v>&lt;numeroLigne&gt;4&lt;/numeroLigne&gt;</v>
      </c>
    </row>
    <row r="7984" spans="1:1" x14ac:dyDescent="0.2">
      <c r="A7984" s="1135" t="str">
        <f>CONCATENATE(Programme!C7985,Programme!D7985,Programme!E7985,Programme!F7985,Programme!G7985,Programme!H7985,Programme!I7985)</f>
        <v>&lt;/ValeurCellule&gt;</v>
      </c>
    </row>
    <row r="7985" spans="1:1" x14ac:dyDescent="0.2">
      <c r="A7985" s="1135" t="str">
        <f>CONCATENATE(Programme!C7986,Programme!D7986,Programme!E7986,Programme!F7986,Programme!G7986,Programme!H7986,Programme!I7986)</f>
        <v>&lt;ValeurCellule&gt;</v>
      </c>
    </row>
    <row r="7986" spans="1:1" x14ac:dyDescent="0.2">
      <c r="A7986" s="1135" t="str">
        <f>CONCATENATE(Programme!C7987,Programme!D7987,Programme!E7987,Programme!F7987,Programme!G7987,Programme!H7987,Programme!I7987)</f>
        <v>&lt;cellule&gt;&lt;codeEdi&gt;2101&lt;/codeEdi&gt;&lt;/cellule&gt;</v>
      </c>
    </row>
    <row r="7987" spans="1:1" x14ac:dyDescent="0.2">
      <c r="A7987" s="1135" t="str">
        <f>CONCATENATE(Programme!C7988,Programme!D7988,Programme!E7988,Programme!F7988,Programme!G7988,Programme!H7988,Programme!I7988)</f>
        <v>&lt;valeur&gt;0&lt;/valeur&gt;</v>
      </c>
    </row>
    <row r="7988" spans="1:1" x14ac:dyDescent="0.2">
      <c r="A7988" s="1135" t="str">
        <f>CONCATENATE(Programme!C7989,Programme!D7989,Programme!E7989,Programme!F7989,Programme!G7989,Programme!H7989,Programme!I7989)</f>
        <v>&lt;numeroLigne&gt;4&lt;/numeroLigne&gt;</v>
      </c>
    </row>
    <row r="7989" spans="1:1" x14ac:dyDescent="0.2">
      <c r="A7989" s="1135" t="str">
        <f>CONCATENATE(Programme!C7990,Programme!D7990,Programme!E7990,Programme!F7990,Programme!G7990,Programme!H7990,Programme!I7990)</f>
        <v>&lt;/ValeurCellule&gt;</v>
      </c>
    </row>
    <row r="7990" spans="1:1" x14ac:dyDescent="0.2">
      <c r="A7990" s="1135" t="str">
        <f>CONCATENATE(Programme!C7991,Programme!D7991,Programme!E7991,Programme!F7991,Programme!G7991,Programme!H7991,Programme!I7991)</f>
        <v>&lt;ValeurCellule&gt;</v>
      </c>
    </row>
    <row r="7991" spans="1:1" x14ac:dyDescent="0.2">
      <c r="A7991" s="1135" t="str">
        <f>CONCATENATE(Programme!C7992,Programme!D7992,Programme!E7992,Programme!F7992,Programme!G7992,Programme!H7992,Programme!I7992)</f>
        <v>&lt;cellule&gt;&lt;codeEdi&gt;2094&lt;/codeEdi&gt;&lt;/cellule&gt;</v>
      </c>
    </row>
    <row r="7992" spans="1:1" x14ac:dyDescent="0.2">
      <c r="A7992" s="1135" t="str">
        <f>CONCATENATE(Programme!C7993,Programme!D7993,Programme!E7993,Programme!F7993,Programme!G7993,Programme!H7993,Programme!I7993)</f>
        <v>&lt;valeur&gt;&lt;/valeur&gt;</v>
      </c>
    </row>
    <row r="7993" spans="1:1" x14ac:dyDescent="0.2">
      <c r="A7993" s="1135" t="str">
        <f>CONCATENATE(Programme!C7994,Programme!D7994,Programme!E7994,Programme!F7994,Programme!G7994,Programme!H7994,Programme!I7994)</f>
        <v>&lt;numeroLigne&gt;5&lt;/numeroLigne&gt;</v>
      </c>
    </row>
    <row r="7994" spans="1:1" x14ac:dyDescent="0.2">
      <c r="A7994" s="1135" t="str">
        <f>CONCATENATE(Programme!C7995,Programme!D7995,Programme!E7995,Programme!F7995,Programme!G7995,Programme!H7995,Programme!I7995)</f>
        <v>&lt;/ValeurCellule&gt;</v>
      </c>
    </row>
    <row r="7995" spans="1:1" x14ac:dyDescent="0.2">
      <c r="A7995" s="1135" t="str">
        <f>CONCATENATE(Programme!C7996,Programme!D7996,Programme!E7996,Programme!F7996,Programme!G7996,Programme!H7996,Programme!I7996)</f>
        <v>&lt;ValeurCellule&gt;</v>
      </c>
    </row>
    <row r="7996" spans="1:1" x14ac:dyDescent="0.2">
      <c r="A7996" s="1135" t="str">
        <f>CONCATENATE(Programme!C7997,Programme!D7997,Programme!E7997,Programme!F7997,Programme!G7997,Programme!H7997,Programme!I7997)</f>
        <v>&lt;cellule&gt;&lt;codeEdi&gt;13536&lt;/codeEdi&gt;&lt;/cellule&gt;</v>
      </c>
    </row>
    <row r="7997" spans="1:1" x14ac:dyDescent="0.2">
      <c r="A7997" s="1135" t="str">
        <f>CONCATENATE(Programme!C7998,Programme!D7998,Programme!E7998,Programme!F7998,Programme!G7998,Programme!H7998,Programme!I7998)</f>
        <v>&lt;valeur&gt;&lt;/valeur&gt;</v>
      </c>
    </row>
    <row r="7998" spans="1:1" x14ac:dyDescent="0.2">
      <c r="A7998" s="1135" t="str">
        <f>CONCATENATE(Programme!C7999,Programme!D7999,Programme!E7999,Programme!F7999,Programme!G7999,Programme!H7999,Programme!I7999)</f>
        <v>&lt;numeroLigne&gt;5&lt;/numeroLigne&gt;</v>
      </c>
    </row>
    <row r="7999" spans="1:1" x14ac:dyDescent="0.2">
      <c r="A7999" s="1135" t="str">
        <f>CONCATENATE(Programme!C8000,Programme!D8000,Programme!E8000,Programme!F8000,Programme!G8000,Programme!H8000,Programme!I8000)</f>
        <v>&lt;/ValeurCellule&gt;</v>
      </c>
    </row>
    <row r="8000" spans="1:1" x14ac:dyDescent="0.2">
      <c r="A8000" s="1135" t="str">
        <f>CONCATENATE(Programme!C8001,Programme!D8001,Programme!E8001,Programme!F8001,Programme!G8001,Programme!H8001,Programme!I8001)</f>
        <v>&lt;ValeurCellule&gt;</v>
      </c>
    </row>
    <row r="8001" spans="1:1" x14ac:dyDescent="0.2">
      <c r="A8001" s="1135" t="str">
        <f>CONCATENATE(Programme!C8002,Programme!D8002,Programme!E8002,Programme!F8002,Programme!G8002,Programme!H8002,Programme!I8002)</f>
        <v>&lt;cellule&gt;&lt;codeEdi&gt;13537&lt;/codeEdi&gt;&lt;/cellule&gt;</v>
      </c>
    </row>
    <row r="8002" spans="1:1" x14ac:dyDescent="0.2">
      <c r="A8002" s="1135" t="str">
        <f>CONCATENATE(Programme!C8003,Programme!D8003,Programme!E8003,Programme!F8003,Programme!G8003,Programme!H8003,Programme!I8003)</f>
        <v>&lt;valeur&gt;&lt;/valeur&gt;</v>
      </c>
    </row>
    <row r="8003" spans="1:1" x14ac:dyDescent="0.2">
      <c r="A8003" s="1135" t="str">
        <f>CONCATENATE(Programme!C8004,Programme!D8004,Programme!E8004,Programme!F8004,Programme!G8004,Programme!H8004,Programme!I8004)</f>
        <v>&lt;numeroLigne&gt;5&lt;/numeroLigne&gt;</v>
      </c>
    </row>
    <row r="8004" spans="1:1" x14ac:dyDescent="0.2">
      <c r="A8004" s="1135" t="str">
        <f>CONCATENATE(Programme!C8005,Programme!D8005,Programme!E8005,Programme!F8005,Programme!G8005,Programme!H8005,Programme!I8005)</f>
        <v>&lt;/ValeurCellule&gt;</v>
      </c>
    </row>
    <row r="8005" spans="1:1" x14ac:dyDescent="0.2">
      <c r="A8005" s="1135" t="str">
        <f>CONCATENATE(Programme!C8006,Programme!D8006,Programme!E8006,Programme!F8006,Programme!G8006,Programme!H8006,Programme!I8006)</f>
        <v>&lt;ValeurCellule&gt;</v>
      </c>
    </row>
    <row r="8006" spans="1:1" x14ac:dyDescent="0.2">
      <c r="A8006" s="1135" t="str">
        <f>CONCATENATE(Programme!C8007,Programme!D8007,Programme!E8007,Programme!F8007,Programme!G8007,Programme!H8007,Programme!I8007)</f>
        <v>&lt;cellule&gt;&lt;codeEdi&gt;2095&lt;/codeEdi&gt;&lt;/cellule&gt;</v>
      </c>
    </row>
    <row r="8007" spans="1:1" x14ac:dyDescent="0.2">
      <c r="A8007" s="1135" t="str">
        <f>CONCATENATE(Programme!C8008,Programme!D8008,Programme!E8008,Programme!F8008,Programme!G8008,Programme!H8008,Programme!I8008)</f>
        <v>&lt;valeur&gt;&lt;/valeur&gt;</v>
      </c>
    </row>
    <row r="8008" spans="1:1" x14ac:dyDescent="0.2">
      <c r="A8008" s="1135" t="str">
        <f>CONCATENATE(Programme!C8009,Programme!D8009,Programme!E8009,Programme!F8009,Programme!G8009,Programme!H8009,Programme!I8009)</f>
        <v>&lt;numeroLigne&gt;5&lt;/numeroLigne&gt;</v>
      </c>
    </row>
    <row r="8009" spans="1:1" x14ac:dyDescent="0.2">
      <c r="A8009" s="1135" t="str">
        <f>CONCATENATE(Programme!C8010,Programme!D8010,Programme!E8010,Programme!F8010,Programme!G8010,Programme!H8010,Programme!I8010)</f>
        <v>&lt;/ValeurCellule&gt;</v>
      </c>
    </row>
    <row r="8010" spans="1:1" x14ac:dyDescent="0.2">
      <c r="A8010" s="1135" t="str">
        <f>CONCATENATE(Programme!C8011,Programme!D8011,Programme!E8011,Programme!F8011,Programme!G8011,Programme!H8011,Programme!I8011)</f>
        <v>&lt;ValeurCellule&gt;</v>
      </c>
    </row>
    <row r="8011" spans="1:1" x14ac:dyDescent="0.2">
      <c r="A8011" s="1135" t="str">
        <f>CONCATENATE(Programme!C8012,Programme!D8012,Programme!E8012,Programme!F8012,Programme!G8012,Programme!H8012,Programme!I8012)</f>
        <v>&lt;cellule&gt;&lt;codeEdi&gt;2096&lt;/codeEdi&gt;&lt;/cellule&gt;</v>
      </c>
    </row>
    <row r="8012" spans="1:1" x14ac:dyDescent="0.2">
      <c r="A8012" s="1135" t="str">
        <f>CONCATENATE(Programme!C8013,Programme!D8013,Programme!E8013,Programme!F8013,Programme!G8013,Programme!H8013,Programme!I8013)</f>
        <v>&lt;valeur&gt;&lt;/valeur&gt;</v>
      </c>
    </row>
    <row r="8013" spans="1:1" x14ac:dyDescent="0.2">
      <c r="A8013" s="1135" t="str">
        <f>CONCATENATE(Programme!C8014,Programme!D8014,Programme!E8014,Programme!F8014,Programme!G8014,Programme!H8014,Programme!I8014)</f>
        <v>&lt;numeroLigne&gt;5&lt;/numeroLigne&gt;</v>
      </c>
    </row>
    <row r="8014" spans="1:1" x14ac:dyDescent="0.2">
      <c r="A8014" s="1135" t="str">
        <f>CONCATENATE(Programme!C8015,Programme!D8015,Programme!E8015,Programme!F8015,Programme!G8015,Programme!H8015,Programme!I8015)</f>
        <v>&lt;/ValeurCellule&gt;</v>
      </c>
    </row>
    <row r="8015" spans="1:1" x14ac:dyDescent="0.2">
      <c r="A8015" s="1135" t="str">
        <f>CONCATENATE(Programme!C8016,Programme!D8016,Programme!E8016,Programme!F8016,Programme!G8016,Programme!H8016,Programme!I8016)</f>
        <v>&lt;ValeurCellule&gt;</v>
      </c>
    </row>
    <row r="8016" spans="1:1" x14ac:dyDescent="0.2">
      <c r="A8016" s="1135" t="str">
        <f>CONCATENATE(Programme!C8017,Programme!D8017,Programme!E8017,Programme!F8017,Programme!G8017,Programme!H8017,Programme!I8017)</f>
        <v>&lt;cellule&gt;&lt;codeEdi&gt;2097&lt;/codeEdi&gt;&lt;/cellule&gt;</v>
      </c>
    </row>
    <row r="8017" spans="1:1" x14ac:dyDescent="0.2">
      <c r="A8017" s="1135" t="str">
        <f>CONCATENATE(Programme!C8018,Programme!D8018,Programme!E8018,Programme!F8018,Programme!G8018,Programme!H8018,Programme!I8018)</f>
        <v>&lt;valeur&gt;&lt;/valeur&gt;</v>
      </c>
    </row>
    <row r="8018" spans="1:1" x14ac:dyDescent="0.2">
      <c r="A8018" s="1135" t="str">
        <f>CONCATENATE(Programme!C8019,Programme!D8019,Programme!E8019,Programme!F8019,Programme!G8019,Programme!H8019,Programme!I8019)</f>
        <v>&lt;numeroLigne&gt;5&lt;/numeroLigne&gt;</v>
      </c>
    </row>
    <row r="8019" spans="1:1" x14ac:dyDescent="0.2">
      <c r="A8019" s="1135" t="str">
        <f>CONCATENATE(Programme!C8020,Programme!D8020,Programme!E8020,Programme!F8020,Programme!G8020,Programme!H8020,Programme!I8020)</f>
        <v>&lt;/ValeurCellule&gt;</v>
      </c>
    </row>
    <row r="8020" spans="1:1" x14ac:dyDescent="0.2">
      <c r="A8020" s="1135" t="str">
        <f>CONCATENATE(Programme!C8021,Programme!D8021,Programme!E8021,Programme!F8021,Programme!G8021,Programme!H8021,Programme!I8021)</f>
        <v>&lt;ValeurCellule&gt;</v>
      </c>
    </row>
    <row r="8021" spans="1:1" x14ac:dyDescent="0.2">
      <c r="A8021" s="1135" t="str">
        <f>CONCATENATE(Programme!C8022,Programme!D8022,Programme!E8022,Programme!F8022,Programme!G8022,Programme!H8022,Programme!I8022)</f>
        <v>&lt;cellule&gt;&lt;codeEdi&gt;2098&lt;/codeEdi&gt;&lt;/cellule&gt;</v>
      </c>
    </row>
    <row r="8022" spans="1:1" x14ac:dyDescent="0.2">
      <c r="A8022" s="1135" t="str">
        <f>CONCATENATE(Programme!C8023,Programme!D8023,Programme!E8023,Programme!F8023,Programme!G8023,Programme!H8023,Programme!I8023)</f>
        <v>&lt;valeur&gt;&lt;/valeur&gt;</v>
      </c>
    </row>
    <row r="8023" spans="1:1" x14ac:dyDescent="0.2">
      <c r="A8023" s="1135" t="str">
        <f>CONCATENATE(Programme!C8024,Programme!D8024,Programme!E8024,Programme!F8024,Programme!G8024,Programme!H8024,Programme!I8024)</f>
        <v>&lt;numeroLigne&gt;5&lt;/numeroLigne&gt;</v>
      </c>
    </row>
    <row r="8024" spans="1:1" x14ac:dyDescent="0.2">
      <c r="A8024" s="1135" t="str">
        <f>CONCATENATE(Programme!C8025,Programme!D8025,Programme!E8025,Programme!F8025,Programme!G8025,Programme!H8025,Programme!I8025)</f>
        <v>&lt;/ValeurCellule&gt;</v>
      </c>
    </row>
    <row r="8025" spans="1:1" x14ac:dyDescent="0.2">
      <c r="A8025" s="1135" t="str">
        <f>CONCATENATE(Programme!C8026,Programme!D8026,Programme!E8026,Programme!F8026,Programme!G8026,Programme!H8026,Programme!I8026)</f>
        <v>&lt;ValeurCellule&gt;</v>
      </c>
    </row>
    <row r="8026" spans="1:1" x14ac:dyDescent="0.2">
      <c r="A8026" s="1135" t="str">
        <f>CONCATENATE(Programme!C8027,Programme!D8027,Programme!E8027,Programme!F8027,Programme!G8027,Programme!H8027,Programme!I8027)</f>
        <v>&lt;cellule&gt;&lt;codeEdi&gt;2099&lt;/codeEdi&gt;&lt;/cellule&gt;</v>
      </c>
    </row>
    <row r="8027" spans="1:1" x14ac:dyDescent="0.2">
      <c r="A8027" s="1135" t="str">
        <f>CONCATENATE(Programme!C8028,Programme!D8028,Programme!E8028,Programme!F8028,Programme!G8028,Programme!H8028,Programme!I8028)</f>
        <v>&lt;valeur&gt;0&lt;/valeur&gt;</v>
      </c>
    </row>
    <row r="8028" spans="1:1" x14ac:dyDescent="0.2">
      <c r="A8028" s="1135" t="str">
        <f>CONCATENATE(Programme!C8029,Programme!D8029,Programme!E8029,Programme!F8029,Programme!G8029,Programme!H8029,Programme!I8029)</f>
        <v>&lt;numeroLigne&gt;5&lt;/numeroLigne&gt;</v>
      </c>
    </row>
    <row r="8029" spans="1:1" x14ac:dyDescent="0.2">
      <c r="A8029" s="1135" t="str">
        <f>CONCATENATE(Programme!C8030,Programme!D8030,Programme!E8030,Programme!F8030,Programme!G8030,Programme!H8030,Programme!I8030)</f>
        <v>&lt;/ValeurCellule&gt;</v>
      </c>
    </row>
    <row r="8030" spans="1:1" x14ac:dyDescent="0.2">
      <c r="A8030" s="1135" t="str">
        <f>CONCATENATE(Programme!C8031,Programme!D8031,Programme!E8031,Programme!F8031,Programme!G8031,Programme!H8031,Programme!I8031)</f>
        <v>&lt;ValeurCellule&gt;</v>
      </c>
    </row>
    <row r="8031" spans="1:1" x14ac:dyDescent="0.2">
      <c r="A8031" s="1135" t="str">
        <f>CONCATENATE(Programme!C8032,Programme!D8032,Programme!E8032,Programme!F8032,Programme!G8032,Programme!H8032,Programme!I8032)</f>
        <v>&lt;cellule&gt;&lt;codeEdi&gt;2100&lt;/codeEdi&gt;&lt;/cellule&gt;</v>
      </c>
    </row>
    <row r="8032" spans="1:1" x14ac:dyDescent="0.2">
      <c r="A8032" s="1135" t="str">
        <f>CONCATENATE(Programme!C8033,Programme!D8033,Programme!E8033,Programme!F8033,Programme!G8033,Programme!H8033,Programme!I8033)</f>
        <v>&lt;valeur&gt;0&lt;/valeur&gt;</v>
      </c>
    </row>
    <row r="8033" spans="1:1" x14ac:dyDescent="0.2">
      <c r="A8033" s="1135" t="str">
        <f>CONCATENATE(Programme!C8034,Programme!D8034,Programme!E8034,Programme!F8034,Programme!G8034,Programme!H8034,Programme!I8034)</f>
        <v>&lt;numeroLigne&gt;5&lt;/numeroLigne&gt;</v>
      </c>
    </row>
    <row r="8034" spans="1:1" x14ac:dyDescent="0.2">
      <c r="A8034" s="1135" t="str">
        <f>CONCATENATE(Programme!C8035,Programme!D8035,Programme!E8035,Programme!F8035,Programme!G8035,Programme!H8035,Programme!I8035)</f>
        <v>&lt;/ValeurCellule&gt;</v>
      </c>
    </row>
    <row r="8035" spans="1:1" x14ac:dyDescent="0.2">
      <c r="A8035" s="1135" t="str">
        <f>CONCATENATE(Programme!C8036,Programme!D8036,Programme!E8036,Programme!F8036,Programme!G8036,Programme!H8036,Programme!I8036)</f>
        <v>&lt;ValeurCellule&gt;</v>
      </c>
    </row>
    <row r="8036" spans="1:1" x14ac:dyDescent="0.2">
      <c r="A8036" s="1135" t="str">
        <f>CONCATENATE(Programme!C8037,Programme!D8037,Programme!E8037,Programme!F8037,Programme!G8037,Programme!H8037,Programme!I8037)</f>
        <v>&lt;cellule&gt;&lt;codeEdi&gt;2101&lt;/codeEdi&gt;&lt;/cellule&gt;</v>
      </c>
    </row>
    <row r="8037" spans="1:1" x14ac:dyDescent="0.2">
      <c r="A8037" s="1135" t="str">
        <f>CONCATENATE(Programme!C8038,Programme!D8038,Programme!E8038,Programme!F8038,Programme!G8038,Programme!H8038,Programme!I8038)</f>
        <v>&lt;valeur&gt;0&lt;/valeur&gt;</v>
      </c>
    </row>
    <row r="8038" spans="1:1" x14ac:dyDescent="0.2">
      <c r="A8038" s="1135" t="str">
        <f>CONCATENATE(Programme!C8039,Programme!D8039,Programme!E8039,Programme!F8039,Programme!G8039,Programme!H8039,Programme!I8039)</f>
        <v>&lt;numeroLigne&gt;5&lt;/numeroLigne&gt;</v>
      </c>
    </row>
    <row r="8039" spans="1:1" x14ac:dyDescent="0.2">
      <c r="A8039" s="1135" t="str">
        <f>CONCATENATE(Programme!C8040,Programme!D8040,Programme!E8040,Programme!F8040,Programme!G8040,Programme!H8040,Programme!I8040)</f>
        <v>&lt;/ValeurCellule&gt;</v>
      </c>
    </row>
    <row r="8040" spans="1:1" x14ac:dyDescent="0.2">
      <c r="A8040" s="1135" t="str">
        <f>CONCATENATE(Programme!C8041,Programme!D8041,Programme!E8041,Programme!F8041,Programme!G8041,Programme!H8041,Programme!I8041)</f>
        <v>&lt;ValeurCellule&gt;</v>
      </c>
    </row>
    <row r="8041" spans="1:1" x14ac:dyDescent="0.2">
      <c r="A8041" s="1135" t="str">
        <f>CONCATENATE(Programme!C8042,Programme!D8042,Programme!E8042,Programme!F8042,Programme!G8042,Programme!H8042,Programme!I8042)</f>
        <v>&lt;cellule&gt;&lt;codeEdi&gt;2094&lt;/codeEdi&gt;&lt;/cellule&gt;</v>
      </c>
    </row>
    <row r="8042" spans="1:1" x14ac:dyDescent="0.2">
      <c r="A8042" s="1135" t="str">
        <f>CONCATENATE(Programme!C8043,Programme!D8043,Programme!E8043,Programme!F8043,Programme!G8043,Programme!H8043,Programme!I8043)</f>
        <v>&lt;valeur&gt;&lt;/valeur&gt;</v>
      </c>
    </row>
    <row r="8043" spans="1:1" x14ac:dyDescent="0.2">
      <c r="A8043" s="1135" t="str">
        <f>CONCATENATE(Programme!C8044,Programme!D8044,Programme!E8044,Programme!F8044,Programme!G8044,Programme!H8044,Programme!I8044)</f>
        <v>&lt;numeroLigne&gt;6&lt;/numeroLigne&gt;</v>
      </c>
    </row>
    <row r="8044" spans="1:1" x14ac:dyDescent="0.2">
      <c r="A8044" s="1135" t="str">
        <f>CONCATENATE(Programme!C8045,Programme!D8045,Programme!E8045,Programme!F8045,Programme!G8045,Programme!H8045,Programme!I8045)</f>
        <v>&lt;/ValeurCellule&gt;</v>
      </c>
    </row>
    <row r="8045" spans="1:1" x14ac:dyDescent="0.2">
      <c r="A8045" s="1135" t="str">
        <f>CONCATENATE(Programme!C8046,Programme!D8046,Programme!E8046,Programme!F8046,Programme!G8046,Programme!H8046,Programme!I8046)</f>
        <v>&lt;ValeurCellule&gt;</v>
      </c>
    </row>
    <row r="8046" spans="1:1" x14ac:dyDescent="0.2">
      <c r="A8046" s="1135" t="str">
        <f>CONCATENATE(Programme!C8047,Programme!D8047,Programme!E8047,Programme!F8047,Programme!G8047,Programme!H8047,Programme!I8047)</f>
        <v>&lt;cellule&gt;&lt;codeEdi&gt;13536&lt;/codeEdi&gt;&lt;/cellule&gt;</v>
      </c>
    </row>
    <row r="8047" spans="1:1" x14ac:dyDescent="0.2">
      <c r="A8047" s="1135" t="str">
        <f>CONCATENATE(Programme!C8048,Programme!D8048,Programme!E8048,Programme!F8048,Programme!G8048,Programme!H8048,Programme!I8048)</f>
        <v>&lt;valeur&gt;&lt;/valeur&gt;</v>
      </c>
    </row>
    <row r="8048" spans="1:1" x14ac:dyDescent="0.2">
      <c r="A8048" s="1135" t="str">
        <f>CONCATENATE(Programme!C8049,Programme!D8049,Programme!E8049,Programme!F8049,Programme!G8049,Programme!H8049,Programme!I8049)</f>
        <v>&lt;numeroLigne&gt;6&lt;/numeroLigne&gt;</v>
      </c>
    </row>
    <row r="8049" spans="1:1" x14ac:dyDescent="0.2">
      <c r="A8049" s="1135" t="str">
        <f>CONCATENATE(Programme!C8050,Programme!D8050,Programme!E8050,Programme!F8050,Programme!G8050,Programme!H8050,Programme!I8050)</f>
        <v>&lt;/ValeurCellule&gt;</v>
      </c>
    </row>
    <row r="8050" spans="1:1" x14ac:dyDescent="0.2">
      <c r="A8050" s="1135" t="str">
        <f>CONCATENATE(Programme!C8051,Programme!D8051,Programme!E8051,Programme!F8051,Programme!G8051,Programme!H8051,Programme!I8051)</f>
        <v>&lt;ValeurCellule&gt;</v>
      </c>
    </row>
    <row r="8051" spans="1:1" x14ac:dyDescent="0.2">
      <c r="A8051" s="1135" t="str">
        <f>CONCATENATE(Programme!C8052,Programme!D8052,Programme!E8052,Programme!F8052,Programme!G8052,Programme!H8052,Programme!I8052)</f>
        <v>&lt;cellule&gt;&lt;codeEdi&gt;13537&lt;/codeEdi&gt;&lt;/cellule&gt;</v>
      </c>
    </row>
    <row r="8052" spans="1:1" x14ac:dyDescent="0.2">
      <c r="A8052" s="1135" t="str">
        <f>CONCATENATE(Programme!C8053,Programme!D8053,Programme!E8053,Programme!F8053,Programme!G8053,Programme!H8053,Programme!I8053)</f>
        <v>&lt;valeur&gt;&lt;/valeur&gt;</v>
      </c>
    </row>
    <row r="8053" spans="1:1" x14ac:dyDescent="0.2">
      <c r="A8053" s="1135" t="str">
        <f>CONCATENATE(Programme!C8054,Programme!D8054,Programme!E8054,Programme!F8054,Programme!G8054,Programme!H8054,Programme!I8054)</f>
        <v>&lt;numeroLigne&gt;6&lt;/numeroLigne&gt;</v>
      </c>
    </row>
    <row r="8054" spans="1:1" x14ac:dyDescent="0.2">
      <c r="A8054" s="1135" t="str">
        <f>CONCATENATE(Programme!C8055,Programme!D8055,Programme!E8055,Programme!F8055,Programme!G8055,Programme!H8055,Programme!I8055)</f>
        <v>&lt;/ValeurCellule&gt;</v>
      </c>
    </row>
    <row r="8055" spans="1:1" x14ac:dyDescent="0.2">
      <c r="A8055" s="1135" t="str">
        <f>CONCATENATE(Programme!C8056,Programme!D8056,Programme!E8056,Programme!F8056,Programme!G8056,Programme!H8056,Programme!I8056)</f>
        <v>&lt;ValeurCellule&gt;</v>
      </c>
    </row>
    <row r="8056" spans="1:1" x14ac:dyDescent="0.2">
      <c r="A8056" s="1135" t="str">
        <f>CONCATENATE(Programme!C8057,Programme!D8057,Programme!E8057,Programme!F8057,Programme!G8057,Programme!H8057,Programme!I8057)</f>
        <v>&lt;cellule&gt;&lt;codeEdi&gt;2095&lt;/codeEdi&gt;&lt;/cellule&gt;</v>
      </c>
    </row>
    <row r="8057" spans="1:1" x14ac:dyDescent="0.2">
      <c r="A8057" s="1135" t="str">
        <f>CONCATENATE(Programme!C8058,Programme!D8058,Programme!E8058,Programme!F8058,Programme!G8058,Programme!H8058,Programme!I8058)</f>
        <v>&lt;valeur&gt;&lt;/valeur&gt;</v>
      </c>
    </row>
    <row r="8058" spans="1:1" x14ac:dyDescent="0.2">
      <c r="A8058" s="1135" t="str">
        <f>CONCATENATE(Programme!C8059,Programme!D8059,Programme!E8059,Programme!F8059,Programme!G8059,Programme!H8059,Programme!I8059)</f>
        <v>&lt;numeroLigne&gt;6&lt;/numeroLigne&gt;</v>
      </c>
    </row>
    <row r="8059" spans="1:1" x14ac:dyDescent="0.2">
      <c r="A8059" s="1135" t="str">
        <f>CONCATENATE(Programme!C8060,Programme!D8060,Programme!E8060,Programme!F8060,Programme!G8060,Programme!H8060,Programme!I8060)</f>
        <v>&lt;/ValeurCellule&gt;</v>
      </c>
    </row>
    <row r="8060" spans="1:1" x14ac:dyDescent="0.2">
      <c r="A8060" s="1135" t="str">
        <f>CONCATENATE(Programme!C8061,Programme!D8061,Programme!E8061,Programme!F8061,Programme!G8061,Programme!H8061,Programme!I8061)</f>
        <v>&lt;ValeurCellule&gt;</v>
      </c>
    </row>
    <row r="8061" spans="1:1" x14ac:dyDescent="0.2">
      <c r="A8061" s="1135" t="str">
        <f>CONCATENATE(Programme!C8062,Programme!D8062,Programme!E8062,Programme!F8062,Programme!G8062,Programme!H8062,Programme!I8062)</f>
        <v>&lt;cellule&gt;&lt;codeEdi&gt;2096&lt;/codeEdi&gt;&lt;/cellule&gt;</v>
      </c>
    </row>
    <row r="8062" spans="1:1" x14ac:dyDescent="0.2">
      <c r="A8062" s="1135" t="str">
        <f>CONCATENATE(Programme!C8063,Programme!D8063,Programme!E8063,Programme!F8063,Programme!G8063,Programme!H8063,Programme!I8063)</f>
        <v>&lt;valeur&gt;&lt;/valeur&gt;</v>
      </c>
    </row>
    <row r="8063" spans="1:1" x14ac:dyDescent="0.2">
      <c r="A8063" s="1135" t="str">
        <f>CONCATENATE(Programme!C8064,Programme!D8064,Programme!E8064,Programme!F8064,Programme!G8064,Programme!H8064,Programme!I8064)</f>
        <v>&lt;numeroLigne&gt;6&lt;/numeroLigne&gt;</v>
      </c>
    </row>
    <row r="8064" spans="1:1" x14ac:dyDescent="0.2">
      <c r="A8064" s="1135" t="str">
        <f>CONCATENATE(Programme!C8065,Programme!D8065,Programme!E8065,Programme!F8065,Programme!G8065,Programme!H8065,Programme!I8065)</f>
        <v>&lt;/ValeurCellule&gt;</v>
      </c>
    </row>
    <row r="8065" spans="1:1" x14ac:dyDescent="0.2">
      <c r="A8065" s="1135" t="str">
        <f>CONCATENATE(Programme!C8066,Programme!D8066,Programme!E8066,Programme!F8066,Programme!G8066,Programme!H8066,Programme!I8066)</f>
        <v>&lt;ValeurCellule&gt;</v>
      </c>
    </row>
    <row r="8066" spans="1:1" x14ac:dyDescent="0.2">
      <c r="A8066" s="1135" t="str">
        <f>CONCATENATE(Programme!C8067,Programme!D8067,Programme!E8067,Programme!F8067,Programme!G8067,Programme!H8067,Programme!I8067)</f>
        <v>&lt;cellule&gt;&lt;codeEdi&gt;2097&lt;/codeEdi&gt;&lt;/cellule&gt;</v>
      </c>
    </row>
    <row r="8067" spans="1:1" x14ac:dyDescent="0.2">
      <c r="A8067" s="1135" t="str">
        <f>CONCATENATE(Programme!C8068,Programme!D8068,Programme!E8068,Programme!F8068,Programme!G8068,Programme!H8068,Programme!I8068)</f>
        <v>&lt;valeur&gt;&lt;/valeur&gt;</v>
      </c>
    </row>
    <row r="8068" spans="1:1" x14ac:dyDescent="0.2">
      <c r="A8068" s="1135" t="str">
        <f>CONCATENATE(Programme!C8069,Programme!D8069,Programme!E8069,Programme!F8069,Programme!G8069,Programme!H8069,Programme!I8069)</f>
        <v>&lt;numeroLigne&gt;6&lt;/numeroLigne&gt;</v>
      </c>
    </row>
    <row r="8069" spans="1:1" x14ac:dyDescent="0.2">
      <c r="A8069" s="1135" t="str">
        <f>CONCATENATE(Programme!C8070,Programme!D8070,Programme!E8070,Programme!F8070,Programme!G8070,Programme!H8070,Programme!I8070)</f>
        <v>&lt;/ValeurCellule&gt;</v>
      </c>
    </row>
    <row r="8070" spans="1:1" x14ac:dyDescent="0.2">
      <c r="A8070" s="1135" t="str">
        <f>CONCATENATE(Programme!C8071,Programme!D8071,Programme!E8071,Programme!F8071,Programme!G8071,Programme!H8071,Programme!I8071)</f>
        <v>&lt;ValeurCellule&gt;</v>
      </c>
    </row>
    <row r="8071" spans="1:1" x14ac:dyDescent="0.2">
      <c r="A8071" s="1135" t="str">
        <f>CONCATENATE(Programme!C8072,Programme!D8072,Programme!E8072,Programme!F8072,Programme!G8072,Programme!H8072,Programme!I8072)</f>
        <v>&lt;cellule&gt;&lt;codeEdi&gt;2098&lt;/codeEdi&gt;&lt;/cellule&gt;</v>
      </c>
    </row>
    <row r="8072" spans="1:1" x14ac:dyDescent="0.2">
      <c r="A8072" s="1135" t="str">
        <f>CONCATENATE(Programme!C8073,Programme!D8073,Programme!E8073,Programme!F8073,Programme!G8073,Programme!H8073,Programme!I8073)</f>
        <v>&lt;valeur&gt;&lt;/valeur&gt;</v>
      </c>
    </row>
    <row r="8073" spans="1:1" x14ac:dyDescent="0.2">
      <c r="A8073" s="1135" t="str">
        <f>CONCATENATE(Programme!C8074,Programme!D8074,Programme!E8074,Programme!F8074,Programme!G8074,Programme!H8074,Programme!I8074)</f>
        <v>&lt;numeroLigne&gt;6&lt;/numeroLigne&gt;</v>
      </c>
    </row>
    <row r="8074" spans="1:1" x14ac:dyDescent="0.2">
      <c r="A8074" s="1135" t="str">
        <f>CONCATENATE(Programme!C8075,Programme!D8075,Programme!E8075,Programme!F8075,Programme!G8075,Programme!H8075,Programme!I8075)</f>
        <v>&lt;/ValeurCellule&gt;</v>
      </c>
    </row>
    <row r="8075" spans="1:1" x14ac:dyDescent="0.2">
      <c r="A8075" s="1135" t="str">
        <f>CONCATENATE(Programme!C8076,Programme!D8076,Programme!E8076,Programme!F8076,Programme!G8076,Programme!H8076,Programme!I8076)</f>
        <v>&lt;ValeurCellule&gt;</v>
      </c>
    </row>
    <row r="8076" spans="1:1" x14ac:dyDescent="0.2">
      <c r="A8076" s="1135" t="str">
        <f>CONCATENATE(Programme!C8077,Programme!D8077,Programme!E8077,Programme!F8077,Programme!G8077,Programme!H8077,Programme!I8077)</f>
        <v>&lt;cellule&gt;&lt;codeEdi&gt;2099&lt;/codeEdi&gt;&lt;/cellule&gt;</v>
      </c>
    </row>
    <row r="8077" spans="1:1" x14ac:dyDescent="0.2">
      <c r="A8077" s="1135" t="str">
        <f>CONCATENATE(Programme!C8078,Programme!D8078,Programme!E8078,Programme!F8078,Programme!G8078,Programme!H8078,Programme!I8078)</f>
        <v>&lt;valeur&gt;0&lt;/valeur&gt;</v>
      </c>
    </row>
    <row r="8078" spans="1:1" x14ac:dyDescent="0.2">
      <c r="A8078" s="1135" t="str">
        <f>CONCATENATE(Programme!C8079,Programme!D8079,Programme!E8079,Programme!F8079,Programme!G8079,Programme!H8079,Programme!I8079)</f>
        <v>&lt;numeroLigne&gt;6&lt;/numeroLigne&gt;</v>
      </c>
    </row>
    <row r="8079" spans="1:1" x14ac:dyDescent="0.2">
      <c r="A8079" s="1135" t="str">
        <f>CONCATENATE(Programme!C8080,Programme!D8080,Programme!E8080,Programme!F8080,Programme!G8080,Programme!H8080,Programme!I8080)</f>
        <v>&lt;/ValeurCellule&gt;</v>
      </c>
    </row>
    <row r="8080" spans="1:1" x14ac:dyDescent="0.2">
      <c r="A8080" s="1135" t="str">
        <f>CONCATENATE(Programme!C8081,Programme!D8081,Programme!E8081,Programme!F8081,Programme!G8081,Programme!H8081,Programme!I8081)</f>
        <v>&lt;ValeurCellule&gt;</v>
      </c>
    </row>
    <row r="8081" spans="1:1" x14ac:dyDescent="0.2">
      <c r="A8081" s="1135" t="str">
        <f>CONCATENATE(Programme!C8082,Programme!D8082,Programme!E8082,Programme!F8082,Programme!G8082,Programme!H8082,Programme!I8082)</f>
        <v>&lt;cellule&gt;&lt;codeEdi&gt;2100&lt;/codeEdi&gt;&lt;/cellule&gt;</v>
      </c>
    </row>
    <row r="8082" spans="1:1" x14ac:dyDescent="0.2">
      <c r="A8082" s="1135" t="str">
        <f>CONCATENATE(Programme!C8083,Programme!D8083,Programme!E8083,Programme!F8083,Programme!G8083,Programme!H8083,Programme!I8083)</f>
        <v>&lt;valeur&gt;0&lt;/valeur&gt;</v>
      </c>
    </row>
    <row r="8083" spans="1:1" x14ac:dyDescent="0.2">
      <c r="A8083" s="1135" t="str">
        <f>CONCATENATE(Programme!C8084,Programme!D8084,Programme!E8084,Programme!F8084,Programme!G8084,Programme!H8084,Programme!I8084)</f>
        <v>&lt;numeroLigne&gt;6&lt;/numeroLigne&gt;</v>
      </c>
    </row>
    <row r="8084" spans="1:1" x14ac:dyDescent="0.2">
      <c r="A8084" s="1135" t="str">
        <f>CONCATENATE(Programme!C8085,Programme!D8085,Programme!E8085,Programme!F8085,Programme!G8085,Programme!H8085,Programme!I8085)</f>
        <v>&lt;/ValeurCellule&gt;</v>
      </c>
    </row>
    <row r="8085" spans="1:1" x14ac:dyDescent="0.2">
      <c r="A8085" s="1135" t="str">
        <f>CONCATENATE(Programme!C8086,Programme!D8086,Programme!E8086,Programme!F8086,Programme!G8086,Programme!H8086,Programme!I8086)</f>
        <v>&lt;ValeurCellule&gt;</v>
      </c>
    </row>
    <row r="8086" spans="1:1" x14ac:dyDescent="0.2">
      <c r="A8086" s="1135" t="str">
        <f>CONCATENATE(Programme!C8087,Programme!D8087,Programme!E8087,Programme!F8087,Programme!G8087,Programme!H8087,Programme!I8087)</f>
        <v>&lt;cellule&gt;&lt;codeEdi&gt;2101&lt;/codeEdi&gt;&lt;/cellule&gt;</v>
      </c>
    </row>
    <row r="8087" spans="1:1" x14ac:dyDescent="0.2">
      <c r="A8087" s="1135" t="str">
        <f>CONCATENATE(Programme!C8088,Programme!D8088,Programme!E8088,Programme!F8088,Programme!G8088,Programme!H8088,Programme!I8088)</f>
        <v>&lt;valeur&gt;0&lt;/valeur&gt;</v>
      </c>
    </row>
    <row r="8088" spans="1:1" x14ac:dyDescent="0.2">
      <c r="A8088" s="1135" t="str">
        <f>CONCATENATE(Programme!C8089,Programme!D8089,Programme!E8089,Programme!F8089,Programme!G8089,Programme!H8089,Programme!I8089)</f>
        <v>&lt;numeroLigne&gt;6&lt;/numeroLigne&gt;</v>
      </c>
    </row>
    <row r="8089" spans="1:1" x14ac:dyDescent="0.2">
      <c r="A8089" s="1135" t="str">
        <f>CONCATENATE(Programme!C8090,Programme!D8090,Programme!E8090,Programme!F8090,Programme!G8090,Programme!H8090,Programme!I8090)</f>
        <v>&lt;/ValeurCellule&gt;</v>
      </c>
    </row>
    <row r="8090" spans="1:1" x14ac:dyDescent="0.2">
      <c r="A8090" s="1135" t="str">
        <f>CONCATENATE(Programme!C8091,Programme!D8091,Programme!E8091,Programme!F8091,Programme!G8091,Programme!H8091,Programme!I8091)</f>
        <v>&lt;/groupeValeurs&gt;</v>
      </c>
    </row>
    <row r="8091" spans="1:1" x14ac:dyDescent="0.2">
      <c r="A8091" s="1135" t="str">
        <f>CONCATENATE(Programme!C8092,Programme!D8092,Programme!E8092,Programme!F8092,Programme!G8092,Programme!H8092,Programme!I8092)</f>
        <v>&lt;extraFieldvaleurs&gt;</v>
      </c>
    </row>
    <row r="8092" spans="1:1" x14ac:dyDescent="0.2">
      <c r="A8092" s="1135" t="str">
        <f>CONCATENATE(Programme!C8093,Programme!D8093,Programme!E8093,Programme!F8093,Programme!G8093,Programme!H8093,Programme!I8093)</f>
        <v>&lt;ExtraFieldValeur&gt;</v>
      </c>
    </row>
    <row r="8093" spans="1:1" x14ac:dyDescent="0.2">
      <c r="A8093" s="1135" t="str">
        <f>CONCATENATE(Programme!C8094,Programme!D8094,Programme!E8094,Programme!F8094,Programme!G8094,Programme!H8094,Programme!I8094)</f>
        <v xml:space="preserve"> &lt;extraField&gt;</v>
      </c>
    </row>
    <row r="8094" spans="1:1" x14ac:dyDescent="0.2">
      <c r="A8094" s="1135" t="str">
        <f>CONCATENATE(Programme!C8095,Programme!D8095,Programme!E8095,Programme!F8095,Programme!G8095,Programme!H8095,Programme!I8095)</f>
        <v>&lt;code&gt;18&lt;/code&gt;</v>
      </c>
    </row>
    <row r="8095" spans="1:1" x14ac:dyDescent="0.2">
      <c r="A8095" s="1135" t="str">
        <f>CONCATENATE(Programme!C8096,Programme!D8096,Programme!E8096,Programme!F8096,Programme!G8096,Programme!H8096,Programme!I8096)</f>
        <v xml:space="preserve">&lt;/extraField&gt; </v>
      </c>
    </row>
    <row r="8096" spans="1:1" x14ac:dyDescent="0.2">
      <c r="A8096" s="1135" t="str">
        <f>CONCATENATE(Programme!C8097,Programme!D8097,Programme!E8097,Programme!F8097,Programme!G8097,Programme!H8097,Programme!I8097)</f>
        <v>&lt;valeur&gt;500000&lt;/valeur&gt;</v>
      </c>
    </row>
    <row r="8097" spans="1:1" x14ac:dyDescent="0.2">
      <c r="A8097" s="1135" t="str">
        <f>CONCATENATE(Programme!C8098,Programme!D8098,Programme!E8098,Programme!F8098,Programme!G8098,Programme!H8098,Programme!I8098)</f>
        <v>&lt;/ExtraFieldValeur&gt;</v>
      </c>
    </row>
    <row r="8098" spans="1:1" x14ac:dyDescent="0.2">
      <c r="A8098" s="1135" t="str">
        <f>CONCATENATE(Programme!C8099,Programme!D8099,Programme!E8099,Programme!F8099,Programme!G8099,Programme!H8099,Programme!I8099)</f>
        <v>&lt;/extraFieldvaleurs&gt;</v>
      </c>
    </row>
    <row r="8099" spans="1:1" x14ac:dyDescent="0.2">
      <c r="A8099" s="1135" t="str">
        <f>CONCATENATE(Programme!C8100,Programme!D8100,Programme!E8100,Programme!F8100,Programme!G8100,Programme!H8100,Programme!I8100)</f>
        <v>&lt;/ValeursTableau&gt;</v>
      </c>
    </row>
    <row r="8100" spans="1:1" x14ac:dyDescent="0.2">
      <c r="A8100" s="1135" t="str">
        <f>CONCATENATE(Programme!C8101,Programme!D8101,Programme!E8101,Programme!F8101,Programme!G8101,Programme!H8101,Programme!I8101)</f>
        <v>&lt;ValeursTableau&gt;</v>
      </c>
    </row>
    <row r="8101" spans="1:1" x14ac:dyDescent="0.2">
      <c r="A8101" s="1135" t="str">
        <f>CONCATENATE(Programme!C8102,Programme!D8102,Programme!E8102,Programme!F8102,Programme!G8102,Programme!H8102,Programme!I8102)</f>
        <v>&lt;tableau&gt;&lt;id&gt;5&lt;/id&gt;&lt;/tableau&gt;</v>
      </c>
    </row>
    <row r="8102" spans="1:1" x14ac:dyDescent="0.2">
      <c r="A8102" s="1135" t="str">
        <f>CONCATENATE(Programme!C8103,Programme!D8103,Programme!E8103,Programme!F8103,Programme!G8103,Programme!H8103,Programme!I8103)</f>
        <v>&lt;groupeValeurs&gt;</v>
      </c>
    </row>
    <row r="8103" spans="1:1" x14ac:dyDescent="0.2">
      <c r="A8103" s="1135" t="str">
        <f>CONCATENATE(Programme!C8104,Programme!D8104,Programme!E8104,Programme!F8104,Programme!G8104,Programme!H8104,Programme!I8104)</f>
        <v>&lt;ValeurCellule&gt;</v>
      </c>
    </row>
    <row r="8104" spans="1:1" x14ac:dyDescent="0.2">
      <c r="A8104" s="1135" t="str">
        <f>CONCATENATE(Programme!C8105,Programme!D8105,Programme!E8105,Programme!F8105,Programme!G8105,Programme!H8105,Programme!I8105)</f>
        <v>&lt;cellule&gt;</v>
      </c>
    </row>
    <row r="8105" spans="1:1" x14ac:dyDescent="0.2">
      <c r="A8105" s="1135" t="str">
        <f>CONCATENATE(Programme!C8106,Programme!D8106,Programme!E8106,Programme!F8106,Programme!G8106,Programme!H8106,Programme!I8106)</f>
        <v>&lt;codeEdi&gt;471&lt;/codeEdi&gt;</v>
      </c>
    </row>
    <row r="8106" spans="1:1" x14ac:dyDescent="0.2">
      <c r="A8106" s="1135" t="str">
        <f>CONCATENATE(Programme!C8107,Programme!D8107,Programme!E8107,Programme!F8107,Programme!G8107,Programme!H8107,Programme!I8107)</f>
        <v>&lt;/cellule&gt;</v>
      </c>
    </row>
    <row r="8107" spans="1:1" x14ac:dyDescent="0.2">
      <c r="A8107" s="1135" t="str">
        <f>CONCATENATE(Programme!C8108,Programme!D8108,Programme!E8108,Programme!F8108,Programme!G8108,Programme!H8108,Programme!I8108)</f>
        <v>&lt;valeur&gt;&lt;/valeur&gt;</v>
      </c>
    </row>
    <row r="8108" spans="1:1" x14ac:dyDescent="0.2">
      <c r="A8108" s="1135" t="str">
        <f>CONCATENATE(Programme!C8109,Programme!D8109,Programme!E8109,Programme!F8109,Programme!G8109,Programme!H8109,Programme!I8109)</f>
        <v>&lt;/ValeurCellule&gt;</v>
      </c>
    </row>
    <row r="8109" spans="1:1" x14ac:dyDescent="0.2">
      <c r="A8109" s="1135" t="str">
        <f>CONCATENATE(Programme!C8110,Programme!D8110,Programme!E8110,Programme!F8110,Programme!G8110,Programme!H8110,Programme!I8110)</f>
        <v>&lt;ValeurCellule&gt;</v>
      </c>
    </row>
    <row r="8110" spans="1:1" x14ac:dyDescent="0.2">
      <c r="A8110" s="1135" t="str">
        <f>CONCATENATE(Programme!C8111,Programme!D8111,Programme!E8111,Programme!F8111,Programme!G8111,Programme!H8111,Programme!I8111)</f>
        <v>&lt;cellule&gt;</v>
      </c>
    </row>
    <row r="8111" spans="1:1" x14ac:dyDescent="0.2">
      <c r="A8111" s="1135" t="str">
        <f>CONCATENATE(Programme!C8112,Programme!D8112,Programme!E8112,Programme!F8112,Programme!G8112,Programme!H8112,Programme!I8112)</f>
        <v>&lt;codeEdi&gt;473&lt;/codeEdi&gt;</v>
      </c>
    </row>
    <row r="8112" spans="1:1" x14ac:dyDescent="0.2">
      <c r="A8112" s="1135" t="str">
        <f>CONCATENATE(Programme!C8113,Programme!D8113,Programme!E8113,Programme!F8113,Programme!G8113,Programme!H8113,Programme!I8113)</f>
        <v>&lt;/cellule&gt;</v>
      </c>
    </row>
    <row r="8113" spans="1:1" x14ac:dyDescent="0.2">
      <c r="A8113" s="1135" t="str">
        <f>CONCATENATE(Programme!C8114,Programme!D8114,Programme!E8114,Programme!F8114,Programme!G8114,Programme!H8114,Programme!I8114)</f>
        <v>&lt;valeur&gt;&lt;/valeur&gt;</v>
      </c>
    </row>
    <row r="8114" spans="1:1" x14ac:dyDescent="0.2">
      <c r="A8114" s="1135" t="str">
        <f>CONCATENATE(Programme!C8115,Programme!D8115,Programme!E8115,Programme!F8115,Programme!G8115,Programme!H8115,Programme!I8115)</f>
        <v>&lt;/ValeurCellule&gt;</v>
      </c>
    </row>
    <row r="8115" spans="1:1" x14ac:dyDescent="0.2">
      <c r="A8115" s="1135" t="str">
        <f>CONCATENATE(Programme!C8116,Programme!D8116,Programme!E8116,Programme!F8116,Programme!G8116,Programme!H8116,Programme!I8116)</f>
        <v>&lt;ValeurCellule&gt;</v>
      </c>
    </row>
    <row r="8116" spans="1:1" x14ac:dyDescent="0.2">
      <c r="A8116" s="1135" t="str">
        <f>CONCATENATE(Programme!C8117,Programme!D8117,Programme!E8117,Programme!F8117,Programme!G8117,Programme!H8117,Programme!I8117)</f>
        <v>&lt;cellule&gt;</v>
      </c>
    </row>
    <row r="8117" spans="1:1" x14ac:dyDescent="0.2">
      <c r="A8117" s="1135" t="str">
        <f>CONCATENATE(Programme!C8118,Programme!D8118,Programme!E8118,Programme!F8118,Programme!G8118,Programme!H8118,Programme!I8118)</f>
        <v>&lt;codeEdi&gt;475&lt;/codeEdi&gt;</v>
      </c>
    </row>
    <row r="8118" spans="1:1" x14ac:dyDescent="0.2">
      <c r="A8118" s="1135" t="str">
        <f>CONCATENATE(Programme!C8119,Programme!D8119,Programme!E8119,Programme!F8119,Programme!G8119,Programme!H8119,Programme!I8119)</f>
        <v>&lt;/cellule&gt;</v>
      </c>
    </row>
    <row r="8119" spans="1:1" x14ac:dyDescent="0.2">
      <c r="A8119" s="1135" t="str">
        <f>CONCATENATE(Programme!C8120,Programme!D8120,Programme!E8120,Programme!F8120,Programme!G8120,Programme!H8120,Programme!I8120)</f>
        <v>&lt;valeur&gt;&lt;/valeur&gt;</v>
      </c>
    </row>
    <row r="8120" spans="1:1" x14ac:dyDescent="0.2">
      <c r="A8120" s="1135" t="str">
        <f>CONCATENATE(Programme!C8121,Programme!D8121,Programme!E8121,Programme!F8121,Programme!G8121,Programme!H8121,Programme!I8121)</f>
        <v>&lt;/ValeurCellule&gt;</v>
      </c>
    </row>
    <row r="8121" spans="1:1" x14ac:dyDescent="0.2">
      <c r="A8121" s="1135" t="str">
        <f>CONCATENATE(Programme!C8122,Programme!D8122,Programme!E8122,Programme!F8122,Programme!G8122,Programme!H8122,Programme!I8122)</f>
        <v>&lt;ValeurCellule&gt;</v>
      </c>
    </row>
    <row r="8122" spans="1:1" x14ac:dyDescent="0.2">
      <c r="A8122" s="1135" t="str">
        <f>CONCATENATE(Programme!C8123,Programme!D8123,Programme!E8123,Programme!F8123,Programme!G8123,Programme!H8123,Programme!I8123)</f>
        <v>&lt;cellule&gt;</v>
      </c>
    </row>
    <row r="8123" spans="1:1" x14ac:dyDescent="0.2">
      <c r="A8123" s="1135" t="str">
        <f>CONCATENATE(Programme!C8124,Programme!D8124,Programme!E8124,Programme!F8124,Programme!G8124,Programme!H8124,Programme!I8124)</f>
        <v>&lt;codeEdi&gt;477&lt;/codeEdi&gt;</v>
      </c>
    </row>
    <row r="8124" spans="1:1" x14ac:dyDescent="0.2">
      <c r="A8124" s="1135" t="str">
        <f>CONCATENATE(Programme!C8125,Programme!D8125,Programme!E8125,Programme!F8125,Programme!G8125,Programme!H8125,Programme!I8125)</f>
        <v>&lt;/cellule&gt;</v>
      </c>
    </row>
    <row r="8125" spans="1:1" x14ac:dyDescent="0.2">
      <c r="A8125" s="1135" t="str">
        <f>CONCATENATE(Programme!C8126,Programme!D8126,Programme!E8126,Programme!F8126,Programme!G8126,Programme!H8126,Programme!I8126)</f>
        <v>&lt;valeur&gt;&lt;/valeur&gt;</v>
      </c>
    </row>
    <row r="8126" spans="1:1" x14ac:dyDescent="0.2">
      <c r="A8126" s="1135" t="str">
        <f>CONCATENATE(Programme!C8127,Programme!D8127,Programme!E8127,Programme!F8127,Programme!G8127,Programme!H8127,Programme!I8127)</f>
        <v>&lt;/ValeurCellule&gt;</v>
      </c>
    </row>
    <row r="8127" spans="1:1" x14ac:dyDescent="0.2">
      <c r="A8127" s="1135" t="str">
        <f>CONCATENATE(Programme!C8128,Programme!D8128,Programme!E8128,Programme!F8128,Programme!G8128,Programme!H8128,Programme!I8128)</f>
        <v>&lt;ValeurCellule&gt;</v>
      </c>
    </row>
    <row r="8128" spans="1:1" x14ac:dyDescent="0.2">
      <c r="A8128" s="1135" t="str">
        <f>CONCATENATE(Programme!C8129,Programme!D8129,Programme!E8129,Programme!F8129,Programme!G8129,Programme!H8129,Programme!I8129)</f>
        <v>&lt;cellule&gt;</v>
      </c>
    </row>
    <row r="8129" spans="1:1" x14ac:dyDescent="0.2">
      <c r="A8129" s="1135" t="str">
        <f>CONCATENATE(Programme!C8130,Programme!D8130,Programme!E8130,Programme!F8130,Programme!G8130,Programme!H8130,Programme!I8130)</f>
        <v>&lt;codeEdi&gt;479&lt;/codeEdi&gt;</v>
      </c>
    </row>
    <row r="8130" spans="1:1" x14ac:dyDescent="0.2">
      <c r="A8130" s="1135" t="str">
        <f>CONCATENATE(Programme!C8131,Programme!D8131,Programme!E8131,Programme!F8131,Programme!G8131,Programme!H8131,Programme!I8131)</f>
        <v>&lt;/cellule&gt;</v>
      </c>
    </row>
    <row r="8131" spans="1:1" x14ac:dyDescent="0.2">
      <c r="A8131" s="1135" t="str">
        <f>CONCATENATE(Programme!C8132,Programme!D8132,Programme!E8132,Programme!F8132,Programme!G8132,Programme!H8132,Programme!I8132)</f>
        <v>&lt;valeur&gt;&lt;/valeur&gt;</v>
      </c>
    </row>
    <row r="8132" spans="1:1" x14ac:dyDescent="0.2">
      <c r="A8132" s="1135" t="str">
        <f>CONCATENATE(Programme!C8133,Programme!D8133,Programme!E8133,Programme!F8133,Programme!G8133,Programme!H8133,Programme!I8133)</f>
        <v>&lt;/ValeurCellule&gt;</v>
      </c>
    </row>
    <row r="8133" spans="1:1" x14ac:dyDescent="0.2">
      <c r="A8133" s="1135" t="str">
        <f>CONCATENATE(Programme!C8134,Programme!D8134,Programme!E8134,Programme!F8134,Programme!G8134,Programme!H8134,Programme!I8134)</f>
        <v>&lt;ValeurCellule&gt;</v>
      </c>
    </row>
    <row r="8134" spans="1:1" x14ac:dyDescent="0.2">
      <c r="A8134" s="1135" t="str">
        <f>CONCATENATE(Programme!C8135,Programme!D8135,Programme!E8135,Programme!F8135,Programme!G8135,Programme!H8135,Programme!I8135)</f>
        <v>&lt;cellule&gt;</v>
      </c>
    </row>
    <row r="8135" spans="1:1" x14ac:dyDescent="0.2">
      <c r="A8135" s="1135" t="str">
        <f>CONCATENATE(Programme!C8136,Programme!D8136,Programme!E8136,Programme!F8136,Programme!G8136,Programme!H8136,Programme!I8136)</f>
        <v>&lt;codeEdi&gt;481&lt;/codeEdi&gt;</v>
      </c>
    </row>
    <row r="8136" spans="1:1" x14ac:dyDescent="0.2">
      <c r="A8136" s="1135" t="str">
        <f>CONCATENATE(Programme!C8137,Programme!D8137,Programme!E8137,Programme!F8137,Programme!G8137,Programme!H8137,Programme!I8137)</f>
        <v>&lt;/cellule&gt;</v>
      </c>
    </row>
    <row r="8137" spans="1:1" x14ac:dyDescent="0.2">
      <c r="A8137" s="1135" t="str">
        <f>CONCATENATE(Programme!C8138,Programme!D8138,Programme!E8138,Programme!F8138,Programme!G8138,Programme!H8138,Programme!I8138)</f>
        <v>&lt;valeur&gt;0&lt;/valeur&gt;</v>
      </c>
    </row>
    <row r="8138" spans="1:1" x14ac:dyDescent="0.2">
      <c r="A8138" s="1135" t="str">
        <f>CONCATENATE(Programme!C8139,Programme!D8139,Programme!E8139,Programme!F8139,Programme!G8139,Programme!H8139,Programme!I8139)</f>
        <v>&lt;/ValeurCellule&gt;</v>
      </c>
    </row>
    <row r="8139" spans="1:1" x14ac:dyDescent="0.2">
      <c r="A8139" s="1135" t="str">
        <f>CONCATENATE(Programme!C8140,Programme!D8140,Programme!E8140,Programme!F8140,Programme!G8140,Programme!H8140,Programme!I8140)</f>
        <v>&lt;ValeurCellule&gt;</v>
      </c>
    </row>
    <row r="8140" spans="1:1" x14ac:dyDescent="0.2">
      <c r="A8140" s="1135" t="str">
        <f>CONCATENATE(Programme!C8141,Programme!D8141,Programme!E8141,Programme!F8141,Programme!G8141,Programme!H8141,Programme!I8141)</f>
        <v>&lt;cellule&gt;</v>
      </c>
    </row>
    <row r="8141" spans="1:1" x14ac:dyDescent="0.2">
      <c r="A8141" s="1135" t="str">
        <f>CONCATENATE(Programme!C8142,Programme!D8142,Programme!E8142,Programme!F8142,Programme!G8142,Programme!H8142,Programme!I8142)</f>
        <v>&lt;codeEdi&gt;483&lt;/codeEdi&gt;</v>
      </c>
    </row>
    <row r="8142" spans="1:1" x14ac:dyDescent="0.2">
      <c r="A8142" s="1135" t="str">
        <f>CONCATENATE(Programme!C8143,Programme!D8143,Programme!E8143,Programme!F8143,Programme!G8143,Programme!H8143,Programme!I8143)</f>
        <v>&lt;/cellule&gt;</v>
      </c>
    </row>
    <row r="8143" spans="1:1" x14ac:dyDescent="0.2">
      <c r="A8143" s="1135" t="str">
        <f>CONCATENATE(Programme!C8144,Programme!D8144,Programme!E8144,Programme!F8144,Programme!G8144,Programme!H8144,Programme!I8144)</f>
        <v>&lt;valeur&gt;&lt;/valeur&gt;</v>
      </c>
    </row>
    <row r="8144" spans="1:1" x14ac:dyDescent="0.2">
      <c r="A8144" s="1135" t="str">
        <f>CONCATENATE(Programme!C8145,Programme!D8145,Programme!E8145,Programme!F8145,Programme!G8145,Programme!H8145,Programme!I8145)</f>
        <v>&lt;/ValeurCellule&gt;</v>
      </c>
    </row>
    <row r="8145" spans="1:1" x14ac:dyDescent="0.2">
      <c r="A8145" s="1135" t="str">
        <f>CONCATENATE(Programme!C8146,Programme!D8146,Programme!E8146,Programme!F8146,Programme!G8146,Programme!H8146,Programme!I8146)</f>
        <v>&lt;ValeurCellule&gt;</v>
      </c>
    </row>
    <row r="8146" spans="1:1" x14ac:dyDescent="0.2">
      <c r="A8146" s="1135" t="str">
        <f>CONCATENATE(Programme!C8147,Programme!D8147,Programme!E8147,Programme!F8147,Programme!G8147,Programme!H8147,Programme!I8147)</f>
        <v>&lt;cellule&gt;</v>
      </c>
    </row>
    <row r="8147" spans="1:1" x14ac:dyDescent="0.2">
      <c r="A8147" s="1135" t="str">
        <f>CONCATENATE(Programme!C8148,Programme!D8148,Programme!E8148,Programme!F8148,Programme!G8148,Programme!H8148,Programme!I8148)</f>
        <v>&lt;codeEdi&gt;485&lt;/codeEdi&gt;</v>
      </c>
    </row>
    <row r="8148" spans="1:1" x14ac:dyDescent="0.2">
      <c r="A8148" s="1135" t="str">
        <f>CONCATENATE(Programme!C8149,Programme!D8149,Programme!E8149,Programme!F8149,Programme!G8149,Programme!H8149,Programme!I8149)</f>
        <v>&lt;/cellule&gt;</v>
      </c>
    </row>
    <row r="8149" spans="1:1" x14ac:dyDescent="0.2">
      <c r="A8149" s="1135" t="str">
        <f>CONCATENATE(Programme!C8150,Programme!D8150,Programme!E8150,Programme!F8150,Programme!G8150,Programme!H8150,Programme!I8150)</f>
        <v>&lt;valeur&gt;&lt;/valeur&gt;</v>
      </c>
    </row>
    <row r="8150" spans="1:1" x14ac:dyDescent="0.2">
      <c r="A8150" s="1135" t="str">
        <f>CONCATENATE(Programme!C8151,Programme!D8151,Programme!E8151,Programme!F8151,Programme!G8151,Programme!H8151,Programme!I8151)</f>
        <v>&lt;/ValeurCellule&gt;</v>
      </c>
    </row>
    <row r="8151" spans="1:1" x14ac:dyDescent="0.2">
      <c r="A8151" s="1135" t="str">
        <f>CONCATENATE(Programme!C8152,Programme!D8152,Programme!E8152,Programme!F8152,Programme!G8152,Programme!H8152,Programme!I8152)</f>
        <v>&lt;ValeurCellule&gt;</v>
      </c>
    </row>
    <row r="8152" spans="1:1" x14ac:dyDescent="0.2">
      <c r="A8152" s="1135" t="str">
        <f>CONCATENATE(Programme!C8153,Programme!D8153,Programme!E8153,Programme!F8153,Programme!G8153,Programme!H8153,Programme!I8153)</f>
        <v>&lt;cellule&gt;</v>
      </c>
    </row>
    <row r="8153" spans="1:1" x14ac:dyDescent="0.2">
      <c r="A8153" s="1135" t="str">
        <f>CONCATENATE(Programme!C8154,Programme!D8154,Programme!E8154,Programme!F8154,Programme!G8154,Programme!H8154,Programme!I8154)</f>
        <v>&lt;codeEdi&gt;487&lt;/codeEdi&gt;</v>
      </c>
    </row>
    <row r="8154" spans="1:1" x14ac:dyDescent="0.2">
      <c r="A8154" s="1135" t="str">
        <f>CONCATENATE(Programme!C8155,Programme!D8155,Programme!E8155,Programme!F8155,Programme!G8155,Programme!H8155,Programme!I8155)</f>
        <v>&lt;/cellule&gt;</v>
      </c>
    </row>
    <row r="8155" spans="1:1" x14ac:dyDescent="0.2">
      <c r="A8155" s="1135" t="str">
        <f>CONCATENATE(Programme!C8156,Programme!D8156,Programme!E8156,Programme!F8156,Programme!G8156,Programme!H8156,Programme!I8156)</f>
        <v>&lt;valeur&gt;&lt;/valeur&gt;</v>
      </c>
    </row>
    <row r="8156" spans="1:1" x14ac:dyDescent="0.2">
      <c r="A8156" s="1135" t="str">
        <f>CONCATENATE(Programme!C8157,Programme!D8157,Programme!E8157,Programme!F8157,Programme!G8157,Programme!H8157,Programme!I8157)</f>
        <v>&lt;/ValeurCellule&gt;</v>
      </c>
    </row>
    <row r="8157" spans="1:1" x14ac:dyDescent="0.2">
      <c r="A8157" s="1135" t="str">
        <f>CONCATENATE(Programme!C8158,Programme!D8158,Programme!E8158,Programme!F8158,Programme!G8158,Programme!H8158,Programme!I8158)</f>
        <v>&lt;ValeurCellule&gt;</v>
      </c>
    </row>
    <row r="8158" spans="1:1" x14ac:dyDescent="0.2">
      <c r="A8158" s="1135" t="str">
        <f>CONCATENATE(Programme!C8159,Programme!D8159,Programme!E8159,Programme!F8159,Programme!G8159,Programme!H8159,Programme!I8159)</f>
        <v>&lt;cellule&gt;</v>
      </c>
    </row>
    <row r="8159" spans="1:1" x14ac:dyDescent="0.2">
      <c r="A8159" s="1135" t="str">
        <f>CONCATENATE(Programme!C8160,Programme!D8160,Programme!E8160,Programme!F8160,Programme!G8160,Programme!H8160,Programme!I8160)</f>
        <v>&lt;codeEdi&gt;489&lt;/codeEdi&gt;</v>
      </c>
    </row>
    <row r="8160" spans="1:1" x14ac:dyDescent="0.2">
      <c r="A8160" s="1135" t="str">
        <f>CONCATENATE(Programme!C8161,Programme!D8161,Programme!E8161,Programme!F8161,Programme!G8161,Programme!H8161,Programme!I8161)</f>
        <v>&lt;/cellule&gt;</v>
      </c>
    </row>
    <row r="8161" spans="1:1" x14ac:dyDescent="0.2">
      <c r="A8161" s="1135" t="str">
        <f>CONCATENATE(Programme!C8162,Programme!D8162,Programme!E8162,Programme!F8162,Programme!G8162,Programme!H8162,Programme!I8162)</f>
        <v>&lt;valeur&gt;&lt;/valeur&gt;</v>
      </c>
    </row>
    <row r="8162" spans="1:1" x14ac:dyDescent="0.2">
      <c r="A8162" s="1135" t="str">
        <f>CONCATENATE(Programme!C8163,Programme!D8163,Programme!E8163,Programme!F8163,Programme!G8163,Programme!H8163,Programme!I8163)</f>
        <v>&lt;/ValeurCellule&gt;</v>
      </c>
    </row>
    <row r="8163" spans="1:1" x14ac:dyDescent="0.2">
      <c r="A8163" s="1135" t="str">
        <f>CONCATENATE(Programme!C8164,Programme!D8164,Programme!E8164,Programme!F8164,Programme!G8164,Programme!H8164,Programme!I8164)</f>
        <v>&lt;ValeurCellule&gt;</v>
      </c>
    </row>
    <row r="8164" spans="1:1" x14ac:dyDescent="0.2">
      <c r="A8164" s="1135" t="str">
        <f>CONCATENATE(Programme!C8165,Programme!D8165,Programme!E8165,Programme!F8165,Programme!G8165,Programme!H8165,Programme!I8165)</f>
        <v>&lt;cellule&gt;</v>
      </c>
    </row>
    <row r="8165" spans="1:1" x14ac:dyDescent="0.2">
      <c r="A8165" s="1135" t="str">
        <f>CONCATENATE(Programme!C8166,Programme!D8166,Programme!E8166,Programme!F8166,Programme!G8166,Programme!H8166,Programme!I8166)</f>
        <v>&lt;codeEdi&gt;491&lt;/codeEdi&gt;</v>
      </c>
    </row>
    <row r="8166" spans="1:1" x14ac:dyDescent="0.2">
      <c r="A8166" s="1135" t="str">
        <f>CONCATENATE(Programme!C8167,Programme!D8167,Programme!E8167,Programme!F8167,Programme!G8167,Programme!H8167,Programme!I8167)</f>
        <v>&lt;/cellule&gt;</v>
      </c>
    </row>
    <row r="8167" spans="1:1" x14ac:dyDescent="0.2">
      <c r="A8167" s="1135" t="str">
        <f>CONCATENATE(Programme!C8168,Programme!D8168,Programme!E8168,Programme!F8168,Programme!G8168,Programme!H8168,Programme!I8168)</f>
        <v>&lt;valeur&gt;&lt;/valeur&gt;</v>
      </c>
    </row>
    <row r="8168" spans="1:1" x14ac:dyDescent="0.2">
      <c r="A8168" s="1135" t="str">
        <f>CONCATENATE(Programme!C8169,Programme!D8169,Programme!E8169,Programme!F8169,Programme!G8169,Programme!H8169,Programme!I8169)</f>
        <v>&lt;/ValeurCellule&gt;</v>
      </c>
    </row>
    <row r="8169" spans="1:1" x14ac:dyDescent="0.2">
      <c r="A8169" s="1135" t="str">
        <f>CONCATENATE(Programme!C8170,Programme!D8170,Programme!E8170,Programme!F8170,Programme!G8170,Programme!H8170,Programme!I8170)</f>
        <v>&lt;ValeurCellule&gt;</v>
      </c>
    </row>
    <row r="8170" spans="1:1" x14ac:dyDescent="0.2">
      <c r="A8170" s="1135" t="str">
        <f>CONCATENATE(Programme!C8171,Programme!D8171,Programme!E8171,Programme!F8171,Programme!G8171,Programme!H8171,Programme!I8171)</f>
        <v>&lt;cellule&gt;</v>
      </c>
    </row>
    <row r="8171" spans="1:1" x14ac:dyDescent="0.2">
      <c r="A8171" s="1135" t="str">
        <f>CONCATENATE(Programme!C8172,Programme!D8172,Programme!E8172,Programme!F8172,Programme!G8172,Programme!H8172,Programme!I8172)</f>
        <v>&lt;codeEdi&gt;493&lt;/codeEdi&gt;</v>
      </c>
    </row>
    <row r="8172" spans="1:1" x14ac:dyDescent="0.2">
      <c r="A8172" s="1135" t="str">
        <f>CONCATENATE(Programme!C8173,Programme!D8173,Programme!E8173,Programme!F8173,Programme!G8173,Programme!H8173,Programme!I8173)</f>
        <v>&lt;/cellule&gt;</v>
      </c>
    </row>
    <row r="8173" spans="1:1" x14ac:dyDescent="0.2">
      <c r="A8173" s="1135" t="str">
        <f>CONCATENATE(Programme!C8174,Programme!D8174,Programme!E8174,Programme!F8174,Programme!G8174,Programme!H8174,Programme!I8174)</f>
        <v>&lt;valeur&gt;&lt;/valeur&gt;</v>
      </c>
    </row>
    <row r="8174" spans="1:1" x14ac:dyDescent="0.2">
      <c r="A8174" s="1135" t="str">
        <f>CONCATENATE(Programme!C8175,Programme!D8175,Programme!E8175,Programme!F8175,Programme!G8175,Programme!H8175,Programme!I8175)</f>
        <v>&lt;/ValeurCellule&gt;</v>
      </c>
    </row>
    <row r="8175" spans="1:1" x14ac:dyDescent="0.2">
      <c r="A8175" s="1135" t="str">
        <f>CONCATENATE(Programme!C8176,Programme!D8176,Programme!E8176,Programme!F8176,Programme!G8176,Programme!H8176,Programme!I8176)</f>
        <v>&lt;ValeurCellule&gt;</v>
      </c>
    </row>
    <row r="8176" spans="1:1" x14ac:dyDescent="0.2">
      <c r="A8176" s="1135" t="str">
        <f>CONCATENATE(Programme!C8177,Programme!D8177,Programme!E8177,Programme!F8177,Programme!G8177,Programme!H8177,Programme!I8177)</f>
        <v>&lt;cellule&gt;</v>
      </c>
    </row>
    <row r="8177" spans="1:1" x14ac:dyDescent="0.2">
      <c r="A8177" s="1135" t="str">
        <f>CONCATENATE(Programme!C8178,Programme!D8178,Programme!E8178,Programme!F8178,Programme!G8178,Programme!H8178,Programme!I8178)</f>
        <v>&lt;codeEdi&gt;495&lt;/codeEdi&gt;</v>
      </c>
    </row>
    <row r="8178" spans="1:1" x14ac:dyDescent="0.2">
      <c r="A8178" s="1135" t="str">
        <f>CONCATENATE(Programme!C8179,Programme!D8179,Programme!E8179,Programme!F8179,Programme!G8179,Programme!H8179,Programme!I8179)</f>
        <v>&lt;/cellule&gt;</v>
      </c>
    </row>
    <row r="8179" spans="1:1" x14ac:dyDescent="0.2">
      <c r="A8179" s="1135" t="str">
        <f>CONCATENATE(Programme!C8180,Programme!D8180,Programme!E8180,Programme!F8180,Programme!G8180,Programme!H8180,Programme!I8180)</f>
        <v>&lt;valeur&gt;0&lt;/valeur&gt;</v>
      </c>
    </row>
    <row r="8180" spans="1:1" x14ac:dyDescent="0.2">
      <c r="A8180" s="1135" t="str">
        <f>CONCATENATE(Programme!C8181,Programme!D8181,Programme!E8181,Programme!F8181,Programme!G8181,Programme!H8181,Programme!I8181)</f>
        <v>&lt;/ValeurCellule&gt;</v>
      </c>
    </row>
    <row r="8181" spans="1:1" x14ac:dyDescent="0.2">
      <c r="A8181" s="1135" t="str">
        <f>CONCATENATE(Programme!C8182,Programme!D8182,Programme!E8182,Programme!F8182,Programme!G8182,Programme!H8182,Programme!I8182)</f>
        <v>&lt;/groupeValeurs&gt;</v>
      </c>
    </row>
    <row r="8182" spans="1:1" x14ac:dyDescent="0.2">
      <c r="A8182" s="1135" t="str">
        <f>CONCATENATE(Programme!C8183,Programme!D8183,Programme!E8183,Programme!F8183,Programme!G8183,Programme!H8183,Programme!I8183)</f>
        <v>&lt;extraFieldvaleurs&gt;</v>
      </c>
    </row>
    <row r="8183" spans="1:1" x14ac:dyDescent="0.2">
      <c r="A8183" s="1135" t="str">
        <f>CONCATENATE(Programme!C8184,Programme!D8184,Programme!E8184,Programme!F8184,Programme!G8184,Programme!H8184,Programme!I8184)</f>
        <v>&lt;/extraFieldvaleurs&gt;</v>
      </c>
    </row>
    <row r="8184" spans="1:1" x14ac:dyDescent="0.2">
      <c r="A8184" s="1135" t="str">
        <f>CONCATENATE(Programme!C8185,Programme!D8185,Programme!E8185,Programme!F8185,Programme!G8185,Programme!H8185,Programme!I8185)</f>
        <v>&lt;/ValeursTableau&gt;</v>
      </c>
    </row>
    <row r="8185" spans="1:1" x14ac:dyDescent="0.2">
      <c r="A8185" s="1135" t="str">
        <f>CONCATENATE(Programme!C8186,Programme!D8186,Programme!E8186,Programme!F8186,Programme!G8186,Programme!H8186,Programme!I8186)</f>
        <v>&lt;ValeursTableau&gt;</v>
      </c>
    </row>
    <row r="8186" spans="1:1" x14ac:dyDescent="0.2">
      <c r="A8186" s="1135" t="str">
        <f>CONCATENATE(Programme!C8187,Programme!D8187,Programme!E8187,Programme!F8187,Programme!G8187,Programme!H8187,Programme!I8187)</f>
        <v>&lt;tableau&gt;&lt;id&gt;10&lt;/id&gt;&lt;/tableau&gt;</v>
      </c>
    </row>
    <row r="8187" spans="1:1" x14ac:dyDescent="0.2">
      <c r="A8187" s="1135" t="str">
        <f>CONCATENATE(Programme!C8188,Programme!D8188,Programme!E8188,Programme!F8188,Programme!G8188,Programme!H8188,Programme!I8188)</f>
        <v>&lt;groupeValeurs&gt;</v>
      </c>
    </row>
    <row r="8188" spans="1:1" x14ac:dyDescent="0.2">
      <c r="A8188" s="1135" t="str">
        <f>CONCATENATE(Programme!C8189,Programme!D8189,Programme!E8189,Programme!F8189,Programme!G8189,Programme!H8189,Programme!I8189)</f>
        <v>&lt;ValeurCellule&gt;</v>
      </c>
    </row>
    <row r="8189" spans="1:1" x14ac:dyDescent="0.2">
      <c r="A8189" s="1135" t="str">
        <f>CONCATENATE(Programme!C8190,Programme!D8190,Programme!E8190,Programme!F8190,Programme!G8190,Programme!H8190,Programme!I8190)</f>
        <v>&lt;cellule&gt;</v>
      </c>
    </row>
    <row r="8190" spans="1:1" x14ac:dyDescent="0.2">
      <c r="A8190" s="1135" t="str">
        <f>CONCATENATE(Programme!C8191,Programme!D8191,Programme!E8191,Programme!F8191,Programme!G8191,Programme!H8191,Programme!I8191)</f>
        <v>&lt;codeEdi&gt;873&lt;/codeEdi&gt;</v>
      </c>
    </row>
    <row r="8191" spans="1:1" x14ac:dyDescent="0.2">
      <c r="A8191" s="1135" t="str">
        <f>CONCATENATE(Programme!C8192,Programme!D8192,Programme!E8192,Programme!F8192,Programme!G8192,Programme!H8192,Programme!I8192)</f>
        <v>&lt;/cellule&gt;</v>
      </c>
    </row>
    <row r="8192" spans="1:1" x14ac:dyDescent="0.2">
      <c r="A8192" s="1135" t="str">
        <f>CONCATENATE(Programme!C8193,Programme!D8193,Programme!E8193,Programme!F8193,Programme!G8193,Programme!H8193,Programme!I8193)</f>
        <v>&lt;valeur&gt;&lt;/valeur&gt;</v>
      </c>
    </row>
    <row r="8193" spans="1:1" x14ac:dyDescent="0.2">
      <c r="A8193" s="1135" t="str">
        <f>CONCATENATE(Programme!C8194,Programme!D8194,Programme!E8194,Programme!F8194,Programme!G8194,Programme!H8194,Programme!I8194)</f>
        <v>&lt;/ValeurCellule&gt;</v>
      </c>
    </row>
    <row r="8194" spans="1:1" x14ac:dyDescent="0.2">
      <c r="A8194" s="1135" t="str">
        <f>CONCATENATE(Programme!C8195,Programme!D8195,Programme!E8195,Programme!F8195,Programme!G8195,Programme!H8195,Programme!I8195)</f>
        <v>&lt;ValeurCellule&gt;</v>
      </c>
    </row>
    <row r="8195" spans="1:1" x14ac:dyDescent="0.2">
      <c r="A8195" s="1135" t="str">
        <f>CONCATENATE(Programme!C8196,Programme!D8196,Programme!E8196,Programme!F8196,Programme!G8196,Programme!H8196,Programme!I8196)</f>
        <v>&lt;cellule&gt;</v>
      </c>
    </row>
    <row r="8196" spans="1:1" x14ac:dyDescent="0.2">
      <c r="A8196" s="1135" t="str">
        <f>CONCATENATE(Programme!C8197,Programme!D8197,Programme!E8197,Programme!F8197,Programme!G8197,Programme!H8197,Programme!I8197)</f>
        <v>&lt;codeEdi&gt;877&lt;/codeEdi&gt;</v>
      </c>
    </row>
    <row r="8197" spans="1:1" x14ac:dyDescent="0.2">
      <c r="A8197" s="1135" t="str">
        <f>CONCATENATE(Programme!C8198,Programme!D8198,Programme!E8198,Programme!F8198,Programme!G8198,Programme!H8198,Programme!I8198)</f>
        <v>&lt;/cellule&gt;</v>
      </c>
    </row>
    <row r="8198" spans="1:1" x14ac:dyDescent="0.2">
      <c r="A8198" s="1135" t="str">
        <f>CONCATENATE(Programme!C8199,Programme!D8199,Programme!E8199,Programme!F8199,Programme!G8199,Programme!H8199,Programme!I8199)</f>
        <v>&lt;valeur&gt;&lt;/valeur&gt;</v>
      </c>
    </row>
    <row r="8199" spans="1:1" x14ac:dyDescent="0.2">
      <c r="A8199" s="1135" t="str">
        <f>CONCATENATE(Programme!C8200,Programme!D8200,Programme!E8200,Programme!F8200,Programme!G8200,Programme!H8200,Programme!I8200)</f>
        <v>&lt;/ValeurCellule&gt;</v>
      </c>
    </row>
    <row r="8200" spans="1:1" x14ac:dyDescent="0.2">
      <c r="A8200" s="1135" t="str">
        <f>CONCATENATE(Programme!C8201,Programme!D8201,Programme!E8201,Programme!F8201,Programme!G8201,Programme!H8201,Programme!I8201)</f>
        <v>&lt;ValeurCellule&gt;</v>
      </c>
    </row>
    <row r="8201" spans="1:1" x14ac:dyDescent="0.2">
      <c r="A8201" s="1135" t="str">
        <f>CONCATENATE(Programme!C8202,Programme!D8202,Programme!E8202,Programme!F8202,Programme!G8202,Programme!H8202,Programme!I8202)</f>
        <v>&lt;cellule&gt;</v>
      </c>
    </row>
    <row r="8202" spans="1:1" x14ac:dyDescent="0.2">
      <c r="A8202" s="1135" t="str">
        <f>CONCATENATE(Programme!C8203,Programme!D8203,Programme!E8203,Programme!F8203,Programme!G8203,Programme!H8203,Programme!I8203)</f>
        <v>&lt;codeEdi&gt;881&lt;/codeEdi&gt;</v>
      </c>
    </row>
    <row r="8203" spans="1:1" x14ac:dyDescent="0.2">
      <c r="A8203" s="1135" t="str">
        <f>CONCATENATE(Programme!C8204,Programme!D8204,Programme!E8204,Programme!F8204,Programme!G8204,Programme!H8204,Programme!I8204)</f>
        <v>&lt;/cellule&gt;</v>
      </c>
    </row>
    <row r="8204" spans="1:1" x14ac:dyDescent="0.2">
      <c r="A8204" s="1135" t="str">
        <f>CONCATENATE(Programme!C8205,Programme!D8205,Programme!E8205,Programme!F8205,Programme!G8205,Programme!H8205,Programme!I8205)</f>
        <v>&lt;valeur&gt;&lt;/valeur&gt;</v>
      </c>
    </row>
    <row r="8205" spans="1:1" x14ac:dyDescent="0.2">
      <c r="A8205" s="1135" t="str">
        <f>CONCATENATE(Programme!C8206,Programme!D8206,Programme!E8206,Programme!F8206,Programme!G8206,Programme!H8206,Programme!I8206)</f>
        <v>&lt;/ValeurCellule&gt;</v>
      </c>
    </row>
    <row r="8206" spans="1:1" x14ac:dyDescent="0.2">
      <c r="A8206" s="1135" t="str">
        <f>CONCATENATE(Programme!C8207,Programme!D8207,Programme!E8207,Programme!F8207,Programme!G8207,Programme!H8207,Programme!I8207)</f>
        <v>&lt;ValeurCellule&gt;</v>
      </c>
    </row>
    <row r="8207" spans="1:1" x14ac:dyDescent="0.2">
      <c r="A8207" s="1135" t="str">
        <f>CONCATENATE(Programme!C8208,Programme!D8208,Programme!E8208,Programme!F8208,Programme!G8208,Programme!H8208,Programme!I8208)</f>
        <v>&lt;cellule&gt;</v>
      </c>
    </row>
    <row r="8208" spans="1:1" x14ac:dyDescent="0.2">
      <c r="A8208" s="1135" t="str">
        <f>CONCATENATE(Programme!C8209,Programme!D8209,Programme!E8209,Programme!F8209,Programme!G8209,Programme!H8209,Programme!I8209)</f>
        <v>&lt;codeEdi&gt;874&lt;/codeEdi&gt;</v>
      </c>
    </row>
    <row r="8209" spans="1:1" x14ac:dyDescent="0.2">
      <c r="A8209" s="1135" t="str">
        <f>CONCATENATE(Programme!C8210,Programme!D8210,Programme!E8210,Programme!F8210,Programme!G8210,Programme!H8210,Programme!I8210)</f>
        <v>&lt;/cellule&gt;</v>
      </c>
    </row>
    <row r="8210" spans="1:1" x14ac:dyDescent="0.2">
      <c r="A8210" s="1135" t="str">
        <f>CONCATENATE(Programme!C8211,Programme!D8211,Programme!E8211,Programme!F8211,Programme!G8211,Programme!H8211,Programme!I8211)</f>
        <v>&lt;valeur&gt;&lt;/valeur&gt;</v>
      </c>
    </row>
    <row r="8211" spans="1:1" x14ac:dyDescent="0.2">
      <c r="A8211" s="1135" t="str">
        <f>CONCATENATE(Programme!C8212,Programme!D8212,Programme!E8212,Programme!F8212,Programme!G8212,Programme!H8212,Programme!I8212)</f>
        <v>&lt;/ValeurCellule&gt;</v>
      </c>
    </row>
    <row r="8212" spans="1:1" x14ac:dyDescent="0.2">
      <c r="A8212" s="1135" t="str">
        <f>CONCATENATE(Programme!C8213,Programme!D8213,Programme!E8213,Programme!F8213,Programme!G8213,Programme!H8213,Programme!I8213)</f>
        <v>&lt;ValeurCellule&gt;</v>
      </c>
    </row>
    <row r="8213" spans="1:1" x14ac:dyDescent="0.2">
      <c r="A8213" s="1135" t="str">
        <f>CONCATENATE(Programme!C8214,Programme!D8214,Programme!E8214,Programme!F8214,Programme!G8214,Programme!H8214,Programme!I8214)</f>
        <v>&lt;cellule&gt;</v>
      </c>
    </row>
    <row r="8214" spans="1:1" x14ac:dyDescent="0.2">
      <c r="A8214" s="1135" t="str">
        <f>CONCATENATE(Programme!C8215,Programme!D8215,Programme!E8215,Programme!F8215,Programme!G8215,Programme!H8215,Programme!I8215)</f>
        <v>&lt;codeEdi&gt;878&lt;/codeEdi&gt;</v>
      </c>
    </row>
    <row r="8215" spans="1:1" x14ac:dyDescent="0.2">
      <c r="A8215" s="1135" t="str">
        <f>CONCATENATE(Programme!C8216,Programme!D8216,Programme!E8216,Programme!F8216,Programme!G8216,Programme!H8216,Programme!I8216)</f>
        <v>&lt;/cellule&gt;</v>
      </c>
    </row>
    <row r="8216" spans="1:1" x14ac:dyDescent="0.2">
      <c r="A8216" s="1135" t="str">
        <f>CONCATENATE(Programme!C8217,Programme!D8217,Programme!E8217,Programme!F8217,Programme!G8217,Programme!H8217,Programme!I8217)</f>
        <v>&lt;valeur&gt;&lt;/valeur&gt;</v>
      </c>
    </row>
    <row r="8217" spans="1:1" x14ac:dyDescent="0.2">
      <c r="A8217" s="1135" t="str">
        <f>CONCATENATE(Programme!C8218,Programme!D8218,Programme!E8218,Programme!F8218,Programme!G8218,Programme!H8218,Programme!I8218)</f>
        <v>&lt;/ValeurCellule&gt;</v>
      </c>
    </row>
    <row r="8218" spans="1:1" x14ac:dyDescent="0.2">
      <c r="A8218" s="1135" t="str">
        <f>CONCATENATE(Programme!C8219,Programme!D8219,Programme!E8219,Programme!F8219,Programme!G8219,Programme!H8219,Programme!I8219)</f>
        <v>&lt;ValeurCellule&gt;</v>
      </c>
    </row>
    <row r="8219" spans="1:1" x14ac:dyDescent="0.2">
      <c r="A8219" s="1135" t="str">
        <f>CONCATENATE(Programme!C8220,Programme!D8220,Programme!E8220,Programme!F8220,Programme!G8220,Programme!H8220,Programme!I8220)</f>
        <v>&lt;cellule&gt;</v>
      </c>
    </row>
    <row r="8220" spans="1:1" x14ac:dyDescent="0.2">
      <c r="A8220" s="1135" t="str">
        <f>CONCATENATE(Programme!C8221,Programme!D8221,Programme!E8221,Programme!F8221,Programme!G8221,Programme!H8221,Programme!I8221)</f>
        <v>&lt;codeEdi&gt;882&lt;/codeEdi&gt;</v>
      </c>
    </row>
    <row r="8221" spans="1:1" x14ac:dyDescent="0.2">
      <c r="A8221" s="1135" t="str">
        <f>CONCATENATE(Programme!C8222,Programme!D8222,Programme!E8222,Programme!F8222,Programme!G8222,Programme!H8222,Programme!I8222)</f>
        <v>&lt;/cellule&gt;</v>
      </c>
    </row>
    <row r="8222" spans="1:1" x14ac:dyDescent="0.2">
      <c r="A8222" s="1135" t="str">
        <f>CONCATENATE(Programme!C8223,Programme!D8223,Programme!E8223,Programme!F8223,Programme!G8223,Programme!H8223,Programme!I8223)</f>
        <v>&lt;valeur&gt;&lt;/valeur&gt;</v>
      </c>
    </row>
    <row r="8223" spans="1:1" x14ac:dyDescent="0.2">
      <c r="A8223" s="1135" t="str">
        <f>CONCATENATE(Programme!C8224,Programme!D8224,Programme!E8224,Programme!F8224,Programme!G8224,Programme!H8224,Programme!I8224)</f>
        <v>&lt;/ValeurCellule&gt;</v>
      </c>
    </row>
    <row r="8224" spans="1:1" x14ac:dyDescent="0.2">
      <c r="A8224" s="1135" t="str">
        <f>CONCATENATE(Programme!C8225,Programme!D8225,Programme!E8225,Programme!F8225,Programme!G8225,Programme!H8225,Programme!I8225)</f>
        <v>&lt;ValeurCellule&gt;</v>
      </c>
    </row>
    <row r="8225" spans="1:1" x14ac:dyDescent="0.2">
      <c r="A8225" s="1135" t="str">
        <f>CONCATENATE(Programme!C8226,Programme!D8226,Programme!E8226,Programme!F8226,Programme!G8226,Programme!H8226,Programme!I8226)</f>
        <v>&lt;cellule&gt;</v>
      </c>
    </row>
    <row r="8226" spans="1:1" x14ac:dyDescent="0.2">
      <c r="A8226" s="1135" t="str">
        <f>CONCATENATE(Programme!C8227,Programme!D8227,Programme!E8227,Programme!F8227,Programme!G8227,Programme!H8227,Programme!I8227)</f>
        <v>&lt;codeEdi&gt;875&lt;/codeEdi&gt;</v>
      </c>
    </row>
    <row r="8227" spans="1:1" x14ac:dyDescent="0.2">
      <c r="A8227" s="1135" t="str">
        <f>CONCATENATE(Programme!C8228,Programme!D8228,Programme!E8228,Programme!F8228,Programme!G8228,Programme!H8228,Programme!I8228)</f>
        <v>&lt;/cellule&gt;</v>
      </c>
    </row>
    <row r="8228" spans="1:1" x14ac:dyDescent="0.2">
      <c r="A8228" s="1135" t="str">
        <f>CONCATENATE(Programme!C8229,Programme!D8229,Programme!E8229,Programme!F8229,Programme!G8229,Programme!H8229,Programme!I8229)</f>
        <v>&lt;valeur&gt;&lt;/valeur&gt;</v>
      </c>
    </row>
    <row r="8229" spans="1:1" x14ac:dyDescent="0.2">
      <c r="A8229" s="1135" t="str">
        <f>CONCATENATE(Programme!C8230,Programme!D8230,Programme!E8230,Programme!F8230,Programme!G8230,Programme!H8230,Programme!I8230)</f>
        <v>&lt;/ValeurCellule&gt;</v>
      </c>
    </row>
    <row r="8230" spans="1:1" x14ac:dyDescent="0.2">
      <c r="A8230" s="1135" t="str">
        <f>CONCATENATE(Programme!C8231,Programme!D8231,Programme!E8231,Programme!F8231,Programme!G8231,Programme!H8231,Programme!I8231)</f>
        <v>&lt;ValeurCellule&gt;</v>
      </c>
    </row>
    <row r="8231" spans="1:1" x14ac:dyDescent="0.2">
      <c r="A8231" s="1135" t="str">
        <f>CONCATENATE(Programme!C8232,Programme!D8232,Programme!E8232,Programme!F8232,Programme!G8232,Programme!H8232,Programme!I8232)</f>
        <v>&lt;cellule&gt;</v>
      </c>
    </row>
    <row r="8232" spans="1:1" x14ac:dyDescent="0.2">
      <c r="A8232" s="1135" t="str">
        <f>CONCATENATE(Programme!C8233,Programme!D8233,Programme!E8233,Programme!F8233,Programme!G8233,Programme!H8233,Programme!I8233)</f>
        <v>&lt;codeEdi&gt;879&lt;/codeEdi&gt;</v>
      </c>
    </row>
    <row r="8233" spans="1:1" x14ac:dyDescent="0.2">
      <c r="A8233" s="1135" t="str">
        <f>CONCATENATE(Programme!C8234,Programme!D8234,Programme!E8234,Programme!F8234,Programme!G8234,Programme!H8234,Programme!I8234)</f>
        <v>&lt;/cellule&gt;</v>
      </c>
    </row>
    <row r="8234" spans="1:1" x14ac:dyDescent="0.2">
      <c r="A8234" s="1135" t="str">
        <f>CONCATENATE(Programme!C8235,Programme!D8235,Programme!E8235,Programme!F8235,Programme!G8235,Programme!H8235,Programme!I8235)</f>
        <v>&lt;valeur&gt;&lt;/valeur&gt;</v>
      </c>
    </row>
    <row r="8235" spans="1:1" x14ac:dyDescent="0.2">
      <c r="A8235" s="1135" t="str">
        <f>CONCATENATE(Programme!C8236,Programme!D8236,Programme!E8236,Programme!F8236,Programme!G8236,Programme!H8236,Programme!I8236)</f>
        <v>&lt;/ValeurCellule&gt;</v>
      </c>
    </row>
    <row r="8236" spans="1:1" x14ac:dyDescent="0.2">
      <c r="A8236" s="1135" t="str">
        <f>CONCATENATE(Programme!C8237,Programme!D8237,Programme!E8237,Programme!F8237,Programme!G8237,Programme!H8237,Programme!I8237)</f>
        <v>&lt;ValeurCellule&gt;</v>
      </c>
    </row>
    <row r="8237" spans="1:1" x14ac:dyDescent="0.2">
      <c r="A8237" s="1135" t="str">
        <f>CONCATENATE(Programme!C8238,Programme!D8238,Programme!E8238,Programme!F8238,Programme!G8238,Programme!H8238,Programme!I8238)</f>
        <v>&lt;cellule&gt;</v>
      </c>
    </row>
    <row r="8238" spans="1:1" x14ac:dyDescent="0.2">
      <c r="A8238" s="1135" t="str">
        <f>CONCATENATE(Programme!C8239,Programme!D8239,Programme!E8239,Programme!F8239,Programme!G8239,Programme!H8239,Programme!I8239)</f>
        <v>&lt;codeEdi&gt;883&lt;/codeEdi&gt;</v>
      </c>
    </row>
    <row r="8239" spans="1:1" x14ac:dyDescent="0.2">
      <c r="A8239" s="1135" t="str">
        <f>CONCATENATE(Programme!C8240,Programme!D8240,Programme!E8240,Programme!F8240,Programme!G8240,Programme!H8240,Programme!I8240)</f>
        <v>&lt;/cellule&gt;</v>
      </c>
    </row>
    <row r="8240" spans="1:1" x14ac:dyDescent="0.2">
      <c r="A8240" s="1135" t="str">
        <f>CONCATENATE(Programme!C8241,Programme!D8241,Programme!E8241,Programme!F8241,Programme!G8241,Programme!H8241,Programme!I8241)</f>
        <v>&lt;valeur&gt;&lt;/valeur&gt;</v>
      </c>
    </row>
    <row r="8241" spans="1:1" x14ac:dyDescent="0.2">
      <c r="A8241" s="1135" t="str">
        <f>CONCATENATE(Programme!C8242,Programme!D8242,Programme!E8242,Programme!F8242,Programme!G8242,Programme!H8242,Programme!I8242)</f>
        <v>&lt;/ValeurCellule&gt;</v>
      </c>
    </row>
    <row r="8242" spans="1:1" x14ac:dyDescent="0.2">
      <c r="A8242" s="1135" t="str">
        <f>CONCATENATE(Programme!C8243,Programme!D8243,Programme!E8243,Programme!F8243,Programme!G8243,Programme!H8243,Programme!I8243)</f>
        <v>&lt;ValeurCellule&gt;</v>
      </c>
    </row>
    <row r="8243" spans="1:1" x14ac:dyDescent="0.2">
      <c r="A8243" s="1135" t="str">
        <f>CONCATENATE(Programme!C8244,Programme!D8244,Programme!E8244,Programme!F8244,Programme!G8244,Programme!H8244,Programme!I8244)</f>
        <v>&lt;cellule&gt;</v>
      </c>
    </row>
    <row r="8244" spans="1:1" x14ac:dyDescent="0.2">
      <c r="A8244" s="1135" t="str">
        <f>CONCATENATE(Programme!C8245,Programme!D8245,Programme!E8245,Programme!F8245,Programme!G8245,Programme!H8245,Programme!I8245)</f>
        <v>&lt;codeEdi&gt;885&lt;/codeEdi&gt;</v>
      </c>
    </row>
    <row r="8245" spans="1:1" x14ac:dyDescent="0.2">
      <c r="A8245" s="1135" t="str">
        <f>CONCATENATE(Programme!C8246,Programme!D8246,Programme!E8246,Programme!F8246,Programme!G8246,Programme!H8246,Programme!I8246)</f>
        <v>&lt;/cellule&gt;</v>
      </c>
    </row>
    <row r="8246" spans="1:1" x14ac:dyDescent="0.2">
      <c r="A8246" s="1135" t="str">
        <f>CONCATENATE(Programme!C8247,Programme!D8247,Programme!E8247,Programme!F8247,Programme!G8247,Programme!H8247,Programme!I8247)</f>
        <v>&lt;valeur&gt;&lt;/valeur&gt;</v>
      </c>
    </row>
    <row r="8247" spans="1:1" x14ac:dyDescent="0.2">
      <c r="A8247" s="1135" t="str">
        <f>CONCATENATE(Programme!C8248,Programme!D8248,Programme!E8248,Programme!F8248,Programme!G8248,Programme!H8248,Programme!I8248)</f>
        <v>&lt;/ValeurCellule&gt;</v>
      </c>
    </row>
    <row r="8248" spans="1:1" x14ac:dyDescent="0.2">
      <c r="A8248" s="1135" t="str">
        <f>CONCATENATE(Programme!C8249,Programme!D8249,Programme!E8249,Programme!F8249,Programme!G8249,Programme!H8249,Programme!I8249)</f>
        <v>&lt;ValeurCellule&gt;</v>
      </c>
    </row>
    <row r="8249" spans="1:1" x14ac:dyDescent="0.2">
      <c r="A8249" s="1135" t="str">
        <f>CONCATENATE(Programme!C8250,Programme!D8250,Programme!E8250,Programme!F8250,Programme!G8250,Programme!H8250,Programme!I8250)</f>
        <v>&lt;cellule&gt;</v>
      </c>
    </row>
    <row r="8250" spans="1:1" x14ac:dyDescent="0.2">
      <c r="A8250" s="1135" t="str">
        <f>CONCATENATE(Programme!C8251,Programme!D8251,Programme!E8251,Programme!F8251,Programme!G8251,Programme!H8251,Programme!I8251)</f>
        <v>&lt;codeEdi&gt;893&lt;/codeEdi&gt;</v>
      </c>
    </row>
    <row r="8251" spans="1:1" x14ac:dyDescent="0.2">
      <c r="A8251" s="1135" t="str">
        <f>CONCATENATE(Programme!C8252,Programme!D8252,Programme!E8252,Programme!F8252,Programme!G8252,Programme!H8252,Programme!I8252)</f>
        <v>&lt;/cellule&gt;</v>
      </c>
    </row>
    <row r="8252" spans="1:1" x14ac:dyDescent="0.2">
      <c r="A8252" s="1135" t="str">
        <f>CONCATENATE(Programme!C8253,Programme!D8253,Programme!E8253,Programme!F8253,Programme!G8253,Programme!H8253,Programme!I8253)</f>
        <v>&lt;valeur&gt;&lt;/valeur&gt;</v>
      </c>
    </row>
    <row r="8253" spans="1:1" x14ac:dyDescent="0.2">
      <c r="A8253" s="1135" t="str">
        <f>CONCATENATE(Programme!C8254,Programme!D8254,Programme!E8254,Programme!F8254,Programme!G8254,Programme!H8254,Programme!I8254)</f>
        <v>&lt;/ValeurCellule&gt;</v>
      </c>
    </row>
    <row r="8254" spans="1:1" x14ac:dyDescent="0.2">
      <c r="A8254" s="1135" t="str">
        <f>CONCATENATE(Programme!C8255,Programme!D8255,Programme!E8255,Programme!F8255,Programme!G8255,Programme!H8255,Programme!I8255)</f>
        <v>&lt;ValeurCellule&gt;</v>
      </c>
    </row>
    <row r="8255" spans="1:1" x14ac:dyDescent="0.2">
      <c r="A8255" s="1135" t="str">
        <f>CONCATENATE(Programme!C8256,Programme!D8256,Programme!E8256,Programme!F8256,Programme!G8256,Programme!H8256,Programme!I8256)</f>
        <v>&lt;cellule&gt;</v>
      </c>
    </row>
    <row r="8256" spans="1:1" x14ac:dyDescent="0.2">
      <c r="A8256" s="1135" t="str">
        <f>CONCATENATE(Programme!C8257,Programme!D8257,Programme!E8257,Programme!F8257,Programme!G8257,Programme!H8257,Programme!I8257)</f>
        <v>&lt;codeEdi&gt;897&lt;/codeEdi&gt;</v>
      </c>
    </row>
    <row r="8257" spans="1:1" x14ac:dyDescent="0.2">
      <c r="A8257" s="1135" t="str">
        <f>CONCATENATE(Programme!C8258,Programme!D8258,Programme!E8258,Programme!F8258,Programme!G8258,Programme!H8258,Programme!I8258)</f>
        <v>&lt;/cellule&gt;</v>
      </c>
    </row>
    <row r="8258" spans="1:1" x14ac:dyDescent="0.2">
      <c r="A8258" s="1135" t="str">
        <f>CONCATENATE(Programme!C8259,Programme!D8259,Programme!E8259,Programme!F8259,Programme!G8259,Programme!H8259,Programme!I8259)</f>
        <v>&lt;valeur&gt;&lt;/valeur&gt;</v>
      </c>
    </row>
    <row r="8259" spans="1:1" x14ac:dyDescent="0.2">
      <c r="A8259" s="1135" t="str">
        <f>CONCATENATE(Programme!C8260,Programme!D8260,Programme!E8260,Programme!F8260,Programme!G8260,Programme!H8260,Programme!I8260)</f>
        <v>&lt;/ValeurCellule&gt;</v>
      </c>
    </row>
    <row r="8260" spans="1:1" x14ac:dyDescent="0.2">
      <c r="A8260" s="1135" t="str">
        <f>CONCATENATE(Programme!C8261,Programme!D8261,Programme!E8261,Programme!F8261,Programme!G8261,Programme!H8261,Programme!I8261)</f>
        <v>&lt;ValeurCellule&gt;</v>
      </c>
    </row>
    <row r="8261" spans="1:1" x14ac:dyDescent="0.2">
      <c r="A8261" s="1135" t="str">
        <f>CONCATENATE(Programme!C8262,Programme!D8262,Programme!E8262,Programme!F8262,Programme!G8262,Programme!H8262,Programme!I8262)</f>
        <v>&lt;cellule&gt;</v>
      </c>
    </row>
    <row r="8262" spans="1:1" x14ac:dyDescent="0.2">
      <c r="A8262" s="1135" t="str">
        <f>CONCATENATE(Programme!C8263,Programme!D8263,Programme!E8263,Programme!F8263,Programme!G8263,Programme!H8263,Programme!I8263)</f>
        <v>&lt;codeEdi&gt;886&lt;/codeEdi&gt;</v>
      </c>
    </row>
    <row r="8263" spans="1:1" x14ac:dyDescent="0.2">
      <c r="A8263" s="1135" t="str">
        <f>CONCATENATE(Programme!C8264,Programme!D8264,Programme!E8264,Programme!F8264,Programme!G8264,Programme!H8264,Programme!I8264)</f>
        <v>&lt;/cellule&gt;</v>
      </c>
    </row>
    <row r="8264" spans="1:1" x14ac:dyDescent="0.2">
      <c r="A8264" s="1135" t="str">
        <f>CONCATENATE(Programme!C8265,Programme!D8265,Programme!E8265,Programme!F8265,Programme!G8265,Programme!H8265,Programme!I8265)</f>
        <v>&lt;valeur&gt;&lt;/valeur&gt;</v>
      </c>
    </row>
    <row r="8265" spans="1:1" x14ac:dyDescent="0.2">
      <c r="A8265" s="1135" t="str">
        <f>CONCATENATE(Programme!C8266,Programme!D8266,Programme!E8266,Programme!F8266,Programme!G8266,Programme!H8266,Programme!I8266)</f>
        <v>&lt;/ValeurCellule&gt;</v>
      </c>
    </row>
    <row r="8266" spans="1:1" x14ac:dyDescent="0.2">
      <c r="A8266" s="1135" t="str">
        <f>CONCATENATE(Programme!C8267,Programme!D8267,Programme!E8267,Programme!F8267,Programme!G8267,Programme!H8267,Programme!I8267)</f>
        <v>&lt;ValeurCellule&gt;</v>
      </c>
    </row>
    <row r="8267" spans="1:1" x14ac:dyDescent="0.2">
      <c r="A8267" s="1135" t="str">
        <f>CONCATENATE(Programme!C8268,Programme!D8268,Programme!E8268,Programme!F8268,Programme!G8268,Programme!H8268,Programme!I8268)</f>
        <v>&lt;cellule&gt;</v>
      </c>
    </row>
    <row r="8268" spans="1:1" x14ac:dyDescent="0.2">
      <c r="A8268" s="1135" t="str">
        <f>CONCATENATE(Programme!C8269,Programme!D8269,Programme!E8269,Programme!F8269,Programme!G8269,Programme!H8269,Programme!I8269)</f>
        <v>&lt;codeEdi&gt;894&lt;/codeEdi&gt;</v>
      </c>
    </row>
    <row r="8269" spans="1:1" x14ac:dyDescent="0.2">
      <c r="A8269" s="1135" t="str">
        <f>CONCATENATE(Programme!C8270,Programme!D8270,Programme!E8270,Programme!F8270,Programme!G8270,Programme!H8270,Programme!I8270)</f>
        <v>&lt;/cellule&gt;</v>
      </c>
    </row>
    <row r="8270" spans="1:1" x14ac:dyDescent="0.2">
      <c r="A8270" s="1135" t="str">
        <f>CONCATENATE(Programme!C8271,Programme!D8271,Programme!E8271,Programme!F8271,Programme!G8271,Programme!H8271,Programme!I8271)</f>
        <v>&lt;valeur&gt;&lt;/valeur&gt;</v>
      </c>
    </row>
    <row r="8271" spans="1:1" x14ac:dyDescent="0.2">
      <c r="A8271" s="1135" t="str">
        <f>CONCATENATE(Programme!C8272,Programme!D8272,Programme!E8272,Programme!F8272,Programme!G8272,Programme!H8272,Programme!I8272)</f>
        <v>&lt;/ValeurCellule&gt;</v>
      </c>
    </row>
    <row r="8272" spans="1:1" x14ac:dyDescent="0.2">
      <c r="A8272" s="1135" t="str">
        <f>CONCATENATE(Programme!C8273,Programme!D8273,Programme!E8273,Programme!F8273,Programme!G8273,Programme!H8273,Programme!I8273)</f>
        <v>&lt;ValeurCellule&gt;</v>
      </c>
    </row>
    <row r="8273" spans="1:1" x14ac:dyDescent="0.2">
      <c r="A8273" s="1135" t="str">
        <f>CONCATENATE(Programme!C8274,Programme!D8274,Programme!E8274,Programme!F8274,Programme!G8274,Programme!H8274,Programme!I8274)</f>
        <v>&lt;cellule&gt;</v>
      </c>
    </row>
    <row r="8274" spans="1:1" x14ac:dyDescent="0.2">
      <c r="A8274" s="1135" t="str">
        <f>CONCATENATE(Programme!C8275,Programme!D8275,Programme!E8275,Programme!F8275,Programme!G8275,Programme!H8275,Programme!I8275)</f>
        <v>&lt;codeEdi&gt;898&lt;/codeEdi&gt;</v>
      </c>
    </row>
    <row r="8275" spans="1:1" x14ac:dyDescent="0.2">
      <c r="A8275" s="1135" t="str">
        <f>CONCATENATE(Programme!C8276,Programme!D8276,Programme!E8276,Programme!F8276,Programme!G8276,Programme!H8276,Programme!I8276)</f>
        <v>&lt;/cellule&gt;</v>
      </c>
    </row>
    <row r="8276" spans="1:1" x14ac:dyDescent="0.2">
      <c r="A8276" s="1135" t="str">
        <f>CONCATENATE(Programme!C8277,Programme!D8277,Programme!E8277,Programme!F8277,Programme!G8277,Programme!H8277,Programme!I8277)</f>
        <v>&lt;valeur&gt;&lt;/valeur&gt;</v>
      </c>
    </row>
    <row r="8277" spans="1:1" x14ac:dyDescent="0.2">
      <c r="A8277" s="1135" t="str">
        <f>CONCATENATE(Programme!C8278,Programme!D8278,Programme!E8278,Programme!F8278,Programme!G8278,Programme!H8278,Programme!I8278)</f>
        <v>&lt;/ValeurCellule&gt;</v>
      </c>
    </row>
    <row r="8278" spans="1:1" x14ac:dyDescent="0.2">
      <c r="A8278" s="1135" t="str">
        <f>CONCATENATE(Programme!C8279,Programme!D8279,Programme!E8279,Programme!F8279,Programme!G8279,Programme!H8279,Programme!I8279)</f>
        <v>&lt;ValeurCellule&gt;</v>
      </c>
    </row>
    <row r="8279" spans="1:1" x14ac:dyDescent="0.2">
      <c r="A8279" s="1135" t="str">
        <f>CONCATENATE(Programme!C8280,Programme!D8280,Programme!E8280,Programme!F8280,Programme!G8280,Programme!H8280,Programme!I8280)</f>
        <v>&lt;cellule&gt;</v>
      </c>
    </row>
    <row r="8280" spans="1:1" x14ac:dyDescent="0.2">
      <c r="A8280" s="1135" t="str">
        <f>CONCATENATE(Programme!C8281,Programme!D8281,Programme!E8281,Programme!F8281,Programme!G8281,Programme!H8281,Programme!I8281)</f>
        <v>&lt;codeEdi&gt;887&lt;/codeEdi&gt;</v>
      </c>
    </row>
    <row r="8281" spans="1:1" x14ac:dyDescent="0.2">
      <c r="A8281" s="1135" t="str">
        <f>CONCATENATE(Programme!C8282,Programme!D8282,Programme!E8282,Programme!F8282,Programme!G8282,Programme!H8282,Programme!I8282)</f>
        <v>&lt;/cellule&gt;</v>
      </c>
    </row>
    <row r="8282" spans="1:1" x14ac:dyDescent="0.2">
      <c r="A8282" s="1135" t="str">
        <f>CONCATENATE(Programme!C8283,Programme!D8283,Programme!E8283,Programme!F8283,Programme!G8283,Programme!H8283,Programme!I8283)</f>
        <v>&lt;valeur&gt;&lt;/valeur&gt;</v>
      </c>
    </row>
    <row r="8283" spans="1:1" x14ac:dyDescent="0.2">
      <c r="A8283" s="1135" t="str">
        <f>CONCATENATE(Programme!C8284,Programme!D8284,Programme!E8284,Programme!F8284,Programme!G8284,Programme!H8284,Programme!I8284)</f>
        <v>&lt;/ValeurCellule&gt;</v>
      </c>
    </row>
    <row r="8284" spans="1:1" x14ac:dyDescent="0.2">
      <c r="A8284" s="1135" t="str">
        <f>CONCATENATE(Programme!C8285,Programme!D8285,Programme!E8285,Programme!F8285,Programme!G8285,Programme!H8285,Programme!I8285)</f>
        <v>&lt;ValeurCellule&gt;</v>
      </c>
    </row>
    <row r="8285" spans="1:1" x14ac:dyDescent="0.2">
      <c r="A8285" s="1135" t="str">
        <f>CONCATENATE(Programme!C8286,Programme!D8286,Programme!E8286,Programme!F8286,Programme!G8286,Programme!H8286,Programme!I8286)</f>
        <v>&lt;cellule&gt;</v>
      </c>
    </row>
    <row r="8286" spans="1:1" x14ac:dyDescent="0.2">
      <c r="A8286" s="1135" t="str">
        <f>CONCATENATE(Programme!C8287,Programme!D8287,Programme!E8287,Programme!F8287,Programme!G8287,Programme!H8287,Programme!I8287)</f>
        <v>&lt;codeEdi&gt;895&lt;/codeEdi&gt;</v>
      </c>
    </row>
    <row r="8287" spans="1:1" x14ac:dyDescent="0.2">
      <c r="A8287" s="1135" t="str">
        <f>CONCATENATE(Programme!C8288,Programme!D8288,Programme!E8288,Programme!F8288,Programme!G8288,Programme!H8288,Programme!I8288)</f>
        <v>&lt;/cellule&gt;</v>
      </c>
    </row>
    <row r="8288" spans="1:1" x14ac:dyDescent="0.2">
      <c r="A8288" s="1135" t="str">
        <f>CONCATENATE(Programme!C8289,Programme!D8289,Programme!E8289,Programme!F8289,Programme!G8289,Programme!H8289,Programme!I8289)</f>
        <v>&lt;valeur&gt;&lt;/valeur&gt;</v>
      </c>
    </row>
    <row r="8289" spans="1:1" x14ac:dyDescent="0.2">
      <c r="A8289" s="1135" t="str">
        <f>CONCATENATE(Programme!C8290,Programme!D8290,Programme!E8290,Programme!F8290,Programme!G8290,Programme!H8290,Programme!I8290)</f>
        <v>&lt;/ValeurCellule&gt;</v>
      </c>
    </row>
    <row r="8290" spans="1:1" x14ac:dyDescent="0.2">
      <c r="A8290" s="1135" t="str">
        <f>CONCATENATE(Programme!C8291,Programme!D8291,Programme!E8291,Programme!F8291,Programme!G8291,Programme!H8291,Programme!I8291)</f>
        <v>&lt;ValeurCellule&gt;</v>
      </c>
    </row>
    <row r="8291" spans="1:1" x14ac:dyDescent="0.2">
      <c r="A8291" s="1135" t="str">
        <f>CONCATENATE(Programme!C8292,Programme!D8292,Programme!E8292,Programme!F8292,Programme!G8292,Programme!H8292,Programme!I8292)</f>
        <v>&lt;cellule&gt;</v>
      </c>
    </row>
    <row r="8292" spans="1:1" x14ac:dyDescent="0.2">
      <c r="A8292" s="1135" t="str">
        <f>CONCATENATE(Programme!C8293,Programme!D8293,Programme!E8293,Programme!F8293,Programme!G8293,Programme!H8293,Programme!I8293)</f>
        <v>&lt;codeEdi&gt;899&lt;/codeEdi&gt;</v>
      </c>
    </row>
    <row r="8293" spans="1:1" x14ac:dyDescent="0.2">
      <c r="A8293" s="1135" t="str">
        <f>CONCATENATE(Programme!C8294,Programme!D8294,Programme!E8294,Programme!F8294,Programme!G8294,Programme!H8294,Programme!I8294)</f>
        <v>&lt;/cellule&gt;</v>
      </c>
    </row>
    <row r="8294" spans="1:1" x14ac:dyDescent="0.2">
      <c r="A8294" s="1135" t="str">
        <f>CONCATENATE(Programme!C8295,Programme!D8295,Programme!E8295,Programme!F8295,Programme!G8295,Programme!H8295,Programme!I8295)</f>
        <v>&lt;valeur&gt;&lt;/valeur&gt;</v>
      </c>
    </row>
    <row r="8295" spans="1:1" x14ac:dyDescent="0.2">
      <c r="A8295" s="1135" t="str">
        <f>CONCATENATE(Programme!C8296,Programme!D8296,Programme!E8296,Programme!F8296,Programme!G8296,Programme!H8296,Programme!I8296)</f>
        <v>&lt;/ValeurCellule&gt;</v>
      </c>
    </row>
    <row r="8296" spans="1:1" x14ac:dyDescent="0.2">
      <c r="A8296" s="1135" t="str">
        <f>CONCATENATE(Programme!C8297,Programme!D8297,Programme!E8297,Programme!F8297,Programme!G8297,Programme!H8297,Programme!I8297)</f>
        <v>&lt;ValeurCellule&gt;</v>
      </c>
    </row>
    <row r="8297" spans="1:1" x14ac:dyDescent="0.2">
      <c r="A8297" s="1135" t="str">
        <f>CONCATENATE(Programme!C8298,Programme!D8298,Programme!E8298,Programme!F8298,Programme!G8298,Programme!H8298,Programme!I8298)</f>
        <v>&lt;cellule&gt;</v>
      </c>
    </row>
    <row r="8298" spans="1:1" x14ac:dyDescent="0.2">
      <c r="A8298" s="1135" t="str">
        <f>CONCATENATE(Programme!C8299,Programme!D8299,Programme!E8299,Programme!F8299,Programme!G8299,Programme!H8299,Programme!I8299)</f>
        <v>&lt;codeEdi&gt;901&lt;/codeEdi&gt;</v>
      </c>
    </row>
    <row r="8299" spans="1:1" x14ac:dyDescent="0.2">
      <c r="A8299" s="1135" t="str">
        <f>CONCATENATE(Programme!C8300,Programme!D8300,Programme!E8300,Programme!F8300,Programme!G8300,Programme!H8300,Programme!I8300)</f>
        <v>&lt;/cellule&gt;</v>
      </c>
    </row>
    <row r="8300" spans="1:1" x14ac:dyDescent="0.2">
      <c r="A8300" s="1135" t="str">
        <f>CONCATENATE(Programme!C8301,Programme!D8301,Programme!E8301,Programme!F8301,Programme!G8301,Programme!H8301,Programme!I8301)</f>
        <v>&lt;valeur&gt;&lt;/valeur&gt;</v>
      </c>
    </row>
    <row r="8301" spans="1:1" x14ac:dyDescent="0.2">
      <c r="A8301" s="1135" t="str">
        <f>CONCATENATE(Programme!C8302,Programme!D8302,Programme!E8302,Programme!F8302,Programme!G8302,Programme!H8302,Programme!I8302)</f>
        <v>&lt;/ValeurCellule&gt;</v>
      </c>
    </row>
    <row r="8302" spans="1:1" x14ac:dyDescent="0.2">
      <c r="A8302" s="1135" t="str">
        <f>CONCATENATE(Programme!C8303,Programme!D8303,Programme!E8303,Programme!F8303,Programme!G8303,Programme!H8303,Programme!I8303)</f>
        <v>&lt;ValeurCellule&gt;</v>
      </c>
    </row>
    <row r="8303" spans="1:1" x14ac:dyDescent="0.2">
      <c r="A8303" s="1135" t="str">
        <f>CONCATENATE(Programme!C8304,Programme!D8304,Programme!E8304,Programme!F8304,Programme!G8304,Programme!H8304,Programme!I8304)</f>
        <v>&lt;cellule&gt;</v>
      </c>
    </row>
    <row r="8304" spans="1:1" x14ac:dyDescent="0.2">
      <c r="A8304" s="1135" t="str">
        <f>CONCATENATE(Programme!C8305,Programme!D8305,Programme!E8305,Programme!F8305,Programme!G8305,Programme!H8305,Programme!I8305)</f>
        <v>&lt;codeEdi&gt;905&lt;/codeEdi&gt;</v>
      </c>
    </row>
    <row r="8305" spans="1:1" x14ac:dyDescent="0.2">
      <c r="A8305" s="1135" t="str">
        <f>CONCATENATE(Programme!C8306,Programme!D8306,Programme!E8306,Programme!F8306,Programme!G8306,Programme!H8306,Programme!I8306)</f>
        <v>&lt;/cellule&gt;</v>
      </c>
    </row>
    <row r="8306" spans="1:1" x14ac:dyDescent="0.2">
      <c r="A8306" s="1135" t="str">
        <f>CONCATENATE(Programme!C8307,Programme!D8307,Programme!E8307,Programme!F8307,Programme!G8307,Programme!H8307,Programme!I8307)</f>
        <v>&lt;valeur&gt;&lt;/valeur&gt;</v>
      </c>
    </row>
    <row r="8307" spans="1:1" x14ac:dyDescent="0.2">
      <c r="A8307" s="1135" t="str">
        <f>CONCATENATE(Programme!C8308,Programme!D8308,Programme!E8308,Programme!F8308,Programme!G8308,Programme!H8308,Programme!I8308)</f>
        <v>&lt;/ValeurCellule&gt;</v>
      </c>
    </row>
    <row r="8308" spans="1:1" x14ac:dyDescent="0.2">
      <c r="A8308" s="1135" t="str">
        <f>CONCATENATE(Programme!C8309,Programme!D8309,Programme!E8309,Programme!F8309,Programme!G8309,Programme!H8309,Programme!I8309)</f>
        <v>&lt;ValeurCellule&gt;</v>
      </c>
    </row>
    <row r="8309" spans="1:1" x14ac:dyDescent="0.2">
      <c r="A8309" s="1135" t="str">
        <f>CONCATENATE(Programme!C8310,Programme!D8310,Programme!E8310,Programme!F8310,Programme!G8310,Programme!H8310,Programme!I8310)</f>
        <v>&lt;cellule&gt;</v>
      </c>
    </row>
    <row r="8310" spans="1:1" x14ac:dyDescent="0.2">
      <c r="A8310" s="1135" t="str">
        <f>CONCATENATE(Programme!C8311,Programme!D8311,Programme!E8311,Programme!F8311,Programme!G8311,Programme!H8311,Programme!I8311)</f>
        <v>&lt;codeEdi&gt;909&lt;/codeEdi&gt;</v>
      </c>
    </row>
    <row r="8311" spans="1:1" x14ac:dyDescent="0.2">
      <c r="A8311" s="1135" t="str">
        <f>CONCATENATE(Programme!C8312,Programme!D8312,Programme!E8312,Programme!F8312,Programme!G8312,Programme!H8312,Programme!I8312)</f>
        <v>&lt;/cellule&gt;</v>
      </c>
    </row>
    <row r="8312" spans="1:1" x14ac:dyDescent="0.2">
      <c r="A8312" s="1135" t="str">
        <f>CONCATENATE(Programme!C8313,Programme!D8313,Programme!E8313,Programme!F8313,Programme!G8313,Programme!H8313,Programme!I8313)</f>
        <v>&lt;valeur&gt;&lt;/valeur&gt;</v>
      </c>
    </row>
    <row r="8313" spans="1:1" x14ac:dyDescent="0.2">
      <c r="A8313" s="1135" t="str">
        <f>CONCATENATE(Programme!C8314,Programme!D8314,Programme!E8314,Programme!F8314,Programme!G8314,Programme!H8314,Programme!I8314)</f>
        <v>&lt;/ValeurCellule&gt;</v>
      </c>
    </row>
    <row r="8314" spans="1:1" x14ac:dyDescent="0.2">
      <c r="A8314" s="1135" t="str">
        <f>CONCATENATE(Programme!C8315,Programme!D8315,Programme!E8315,Programme!F8315,Programme!G8315,Programme!H8315,Programme!I8315)</f>
        <v>&lt;ValeurCellule&gt;</v>
      </c>
    </row>
    <row r="8315" spans="1:1" x14ac:dyDescent="0.2">
      <c r="A8315" s="1135" t="str">
        <f>CONCATENATE(Programme!C8316,Programme!D8316,Programme!E8316,Programme!F8316,Programme!G8316,Programme!H8316,Programme!I8316)</f>
        <v>&lt;cellule&gt;</v>
      </c>
    </row>
    <row r="8316" spans="1:1" x14ac:dyDescent="0.2">
      <c r="A8316" s="1135" t="str">
        <f>CONCATENATE(Programme!C8317,Programme!D8317,Programme!E8317,Programme!F8317,Programme!G8317,Programme!H8317,Programme!I8317)</f>
        <v>&lt;codeEdi&gt;902&lt;/codeEdi&gt;</v>
      </c>
    </row>
    <row r="8317" spans="1:1" x14ac:dyDescent="0.2">
      <c r="A8317" s="1135" t="str">
        <f>CONCATENATE(Programme!C8318,Programme!D8318,Programme!E8318,Programme!F8318,Programme!G8318,Programme!H8318,Programme!I8318)</f>
        <v>&lt;/cellule&gt;</v>
      </c>
    </row>
    <row r="8318" spans="1:1" x14ac:dyDescent="0.2">
      <c r="A8318" s="1135" t="str">
        <f>CONCATENATE(Programme!C8319,Programme!D8319,Programme!E8319,Programme!F8319,Programme!G8319,Programme!H8319,Programme!I8319)</f>
        <v>&lt;valeur&gt;&lt;/valeur&gt;</v>
      </c>
    </row>
    <row r="8319" spans="1:1" x14ac:dyDescent="0.2">
      <c r="A8319" s="1135" t="str">
        <f>CONCATENATE(Programme!C8320,Programme!D8320,Programme!E8320,Programme!F8320,Programme!G8320,Programme!H8320,Programme!I8320)</f>
        <v>&lt;/ValeurCellule&gt;</v>
      </c>
    </row>
    <row r="8320" spans="1:1" x14ac:dyDescent="0.2">
      <c r="A8320" s="1135" t="str">
        <f>CONCATENATE(Programme!C8321,Programme!D8321,Programme!E8321,Programme!F8321,Programme!G8321,Programme!H8321,Programme!I8321)</f>
        <v>&lt;ValeurCellule&gt;</v>
      </c>
    </row>
    <row r="8321" spans="1:1" x14ac:dyDescent="0.2">
      <c r="A8321" s="1135" t="str">
        <f>CONCATENATE(Programme!C8322,Programme!D8322,Programme!E8322,Programme!F8322,Programme!G8322,Programme!H8322,Programme!I8322)</f>
        <v>&lt;cellule&gt;</v>
      </c>
    </row>
    <row r="8322" spans="1:1" x14ac:dyDescent="0.2">
      <c r="A8322" s="1135" t="str">
        <f>CONCATENATE(Programme!C8323,Programme!D8323,Programme!E8323,Programme!F8323,Programme!G8323,Programme!H8323,Programme!I8323)</f>
        <v>&lt;codeEdi&gt;906&lt;/codeEdi&gt;</v>
      </c>
    </row>
    <row r="8323" spans="1:1" x14ac:dyDescent="0.2">
      <c r="A8323" s="1135" t="str">
        <f>CONCATENATE(Programme!C8324,Programme!D8324,Programme!E8324,Programme!F8324,Programme!G8324,Programme!H8324,Programme!I8324)</f>
        <v>&lt;/cellule&gt;</v>
      </c>
    </row>
    <row r="8324" spans="1:1" x14ac:dyDescent="0.2">
      <c r="A8324" s="1135" t="str">
        <f>CONCATENATE(Programme!C8325,Programme!D8325,Programme!E8325,Programme!F8325,Programme!G8325,Programme!H8325,Programme!I8325)</f>
        <v>&lt;valeur&gt;&lt;/valeur&gt;</v>
      </c>
    </row>
    <row r="8325" spans="1:1" x14ac:dyDescent="0.2">
      <c r="A8325" s="1135" t="str">
        <f>CONCATENATE(Programme!C8326,Programme!D8326,Programme!E8326,Programme!F8326,Programme!G8326,Programme!H8326,Programme!I8326)</f>
        <v>&lt;/ValeurCellule&gt;</v>
      </c>
    </row>
    <row r="8326" spans="1:1" x14ac:dyDescent="0.2">
      <c r="A8326" s="1135" t="str">
        <f>CONCATENATE(Programme!C8327,Programme!D8327,Programme!E8327,Programme!F8327,Programme!G8327,Programme!H8327,Programme!I8327)</f>
        <v>&lt;ValeurCellule&gt;</v>
      </c>
    </row>
    <row r="8327" spans="1:1" x14ac:dyDescent="0.2">
      <c r="A8327" s="1135" t="str">
        <f>CONCATENATE(Programme!C8328,Programme!D8328,Programme!E8328,Programme!F8328,Programme!G8328,Programme!H8328,Programme!I8328)</f>
        <v>&lt;cellule&gt;</v>
      </c>
    </row>
    <row r="8328" spans="1:1" x14ac:dyDescent="0.2">
      <c r="A8328" s="1135" t="str">
        <f>CONCATENATE(Programme!C8329,Programme!D8329,Programme!E8329,Programme!F8329,Programme!G8329,Programme!H8329,Programme!I8329)</f>
        <v>&lt;codeEdi&gt;910&lt;/codeEdi&gt;</v>
      </c>
    </row>
    <row r="8329" spans="1:1" x14ac:dyDescent="0.2">
      <c r="A8329" s="1135" t="str">
        <f>CONCATENATE(Programme!C8330,Programme!D8330,Programme!E8330,Programme!F8330,Programme!G8330,Programme!H8330,Programme!I8330)</f>
        <v>&lt;/cellule&gt;</v>
      </c>
    </row>
    <row r="8330" spans="1:1" x14ac:dyDescent="0.2">
      <c r="A8330" s="1135" t="str">
        <f>CONCATENATE(Programme!C8331,Programme!D8331,Programme!E8331,Programme!F8331,Programme!G8331,Programme!H8331,Programme!I8331)</f>
        <v>&lt;valeur&gt;&lt;/valeur&gt;</v>
      </c>
    </row>
    <row r="8331" spans="1:1" x14ac:dyDescent="0.2">
      <c r="A8331" s="1135" t="str">
        <f>CONCATENATE(Programme!C8332,Programme!D8332,Programme!E8332,Programme!F8332,Programme!G8332,Programme!H8332,Programme!I8332)</f>
        <v>&lt;/ValeurCellule&gt;</v>
      </c>
    </row>
    <row r="8332" spans="1:1" x14ac:dyDescent="0.2">
      <c r="A8332" s="1135" t="str">
        <f>CONCATENATE(Programme!C8333,Programme!D8333,Programme!E8333,Programme!F8333,Programme!G8333,Programme!H8333,Programme!I8333)</f>
        <v>&lt;ValeurCellule&gt;</v>
      </c>
    </row>
    <row r="8333" spans="1:1" x14ac:dyDescent="0.2">
      <c r="A8333" s="1135" t="str">
        <f>CONCATENATE(Programme!C8334,Programme!D8334,Programme!E8334,Programme!F8334,Programme!G8334,Programme!H8334,Programme!I8334)</f>
        <v>&lt;cellule&gt;</v>
      </c>
    </row>
    <row r="8334" spans="1:1" x14ac:dyDescent="0.2">
      <c r="A8334" s="1135" t="str">
        <f>CONCATENATE(Programme!C8335,Programme!D8335,Programme!E8335,Programme!F8335,Programme!G8335,Programme!H8335,Programme!I8335)</f>
        <v>&lt;codeEdi&gt;903&lt;/codeEdi&gt;</v>
      </c>
    </row>
    <row r="8335" spans="1:1" x14ac:dyDescent="0.2">
      <c r="A8335" s="1135" t="str">
        <f>CONCATENATE(Programme!C8336,Programme!D8336,Programme!E8336,Programme!F8336,Programme!G8336,Programme!H8336,Programme!I8336)</f>
        <v>&lt;/cellule&gt;</v>
      </c>
    </row>
    <row r="8336" spans="1:1" x14ac:dyDescent="0.2">
      <c r="A8336" s="1135" t="str">
        <f>CONCATENATE(Programme!C8337,Programme!D8337,Programme!E8337,Programme!F8337,Programme!G8337,Programme!H8337,Programme!I8337)</f>
        <v>&lt;valeur&gt;&lt;/valeur&gt;</v>
      </c>
    </row>
    <row r="8337" spans="1:1" x14ac:dyDescent="0.2">
      <c r="A8337" s="1135" t="str">
        <f>CONCATENATE(Programme!C8338,Programme!D8338,Programme!E8338,Programme!F8338,Programme!G8338,Programme!H8338,Programme!I8338)</f>
        <v>&lt;/ValeurCellule&gt;</v>
      </c>
    </row>
    <row r="8338" spans="1:1" x14ac:dyDescent="0.2">
      <c r="A8338" s="1135" t="str">
        <f>CONCATENATE(Programme!C8339,Programme!D8339,Programme!E8339,Programme!F8339,Programme!G8339,Programme!H8339,Programme!I8339)</f>
        <v>&lt;ValeurCellule&gt;</v>
      </c>
    </row>
    <row r="8339" spans="1:1" x14ac:dyDescent="0.2">
      <c r="A8339" s="1135" t="str">
        <f>CONCATENATE(Programme!C8340,Programme!D8340,Programme!E8340,Programme!F8340,Programme!G8340,Programme!H8340,Programme!I8340)</f>
        <v>&lt;cellule&gt;</v>
      </c>
    </row>
    <row r="8340" spans="1:1" x14ac:dyDescent="0.2">
      <c r="A8340" s="1135" t="str">
        <f>CONCATENATE(Programme!C8341,Programme!D8341,Programme!E8341,Programme!F8341,Programme!G8341,Programme!H8341,Programme!I8341)</f>
        <v>&lt;codeEdi&gt;907&lt;/codeEdi&gt;</v>
      </c>
    </row>
    <row r="8341" spans="1:1" x14ac:dyDescent="0.2">
      <c r="A8341" s="1135" t="str">
        <f>CONCATENATE(Programme!C8342,Programme!D8342,Programme!E8342,Programme!F8342,Programme!G8342,Programme!H8342,Programme!I8342)</f>
        <v>&lt;/cellule&gt;</v>
      </c>
    </row>
    <row r="8342" spans="1:1" x14ac:dyDescent="0.2">
      <c r="A8342" s="1135" t="str">
        <f>CONCATENATE(Programme!C8343,Programme!D8343,Programme!E8343,Programme!F8343,Programme!G8343,Programme!H8343,Programme!I8343)</f>
        <v>&lt;valeur&gt;&lt;/valeur&gt;</v>
      </c>
    </row>
    <row r="8343" spans="1:1" x14ac:dyDescent="0.2">
      <c r="A8343" s="1135" t="str">
        <f>CONCATENATE(Programme!C8344,Programme!D8344,Programme!E8344,Programme!F8344,Programme!G8344,Programme!H8344,Programme!I8344)</f>
        <v>&lt;/ValeurCellule&gt;</v>
      </c>
    </row>
    <row r="8344" spans="1:1" x14ac:dyDescent="0.2">
      <c r="A8344" s="1135" t="str">
        <f>CONCATENATE(Programme!C8345,Programme!D8345,Programme!E8345,Programme!F8345,Programme!G8345,Programme!H8345,Programme!I8345)</f>
        <v>&lt;ValeurCellule&gt;</v>
      </c>
    </row>
    <row r="8345" spans="1:1" x14ac:dyDescent="0.2">
      <c r="A8345" s="1135" t="str">
        <f>CONCATENATE(Programme!C8346,Programme!D8346,Programme!E8346,Programme!F8346,Programme!G8346,Programme!H8346,Programme!I8346)</f>
        <v>&lt;cellule&gt;</v>
      </c>
    </row>
    <row r="8346" spans="1:1" x14ac:dyDescent="0.2">
      <c r="A8346" s="1135" t="str">
        <f>CONCATENATE(Programme!C8347,Programme!D8347,Programme!E8347,Programme!F8347,Programme!G8347,Programme!H8347,Programme!I8347)</f>
        <v>&lt;codeEdi&gt;911&lt;/codeEdi&gt;</v>
      </c>
    </row>
    <row r="8347" spans="1:1" x14ac:dyDescent="0.2">
      <c r="A8347" s="1135" t="str">
        <f>CONCATENATE(Programme!C8348,Programme!D8348,Programme!E8348,Programme!F8348,Programme!G8348,Programme!H8348,Programme!I8348)</f>
        <v>&lt;/cellule&gt;</v>
      </c>
    </row>
    <row r="8348" spans="1:1" x14ac:dyDescent="0.2">
      <c r="A8348" s="1135" t="str">
        <f>CONCATENATE(Programme!C8349,Programme!D8349,Programme!E8349,Programme!F8349,Programme!G8349,Programme!H8349,Programme!I8349)</f>
        <v>&lt;valeur&gt;&lt;/valeur&gt;</v>
      </c>
    </row>
    <row r="8349" spans="1:1" x14ac:dyDescent="0.2">
      <c r="A8349" s="1135" t="str">
        <f>CONCATENATE(Programme!C8350,Programme!D8350,Programme!E8350,Programme!F8350,Programme!G8350,Programme!H8350,Programme!I8350)</f>
        <v>&lt;/ValeurCellule&gt;</v>
      </c>
    </row>
    <row r="8350" spans="1:1" x14ac:dyDescent="0.2">
      <c r="A8350" s="1135" t="str">
        <f>CONCATENATE(Programme!C8351,Programme!D8351,Programme!E8351,Programme!F8351,Programme!G8351,Programme!H8351,Programme!I8351)</f>
        <v>&lt;ValeurCellule&gt;</v>
      </c>
    </row>
    <row r="8351" spans="1:1" x14ac:dyDescent="0.2">
      <c r="A8351" s="1135" t="str">
        <f>CONCATENATE(Programme!C8352,Programme!D8352,Programme!E8352,Programme!F8352,Programme!G8352,Programme!H8352,Programme!I8352)</f>
        <v>&lt;cellule&gt;</v>
      </c>
    </row>
    <row r="8352" spans="1:1" x14ac:dyDescent="0.2">
      <c r="A8352" s="1135" t="str">
        <f>CONCATENATE(Programme!C8353,Programme!D8353,Programme!E8353,Programme!F8353,Programme!G8353,Programme!H8353,Programme!I8353)</f>
        <v>&lt;codeEdi&gt;10040&lt;/codeEdi&gt;</v>
      </c>
    </row>
    <row r="8353" spans="1:1" x14ac:dyDescent="0.2">
      <c r="A8353" s="1135" t="str">
        <f>CONCATENATE(Programme!C8354,Programme!D8354,Programme!E8354,Programme!F8354,Programme!G8354,Programme!H8354,Programme!I8354)</f>
        <v>&lt;/cellule&gt;</v>
      </c>
    </row>
    <row r="8354" spans="1:1" x14ac:dyDescent="0.2">
      <c r="A8354" s="1135" t="str">
        <f>CONCATENATE(Programme!C8355,Programme!D8355,Programme!E8355,Programme!F8355,Programme!G8355,Programme!H8355,Programme!I8355)</f>
        <v>&lt;valeur&gt;&lt;/valeur&gt;</v>
      </c>
    </row>
    <row r="8355" spans="1:1" x14ac:dyDescent="0.2">
      <c r="A8355" s="1135" t="str">
        <f>CONCATENATE(Programme!C8356,Programme!D8356,Programme!E8356,Programme!F8356,Programme!G8356,Programme!H8356,Programme!I8356)</f>
        <v>&lt;/ValeurCellule&gt;</v>
      </c>
    </row>
    <row r="8356" spans="1:1" x14ac:dyDescent="0.2">
      <c r="A8356" s="1135" t="str">
        <f>CONCATENATE(Programme!C8357,Programme!D8357,Programme!E8357,Programme!F8357,Programme!G8357,Programme!H8357,Programme!I8357)</f>
        <v>&lt;ValeurCellule&gt;</v>
      </c>
    </row>
    <row r="8357" spans="1:1" x14ac:dyDescent="0.2">
      <c r="A8357" s="1135" t="str">
        <f>CONCATENATE(Programme!C8358,Programme!D8358,Programme!E8358,Programme!F8358,Programme!G8358,Programme!H8358,Programme!I8358)</f>
        <v>&lt;cellule&gt;</v>
      </c>
    </row>
    <row r="8358" spans="1:1" x14ac:dyDescent="0.2">
      <c r="A8358" s="1135" t="str">
        <f>CONCATENATE(Programme!C8359,Programme!D8359,Programme!E8359,Programme!F8359,Programme!G8359,Programme!H8359,Programme!I8359)</f>
        <v>&lt;codeEdi&gt;10041&lt;/codeEdi&gt;</v>
      </c>
    </row>
    <row r="8359" spans="1:1" x14ac:dyDescent="0.2">
      <c r="A8359" s="1135" t="str">
        <f>CONCATENATE(Programme!C8360,Programme!D8360,Programme!E8360,Programme!F8360,Programme!G8360,Programme!H8360,Programme!I8360)</f>
        <v>&lt;/cellule&gt;</v>
      </c>
    </row>
    <row r="8360" spans="1:1" x14ac:dyDescent="0.2">
      <c r="A8360" s="1135" t="str">
        <f>CONCATENATE(Programme!C8361,Programme!D8361,Programme!E8361,Programme!F8361,Programme!G8361,Programme!H8361,Programme!I8361)</f>
        <v>&lt;valeur&gt;&lt;/valeur&gt;</v>
      </c>
    </row>
    <row r="8361" spans="1:1" x14ac:dyDescent="0.2">
      <c r="A8361" s="1135" t="str">
        <f>CONCATENATE(Programme!C8362,Programme!D8362,Programme!E8362,Programme!F8362,Programme!G8362,Programme!H8362,Programme!I8362)</f>
        <v>&lt;/ValeurCellule&gt;</v>
      </c>
    </row>
    <row r="8362" spans="1:1" x14ac:dyDescent="0.2">
      <c r="A8362" s="1135" t="str">
        <f>CONCATENATE(Programme!C8363,Programme!D8363,Programme!E8363,Programme!F8363,Programme!G8363,Programme!H8363,Programme!I8363)</f>
        <v>&lt;ValeurCellule&gt;</v>
      </c>
    </row>
    <row r="8363" spans="1:1" x14ac:dyDescent="0.2">
      <c r="A8363" s="1135" t="str">
        <f>CONCATENATE(Programme!C8364,Programme!D8364,Programme!E8364,Programme!F8364,Programme!G8364,Programme!H8364,Programme!I8364)</f>
        <v>&lt;cellule&gt;</v>
      </c>
    </row>
    <row r="8364" spans="1:1" x14ac:dyDescent="0.2">
      <c r="A8364" s="1135" t="str">
        <f>CONCATENATE(Programme!C8365,Programme!D8365,Programme!E8365,Programme!F8365,Programme!G8365,Programme!H8365,Programme!I8365)</f>
        <v>&lt;codeEdi&gt;10042&lt;/codeEdi&gt;</v>
      </c>
    </row>
    <row r="8365" spans="1:1" x14ac:dyDescent="0.2">
      <c r="A8365" s="1135" t="str">
        <f>CONCATENATE(Programme!C8366,Programme!D8366,Programme!E8366,Programme!F8366,Programme!G8366,Programme!H8366,Programme!I8366)</f>
        <v>&lt;/cellule&gt;</v>
      </c>
    </row>
    <row r="8366" spans="1:1" x14ac:dyDescent="0.2">
      <c r="A8366" s="1135" t="str">
        <f>CONCATENATE(Programme!C8367,Programme!D8367,Programme!E8367,Programme!F8367,Programme!G8367,Programme!H8367,Programme!I8367)</f>
        <v>&lt;valeur&gt;&lt;/valeur&gt;</v>
      </c>
    </row>
    <row r="8367" spans="1:1" x14ac:dyDescent="0.2">
      <c r="A8367" s="1135" t="str">
        <f>CONCATENATE(Programme!C8368,Programme!D8368,Programme!E8368,Programme!F8368,Programme!G8368,Programme!H8368,Programme!I8368)</f>
        <v>&lt;/ValeurCellule&gt;</v>
      </c>
    </row>
    <row r="8368" spans="1:1" x14ac:dyDescent="0.2">
      <c r="A8368" s="1135" t="str">
        <f>CONCATENATE(Programme!C8369,Programme!D8369,Programme!E8369,Programme!F8369,Programme!G8369,Programme!H8369,Programme!I8369)</f>
        <v>&lt;ValeurCellule&gt;</v>
      </c>
    </row>
    <row r="8369" spans="1:1" x14ac:dyDescent="0.2">
      <c r="A8369" s="1135" t="str">
        <f>CONCATENATE(Programme!C8370,Programme!D8370,Programme!E8370,Programme!F8370,Programme!G8370,Programme!H8370,Programme!I8370)</f>
        <v>&lt;cellule&gt;</v>
      </c>
    </row>
    <row r="8370" spans="1:1" x14ac:dyDescent="0.2">
      <c r="A8370" s="1135" t="str">
        <f>CONCATENATE(Programme!C8371,Programme!D8371,Programme!E8371,Programme!F8371,Programme!G8371,Programme!H8371,Programme!I8371)</f>
        <v>&lt;codeEdi&gt;10043&lt;/codeEdi&gt;</v>
      </c>
    </row>
    <row r="8371" spans="1:1" x14ac:dyDescent="0.2">
      <c r="A8371" s="1135" t="str">
        <f>CONCATENATE(Programme!C8372,Programme!D8372,Programme!E8372,Programme!F8372,Programme!G8372,Programme!H8372,Programme!I8372)</f>
        <v>&lt;/cellule&gt;</v>
      </c>
    </row>
    <row r="8372" spans="1:1" x14ac:dyDescent="0.2">
      <c r="A8372" s="1135" t="str">
        <f>CONCATENATE(Programme!C8373,Programme!D8373,Programme!E8373,Programme!F8373,Programme!G8373,Programme!H8373,Programme!I8373)</f>
        <v>&lt;valeur&gt;&lt;/valeur&gt;</v>
      </c>
    </row>
    <row r="8373" spans="1:1" x14ac:dyDescent="0.2">
      <c r="A8373" s="1135" t="str">
        <f>CONCATENATE(Programme!C8374,Programme!D8374,Programme!E8374,Programme!F8374,Programme!G8374,Programme!H8374,Programme!I8374)</f>
        <v>&lt;/ValeurCellule&gt;</v>
      </c>
    </row>
    <row r="8374" spans="1:1" x14ac:dyDescent="0.2">
      <c r="A8374" s="1135" t="str">
        <f>CONCATENATE(Programme!C8375,Programme!D8375,Programme!E8375,Programme!F8375,Programme!G8375,Programme!H8375,Programme!I8375)</f>
        <v>&lt;ValeurCellule&gt;</v>
      </c>
    </row>
    <row r="8375" spans="1:1" x14ac:dyDescent="0.2">
      <c r="A8375" s="1135" t="str">
        <f>CONCATENATE(Programme!C8376,Programme!D8376,Programme!E8376,Programme!F8376,Programme!G8376,Programme!H8376,Programme!I8376)</f>
        <v>&lt;cellule&gt;</v>
      </c>
    </row>
    <row r="8376" spans="1:1" x14ac:dyDescent="0.2">
      <c r="A8376" s="1135" t="str">
        <f>CONCATENATE(Programme!C8377,Programme!D8377,Programme!E8377,Programme!F8377,Programme!G8377,Programme!H8377,Programme!I8377)</f>
        <v>&lt;codeEdi&gt;10028&lt;/codeEdi&gt;</v>
      </c>
    </row>
    <row r="8377" spans="1:1" x14ac:dyDescent="0.2">
      <c r="A8377" s="1135" t="str">
        <f>CONCATENATE(Programme!C8378,Programme!D8378,Programme!E8378,Programme!F8378,Programme!G8378,Programme!H8378,Programme!I8378)</f>
        <v>&lt;/cellule&gt;</v>
      </c>
    </row>
    <row r="8378" spans="1:1" x14ac:dyDescent="0.2">
      <c r="A8378" s="1135" t="str">
        <f>CONCATENATE(Programme!C8379,Programme!D8379,Programme!E8379,Programme!F8379,Programme!G8379,Programme!H8379,Programme!I8379)</f>
        <v>&lt;valeur&gt;&lt;/valeur&gt;</v>
      </c>
    </row>
    <row r="8379" spans="1:1" x14ac:dyDescent="0.2">
      <c r="A8379" s="1135" t="str">
        <f>CONCATENATE(Programme!C8380,Programme!D8380,Programme!E8380,Programme!F8380,Programme!G8380,Programme!H8380,Programme!I8380)</f>
        <v>&lt;/ValeurCellule&gt;</v>
      </c>
    </row>
    <row r="8380" spans="1:1" x14ac:dyDescent="0.2">
      <c r="A8380" s="1135" t="str">
        <f>CONCATENATE(Programme!C8381,Programme!D8381,Programme!E8381,Programme!F8381,Programme!G8381,Programme!H8381,Programme!I8381)</f>
        <v>&lt;ValeurCellule&gt;</v>
      </c>
    </row>
    <row r="8381" spans="1:1" x14ac:dyDescent="0.2">
      <c r="A8381" s="1135" t="str">
        <f>CONCATENATE(Programme!C8382,Programme!D8382,Programme!E8382,Programme!F8382,Programme!G8382,Programme!H8382,Programme!I8382)</f>
        <v>&lt;cellule&gt;</v>
      </c>
    </row>
    <row r="8382" spans="1:1" x14ac:dyDescent="0.2">
      <c r="A8382" s="1135" t="str">
        <f>CONCATENATE(Programme!C8383,Programme!D8383,Programme!E8383,Programme!F8383,Programme!G8383,Programme!H8383,Programme!I8383)</f>
        <v>&lt;codeEdi&gt;10029&lt;/codeEdi&gt;</v>
      </c>
    </row>
    <row r="8383" spans="1:1" x14ac:dyDescent="0.2">
      <c r="A8383" s="1135" t="str">
        <f>CONCATENATE(Programme!C8384,Programme!D8384,Programme!E8384,Programme!F8384,Programme!G8384,Programme!H8384,Programme!I8384)</f>
        <v>&lt;/cellule&gt;</v>
      </c>
    </row>
    <row r="8384" spans="1:1" x14ac:dyDescent="0.2">
      <c r="A8384" s="1135" t="str">
        <f>CONCATENATE(Programme!C8385,Programme!D8385,Programme!E8385,Programme!F8385,Programme!G8385,Programme!H8385,Programme!I8385)</f>
        <v>&lt;valeur&gt;&lt;/valeur&gt;</v>
      </c>
    </row>
    <row r="8385" spans="1:1" x14ac:dyDescent="0.2">
      <c r="A8385" s="1135" t="str">
        <f>CONCATENATE(Programme!C8386,Programme!D8386,Programme!E8386,Programme!F8386,Programme!G8386,Programme!H8386,Programme!I8386)</f>
        <v>&lt;/ValeurCellule&gt;</v>
      </c>
    </row>
    <row r="8386" spans="1:1" x14ac:dyDescent="0.2">
      <c r="A8386" s="1135" t="str">
        <f>CONCATENATE(Programme!C8387,Programme!D8387,Programme!E8387,Programme!F8387,Programme!G8387,Programme!H8387,Programme!I8387)</f>
        <v>&lt;ValeurCellule&gt;</v>
      </c>
    </row>
    <row r="8387" spans="1:1" x14ac:dyDescent="0.2">
      <c r="A8387" s="1135" t="str">
        <f>CONCATENATE(Programme!C8388,Programme!D8388,Programme!E8388,Programme!F8388,Programme!G8388,Programme!H8388,Programme!I8388)</f>
        <v>&lt;cellule&gt;</v>
      </c>
    </row>
    <row r="8388" spans="1:1" x14ac:dyDescent="0.2">
      <c r="A8388" s="1135" t="str">
        <f>CONCATENATE(Programme!C8389,Programme!D8389,Programme!E8389,Programme!F8389,Programme!G8389,Programme!H8389,Programme!I8389)</f>
        <v>&lt;codeEdi&gt;921&lt;/codeEdi&gt;</v>
      </c>
    </row>
    <row r="8389" spans="1:1" x14ac:dyDescent="0.2">
      <c r="A8389" s="1135" t="str">
        <f>CONCATENATE(Programme!C8390,Programme!D8390,Programme!E8390,Programme!F8390,Programme!G8390,Programme!H8390,Programme!I8390)</f>
        <v>&lt;/cellule&gt;</v>
      </c>
    </row>
    <row r="8390" spans="1:1" x14ac:dyDescent="0.2">
      <c r="A8390" s="1135" t="str">
        <f>CONCATENATE(Programme!C8391,Programme!D8391,Programme!E8391,Programme!F8391,Programme!G8391,Programme!H8391,Programme!I8391)</f>
        <v>&lt;valeur&gt;&lt;/valeur&gt;</v>
      </c>
    </row>
    <row r="8391" spans="1:1" x14ac:dyDescent="0.2">
      <c r="A8391" s="1135" t="str">
        <f>CONCATENATE(Programme!C8392,Programme!D8392,Programme!E8392,Programme!F8392,Programme!G8392,Programme!H8392,Programme!I8392)</f>
        <v>&lt;/ValeurCellule&gt;</v>
      </c>
    </row>
    <row r="8392" spans="1:1" x14ac:dyDescent="0.2">
      <c r="A8392" s="1135" t="str">
        <f>CONCATENATE(Programme!C8393,Programme!D8393,Programme!E8393,Programme!F8393,Programme!G8393,Programme!H8393,Programme!I8393)</f>
        <v>&lt;ValeurCellule&gt;</v>
      </c>
    </row>
    <row r="8393" spans="1:1" x14ac:dyDescent="0.2">
      <c r="A8393" s="1135" t="str">
        <f>CONCATENATE(Programme!C8394,Programme!D8394,Programme!E8394,Programme!F8394,Programme!G8394,Programme!H8394,Programme!I8394)</f>
        <v>&lt;cellule&gt;</v>
      </c>
    </row>
    <row r="8394" spans="1:1" x14ac:dyDescent="0.2">
      <c r="A8394" s="1135" t="str">
        <f>CONCATENATE(Programme!C8395,Programme!D8395,Programme!E8395,Programme!F8395,Programme!G8395,Programme!H8395,Programme!I8395)</f>
        <v>&lt;codeEdi&gt;925&lt;/codeEdi&gt;</v>
      </c>
    </row>
    <row r="8395" spans="1:1" x14ac:dyDescent="0.2">
      <c r="A8395" s="1135" t="str">
        <f>CONCATENATE(Programme!C8396,Programme!D8396,Programme!E8396,Programme!F8396,Programme!G8396,Programme!H8396,Programme!I8396)</f>
        <v>&lt;/cellule&gt;</v>
      </c>
    </row>
    <row r="8396" spans="1:1" x14ac:dyDescent="0.2">
      <c r="A8396" s="1135" t="str">
        <f>CONCATENATE(Programme!C8397,Programme!D8397,Programme!E8397,Programme!F8397,Programme!G8397,Programme!H8397,Programme!I8397)</f>
        <v>&lt;valeur&gt;&lt;/valeur&gt;</v>
      </c>
    </row>
    <row r="8397" spans="1:1" x14ac:dyDescent="0.2">
      <c r="A8397" s="1135" t="str">
        <f>CONCATENATE(Programme!C8398,Programme!D8398,Programme!E8398,Programme!F8398,Programme!G8398,Programme!H8398,Programme!I8398)</f>
        <v>&lt;/ValeurCellule&gt;</v>
      </c>
    </row>
    <row r="8398" spans="1:1" x14ac:dyDescent="0.2">
      <c r="A8398" s="1135" t="str">
        <f>CONCATENATE(Programme!C8399,Programme!D8399,Programme!E8399,Programme!F8399,Programme!G8399,Programme!H8399,Programme!I8399)</f>
        <v>&lt;ValeurCellule&gt;</v>
      </c>
    </row>
    <row r="8399" spans="1:1" x14ac:dyDescent="0.2">
      <c r="A8399" s="1135" t="str">
        <f>CONCATENATE(Programme!C8400,Programme!D8400,Programme!E8400,Programme!F8400,Programme!G8400,Programme!H8400,Programme!I8400)</f>
        <v>&lt;cellule&gt;</v>
      </c>
    </row>
    <row r="8400" spans="1:1" x14ac:dyDescent="0.2">
      <c r="A8400" s="1135" t="str">
        <f>CONCATENATE(Programme!C8401,Programme!D8401,Programme!E8401,Programme!F8401,Programme!G8401,Programme!H8401,Programme!I8401)</f>
        <v>&lt;codeEdi&gt;929&lt;/codeEdi&gt;</v>
      </c>
    </row>
    <row r="8401" spans="1:1" x14ac:dyDescent="0.2">
      <c r="A8401" s="1135" t="str">
        <f>CONCATENATE(Programme!C8402,Programme!D8402,Programme!E8402,Programme!F8402,Programme!G8402,Programme!H8402,Programme!I8402)</f>
        <v>&lt;/cellule&gt;</v>
      </c>
    </row>
    <row r="8402" spans="1:1" x14ac:dyDescent="0.2">
      <c r="A8402" s="1135" t="str">
        <f>CONCATENATE(Programme!C8403,Programme!D8403,Programme!E8403,Programme!F8403,Programme!G8403,Programme!H8403,Programme!I8403)</f>
        <v>&lt;valeur&gt;&lt;/valeur&gt;</v>
      </c>
    </row>
    <row r="8403" spans="1:1" x14ac:dyDescent="0.2">
      <c r="A8403" s="1135" t="str">
        <f>CONCATENATE(Programme!C8404,Programme!D8404,Programme!E8404,Programme!F8404,Programme!G8404,Programme!H8404,Programme!I8404)</f>
        <v>&lt;/ValeurCellule&gt;</v>
      </c>
    </row>
    <row r="8404" spans="1:1" x14ac:dyDescent="0.2">
      <c r="A8404" s="1135" t="str">
        <f>CONCATENATE(Programme!C8405,Programme!D8405,Programme!E8405,Programme!F8405,Programme!G8405,Programme!H8405,Programme!I8405)</f>
        <v>&lt;ValeurCellule&gt;</v>
      </c>
    </row>
    <row r="8405" spans="1:1" x14ac:dyDescent="0.2">
      <c r="A8405" s="1135" t="str">
        <f>CONCATENATE(Programme!C8406,Programme!D8406,Programme!E8406,Programme!F8406,Programme!G8406,Programme!H8406,Programme!I8406)</f>
        <v>&lt;cellule&gt;</v>
      </c>
    </row>
    <row r="8406" spans="1:1" x14ac:dyDescent="0.2">
      <c r="A8406" s="1135" t="str">
        <f>CONCATENATE(Programme!C8407,Programme!D8407,Programme!E8407,Programme!F8407,Programme!G8407,Programme!H8407,Programme!I8407)</f>
        <v>&lt;codeEdi&gt;933&lt;/codeEdi&gt;</v>
      </c>
    </row>
    <row r="8407" spans="1:1" x14ac:dyDescent="0.2">
      <c r="A8407" s="1135" t="str">
        <f>CONCATENATE(Programme!C8408,Programme!D8408,Programme!E8408,Programme!F8408,Programme!G8408,Programme!H8408,Programme!I8408)</f>
        <v>&lt;/cellule&gt;</v>
      </c>
    </row>
    <row r="8408" spans="1:1" x14ac:dyDescent="0.2">
      <c r="A8408" s="1135" t="str">
        <f>CONCATENATE(Programme!C8409,Programme!D8409,Programme!E8409,Programme!F8409,Programme!G8409,Programme!H8409,Programme!I8409)</f>
        <v>&lt;valeur&gt;&lt;/valeur&gt;</v>
      </c>
    </row>
    <row r="8409" spans="1:1" x14ac:dyDescent="0.2">
      <c r="A8409" s="1135" t="str">
        <f>CONCATENATE(Programme!C8410,Programme!D8410,Programme!E8410,Programme!F8410,Programme!G8410,Programme!H8410,Programme!I8410)</f>
        <v>&lt;/ValeurCellule&gt;</v>
      </c>
    </row>
    <row r="8410" spans="1:1" x14ac:dyDescent="0.2">
      <c r="A8410" s="1135" t="str">
        <f>CONCATENATE(Programme!C8411,Programme!D8411,Programme!E8411,Programme!F8411,Programme!G8411,Programme!H8411,Programme!I8411)</f>
        <v>&lt;ValeurCellule&gt;</v>
      </c>
    </row>
    <row r="8411" spans="1:1" x14ac:dyDescent="0.2">
      <c r="A8411" s="1135" t="str">
        <f>CONCATENATE(Programme!C8412,Programme!D8412,Programme!E8412,Programme!F8412,Programme!G8412,Programme!H8412,Programme!I8412)</f>
        <v>&lt;cellule&gt;</v>
      </c>
    </row>
    <row r="8412" spans="1:1" x14ac:dyDescent="0.2">
      <c r="A8412" s="1135" t="str">
        <f>CONCATENATE(Programme!C8413,Programme!D8413,Programme!E8413,Programme!F8413,Programme!G8413,Programme!H8413,Programme!I8413)</f>
        <v>&lt;codeEdi&gt;922&lt;/codeEdi&gt;</v>
      </c>
    </row>
    <row r="8413" spans="1:1" x14ac:dyDescent="0.2">
      <c r="A8413" s="1135" t="str">
        <f>CONCATENATE(Programme!C8414,Programme!D8414,Programme!E8414,Programme!F8414,Programme!G8414,Programme!H8414,Programme!I8414)</f>
        <v>&lt;/cellule&gt;</v>
      </c>
    </row>
    <row r="8414" spans="1:1" x14ac:dyDescent="0.2">
      <c r="A8414" s="1135" t="str">
        <f>CONCATENATE(Programme!C8415,Programme!D8415,Programme!E8415,Programme!F8415,Programme!G8415,Programme!H8415,Programme!I8415)</f>
        <v>&lt;valeur&gt;&lt;/valeur&gt;</v>
      </c>
    </row>
    <row r="8415" spans="1:1" x14ac:dyDescent="0.2">
      <c r="A8415" s="1135" t="str">
        <f>CONCATENATE(Programme!C8416,Programme!D8416,Programme!E8416,Programme!F8416,Programme!G8416,Programme!H8416,Programme!I8416)</f>
        <v>&lt;/ValeurCellule&gt;</v>
      </c>
    </row>
    <row r="8416" spans="1:1" x14ac:dyDescent="0.2">
      <c r="A8416" s="1135" t="str">
        <f>CONCATENATE(Programme!C8417,Programme!D8417,Programme!E8417,Programme!F8417,Programme!G8417,Programme!H8417,Programme!I8417)</f>
        <v>&lt;ValeurCellule&gt;</v>
      </c>
    </row>
    <row r="8417" spans="1:1" x14ac:dyDescent="0.2">
      <c r="A8417" s="1135" t="str">
        <f>CONCATENATE(Programme!C8418,Programme!D8418,Programme!E8418,Programme!F8418,Programme!G8418,Programme!H8418,Programme!I8418)</f>
        <v>&lt;cellule&gt;</v>
      </c>
    </row>
    <row r="8418" spans="1:1" x14ac:dyDescent="0.2">
      <c r="A8418" s="1135" t="str">
        <f>CONCATENATE(Programme!C8419,Programme!D8419,Programme!E8419,Programme!F8419,Programme!G8419,Programme!H8419,Programme!I8419)</f>
        <v>&lt;codeEdi&gt;926&lt;/codeEdi&gt;</v>
      </c>
    </row>
    <row r="8419" spans="1:1" x14ac:dyDescent="0.2">
      <c r="A8419" s="1135" t="str">
        <f>CONCATENATE(Programme!C8420,Programme!D8420,Programme!E8420,Programme!F8420,Programme!G8420,Programme!H8420,Programme!I8420)</f>
        <v>&lt;/cellule&gt;</v>
      </c>
    </row>
    <row r="8420" spans="1:1" x14ac:dyDescent="0.2">
      <c r="A8420" s="1135" t="str">
        <f>CONCATENATE(Programme!C8421,Programme!D8421,Programme!E8421,Programme!F8421,Programme!G8421,Programme!H8421,Programme!I8421)</f>
        <v>&lt;valeur&gt;&lt;/valeur&gt;</v>
      </c>
    </row>
    <row r="8421" spans="1:1" x14ac:dyDescent="0.2">
      <c r="A8421" s="1135" t="str">
        <f>CONCATENATE(Programme!C8422,Programme!D8422,Programme!E8422,Programme!F8422,Programme!G8422,Programme!H8422,Programme!I8422)</f>
        <v>&lt;/ValeurCellule&gt;</v>
      </c>
    </row>
    <row r="8422" spans="1:1" x14ac:dyDescent="0.2">
      <c r="A8422" s="1135" t="str">
        <f>CONCATENATE(Programme!C8423,Programme!D8423,Programme!E8423,Programme!F8423,Programme!G8423,Programme!H8423,Programme!I8423)</f>
        <v>&lt;ValeurCellule&gt;</v>
      </c>
    </row>
    <row r="8423" spans="1:1" x14ac:dyDescent="0.2">
      <c r="A8423" s="1135" t="str">
        <f>CONCATENATE(Programme!C8424,Programme!D8424,Programme!E8424,Programme!F8424,Programme!G8424,Programme!H8424,Programme!I8424)</f>
        <v>&lt;cellule&gt;</v>
      </c>
    </row>
    <row r="8424" spans="1:1" x14ac:dyDescent="0.2">
      <c r="A8424" s="1135" t="str">
        <f>CONCATENATE(Programme!C8425,Programme!D8425,Programme!E8425,Programme!F8425,Programme!G8425,Programme!H8425,Programme!I8425)</f>
        <v>&lt;codeEdi&gt;930&lt;/codeEdi&gt;</v>
      </c>
    </row>
    <row r="8425" spans="1:1" x14ac:dyDescent="0.2">
      <c r="A8425" s="1135" t="str">
        <f>CONCATENATE(Programme!C8426,Programme!D8426,Programme!E8426,Programme!F8426,Programme!G8426,Programme!H8426,Programme!I8426)</f>
        <v>&lt;/cellule&gt;</v>
      </c>
    </row>
    <row r="8426" spans="1:1" x14ac:dyDescent="0.2">
      <c r="A8426" s="1135" t="str">
        <f>CONCATENATE(Programme!C8427,Programme!D8427,Programme!E8427,Programme!F8427,Programme!G8427,Programme!H8427,Programme!I8427)</f>
        <v>&lt;valeur&gt;&lt;/valeur&gt;</v>
      </c>
    </row>
    <row r="8427" spans="1:1" x14ac:dyDescent="0.2">
      <c r="A8427" s="1135" t="str">
        <f>CONCATENATE(Programme!C8428,Programme!D8428,Programme!E8428,Programme!F8428,Programme!G8428,Programme!H8428,Programme!I8428)</f>
        <v>&lt;/ValeurCellule&gt;</v>
      </c>
    </row>
    <row r="8428" spans="1:1" x14ac:dyDescent="0.2">
      <c r="A8428" s="1135" t="str">
        <f>CONCATENATE(Programme!C8429,Programme!D8429,Programme!E8429,Programme!F8429,Programme!G8429,Programme!H8429,Programme!I8429)</f>
        <v>&lt;ValeurCellule&gt;</v>
      </c>
    </row>
    <row r="8429" spans="1:1" x14ac:dyDescent="0.2">
      <c r="A8429" s="1135" t="str">
        <f>CONCATENATE(Programme!C8430,Programme!D8430,Programme!E8430,Programme!F8430,Programme!G8430,Programme!H8430,Programme!I8430)</f>
        <v>&lt;cellule&gt;</v>
      </c>
    </row>
    <row r="8430" spans="1:1" x14ac:dyDescent="0.2">
      <c r="A8430" s="1135" t="str">
        <f>CONCATENATE(Programme!C8431,Programme!D8431,Programme!E8431,Programme!F8431,Programme!G8431,Programme!H8431,Programme!I8431)</f>
        <v>&lt;codeEdi&gt;934&lt;/codeEdi&gt;</v>
      </c>
    </row>
    <row r="8431" spans="1:1" x14ac:dyDescent="0.2">
      <c r="A8431" s="1135" t="str">
        <f>CONCATENATE(Programme!C8432,Programme!D8432,Programme!E8432,Programme!F8432,Programme!G8432,Programme!H8432,Programme!I8432)</f>
        <v>&lt;/cellule&gt;</v>
      </c>
    </row>
    <row r="8432" spans="1:1" x14ac:dyDescent="0.2">
      <c r="A8432" s="1135" t="str">
        <f>CONCATENATE(Programme!C8433,Programme!D8433,Programme!E8433,Programme!F8433,Programme!G8433,Programme!H8433,Programme!I8433)</f>
        <v>&lt;valeur&gt;&lt;/valeur&gt;</v>
      </c>
    </row>
    <row r="8433" spans="1:1" x14ac:dyDescent="0.2">
      <c r="A8433" s="1135" t="str">
        <f>CONCATENATE(Programme!C8434,Programme!D8434,Programme!E8434,Programme!F8434,Programme!G8434,Programme!H8434,Programme!I8434)</f>
        <v>&lt;/ValeurCellule&gt;</v>
      </c>
    </row>
    <row r="8434" spans="1:1" x14ac:dyDescent="0.2">
      <c r="A8434" s="1135" t="str">
        <f>CONCATENATE(Programme!C8435,Programme!D8435,Programme!E8435,Programme!F8435,Programme!G8435,Programme!H8435,Programme!I8435)</f>
        <v>&lt;ValeurCellule&gt;</v>
      </c>
    </row>
    <row r="8435" spans="1:1" x14ac:dyDescent="0.2">
      <c r="A8435" s="1135" t="str">
        <f>CONCATENATE(Programme!C8436,Programme!D8436,Programme!E8436,Programme!F8436,Programme!G8436,Programme!H8436,Programme!I8436)</f>
        <v>&lt;cellule&gt;</v>
      </c>
    </row>
    <row r="8436" spans="1:1" x14ac:dyDescent="0.2">
      <c r="A8436" s="1135" t="str">
        <f>CONCATENATE(Programme!C8437,Programme!D8437,Programme!E8437,Programme!F8437,Programme!G8437,Programme!H8437,Programme!I8437)</f>
        <v>&lt;codeEdi&gt;923&lt;/codeEdi&gt;</v>
      </c>
    </row>
    <row r="8437" spans="1:1" x14ac:dyDescent="0.2">
      <c r="A8437" s="1135" t="str">
        <f>CONCATENATE(Programme!C8438,Programme!D8438,Programme!E8438,Programme!F8438,Programme!G8438,Programme!H8438,Programme!I8438)</f>
        <v>&lt;/cellule&gt;</v>
      </c>
    </row>
    <row r="8438" spans="1:1" x14ac:dyDescent="0.2">
      <c r="A8438" s="1135" t="str">
        <f>CONCATENATE(Programme!C8439,Programme!D8439,Programme!E8439,Programme!F8439,Programme!G8439,Programme!H8439,Programme!I8439)</f>
        <v>&lt;valeur&gt;&lt;/valeur&gt;</v>
      </c>
    </row>
    <row r="8439" spans="1:1" x14ac:dyDescent="0.2">
      <c r="A8439" s="1135" t="str">
        <f>CONCATENATE(Programme!C8440,Programme!D8440,Programme!E8440,Programme!F8440,Programme!G8440,Programme!H8440,Programme!I8440)</f>
        <v>&lt;/ValeurCellule&gt;</v>
      </c>
    </row>
    <row r="8440" spans="1:1" x14ac:dyDescent="0.2">
      <c r="A8440" s="1135" t="str">
        <f>CONCATENATE(Programme!C8441,Programme!D8441,Programme!E8441,Programme!F8441,Programme!G8441,Programme!H8441,Programme!I8441)</f>
        <v>&lt;ValeurCellule&gt;</v>
      </c>
    </row>
    <row r="8441" spans="1:1" x14ac:dyDescent="0.2">
      <c r="A8441" s="1135" t="str">
        <f>CONCATENATE(Programme!C8442,Programme!D8442,Programme!E8442,Programme!F8442,Programme!G8442,Programme!H8442,Programme!I8442)</f>
        <v>&lt;cellule&gt;</v>
      </c>
    </row>
    <row r="8442" spans="1:1" x14ac:dyDescent="0.2">
      <c r="A8442" s="1135" t="str">
        <f>CONCATENATE(Programme!C8443,Programme!D8443,Programme!E8443,Programme!F8443,Programme!G8443,Programme!H8443,Programme!I8443)</f>
        <v>&lt;codeEdi&gt;927&lt;/codeEdi&gt;</v>
      </c>
    </row>
    <row r="8443" spans="1:1" x14ac:dyDescent="0.2">
      <c r="A8443" s="1135" t="str">
        <f>CONCATENATE(Programme!C8444,Programme!D8444,Programme!E8444,Programme!F8444,Programme!G8444,Programme!H8444,Programme!I8444)</f>
        <v>&lt;/cellule&gt;</v>
      </c>
    </row>
    <row r="8444" spans="1:1" x14ac:dyDescent="0.2">
      <c r="A8444" s="1135" t="str">
        <f>CONCATENATE(Programme!C8445,Programme!D8445,Programme!E8445,Programme!F8445,Programme!G8445,Programme!H8445,Programme!I8445)</f>
        <v>&lt;valeur&gt;&lt;/valeur&gt;</v>
      </c>
    </row>
    <row r="8445" spans="1:1" x14ac:dyDescent="0.2">
      <c r="A8445" s="1135" t="str">
        <f>CONCATENATE(Programme!C8446,Programme!D8446,Programme!E8446,Programme!F8446,Programme!G8446,Programme!H8446,Programme!I8446)</f>
        <v>&lt;/ValeurCellule&gt;</v>
      </c>
    </row>
    <row r="8446" spans="1:1" x14ac:dyDescent="0.2">
      <c r="A8446" s="1135" t="str">
        <f>CONCATENATE(Programme!C8447,Programme!D8447,Programme!E8447,Programme!F8447,Programme!G8447,Programme!H8447,Programme!I8447)</f>
        <v>&lt;ValeurCellule&gt;</v>
      </c>
    </row>
    <row r="8447" spans="1:1" x14ac:dyDescent="0.2">
      <c r="A8447" s="1135" t="str">
        <f>CONCATENATE(Programme!C8448,Programme!D8448,Programme!E8448,Programme!F8448,Programme!G8448,Programme!H8448,Programme!I8448)</f>
        <v>&lt;cellule&gt;</v>
      </c>
    </row>
    <row r="8448" spans="1:1" x14ac:dyDescent="0.2">
      <c r="A8448" s="1135" t="str">
        <f>CONCATENATE(Programme!C8449,Programme!D8449,Programme!E8449,Programme!F8449,Programme!G8449,Programme!H8449,Programme!I8449)</f>
        <v>&lt;codeEdi&gt;931&lt;/codeEdi&gt;</v>
      </c>
    </row>
    <row r="8449" spans="1:1" x14ac:dyDescent="0.2">
      <c r="A8449" s="1135" t="str">
        <f>CONCATENATE(Programme!C8450,Programme!D8450,Programme!E8450,Programme!F8450,Programme!G8450,Programme!H8450,Programme!I8450)</f>
        <v>&lt;/cellule&gt;</v>
      </c>
    </row>
    <row r="8450" spans="1:1" x14ac:dyDescent="0.2">
      <c r="A8450" s="1135" t="str">
        <f>CONCATENATE(Programme!C8451,Programme!D8451,Programme!E8451,Programme!F8451,Programme!G8451,Programme!H8451,Programme!I8451)</f>
        <v>&lt;valeur&gt;&lt;/valeur&gt;</v>
      </c>
    </row>
    <row r="8451" spans="1:1" x14ac:dyDescent="0.2">
      <c r="A8451" s="1135" t="str">
        <f>CONCATENATE(Programme!C8452,Programme!D8452,Programme!E8452,Programme!F8452,Programme!G8452,Programme!H8452,Programme!I8452)</f>
        <v>&lt;/ValeurCellule&gt;</v>
      </c>
    </row>
    <row r="8452" spans="1:1" x14ac:dyDescent="0.2">
      <c r="A8452" s="1135" t="str">
        <f>CONCATENATE(Programme!C8453,Programme!D8453,Programme!E8453,Programme!F8453,Programme!G8453,Programme!H8453,Programme!I8453)</f>
        <v>&lt;ValeurCellule&gt;</v>
      </c>
    </row>
    <row r="8453" spans="1:1" x14ac:dyDescent="0.2">
      <c r="A8453" s="1135" t="str">
        <f>CONCATENATE(Programme!C8454,Programme!D8454,Programme!E8454,Programme!F8454,Programme!G8454,Programme!H8454,Programme!I8454)</f>
        <v>&lt;cellule&gt;</v>
      </c>
    </row>
    <row r="8454" spans="1:1" x14ac:dyDescent="0.2">
      <c r="A8454" s="1135" t="str">
        <f>CONCATENATE(Programme!C8455,Programme!D8455,Programme!E8455,Programme!F8455,Programme!G8455,Programme!H8455,Programme!I8455)</f>
        <v>&lt;codeEdi&gt;935&lt;/codeEdi&gt;</v>
      </c>
    </row>
    <row r="8455" spans="1:1" x14ac:dyDescent="0.2">
      <c r="A8455" s="1135" t="str">
        <f>CONCATENATE(Programme!C8456,Programme!D8456,Programme!E8456,Programme!F8456,Programme!G8456,Programme!H8456,Programme!I8456)</f>
        <v>&lt;/cellule&gt;</v>
      </c>
    </row>
    <row r="8456" spans="1:1" x14ac:dyDescent="0.2">
      <c r="A8456" s="1135" t="str">
        <f>CONCATENATE(Programme!C8457,Programme!D8457,Programme!E8457,Programme!F8457,Programme!G8457,Programme!H8457,Programme!I8457)</f>
        <v>&lt;valeur&gt;&lt;/valeur&gt;</v>
      </c>
    </row>
    <row r="8457" spans="1:1" x14ac:dyDescent="0.2">
      <c r="A8457" s="1135" t="str">
        <f>CONCATENATE(Programme!C8458,Programme!D8458,Programme!E8458,Programme!F8458,Programme!G8458,Programme!H8458,Programme!I8458)</f>
        <v>&lt;/ValeurCellule&gt;</v>
      </c>
    </row>
    <row r="8458" spans="1:1" x14ac:dyDescent="0.2">
      <c r="A8458" s="1135" t="str">
        <f>CONCATENATE(Programme!C8459,Programme!D8459,Programme!E8459,Programme!F8459,Programme!G8459,Programme!H8459,Programme!I8459)</f>
        <v>&lt;ValeurCellule&gt;</v>
      </c>
    </row>
    <row r="8459" spans="1:1" x14ac:dyDescent="0.2">
      <c r="A8459" s="1135" t="str">
        <f>CONCATENATE(Programme!C8460,Programme!D8460,Programme!E8460,Programme!F8460,Programme!G8460,Programme!H8460,Programme!I8460)</f>
        <v>&lt;cellule&gt;</v>
      </c>
    </row>
    <row r="8460" spans="1:1" x14ac:dyDescent="0.2">
      <c r="A8460" s="1135" t="str">
        <f>CONCATENATE(Programme!C8461,Programme!D8461,Programme!E8461,Programme!F8461,Programme!G8461,Programme!H8461,Programme!I8461)</f>
        <v>&lt;codeEdi&gt;937&lt;/codeEdi&gt;</v>
      </c>
    </row>
    <row r="8461" spans="1:1" x14ac:dyDescent="0.2">
      <c r="A8461" s="1135" t="str">
        <f>CONCATENATE(Programme!C8462,Programme!D8462,Programme!E8462,Programme!F8462,Programme!G8462,Programme!H8462,Programme!I8462)</f>
        <v>&lt;/cellule&gt;</v>
      </c>
    </row>
    <row r="8462" spans="1:1" x14ac:dyDescent="0.2">
      <c r="A8462" s="1135" t="str">
        <f>CONCATENATE(Programme!C8463,Programme!D8463,Programme!E8463,Programme!F8463,Programme!G8463,Programme!H8463,Programme!I8463)</f>
        <v>&lt;valeur&gt;&lt;/valeur&gt;</v>
      </c>
    </row>
    <row r="8463" spans="1:1" x14ac:dyDescent="0.2">
      <c r="A8463" s="1135" t="str">
        <f>CONCATENATE(Programme!C8464,Programme!D8464,Programme!E8464,Programme!F8464,Programme!G8464,Programme!H8464,Programme!I8464)</f>
        <v>&lt;/ValeurCellule&gt;</v>
      </c>
    </row>
    <row r="8464" spans="1:1" x14ac:dyDescent="0.2">
      <c r="A8464" s="1135" t="str">
        <f>CONCATENATE(Programme!C8465,Programme!D8465,Programme!E8465,Programme!F8465,Programme!G8465,Programme!H8465,Programme!I8465)</f>
        <v>&lt;ValeurCellule&gt;</v>
      </c>
    </row>
    <row r="8465" spans="1:1" x14ac:dyDescent="0.2">
      <c r="A8465" s="1135" t="str">
        <f>CONCATENATE(Programme!C8466,Programme!D8466,Programme!E8466,Programme!F8466,Programme!G8466,Programme!H8466,Programme!I8466)</f>
        <v>&lt;cellule&gt;</v>
      </c>
    </row>
    <row r="8466" spans="1:1" x14ac:dyDescent="0.2">
      <c r="A8466" s="1135" t="str">
        <f>CONCATENATE(Programme!C8467,Programme!D8467,Programme!E8467,Programme!F8467,Programme!G8467,Programme!H8467,Programme!I8467)</f>
        <v>&lt;codeEdi&gt;938&lt;/codeEdi&gt;</v>
      </c>
    </row>
    <row r="8467" spans="1:1" x14ac:dyDescent="0.2">
      <c r="A8467" s="1135" t="str">
        <f>CONCATENATE(Programme!C8468,Programme!D8468,Programme!E8468,Programme!F8468,Programme!G8468,Programme!H8468,Programme!I8468)</f>
        <v>&lt;/cellule&gt;</v>
      </c>
    </row>
    <row r="8468" spans="1:1" x14ac:dyDescent="0.2">
      <c r="A8468" s="1135" t="str">
        <f>CONCATENATE(Programme!C8469,Programme!D8469,Programme!E8469,Programme!F8469,Programme!G8469,Programme!H8469,Programme!I8469)</f>
        <v>&lt;valeur&gt;&lt;/valeur&gt;</v>
      </c>
    </row>
    <row r="8469" spans="1:1" x14ac:dyDescent="0.2">
      <c r="A8469" s="1135" t="str">
        <f>CONCATENATE(Programme!C8470,Programme!D8470,Programme!E8470,Programme!F8470,Programme!G8470,Programme!H8470,Programme!I8470)</f>
        <v>&lt;/ValeurCellule&gt;</v>
      </c>
    </row>
    <row r="8470" spans="1:1" x14ac:dyDescent="0.2">
      <c r="A8470" s="1135" t="str">
        <f>CONCATENATE(Programme!C8471,Programme!D8471,Programme!E8471,Programme!F8471,Programme!G8471,Programme!H8471,Programme!I8471)</f>
        <v>&lt;ValeurCellule&gt;</v>
      </c>
    </row>
    <row r="8471" spans="1:1" x14ac:dyDescent="0.2">
      <c r="A8471" s="1135" t="str">
        <f>CONCATENATE(Programme!C8472,Programme!D8472,Programme!E8472,Programme!F8472,Programme!G8472,Programme!H8472,Programme!I8472)</f>
        <v>&lt;cellule&gt;</v>
      </c>
    </row>
    <row r="8472" spans="1:1" x14ac:dyDescent="0.2">
      <c r="A8472" s="1135" t="str">
        <f>CONCATENATE(Programme!C8473,Programme!D8473,Programme!E8473,Programme!F8473,Programme!G8473,Programme!H8473,Programme!I8473)</f>
        <v>&lt;codeEdi&gt;939&lt;/codeEdi&gt;</v>
      </c>
    </row>
    <row r="8473" spans="1:1" x14ac:dyDescent="0.2">
      <c r="A8473" s="1135" t="str">
        <f>CONCATENATE(Programme!C8474,Programme!D8474,Programme!E8474,Programme!F8474,Programme!G8474,Programme!H8474,Programme!I8474)</f>
        <v>&lt;/cellule&gt;</v>
      </c>
    </row>
    <row r="8474" spans="1:1" x14ac:dyDescent="0.2">
      <c r="A8474" s="1135" t="str">
        <f>CONCATENATE(Programme!C8475,Programme!D8475,Programme!E8475,Programme!F8475,Programme!G8475,Programme!H8475,Programme!I8475)</f>
        <v>&lt;valeur&gt;&lt;/valeur&gt;</v>
      </c>
    </row>
    <row r="8475" spans="1:1" x14ac:dyDescent="0.2">
      <c r="A8475" s="1135" t="str">
        <f>CONCATENATE(Programme!C8476,Programme!D8476,Programme!E8476,Programme!F8476,Programme!G8476,Programme!H8476,Programme!I8476)</f>
        <v>&lt;/ValeurCellule&gt;</v>
      </c>
    </row>
    <row r="8476" spans="1:1" x14ac:dyDescent="0.2">
      <c r="A8476" s="1135" t="str">
        <f>CONCATENATE(Programme!C8477,Programme!D8477,Programme!E8477,Programme!F8477,Programme!G8477,Programme!H8477,Programme!I8477)</f>
        <v>&lt;ValeurCellule&gt;</v>
      </c>
    </row>
    <row r="8477" spans="1:1" x14ac:dyDescent="0.2">
      <c r="A8477" s="1135" t="str">
        <f>CONCATENATE(Programme!C8478,Programme!D8478,Programme!E8478,Programme!F8478,Programme!G8478,Programme!H8478,Programme!I8478)</f>
        <v>&lt;cellule&gt;</v>
      </c>
    </row>
    <row r="8478" spans="1:1" x14ac:dyDescent="0.2">
      <c r="A8478" s="1135" t="str">
        <f>CONCATENATE(Programme!C8479,Programme!D8479,Programme!E8479,Programme!F8479,Programme!G8479,Programme!H8479,Programme!I8479)</f>
        <v>&lt;codeEdi&gt;10022&lt;/codeEdi&gt;</v>
      </c>
    </row>
    <row r="8479" spans="1:1" x14ac:dyDescent="0.2">
      <c r="A8479" s="1135" t="str">
        <f>CONCATENATE(Programme!C8480,Programme!D8480,Programme!E8480,Programme!F8480,Programme!G8480,Programme!H8480,Programme!I8480)</f>
        <v>&lt;/cellule&gt;</v>
      </c>
    </row>
    <row r="8480" spans="1:1" x14ac:dyDescent="0.2">
      <c r="A8480" s="1135" t="str">
        <f>CONCATENATE(Programme!C8481,Programme!D8481,Programme!E8481,Programme!F8481,Programme!G8481,Programme!H8481,Programme!I8481)</f>
        <v>&lt;valeur&gt;&lt;/valeur&gt;</v>
      </c>
    </row>
    <row r="8481" spans="1:1" x14ac:dyDescent="0.2">
      <c r="A8481" s="1135" t="str">
        <f>CONCATENATE(Programme!C8482,Programme!D8482,Programme!E8482,Programme!F8482,Programme!G8482,Programme!H8482,Programme!I8482)</f>
        <v>&lt;/ValeurCellule&gt;</v>
      </c>
    </row>
    <row r="8482" spans="1:1" x14ac:dyDescent="0.2">
      <c r="A8482" s="1135" t="str">
        <f>CONCATENATE(Programme!C8483,Programme!D8483,Programme!E8483,Programme!F8483,Programme!G8483,Programme!H8483,Programme!I8483)</f>
        <v>&lt;ValeurCellule&gt;</v>
      </c>
    </row>
    <row r="8483" spans="1:1" x14ac:dyDescent="0.2">
      <c r="A8483" s="1135" t="str">
        <f>CONCATENATE(Programme!C8484,Programme!D8484,Programme!E8484,Programme!F8484,Programme!G8484,Programme!H8484,Programme!I8484)</f>
        <v>&lt;cellule&gt;</v>
      </c>
    </row>
    <row r="8484" spans="1:1" x14ac:dyDescent="0.2">
      <c r="A8484" s="1135" t="str">
        <f>CONCATENATE(Programme!C8485,Programme!D8485,Programme!E8485,Programme!F8485,Programme!G8485,Programme!H8485,Programme!I8485)</f>
        <v>&lt;codeEdi&gt;10023&lt;/codeEdi&gt;</v>
      </c>
    </row>
    <row r="8485" spans="1:1" x14ac:dyDescent="0.2">
      <c r="A8485" s="1135" t="str">
        <f>CONCATENATE(Programme!C8486,Programme!D8486,Programme!E8486,Programme!F8486,Programme!G8486,Programme!H8486,Programme!I8486)</f>
        <v>&lt;/cellule&gt;</v>
      </c>
    </row>
    <row r="8486" spans="1:1" x14ac:dyDescent="0.2">
      <c r="A8486" s="1135" t="str">
        <f>CONCATENATE(Programme!C8487,Programme!D8487,Programme!E8487,Programme!F8487,Programme!G8487,Programme!H8487,Programme!I8487)</f>
        <v>&lt;valeur&gt;&lt;/valeur&gt;</v>
      </c>
    </row>
    <row r="8487" spans="1:1" x14ac:dyDescent="0.2">
      <c r="A8487" s="1135" t="str">
        <f>CONCATENATE(Programme!C8488,Programme!D8488,Programme!E8488,Programme!F8488,Programme!G8488,Programme!H8488,Programme!I8488)</f>
        <v>&lt;/ValeurCellule&gt;</v>
      </c>
    </row>
    <row r="8488" spans="1:1" x14ac:dyDescent="0.2">
      <c r="A8488" s="1135" t="str">
        <f>CONCATENATE(Programme!C8489,Programme!D8489,Programme!E8489,Programme!F8489,Programme!G8489,Programme!H8489,Programme!I8489)</f>
        <v>&lt;ValeurCellule&gt;</v>
      </c>
    </row>
    <row r="8489" spans="1:1" x14ac:dyDescent="0.2">
      <c r="A8489" s="1135" t="str">
        <f>CONCATENATE(Programme!C8490,Programme!D8490,Programme!E8490,Programme!F8490,Programme!G8490,Programme!H8490,Programme!I8490)</f>
        <v>&lt;cellule&gt;</v>
      </c>
    </row>
    <row r="8490" spans="1:1" x14ac:dyDescent="0.2">
      <c r="A8490" s="1135" t="str">
        <f>CONCATENATE(Programme!C8491,Programme!D8491,Programme!E8491,Programme!F8491,Programme!G8491,Programme!H8491,Programme!I8491)</f>
        <v>&lt;codeEdi&gt;10024&lt;/codeEdi&gt;</v>
      </c>
    </row>
    <row r="8491" spans="1:1" x14ac:dyDescent="0.2">
      <c r="A8491" s="1135" t="str">
        <f>CONCATENATE(Programme!C8492,Programme!D8492,Programme!E8492,Programme!F8492,Programme!G8492,Programme!H8492,Programme!I8492)</f>
        <v>&lt;/cellule&gt;</v>
      </c>
    </row>
    <row r="8492" spans="1:1" x14ac:dyDescent="0.2">
      <c r="A8492" s="1135" t="str">
        <f>CONCATENATE(Programme!C8493,Programme!D8493,Programme!E8493,Programme!F8493,Programme!G8493,Programme!H8493,Programme!I8493)</f>
        <v>&lt;valeur&gt;&lt;/valeur&gt;</v>
      </c>
    </row>
    <row r="8493" spans="1:1" x14ac:dyDescent="0.2">
      <c r="A8493" s="1135" t="str">
        <f>CONCATENATE(Programme!C8494,Programme!D8494,Programme!E8494,Programme!F8494,Programme!G8494,Programme!H8494,Programme!I8494)</f>
        <v>&lt;/ValeurCellule&gt;</v>
      </c>
    </row>
    <row r="8494" spans="1:1" x14ac:dyDescent="0.2">
      <c r="A8494" s="1135" t="str">
        <f>CONCATENATE(Programme!C8495,Programme!D8495,Programme!E8495,Programme!F8495,Programme!G8495,Programme!H8495,Programme!I8495)</f>
        <v>&lt;ValeurCellule&gt;</v>
      </c>
    </row>
    <row r="8495" spans="1:1" x14ac:dyDescent="0.2">
      <c r="A8495" s="1135" t="str">
        <f>CONCATENATE(Programme!C8496,Programme!D8496,Programme!E8496,Programme!F8496,Programme!G8496,Programme!H8496,Programme!I8496)</f>
        <v>&lt;cellule&gt;</v>
      </c>
    </row>
    <row r="8496" spans="1:1" x14ac:dyDescent="0.2">
      <c r="A8496" s="1135" t="str">
        <f>CONCATENATE(Programme!C8497,Programme!D8497,Programme!E8497,Programme!F8497,Programme!G8497,Programme!H8497,Programme!I8497)</f>
        <v>&lt;codeEdi&gt;10025&lt;/codeEdi&gt;</v>
      </c>
    </row>
    <row r="8497" spans="1:1" x14ac:dyDescent="0.2">
      <c r="A8497" s="1135" t="str">
        <f>CONCATENATE(Programme!C8498,Programme!D8498,Programme!E8498,Programme!F8498,Programme!G8498,Programme!H8498,Programme!I8498)</f>
        <v>&lt;/cellule&gt;</v>
      </c>
    </row>
    <row r="8498" spans="1:1" x14ac:dyDescent="0.2">
      <c r="A8498" s="1135" t="str">
        <f>CONCATENATE(Programme!C8499,Programme!D8499,Programme!E8499,Programme!F8499,Programme!G8499,Programme!H8499,Programme!I8499)</f>
        <v>&lt;valeur&gt;&lt;/valeur&gt;</v>
      </c>
    </row>
    <row r="8499" spans="1:1" x14ac:dyDescent="0.2">
      <c r="A8499" s="1135" t="str">
        <f>CONCATENATE(Programme!C8500,Programme!D8500,Programme!E8500,Programme!F8500,Programme!G8500,Programme!H8500,Programme!I8500)</f>
        <v>&lt;/ValeurCellule&gt;</v>
      </c>
    </row>
    <row r="8500" spans="1:1" x14ac:dyDescent="0.2">
      <c r="A8500" s="1135" t="str">
        <f>CONCATENATE(Programme!C8501,Programme!D8501,Programme!E8501,Programme!F8501,Programme!G8501,Programme!H8501,Programme!I8501)</f>
        <v>&lt;ValeurCellule&gt;</v>
      </c>
    </row>
    <row r="8501" spans="1:1" x14ac:dyDescent="0.2">
      <c r="A8501" s="1135" t="str">
        <f>CONCATENATE(Programme!C8502,Programme!D8502,Programme!E8502,Programme!F8502,Programme!G8502,Programme!H8502,Programme!I8502)</f>
        <v>&lt;cellule&gt;</v>
      </c>
    </row>
    <row r="8502" spans="1:1" x14ac:dyDescent="0.2">
      <c r="A8502" s="1135" t="str">
        <f>CONCATENATE(Programme!C8503,Programme!D8503,Programme!E8503,Programme!F8503,Programme!G8503,Programme!H8503,Programme!I8503)</f>
        <v>&lt;codeEdi&gt;10026&lt;/codeEdi&gt;</v>
      </c>
    </row>
    <row r="8503" spans="1:1" x14ac:dyDescent="0.2">
      <c r="A8503" s="1135" t="str">
        <f>CONCATENATE(Programme!C8504,Programme!D8504,Programme!E8504,Programme!F8504,Programme!G8504,Programme!H8504,Programme!I8504)</f>
        <v>&lt;/cellule&gt;</v>
      </c>
    </row>
    <row r="8504" spans="1:1" x14ac:dyDescent="0.2">
      <c r="A8504" s="1135" t="str">
        <f>CONCATENATE(Programme!C8505,Programme!D8505,Programme!E8505,Programme!F8505,Programme!G8505,Programme!H8505,Programme!I8505)</f>
        <v>&lt;valeur&gt;&lt;/valeur&gt;</v>
      </c>
    </row>
    <row r="8505" spans="1:1" x14ac:dyDescent="0.2">
      <c r="A8505" s="1135" t="str">
        <f>CONCATENATE(Programme!C8506,Programme!D8506,Programme!E8506,Programme!F8506,Programme!G8506,Programme!H8506,Programme!I8506)</f>
        <v>&lt;/ValeurCellule&gt;</v>
      </c>
    </row>
    <row r="8506" spans="1:1" x14ac:dyDescent="0.2">
      <c r="A8506" s="1135" t="str">
        <f>CONCATENATE(Programme!C8507,Programme!D8507,Programme!E8507,Programme!F8507,Programme!G8507,Programme!H8507,Programme!I8507)</f>
        <v>&lt;ValeurCellule&gt;</v>
      </c>
    </row>
    <row r="8507" spans="1:1" x14ac:dyDescent="0.2">
      <c r="A8507" s="1135" t="str">
        <f>CONCATENATE(Programme!C8508,Programme!D8508,Programme!E8508,Programme!F8508,Programme!G8508,Programme!H8508,Programme!I8508)</f>
        <v>&lt;cellule&gt;</v>
      </c>
    </row>
    <row r="8508" spans="1:1" x14ac:dyDescent="0.2">
      <c r="A8508" s="1135" t="str">
        <f>CONCATENATE(Programme!C8509,Programme!D8509,Programme!E8509,Programme!F8509,Programme!G8509,Programme!H8509,Programme!I8509)</f>
        <v>&lt;codeEdi&gt;10027&lt;/codeEdi&gt;</v>
      </c>
    </row>
    <row r="8509" spans="1:1" x14ac:dyDescent="0.2">
      <c r="A8509" s="1135" t="str">
        <f>CONCATENATE(Programme!C8510,Programme!D8510,Programme!E8510,Programme!F8510,Programme!G8510,Programme!H8510,Programme!I8510)</f>
        <v>&lt;/cellule&gt;</v>
      </c>
    </row>
    <row r="8510" spans="1:1" x14ac:dyDescent="0.2">
      <c r="A8510" s="1135" t="str">
        <f>CONCATENATE(Programme!C8511,Programme!D8511,Programme!E8511,Programme!F8511,Programme!G8511,Programme!H8511,Programme!I8511)</f>
        <v>&lt;valeur&gt;&lt;/valeur&gt;</v>
      </c>
    </row>
    <row r="8511" spans="1:1" x14ac:dyDescent="0.2">
      <c r="A8511" s="1135" t="str">
        <f>CONCATENATE(Programme!C8512,Programme!D8512,Programme!E8512,Programme!F8512,Programme!G8512,Programme!H8512,Programme!I8512)</f>
        <v>&lt;/ValeurCellule&gt;</v>
      </c>
    </row>
    <row r="8512" spans="1:1" x14ac:dyDescent="0.2">
      <c r="A8512" s="1135" t="str">
        <f>CONCATENATE(Programme!C8513,Programme!D8513,Programme!E8513,Programme!F8513,Programme!G8513,Programme!H8513,Programme!I8513)</f>
        <v>&lt;ValeurCellule&gt;</v>
      </c>
    </row>
    <row r="8513" spans="1:1" x14ac:dyDescent="0.2">
      <c r="A8513" s="1135" t="str">
        <f>CONCATENATE(Programme!C8514,Programme!D8514,Programme!E8514,Programme!F8514,Programme!G8514,Programme!H8514,Programme!I8514)</f>
        <v>&lt;cellule&gt;</v>
      </c>
    </row>
    <row r="8514" spans="1:1" x14ac:dyDescent="0.2">
      <c r="A8514" s="1135" t="str">
        <f>CONCATENATE(Programme!C8515,Programme!D8515,Programme!E8515,Programme!F8515,Programme!G8515,Programme!H8515,Programme!I8515)</f>
        <v>&lt;codeEdi&gt;949&lt;/codeEdi&gt;</v>
      </c>
    </row>
    <row r="8515" spans="1:1" x14ac:dyDescent="0.2">
      <c r="A8515" s="1135" t="str">
        <f>CONCATENATE(Programme!C8516,Programme!D8516,Programme!E8516,Programme!F8516,Programme!G8516,Programme!H8516,Programme!I8516)</f>
        <v>&lt;/cellule&gt;</v>
      </c>
    </row>
    <row r="8516" spans="1:1" x14ac:dyDescent="0.2">
      <c r="A8516" s="1135" t="str">
        <f>CONCATENATE(Programme!C8517,Programme!D8517,Programme!E8517,Programme!F8517,Programme!G8517,Programme!H8517,Programme!I8517)</f>
        <v>&lt;valeur&gt;0&lt;/valeur&gt;</v>
      </c>
    </row>
    <row r="8517" spans="1:1" x14ac:dyDescent="0.2">
      <c r="A8517" s="1135" t="str">
        <f>CONCATENATE(Programme!C8518,Programme!D8518,Programme!E8518,Programme!F8518,Programme!G8518,Programme!H8518,Programme!I8518)</f>
        <v>&lt;/ValeurCellule&gt;</v>
      </c>
    </row>
    <row r="8518" spans="1:1" x14ac:dyDescent="0.2">
      <c r="A8518" s="1135" t="str">
        <f>CONCATENATE(Programme!C8519,Programme!D8519,Programme!E8519,Programme!F8519,Programme!G8519,Programme!H8519,Programme!I8519)</f>
        <v>&lt;ValeurCellule&gt;</v>
      </c>
    </row>
    <row r="8519" spans="1:1" x14ac:dyDescent="0.2">
      <c r="A8519" s="1135" t="str">
        <f>CONCATENATE(Programme!C8520,Programme!D8520,Programme!E8520,Programme!F8520,Programme!G8520,Programme!H8520,Programme!I8520)</f>
        <v>&lt;cellule&gt;</v>
      </c>
    </row>
    <row r="8520" spans="1:1" x14ac:dyDescent="0.2">
      <c r="A8520" s="1135" t="str">
        <f>CONCATENATE(Programme!C8521,Programme!D8521,Programme!E8521,Programme!F8521,Programme!G8521,Programme!H8521,Programme!I8521)</f>
        <v>&lt;codeEdi&gt;950&lt;/codeEdi&gt;</v>
      </c>
    </row>
    <row r="8521" spans="1:1" x14ac:dyDescent="0.2">
      <c r="A8521" s="1135" t="str">
        <f>CONCATENATE(Programme!C8522,Programme!D8522,Programme!E8522,Programme!F8522,Programme!G8522,Programme!H8522,Programme!I8522)</f>
        <v>&lt;/cellule&gt;</v>
      </c>
    </row>
    <row r="8522" spans="1:1" x14ac:dyDescent="0.2">
      <c r="A8522" s="1135" t="str">
        <f>CONCATENATE(Programme!C8523,Programme!D8523,Programme!E8523,Programme!F8523,Programme!G8523,Programme!H8523,Programme!I8523)</f>
        <v>&lt;valeur&gt;0&lt;/valeur&gt;</v>
      </c>
    </row>
    <row r="8523" spans="1:1" x14ac:dyDescent="0.2">
      <c r="A8523" s="1135" t="str">
        <f>CONCATENATE(Programme!C8524,Programme!D8524,Programme!E8524,Programme!F8524,Programme!G8524,Programme!H8524,Programme!I8524)</f>
        <v>&lt;/ValeurCellule&gt;</v>
      </c>
    </row>
    <row r="8524" spans="1:1" x14ac:dyDescent="0.2">
      <c r="A8524" s="1135" t="str">
        <f>CONCATENATE(Programme!C8525,Programme!D8525,Programme!E8525,Programme!F8525,Programme!G8525,Programme!H8525,Programme!I8525)</f>
        <v>&lt;ValeurCellule&gt;</v>
      </c>
    </row>
    <row r="8525" spans="1:1" x14ac:dyDescent="0.2">
      <c r="A8525" s="1135" t="str">
        <f>CONCATENATE(Programme!C8526,Programme!D8526,Programme!E8526,Programme!F8526,Programme!G8526,Programme!H8526,Programme!I8526)</f>
        <v>&lt;cellule&gt;</v>
      </c>
    </row>
    <row r="8526" spans="1:1" x14ac:dyDescent="0.2">
      <c r="A8526" s="1135" t="str">
        <f>CONCATENATE(Programme!C8527,Programme!D8527,Programme!E8527,Programme!F8527,Programme!G8527,Programme!H8527,Programme!I8527)</f>
        <v>&lt;codeEdi&gt;951&lt;/codeEdi&gt;</v>
      </c>
    </row>
    <row r="8527" spans="1:1" x14ac:dyDescent="0.2">
      <c r="A8527" s="1135" t="str">
        <f>CONCATENATE(Programme!C8528,Programme!D8528,Programme!E8528,Programme!F8528,Programme!G8528,Programme!H8528,Programme!I8528)</f>
        <v>&lt;/cellule&gt;</v>
      </c>
    </row>
    <row r="8528" spans="1:1" x14ac:dyDescent="0.2">
      <c r="A8528" s="1135" t="str">
        <f>CONCATENATE(Programme!C8529,Programme!D8529,Programme!E8529,Programme!F8529,Programme!G8529,Programme!H8529,Programme!I8529)</f>
        <v>&lt;valeur&gt;0&lt;/valeur&gt;</v>
      </c>
    </row>
    <row r="8529" spans="1:1" x14ac:dyDescent="0.2">
      <c r="A8529" s="1135" t="str">
        <f>CONCATENATE(Programme!C8530,Programme!D8530,Programme!E8530,Programme!F8530,Programme!G8530,Programme!H8530,Programme!I8530)</f>
        <v>&lt;/ValeurCellule&gt;</v>
      </c>
    </row>
    <row r="8530" spans="1:1" x14ac:dyDescent="0.2">
      <c r="A8530" s="1135" t="str">
        <f>CONCATENATE(Programme!C8531,Programme!D8531,Programme!E8531,Programme!F8531,Programme!G8531,Programme!H8531,Programme!I8531)</f>
        <v>&lt;/groupeValeurs&gt;</v>
      </c>
    </row>
    <row r="8531" spans="1:1" x14ac:dyDescent="0.2">
      <c r="A8531" s="1135" t="str">
        <f>CONCATENATE(Programme!C8532,Programme!D8532,Programme!E8532,Programme!F8532,Programme!G8532,Programme!H8532,Programme!I8532)</f>
        <v>&lt;extraFieldvaleurs&gt;</v>
      </c>
    </row>
    <row r="8532" spans="1:1" x14ac:dyDescent="0.2">
      <c r="A8532" s="1135" t="str">
        <f>CONCATENATE(Programme!C8533,Programme!D8533,Programme!E8533,Programme!F8533,Programme!G8533,Programme!H8533,Programme!I8533)</f>
        <v>&lt;/extraFieldvaleurs&gt;</v>
      </c>
    </row>
    <row r="8533" spans="1:1" x14ac:dyDescent="0.2">
      <c r="A8533" s="1135" t="str">
        <f>CONCATENATE(Programme!C8534,Programme!D8534,Programme!E8534,Programme!F8534,Programme!G8534,Programme!H8534,Programme!I8534)</f>
        <v>&lt;/ValeursTableau&gt;</v>
      </c>
    </row>
    <row r="8534" spans="1:1" x14ac:dyDescent="0.2">
      <c r="A8534" s="1135" t="str">
        <f>CONCATENATE(Programme!C8535,Programme!D8535,Programme!E8535,Programme!F8535,Programme!G8535,Programme!H8535,Programme!I8535)</f>
        <v>&lt;ValeursTableau&gt;</v>
      </c>
    </row>
    <row r="8535" spans="1:1" x14ac:dyDescent="0.2">
      <c r="A8535" s="1135" t="str">
        <f>CONCATENATE(Programme!C8536,Programme!D8536,Programme!E8536,Programme!F8536,Programme!G8536,Programme!H8536,Programme!I8536)</f>
        <v>&lt;tableau&gt;&lt;id&gt;12&lt;/id&gt;&lt;/tableau&gt;</v>
      </c>
    </row>
    <row r="8536" spans="1:1" x14ac:dyDescent="0.2">
      <c r="A8536" s="1135" t="str">
        <f>CONCATENATE(Programme!C8537,Programme!D8537,Programme!E8537,Programme!F8537,Programme!G8537,Programme!H8537,Programme!I8537)</f>
        <v>&lt;groupeValeurs&gt;</v>
      </c>
    </row>
    <row r="8537" spans="1:1" x14ac:dyDescent="0.2">
      <c r="A8537" s="1135" t="str">
        <f>CONCATENATE(Programme!C8538,Programme!D8538,Programme!E8538,Programme!F8538,Programme!G8538,Programme!H8538,Programme!I8538)</f>
        <v>&lt;ValeurCellule&gt;</v>
      </c>
    </row>
    <row r="8538" spans="1:1" x14ac:dyDescent="0.2">
      <c r="A8538" s="1135" t="str">
        <f>CONCATENATE(Programme!C8539,Programme!D8539,Programme!E8539,Programme!F8539,Programme!G8539,Programme!H8539,Programme!I8539)</f>
        <v>&lt;cellule&gt;&lt;codeEdi&gt;10061&lt;/codeEdi&gt;&lt;/cellule&gt;</v>
      </c>
    </row>
    <row r="8539" spans="1:1" x14ac:dyDescent="0.2">
      <c r="A8539" s="1135" t="str">
        <f>CONCATENATE(Programme!C8540,Programme!D8540,Programme!E8540,Programme!F8540,Programme!G8540,Programme!H8540,Programme!I8540)</f>
        <v>&lt;valeur&gt;MAT DE TRANSPORST&lt;/valeur&gt;</v>
      </c>
    </row>
    <row r="8540" spans="1:1" x14ac:dyDescent="0.2">
      <c r="A8540" s="1135" t="str">
        <f>CONCATENATE(Programme!C8541,Programme!D8541,Programme!E8541,Programme!F8541,Programme!G8541,Programme!H8541,Programme!I8541)</f>
        <v>&lt;numeroLigne&gt;1&lt;/numeroLigne&gt;</v>
      </c>
    </row>
    <row r="8541" spans="1:1" x14ac:dyDescent="0.2">
      <c r="A8541" s="1135" t="str">
        <f>CONCATENATE(Programme!C8542,Programme!D8542,Programme!E8542,Programme!F8542,Programme!G8542,Programme!H8542,Programme!I8542)</f>
        <v>&lt;/ValeurCellule&gt;</v>
      </c>
    </row>
    <row r="8542" spans="1:1" x14ac:dyDescent="0.2">
      <c r="A8542" s="1135" t="str">
        <f>CONCATENATE(Programme!C8543,Programme!D8543,Programme!E8543,Programme!F8543,Programme!G8543,Programme!H8543,Programme!I8543)</f>
        <v>&lt;ValeurCellule&gt;</v>
      </c>
    </row>
    <row r="8543" spans="1:1" x14ac:dyDescent="0.2">
      <c r="A8543" s="1135" t="str">
        <f>CONCATENATE(Programme!C8544,Programme!D8544,Programme!E8544,Programme!F8544,Programme!G8544,Programme!H8544,Programme!I8544)</f>
        <v>&lt;cellule&gt;&lt;codeEdi&gt;1078&lt;/codeEdi&gt;&lt;/cellule&gt;</v>
      </c>
    </row>
    <row r="8544" spans="1:1" x14ac:dyDescent="0.2">
      <c r="A8544" s="1135" t="str">
        <f>CONCATENATE(Programme!C8545,Programme!D8545,Programme!E8545,Programme!F8545,Programme!G8545,Programme!H8545,Programme!I8545)</f>
        <v>&lt;valeur&gt;42922&lt;/valeur&gt;</v>
      </c>
    </row>
    <row r="8545" spans="1:1" x14ac:dyDescent="0.2">
      <c r="A8545" s="1135" t="str">
        <f>CONCATENATE(Programme!C8546,Programme!D8546,Programme!E8546,Programme!F8546,Programme!G8546,Programme!H8546,Programme!I8546)</f>
        <v>&lt;numeroLigne&gt;1&lt;/numeroLigne&gt;</v>
      </c>
    </row>
    <row r="8546" spans="1:1" x14ac:dyDescent="0.2">
      <c r="A8546" s="1135" t="str">
        <f>CONCATENATE(Programme!C8547,Programme!D8547,Programme!E8547,Programme!F8547,Programme!G8547,Programme!H8547,Programme!I8547)</f>
        <v>&lt;/ValeurCellule&gt;</v>
      </c>
    </row>
    <row r="8547" spans="1:1" x14ac:dyDescent="0.2">
      <c r="A8547" s="1135" t="str">
        <f>CONCATENATE(Programme!C8548,Programme!D8548,Programme!E8548,Programme!F8548,Programme!G8548,Programme!H8548,Programme!I8548)</f>
        <v>&lt;ValeurCellule&gt;</v>
      </c>
    </row>
    <row r="8548" spans="1:1" x14ac:dyDescent="0.2">
      <c r="A8548" s="1135" t="str">
        <f>CONCATENATE(Programme!C8549,Programme!D8549,Programme!E8549,Programme!F8549,Programme!G8549,Programme!H8549,Programme!I8549)</f>
        <v>&lt;cellule&gt;&lt;codeEdi&gt;1079&lt;/codeEdi&gt;&lt;/cellule&gt;</v>
      </c>
    </row>
    <row r="8549" spans="1:1" x14ac:dyDescent="0.2">
      <c r="A8549" s="1135" t="str">
        <f>CONCATENATE(Programme!C8550,Programme!D8550,Programme!E8550,Programme!F8550,Programme!G8550,Programme!H8550,Programme!I8550)</f>
        <v>&lt;valeur&gt;97800&lt;/valeur&gt;</v>
      </c>
    </row>
    <row r="8550" spans="1:1" x14ac:dyDescent="0.2">
      <c r="A8550" s="1135" t="str">
        <f>CONCATENATE(Programme!C8551,Programme!D8551,Programme!E8551,Programme!F8551,Programme!G8551,Programme!H8551,Programme!I8551)</f>
        <v>&lt;numeroLigne&gt;1&lt;/numeroLigne&gt;</v>
      </c>
    </row>
    <row r="8551" spans="1:1" x14ac:dyDescent="0.2">
      <c r="A8551" s="1135" t="str">
        <f>CONCATENATE(Programme!C8552,Programme!D8552,Programme!E8552,Programme!F8552,Programme!G8552,Programme!H8552,Programme!I8552)</f>
        <v>&lt;/ValeurCellule&gt;</v>
      </c>
    </row>
    <row r="8552" spans="1:1" x14ac:dyDescent="0.2">
      <c r="A8552" s="1135" t="str">
        <f>CONCATENATE(Programme!C8553,Programme!D8553,Programme!E8553,Programme!F8553,Programme!G8553,Programme!H8553,Programme!I8553)</f>
        <v>&lt;ValeurCellule&gt;</v>
      </c>
    </row>
    <row r="8553" spans="1:1" x14ac:dyDescent="0.2">
      <c r="A8553" s="1135" t="str">
        <f>CONCATENATE(Programme!C8554,Programme!D8554,Programme!E8554,Programme!F8554,Programme!G8554,Programme!H8554,Programme!I8554)</f>
        <v>&lt;cellule&gt;&lt;codeEdi&gt;1080&lt;/codeEdi&gt;&lt;/cellule&gt;</v>
      </c>
    </row>
    <row r="8554" spans="1:1" x14ac:dyDescent="0.2">
      <c r="A8554" s="1135" t="str">
        <f>CONCATENATE(Programme!C8555,Programme!D8555,Programme!E8555,Programme!F8555,Programme!G8555,Programme!H8555,Programme!I8555)</f>
        <v>&lt;valeur&gt;&lt;/valeur&gt;</v>
      </c>
    </row>
    <row r="8555" spans="1:1" x14ac:dyDescent="0.2">
      <c r="A8555" s="1135" t="str">
        <f>CONCATENATE(Programme!C8556,Programme!D8556,Programme!E8556,Programme!F8556,Programme!G8556,Programme!H8556,Programme!I8556)</f>
        <v>&lt;numeroLigne&gt;1&lt;/numeroLigne&gt;</v>
      </c>
    </row>
    <row r="8556" spans="1:1" x14ac:dyDescent="0.2">
      <c r="A8556" s="1135" t="str">
        <f>CONCATENATE(Programme!C8557,Programme!D8557,Programme!E8557,Programme!F8557,Programme!G8557,Programme!H8557,Programme!I8557)</f>
        <v>&lt;/ValeurCellule&gt;</v>
      </c>
    </row>
    <row r="8557" spans="1:1" x14ac:dyDescent="0.2">
      <c r="A8557" s="1135" t="str">
        <f>CONCATENATE(Programme!C8558,Programme!D8558,Programme!E8558,Programme!F8558,Programme!G8558,Programme!H8558,Programme!I8558)</f>
        <v>&lt;ValeurCellule&gt;</v>
      </c>
    </row>
    <row r="8558" spans="1:1" x14ac:dyDescent="0.2">
      <c r="A8558" s="1135" t="str">
        <f>CONCATENATE(Programme!C8559,Programme!D8559,Programme!E8559,Programme!F8559,Programme!G8559,Programme!H8559,Programme!I8559)</f>
        <v>&lt;cellule&gt;&lt;codeEdi&gt;1081&lt;/codeEdi&gt;&lt;/cellule&gt;</v>
      </c>
    </row>
    <row r="8559" spans="1:1" x14ac:dyDescent="0.2">
      <c r="A8559" s="1135" t="str">
        <f>CONCATENATE(Programme!C8560,Programme!D8560,Programme!E8560,Programme!F8560,Programme!G8560,Programme!H8560,Programme!I8560)</f>
        <v>&lt;valeur&gt;11410&lt;/valeur&gt;</v>
      </c>
    </row>
    <row r="8560" spans="1:1" x14ac:dyDescent="0.2">
      <c r="A8560" s="1135" t="str">
        <f>CONCATENATE(Programme!C8561,Programme!D8561,Programme!E8561,Programme!F8561,Programme!G8561,Programme!H8561,Programme!I8561)</f>
        <v>&lt;numeroLigne&gt;1&lt;/numeroLigne&gt;</v>
      </c>
    </row>
    <row r="8561" spans="1:1" x14ac:dyDescent="0.2">
      <c r="A8561" s="1135" t="str">
        <f>CONCATENATE(Programme!C8562,Programme!D8562,Programme!E8562,Programme!F8562,Programme!G8562,Programme!H8562,Programme!I8562)</f>
        <v>&lt;/ValeurCellule&gt;</v>
      </c>
    </row>
    <row r="8562" spans="1:1" x14ac:dyDescent="0.2">
      <c r="A8562" s="1135" t="str">
        <f>CONCATENATE(Programme!C8563,Programme!D8563,Programme!E8563,Programme!F8563,Programme!G8563,Programme!H8563,Programme!I8563)</f>
        <v>&lt;ValeurCellule&gt;</v>
      </c>
    </row>
    <row r="8563" spans="1:1" x14ac:dyDescent="0.2">
      <c r="A8563" s="1135" t="str">
        <f>CONCATENATE(Programme!C8564,Programme!D8564,Programme!E8564,Programme!F8564,Programme!G8564,Programme!H8564,Programme!I8564)</f>
        <v>&lt;cellule&gt;&lt;codeEdi&gt;1082&lt;/codeEdi&gt;&lt;/cellule&gt;</v>
      </c>
    </row>
    <row r="8564" spans="1:1" x14ac:dyDescent="0.2">
      <c r="A8564" s="1135" t="str">
        <f>CONCATENATE(Programme!C8565,Programme!D8565,Programme!E8565,Programme!F8565,Programme!G8565,Programme!H8565,Programme!I8565)</f>
        <v>&lt;valeur&gt;0,2&lt;/valeur&gt;</v>
      </c>
    </row>
    <row r="8565" spans="1:1" x14ac:dyDescent="0.2">
      <c r="A8565" s="1135" t="str">
        <f>CONCATENATE(Programme!C8566,Programme!D8566,Programme!E8566,Programme!F8566,Programme!G8566,Programme!H8566,Programme!I8566)</f>
        <v>&lt;numeroLigne&gt;1&lt;/numeroLigne&gt;</v>
      </c>
    </row>
    <row r="8566" spans="1:1" x14ac:dyDescent="0.2">
      <c r="A8566" s="1135" t="str">
        <f>CONCATENATE(Programme!C8567,Programme!D8567,Programme!E8567,Programme!F8567,Programme!G8567,Programme!H8567,Programme!I8567)</f>
        <v>&lt;/ValeurCellule&gt;</v>
      </c>
    </row>
    <row r="8567" spans="1:1" x14ac:dyDescent="0.2">
      <c r="A8567" s="1135" t="str">
        <f>CONCATENATE(Programme!C8568,Programme!D8568,Programme!E8568,Programme!F8568,Programme!G8568,Programme!H8568,Programme!I8568)</f>
        <v>&lt;ValeurCellule&gt;</v>
      </c>
    </row>
    <row r="8568" spans="1:1" x14ac:dyDescent="0.2">
      <c r="A8568" s="1135" t="str">
        <f>CONCATENATE(Programme!C8569,Programme!D8569,Programme!E8569,Programme!F8569,Programme!G8569,Programme!H8569,Programme!I8569)</f>
        <v>&lt;cellule&gt;&lt;codeEdi&gt;1083&lt;/codeEdi&gt;&lt;/cellule&gt;</v>
      </c>
    </row>
    <row r="8569" spans="1:1" x14ac:dyDescent="0.2">
      <c r="A8569" s="1135" t="str">
        <f>CONCATENATE(Programme!C8570,Programme!D8570,Programme!E8570,Programme!F8570,Programme!G8570,Programme!H8570,Programme!I8570)</f>
        <v>&lt;valeur&gt;5&lt;/valeur&gt;</v>
      </c>
    </row>
    <row r="8570" spans="1:1" x14ac:dyDescent="0.2">
      <c r="A8570" s="1135" t="str">
        <f>CONCATENATE(Programme!C8571,Programme!D8571,Programme!E8571,Programme!F8571,Programme!G8571,Programme!H8571,Programme!I8571)</f>
        <v>&lt;numeroLigne&gt;1&lt;/numeroLigne&gt;</v>
      </c>
    </row>
    <row r="8571" spans="1:1" x14ac:dyDescent="0.2">
      <c r="A8571" s="1135" t="str">
        <f>CONCATENATE(Programme!C8572,Programme!D8572,Programme!E8572,Programme!F8572,Programme!G8572,Programme!H8572,Programme!I8572)</f>
        <v>&lt;/ValeurCellule&gt;</v>
      </c>
    </row>
    <row r="8572" spans="1:1" x14ac:dyDescent="0.2">
      <c r="A8572" s="1135" t="str">
        <f>CONCATENATE(Programme!C8573,Programme!D8573,Programme!E8573,Programme!F8573,Programme!G8573,Programme!H8573,Programme!I8573)</f>
        <v>&lt;ValeurCellule&gt;</v>
      </c>
    </row>
    <row r="8573" spans="1:1" x14ac:dyDescent="0.2">
      <c r="A8573" s="1135" t="str">
        <f>CONCATENATE(Programme!C8574,Programme!D8574,Programme!E8574,Programme!F8574,Programme!G8574,Programme!H8574,Programme!I8574)</f>
        <v>&lt;cellule&gt;&lt;codeEdi&gt;1084&lt;/codeEdi&gt;&lt;/cellule&gt;</v>
      </c>
    </row>
    <row r="8574" spans="1:1" x14ac:dyDescent="0.2">
      <c r="A8574" s="1135" t="str">
        <f>CONCATENATE(Programme!C8575,Programme!D8575,Programme!E8575,Programme!F8575,Programme!G8575,Programme!H8575,Programme!I8575)</f>
        <v>&lt;valeur&gt;19560&lt;/valeur&gt;</v>
      </c>
    </row>
    <row r="8575" spans="1:1" x14ac:dyDescent="0.2">
      <c r="A8575" s="1135" t="str">
        <f>CONCATENATE(Programme!C8576,Programme!D8576,Programme!E8576,Programme!F8576,Programme!G8576,Programme!H8576,Programme!I8576)</f>
        <v>&lt;numeroLigne&gt;1&lt;/numeroLigne&gt;</v>
      </c>
    </row>
    <row r="8576" spans="1:1" x14ac:dyDescent="0.2">
      <c r="A8576" s="1135" t="str">
        <f>CONCATENATE(Programme!C8577,Programme!D8577,Programme!E8577,Programme!F8577,Programme!G8577,Programme!H8577,Programme!I8577)</f>
        <v>&lt;/ValeurCellule&gt;</v>
      </c>
    </row>
    <row r="8577" spans="1:1" x14ac:dyDescent="0.2">
      <c r="A8577" s="1135" t="str">
        <f>CONCATENATE(Programme!C8578,Programme!D8578,Programme!E8578,Programme!F8578,Programme!G8578,Programme!H8578,Programme!I8578)</f>
        <v>&lt;ValeurCellule&gt;</v>
      </c>
    </row>
    <row r="8578" spans="1:1" x14ac:dyDescent="0.2">
      <c r="A8578" s="1135" t="str">
        <f>CONCATENATE(Programme!C8579,Programme!D8579,Programme!E8579,Programme!F8579,Programme!G8579,Programme!H8579,Programme!I8579)</f>
        <v>&lt;cellule&gt;&lt;codeEdi&gt;1085&lt;/codeEdi&gt;&lt;/cellule&gt;</v>
      </c>
    </row>
    <row r="8579" spans="1:1" x14ac:dyDescent="0.2">
      <c r="A8579" s="1135" t="str">
        <f>CONCATENATE(Programme!C8580,Programme!D8580,Programme!E8580,Programme!F8580,Programme!G8580,Programme!H8580,Programme!I8580)</f>
        <v>&lt;valeur&gt;19560&lt;/valeur&gt;</v>
      </c>
    </row>
    <row r="8580" spans="1:1" x14ac:dyDescent="0.2">
      <c r="A8580" s="1135" t="str">
        <f>CONCATENATE(Programme!C8581,Programme!D8581,Programme!E8581,Programme!F8581,Programme!G8581,Programme!H8581,Programme!I8581)</f>
        <v>&lt;numeroLigne&gt;1&lt;/numeroLigne&gt;</v>
      </c>
    </row>
    <row r="8581" spans="1:1" x14ac:dyDescent="0.2">
      <c r="A8581" s="1135" t="str">
        <f>CONCATENATE(Programme!C8582,Programme!D8582,Programme!E8582,Programme!F8582,Programme!G8582,Programme!H8582,Programme!I8582)</f>
        <v>&lt;/ValeurCellule&gt;</v>
      </c>
    </row>
    <row r="8582" spans="1:1" x14ac:dyDescent="0.2">
      <c r="A8582" s="1135" t="str">
        <f>CONCATENATE(Programme!C8583,Programme!D8583,Programme!E8583,Programme!F8583,Programme!G8583,Programme!H8583,Programme!I8583)</f>
        <v>&lt;ValeurCellule&gt;</v>
      </c>
    </row>
    <row r="8583" spans="1:1" x14ac:dyDescent="0.2">
      <c r="A8583" s="1135" t="str">
        <f>CONCATENATE(Programme!C8584,Programme!D8584,Programme!E8584,Programme!F8584,Programme!G8584,Programme!H8584,Programme!I8584)</f>
        <v>&lt;cellule&gt;&lt;codeEdi&gt;1086&lt;/codeEdi&gt;&lt;/cellule&gt;</v>
      </c>
    </row>
    <row r="8584" spans="1:1" x14ac:dyDescent="0.2">
      <c r="A8584" s="1135" t="str">
        <f>CONCATENATE(Programme!C8585,Programme!D8585,Programme!E8585,Programme!F8585,Programme!G8585,Programme!H8585,Programme!I8585)</f>
        <v>&lt;valeur&gt;&lt;/valeur&gt;</v>
      </c>
    </row>
    <row r="8585" spans="1:1" x14ac:dyDescent="0.2">
      <c r="A8585" s="1135" t="str">
        <f>CONCATENATE(Programme!C8586,Programme!D8586,Programme!E8586,Programme!F8586,Programme!G8586,Programme!H8586,Programme!I8586)</f>
        <v>&lt;numeroLigne&gt;1&lt;/numeroLigne&gt;</v>
      </c>
    </row>
    <row r="8586" spans="1:1" x14ac:dyDescent="0.2">
      <c r="A8586" s="1135" t="str">
        <f>CONCATENATE(Programme!C8587,Programme!D8587,Programme!E8587,Programme!F8587,Programme!G8587,Programme!H8587,Programme!I8587)</f>
        <v>&lt;/ValeurCellule&gt;</v>
      </c>
    </row>
    <row r="8587" spans="1:1" x14ac:dyDescent="0.2">
      <c r="A8587" s="1135" t="str">
        <f>CONCATENATE(Programme!C8588,Programme!D8588,Programme!E8588,Programme!F8588,Programme!G8588,Programme!H8588,Programme!I8588)</f>
        <v>&lt;ValeurCellule&gt;</v>
      </c>
    </row>
    <row r="8588" spans="1:1" x14ac:dyDescent="0.2">
      <c r="A8588" s="1135" t="str">
        <f>CONCATENATE(Programme!C8589,Programme!D8589,Programme!E8589,Programme!F8589,Programme!G8589,Programme!H8589,Programme!I8589)</f>
        <v>&lt;cellule&gt;&lt;codeEdi&gt;10061&lt;/codeEdi&gt;&lt;/cellule&gt;</v>
      </c>
    </row>
    <row r="8589" spans="1:1" x14ac:dyDescent="0.2">
      <c r="A8589" s="1135" t="str">
        <f>CONCATENATE(Programme!C8590,Programme!D8590,Programme!E8590,Programme!F8590,Programme!G8590,Programme!H8590,Programme!I8590)</f>
        <v>&lt;valeur&gt;MAT DE TRANSPORST&lt;/valeur&gt;</v>
      </c>
    </row>
    <row r="8590" spans="1:1" x14ac:dyDescent="0.2">
      <c r="A8590" s="1135" t="str">
        <f>CONCATENATE(Programme!C8591,Programme!D8591,Programme!E8591,Programme!F8591,Programme!G8591,Programme!H8591,Programme!I8591)</f>
        <v>&lt;numeroLigne&gt;2&lt;/numeroLigne&gt;</v>
      </c>
    </row>
    <row r="8591" spans="1:1" x14ac:dyDescent="0.2">
      <c r="A8591" s="1135" t="str">
        <f>CONCATENATE(Programme!C8592,Programme!D8592,Programme!E8592,Programme!F8592,Programme!G8592,Programme!H8592,Programme!I8592)</f>
        <v>&lt;/ValeurCellule&gt;</v>
      </c>
    </row>
    <row r="8592" spans="1:1" x14ac:dyDescent="0.2">
      <c r="A8592" s="1135" t="str">
        <f>CONCATENATE(Programme!C8593,Programme!D8593,Programme!E8593,Programme!F8593,Programme!G8593,Programme!H8593,Programme!I8593)</f>
        <v>&lt;ValeurCellule&gt;</v>
      </c>
    </row>
    <row r="8593" spans="1:1" x14ac:dyDescent="0.2">
      <c r="A8593" s="1135" t="str">
        <f>CONCATENATE(Programme!C8594,Programme!D8594,Programme!E8594,Programme!F8594,Programme!G8594,Programme!H8594,Programme!I8594)</f>
        <v>&lt;cellule&gt;&lt;codeEdi&gt;1078&lt;/codeEdi&gt;&lt;/cellule&gt;</v>
      </c>
    </row>
    <row r="8594" spans="1:1" x14ac:dyDescent="0.2">
      <c r="A8594" s="1135" t="str">
        <f>CONCATENATE(Programme!C8595,Programme!D8595,Programme!E8595,Programme!F8595,Programme!G8595,Programme!H8595,Programme!I8595)</f>
        <v>&lt;valeur&gt;42922&lt;/valeur&gt;</v>
      </c>
    </row>
    <row r="8595" spans="1:1" x14ac:dyDescent="0.2">
      <c r="A8595" s="1135" t="str">
        <f>CONCATENATE(Programme!C8596,Programme!D8596,Programme!E8596,Programme!F8596,Programme!G8596,Programme!H8596,Programme!I8596)</f>
        <v>&lt;numeroLigne&gt;2&lt;/numeroLigne&gt;</v>
      </c>
    </row>
    <row r="8596" spans="1:1" x14ac:dyDescent="0.2">
      <c r="A8596" s="1135" t="str">
        <f>CONCATENATE(Programme!C8597,Programme!D8597,Programme!E8597,Programme!F8597,Programme!G8597,Programme!H8597,Programme!I8597)</f>
        <v>&lt;/ValeurCellule&gt;</v>
      </c>
    </row>
    <row r="8597" spans="1:1" x14ac:dyDescent="0.2">
      <c r="A8597" s="1135" t="str">
        <f>CONCATENATE(Programme!C8598,Programme!D8598,Programme!E8598,Programme!F8598,Programme!G8598,Programme!H8598,Programme!I8598)</f>
        <v>&lt;ValeurCellule&gt;</v>
      </c>
    </row>
    <row r="8598" spans="1:1" x14ac:dyDescent="0.2">
      <c r="A8598" s="1135" t="str">
        <f>CONCATENATE(Programme!C8599,Programme!D8599,Programme!E8599,Programme!F8599,Programme!G8599,Programme!H8599,Programme!I8599)</f>
        <v>&lt;cellule&gt;&lt;codeEdi&gt;1079&lt;/codeEdi&gt;&lt;/cellule&gt;</v>
      </c>
    </row>
    <row r="8599" spans="1:1" x14ac:dyDescent="0.2">
      <c r="A8599" s="1135" t="str">
        <f>CONCATENATE(Programme!C8600,Programme!D8600,Programme!E8600,Programme!F8600,Programme!G8600,Programme!H8600,Programme!I8600)</f>
        <v>&lt;valeur&gt;112900&lt;/valeur&gt;</v>
      </c>
    </row>
    <row r="8600" spans="1:1" x14ac:dyDescent="0.2">
      <c r="A8600" s="1135" t="str">
        <f>CONCATENATE(Programme!C8601,Programme!D8601,Programme!E8601,Programme!F8601,Programme!G8601,Programme!H8601,Programme!I8601)</f>
        <v>&lt;numeroLigne&gt;2&lt;/numeroLigne&gt;</v>
      </c>
    </row>
    <row r="8601" spans="1:1" x14ac:dyDescent="0.2">
      <c r="A8601" s="1135" t="str">
        <f>CONCATENATE(Programme!C8602,Programme!D8602,Programme!E8602,Programme!F8602,Programme!G8602,Programme!H8602,Programme!I8602)</f>
        <v>&lt;/ValeurCellule&gt;</v>
      </c>
    </row>
    <row r="8602" spans="1:1" x14ac:dyDescent="0.2">
      <c r="A8602" s="1135" t="str">
        <f>CONCATENATE(Programme!C8603,Programme!D8603,Programme!E8603,Programme!F8603,Programme!G8603,Programme!H8603,Programme!I8603)</f>
        <v>&lt;ValeurCellule&gt;</v>
      </c>
    </row>
    <row r="8603" spans="1:1" x14ac:dyDescent="0.2">
      <c r="A8603" s="1135" t="str">
        <f>CONCATENATE(Programme!C8604,Programme!D8604,Programme!E8604,Programme!F8604,Programme!G8604,Programme!H8604,Programme!I8604)</f>
        <v>&lt;cellule&gt;&lt;codeEdi&gt;1080&lt;/codeEdi&gt;&lt;/cellule&gt;</v>
      </c>
    </row>
    <row r="8604" spans="1:1" x14ac:dyDescent="0.2">
      <c r="A8604" s="1135" t="str">
        <f>CONCATENATE(Programme!C8605,Programme!D8605,Programme!E8605,Programme!F8605,Programme!G8605,Programme!H8605,Programme!I8605)</f>
        <v>&lt;valeur&gt;&lt;/valeur&gt;</v>
      </c>
    </row>
    <row r="8605" spans="1:1" x14ac:dyDescent="0.2">
      <c r="A8605" s="1135" t="str">
        <f>CONCATENATE(Programme!C8606,Programme!D8606,Programme!E8606,Programme!F8606,Programme!G8606,Programme!H8606,Programme!I8606)</f>
        <v>&lt;numeroLigne&gt;2&lt;/numeroLigne&gt;</v>
      </c>
    </row>
    <row r="8606" spans="1:1" x14ac:dyDescent="0.2">
      <c r="A8606" s="1135" t="str">
        <f>CONCATENATE(Programme!C8607,Programme!D8607,Programme!E8607,Programme!F8607,Programme!G8607,Programme!H8607,Programme!I8607)</f>
        <v>&lt;/ValeurCellule&gt;</v>
      </c>
    </row>
    <row r="8607" spans="1:1" x14ac:dyDescent="0.2">
      <c r="A8607" s="1135" t="str">
        <f>CONCATENATE(Programme!C8608,Programme!D8608,Programme!E8608,Programme!F8608,Programme!G8608,Programme!H8608,Programme!I8608)</f>
        <v>&lt;ValeurCellule&gt;</v>
      </c>
    </row>
    <row r="8608" spans="1:1" x14ac:dyDescent="0.2">
      <c r="A8608" s="1135" t="str">
        <f>CONCATENATE(Programme!C8609,Programme!D8609,Programme!E8609,Programme!F8609,Programme!G8609,Programme!H8609,Programme!I8609)</f>
        <v>&lt;cellule&gt;&lt;codeEdi&gt;1081&lt;/codeEdi&gt;&lt;/cellule&gt;</v>
      </c>
    </row>
    <row r="8609" spans="1:1" x14ac:dyDescent="0.2">
      <c r="A8609" s="1135" t="str">
        <f>CONCATENATE(Programme!C8610,Programme!D8610,Programme!E8610,Programme!F8610,Programme!G8610,Programme!H8610,Programme!I8610)</f>
        <v>&lt;valeur&gt;13171,67&lt;/valeur&gt;</v>
      </c>
    </row>
    <row r="8610" spans="1:1" x14ac:dyDescent="0.2">
      <c r="A8610" s="1135" t="str">
        <f>CONCATENATE(Programme!C8611,Programme!D8611,Programme!E8611,Programme!F8611,Programme!G8611,Programme!H8611,Programme!I8611)</f>
        <v>&lt;numeroLigne&gt;2&lt;/numeroLigne&gt;</v>
      </c>
    </row>
    <row r="8611" spans="1:1" x14ac:dyDescent="0.2">
      <c r="A8611" s="1135" t="str">
        <f>CONCATENATE(Programme!C8612,Programme!D8612,Programme!E8612,Programme!F8612,Programme!G8612,Programme!H8612,Programme!I8612)</f>
        <v>&lt;/ValeurCellule&gt;</v>
      </c>
    </row>
    <row r="8612" spans="1:1" x14ac:dyDescent="0.2">
      <c r="A8612" s="1135" t="str">
        <f>CONCATENATE(Programme!C8613,Programme!D8613,Programme!E8613,Programme!F8613,Programme!G8613,Programme!H8613,Programme!I8613)</f>
        <v>&lt;ValeurCellule&gt;</v>
      </c>
    </row>
    <row r="8613" spans="1:1" x14ac:dyDescent="0.2">
      <c r="A8613" s="1135" t="str">
        <f>CONCATENATE(Programme!C8614,Programme!D8614,Programme!E8614,Programme!F8614,Programme!G8614,Programme!H8614,Programme!I8614)</f>
        <v>&lt;cellule&gt;&lt;codeEdi&gt;1082&lt;/codeEdi&gt;&lt;/cellule&gt;</v>
      </c>
    </row>
    <row r="8614" spans="1:1" x14ac:dyDescent="0.2">
      <c r="A8614" s="1135" t="str">
        <f>CONCATENATE(Programme!C8615,Programme!D8615,Programme!E8615,Programme!F8615,Programme!G8615,Programme!H8615,Programme!I8615)</f>
        <v>&lt;valeur&gt;0,2&lt;/valeur&gt;</v>
      </c>
    </row>
    <row r="8615" spans="1:1" x14ac:dyDescent="0.2">
      <c r="A8615" s="1135" t="str">
        <f>CONCATENATE(Programme!C8616,Programme!D8616,Programme!E8616,Programme!F8616,Programme!G8616,Programme!H8616,Programme!I8616)</f>
        <v>&lt;numeroLigne&gt;2&lt;/numeroLigne&gt;</v>
      </c>
    </row>
    <row r="8616" spans="1:1" x14ac:dyDescent="0.2">
      <c r="A8616" s="1135" t="str">
        <f>CONCATENATE(Programme!C8617,Programme!D8617,Programme!E8617,Programme!F8617,Programme!G8617,Programme!H8617,Programme!I8617)</f>
        <v>&lt;/ValeurCellule&gt;</v>
      </c>
    </row>
    <row r="8617" spans="1:1" x14ac:dyDescent="0.2">
      <c r="A8617" s="1135" t="str">
        <f>CONCATENATE(Programme!C8618,Programme!D8618,Programme!E8618,Programme!F8618,Programme!G8618,Programme!H8618,Programme!I8618)</f>
        <v>&lt;ValeurCellule&gt;</v>
      </c>
    </row>
    <row r="8618" spans="1:1" x14ac:dyDescent="0.2">
      <c r="A8618" s="1135" t="str">
        <f>CONCATENATE(Programme!C8619,Programme!D8619,Programme!E8619,Programme!F8619,Programme!G8619,Programme!H8619,Programme!I8619)</f>
        <v>&lt;cellule&gt;&lt;codeEdi&gt;1083&lt;/codeEdi&gt;&lt;/cellule&gt;</v>
      </c>
    </row>
    <row r="8619" spans="1:1" x14ac:dyDescent="0.2">
      <c r="A8619" s="1135" t="str">
        <f>CONCATENATE(Programme!C8620,Programme!D8620,Programme!E8620,Programme!F8620,Programme!G8620,Programme!H8620,Programme!I8620)</f>
        <v>&lt;valeur&gt;5&lt;/valeur&gt;</v>
      </c>
    </row>
    <row r="8620" spans="1:1" x14ac:dyDescent="0.2">
      <c r="A8620" s="1135" t="str">
        <f>CONCATENATE(Programme!C8621,Programme!D8621,Programme!E8621,Programme!F8621,Programme!G8621,Programme!H8621,Programme!I8621)</f>
        <v>&lt;numeroLigne&gt;2&lt;/numeroLigne&gt;</v>
      </c>
    </row>
    <row r="8621" spans="1:1" x14ac:dyDescent="0.2">
      <c r="A8621" s="1135" t="str">
        <f>CONCATENATE(Programme!C8622,Programme!D8622,Programme!E8622,Programme!F8622,Programme!G8622,Programme!H8622,Programme!I8622)</f>
        <v>&lt;/ValeurCellule&gt;</v>
      </c>
    </row>
    <row r="8622" spans="1:1" x14ac:dyDescent="0.2">
      <c r="A8622" s="1135" t="str">
        <f>CONCATENATE(Programme!C8623,Programme!D8623,Programme!E8623,Programme!F8623,Programme!G8623,Programme!H8623,Programme!I8623)</f>
        <v>&lt;ValeurCellule&gt;</v>
      </c>
    </row>
    <row r="8623" spans="1:1" x14ac:dyDescent="0.2">
      <c r="A8623" s="1135" t="str">
        <f>CONCATENATE(Programme!C8624,Programme!D8624,Programme!E8624,Programme!F8624,Programme!G8624,Programme!H8624,Programme!I8624)</f>
        <v>&lt;cellule&gt;&lt;codeEdi&gt;1084&lt;/codeEdi&gt;&lt;/cellule&gt;</v>
      </c>
    </row>
    <row r="8624" spans="1:1" x14ac:dyDescent="0.2">
      <c r="A8624" s="1135" t="str">
        <f>CONCATENATE(Programme!C8625,Programme!D8625,Programme!E8625,Programme!F8625,Programme!G8625,Programme!H8625,Programme!I8625)</f>
        <v>&lt;valeur&gt;22580&lt;/valeur&gt;</v>
      </c>
    </row>
    <row r="8625" spans="1:1" x14ac:dyDescent="0.2">
      <c r="A8625" s="1135" t="str">
        <f>CONCATENATE(Programme!C8626,Programme!D8626,Programme!E8626,Programme!F8626,Programme!G8626,Programme!H8626,Programme!I8626)</f>
        <v>&lt;numeroLigne&gt;2&lt;/numeroLigne&gt;</v>
      </c>
    </row>
    <row r="8626" spans="1:1" x14ac:dyDescent="0.2">
      <c r="A8626" s="1135" t="str">
        <f>CONCATENATE(Programme!C8627,Programme!D8627,Programme!E8627,Programme!F8627,Programme!G8627,Programme!H8627,Programme!I8627)</f>
        <v>&lt;/ValeurCellule&gt;</v>
      </c>
    </row>
    <row r="8627" spans="1:1" x14ac:dyDescent="0.2">
      <c r="A8627" s="1135" t="str">
        <f>CONCATENATE(Programme!C8628,Programme!D8628,Programme!E8628,Programme!F8628,Programme!G8628,Programme!H8628,Programme!I8628)</f>
        <v>&lt;ValeurCellule&gt;</v>
      </c>
    </row>
    <row r="8628" spans="1:1" x14ac:dyDescent="0.2">
      <c r="A8628" s="1135" t="str">
        <f>CONCATENATE(Programme!C8629,Programme!D8629,Programme!E8629,Programme!F8629,Programme!G8629,Programme!H8629,Programme!I8629)</f>
        <v>&lt;cellule&gt;&lt;codeEdi&gt;1085&lt;/codeEdi&gt;&lt;/cellule&gt;</v>
      </c>
    </row>
    <row r="8629" spans="1:1" x14ac:dyDescent="0.2">
      <c r="A8629" s="1135" t="str">
        <f>CONCATENATE(Programme!C8630,Programme!D8630,Programme!E8630,Programme!F8630,Programme!G8630,Programme!H8630,Programme!I8630)</f>
        <v>&lt;valeur&gt;22580&lt;/valeur&gt;</v>
      </c>
    </row>
    <row r="8630" spans="1:1" x14ac:dyDescent="0.2">
      <c r="A8630" s="1135" t="str">
        <f>CONCATENATE(Programme!C8631,Programme!D8631,Programme!E8631,Programme!F8631,Programme!G8631,Programme!H8631,Programme!I8631)</f>
        <v>&lt;numeroLigne&gt;2&lt;/numeroLigne&gt;</v>
      </c>
    </row>
    <row r="8631" spans="1:1" x14ac:dyDescent="0.2">
      <c r="A8631" s="1135" t="str">
        <f>CONCATENATE(Programme!C8632,Programme!D8632,Programme!E8632,Programme!F8632,Programme!G8632,Programme!H8632,Programme!I8632)</f>
        <v>&lt;/ValeurCellule&gt;</v>
      </c>
    </row>
    <row r="8632" spans="1:1" x14ac:dyDescent="0.2">
      <c r="A8632" s="1135" t="str">
        <f>CONCATENATE(Programme!C8633,Programme!D8633,Programme!E8633,Programme!F8633,Programme!G8633,Programme!H8633,Programme!I8633)</f>
        <v>&lt;ValeurCellule&gt;</v>
      </c>
    </row>
    <row r="8633" spans="1:1" x14ac:dyDescent="0.2">
      <c r="A8633" s="1135" t="str">
        <f>CONCATENATE(Programme!C8634,Programme!D8634,Programme!E8634,Programme!F8634,Programme!G8634,Programme!H8634,Programme!I8634)</f>
        <v>&lt;cellule&gt;&lt;codeEdi&gt;1086&lt;/codeEdi&gt;&lt;/cellule&gt;</v>
      </c>
    </row>
    <row r="8634" spans="1:1" x14ac:dyDescent="0.2">
      <c r="A8634" s="1135" t="str">
        <f>CONCATENATE(Programme!C8635,Programme!D8635,Programme!E8635,Programme!F8635,Programme!G8635,Programme!H8635,Programme!I8635)</f>
        <v>&lt;valeur&gt;&lt;/valeur&gt;</v>
      </c>
    </row>
    <row r="8635" spans="1:1" x14ac:dyDescent="0.2">
      <c r="A8635" s="1135" t="str">
        <f>CONCATENATE(Programme!C8636,Programme!D8636,Programme!E8636,Programme!F8636,Programme!G8636,Programme!H8636,Programme!I8636)</f>
        <v>&lt;numeroLigne&gt;2&lt;/numeroLigne&gt;</v>
      </c>
    </row>
    <row r="8636" spans="1:1" x14ac:dyDescent="0.2">
      <c r="A8636" s="1135" t="str">
        <f>CONCATENATE(Programme!C8637,Programme!D8637,Programme!E8637,Programme!F8637,Programme!G8637,Programme!H8637,Programme!I8637)</f>
        <v>&lt;/ValeurCellule&gt;</v>
      </c>
    </row>
    <row r="8637" spans="1:1" x14ac:dyDescent="0.2">
      <c r="A8637" s="1135" t="str">
        <f>CONCATENATE(Programme!C8638,Programme!D8638,Programme!E8638,Programme!F8638,Programme!G8638,Programme!H8638,Programme!I8638)</f>
        <v>&lt;ValeurCellule&gt;</v>
      </c>
    </row>
    <row r="8638" spans="1:1" x14ac:dyDescent="0.2">
      <c r="A8638" s="1135" t="str">
        <f>CONCATENATE(Programme!C8639,Programme!D8639,Programme!E8639,Programme!F8639,Programme!G8639,Programme!H8639,Programme!I8639)</f>
        <v>&lt;cellule&gt;&lt;codeEdi&gt;10061&lt;/codeEdi&gt;&lt;/cellule&gt;</v>
      </c>
    </row>
    <row r="8639" spans="1:1" x14ac:dyDescent="0.2">
      <c r="A8639" s="1135" t="str">
        <f>CONCATENATE(Programme!C8640,Programme!D8640,Programme!E8640,Programme!F8640,Programme!G8640,Programme!H8640,Programme!I8640)</f>
        <v>&lt;valeur&gt;MAT DE TRANSPORST&lt;/valeur&gt;</v>
      </c>
    </row>
    <row r="8640" spans="1:1" x14ac:dyDescent="0.2">
      <c r="A8640" s="1135" t="str">
        <f>CONCATENATE(Programme!C8641,Programme!D8641,Programme!E8641,Programme!F8641,Programme!G8641,Programme!H8641,Programme!I8641)</f>
        <v>&lt;numeroLigne&gt;3&lt;/numeroLigne&gt;</v>
      </c>
    </row>
    <row r="8641" spans="1:1" x14ac:dyDescent="0.2">
      <c r="A8641" s="1135" t="str">
        <f>CONCATENATE(Programme!C8642,Programme!D8642,Programme!E8642,Programme!F8642,Programme!G8642,Programme!H8642,Programme!I8642)</f>
        <v>&lt;/ValeurCellule&gt;</v>
      </c>
    </row>
    <row r="8642" spans="1:1" x14ac:dyDescent="0.2">
      <c r="A8642" s="1135" t="str">
        <f>CONCATENATE(Programme!C8643,Programme!D8643,Programme!E8643,Programme!F8643,Programme!G8643,Programme!H8643,Programme!I8643)</f>
        <v>&lt;ValeurCellule&gt;</v>
      </c>
    </row>
    <row r="8643" spans="1:1" x14ac:dyDescent="0.2">
      <c r="A8643" s="1135" t="str">
        <f>CONCATENATE(Programme!C8644,Programme!D8644,Programme!E8644,Programme!F8644,Programme!G8644,Programme!H8644,Programme!I8644)</f>
        <v>&lt;cellule&gt;&lt;codeEdi&gt;1078&lt;/codeEdi&gt;&lt;/cellule&gt;</v>
      </c>
    </row>
    <row r="8644" spans="1:1" x14ac:dyDescent="0.2">
      <c r="A8644" s="1135" t="str">
        <f>CONCATENATE(Programme!C8645,Programme!D8645,Programme!E8645,Programme!F8645,Programme!G8645,Programme!H8645,Programme!I8645)</f>
        <v>&lt;valeur&gt;42988&lt;/valeur&gt;</v>
      </c>
    </row>
    <row r="8645" spans="1:1" x14ac:dyDescent="0.2">
      <c r="A8645" s="1135" t="str">
        <f>CONCATENATE(Programme!C8646,Programme!D8646,Programme!E8646,Programme!F8646,Programme!G8646,Programme!H8646,Programme!I8646)</f>
        <v>&lt;numeroLigne&gt;3&lt;/numeroLigne&gt;</v>
      </c>
    </row>
    <row r="8646" spans="1:1" x14ac:dyDescent="0.2">
      <c r="A8646" s="1135" t="str">
        <f>CONCATENATE(Programme!C8647,Programme!D8647,Programme!E8647,Programme!F8647,Programme!G8647,Programme!H8647,Programme!I8647)</f>
        <v>&lt;/ValeurCellule&gt;</v>
      </c>
    </row>
    <row r="8647" spans="1:1" x14ac:dyDescent="0.2">
      <c r="A8647" s="1135" t="str">
        <f>CONCATENATE(Programme!C8648,Programme!D8648,Programme!E8648,Programme!F8648,Programme!G8648,Programme!H8648,Programme!I8648)</f>
        <v>&lt;ValeurCellule&gt;</v>
      </c>
    </row>
    <row r="8648" spans="1:1" x14ac:dyDescent="0.2">
      <c r="A8648" s="1135" t="str">
        <f>CONCATENATE(Programme!C8649,Programme!D8649,Programme!E8649,Programme!F8649,Programme!G8649,Programme!H8649,Programme!I8649)</f>
        <v>&lt;cellule&gt;&lt;codeEdi&gt;1079&lt;/codeEdi&gt;&lt;/cellule&gt;</v>
      </c>
    </row>
    <row r="8649" spans="1:1" x14ac:dyDescent="0.2">
      <c r="A8649" s="1135" t="str">
        <f>CONCATENATE(Programme!C8650,Programme!D8650,Programme!E8650,Programme!F8650,Programme!G8650,Programme!H8650,Programme!I8650)</f>
        <v>&lt;valeur&gt;186214,17&lt;/valeur&gt;</v>
      </c>
    </row>
    <row r="8650" spans="1:1" x14ac:dyDescent="0.2">
      <c r="A8650" s="1135" t="str">
        <f>CONCATENATE(Programme!C8651,Programme!D8651,Programme!E8651,Programme!F8651,Programme!G8651,Programme!H8651,Programme!I8651)</f>
        <v>&lt;numeroLigne&gt;3&lt;/numeroLigne&gt;</v>
      </c>
    </row>
    <row r="8651" spans="1:1" x14ac:dyDescent="0.2">
      <c r="A8651" s="1135" t="str">
        <f>CONCATENATE(Programme!C8652,Programme!D8652,Programme!E8652,Programme!F8652,Programme!G8652,Programme!H8652,Programme!I8652)</f>
        <v>&lt;/ValeurCellule&gt;</v>
      </c>
    </row>
    <row r="8652" spans="1:1" x14ac:dyDescent="0.2">
      <c r="A8652" s="1135" t="str">
        <f>CONCATENATE(Programme!C8653,Programme!D8653,Programme!E8653,Programme!F8653,Programme!G8653,Programme!H8653,Programme!I8653)</f>
        <v>&lt;ValeurCellule&gt;</v>
      </c>
    </row>
    <row r="8653" spans="1:1" x14ac:dyDescent="0.2">
      <c r="A8653" s="1135" t="str">
        <f>CONCATENATE(Programme!C8654,Programme!D8654,Programme!E8654,Programme!F8654,Programme!G8654,Programme!H8654,Programme!I8654)</f>
        <v>&lt;cellule&gt;&lt;codeEdi&gt;1080&lt;/codeEdi&gt;&lt;/cellule&gt;</v>
      </c>
    </row>
    <row r="8654" spans="1:1" x14ac:dyDescent="0.2">
      <c r="A8654" s="1135" t="str">
        <f>CONCATENATE(Programme!C8655,Programme!D8655,Programme!E8655,Programme!F8655,Programme!G8655,Programme!H8655,Programme!I8655)</f>
        <v>&lt;valeur&gt;&lt;/valeur&gt;</v>
      </c>
    </row>
    <row r="8655" spans="1:1" x14ac:dyDescent="0.2">
      <c r="A8655" s="1135" t="str">
        <f>CONCATENATE(Programme!C8656,Programme!D8656,Programme!E8656,Programme!F8656,Programme!G8656,Programme!H8656,Programme!I8656)</f>
        <v>&lt;numeroLigne&gt;3&lt;/numeroLigne&gt;</v>
      </c>
    </row>
    <row r="8656" spans="1:1" x14ac:dyDescent="0.2">
      <c r="A8656" s="1135" t="str">
        <f>CONCATENATE(Programme!C8657,Programme!D8657,Programme!E8657,Programme!F8657,Programme!G8657,Programme!H8657,Programme!I8657)</f>
        <v>&lt;/ValeurCellule&gt;</v>
      </c>
    </row>
    <row r="8657" spans="1:1" x14ac:dyDescent="0.2">
      <c r="A8657" s="1135" t="str">
        <f>CONCATENATE(Programme!C8658,Programme!D8658,Programme!E8658,Programme!F8658,Programme!G8658,Programme!H8658,Programme!I8658)</f>
        <v>&lt;ValeurCellule&gt;</v>
      </c>
    </row>
    <row r="8658" spans="1:1" x14ac:dyDescent="0.2">
      <c r="A8658" s="1135" t="str">
        <f>CONCATENATE(Programme!C8659,Programme!D8659,Programme!E8659,Programme!F8659,Programme!G8659,Programme!H8659,Programme!I8659)</f>
        <v>&lt;cellule&gt;&lt;codeEdi&gt;1081&lt;/codeEdi&gt;&lt;/cellule&gt;</v>
      </c>
    </row>
    <row r="8659" spans="1:1" x14ac:dyDescent="0.2">
      <c r="A8659" s="1135" t="str">
        <f>CONCATENATE(Programme!C8660,Programme!D8660,Programme!E8660,Programme!F8660,Programme!G8660,Programme!H8660,Programme!I8660)</f>
        <v>&lt;valeur&gt;27932,13&lt;/valeur&gt;</v>
      </c>
    </row>
    <row r="8660" spans="1:1" x14ac:dyDescent="0.2">
      <c r="A8660" s="1135" t="str">
        <f>CONCATENATE(Programme!C8661,Programme!D8661,Programme!E8661,Programme!F8661,Programme!G8661,Programme!H8661,Programme!I8661)</f>
        <v>&lt;numeroLigne&gt;3&lt;/numeroLigne&gt;</v>
      </c>
    </row>
    <row r="8661" spans="1:1" x14ac:dyDescent="0.2">
      <c r="A8661" s="1135" t="str">
        <f>CONCATENATE(Programme!C8662,Programme!D8662,Programme!E8662,Programme!F8662,Programme!G8662,Programme!H8662,Programme!I8662)</f>
        <v>&lt;/ValeurCellule&gt;</v>
      </c>
    </row>
    <row r="8662" spans="1:1" x14ac:dyDescent="0.2">
      <c r="A8662" s="1135" t="str">
        <f>CONCATENATE(Programme!C8663,Programme!D8663,Programme!E8663,Programme!F8663,Programme!G8663,Programme!H8663,Programme!I8663)</f>
        <v>&lt;ValeurCellule&gt;</v>
      </c>
    </row>
    <row r="8663" spans="1:1" x14ac:dyDescent="0.2">
      <c r="A8663" s="1135" t="str">
        <f>CONCATENATE(Programme!C8664,Programme!D8664,Programme!E8664,Programme!F8664,Programme!G8664,Programme!H8664,Programme!I8664)</f>
        <v>&lt;cellule&gt;&lt;codeEdi&gt;1082&lt;/codeEdi&gt;&lt;/cellule&gt;</v>
      </c>
    </row>
    <row r="8664" spans="1:1" x14ac:dyDescent="0.2">
      <c r="A8664" s="1135" t="str">
        <f>CONCATENATE(Programme!C8665,Programme!D8665,Programme!E8665,Programme!F8665,Programme!G8665,Programme!H8665,Programme!I8665)</f>
        <v>&lt;valeur&gt;0,2&lt;/valeur&gt;</v>
      </c>
    </row>
    <row r="8665" spans="1:1" x14ac:dyDescent="0.2">
      <c r="A8665" s="1135" t="str">
        <f>CONCATENATE(Programme!C8666,Programme!D8666,Programme!E8666,Programme!F8666,Programme!G8666,Programme!H8666,Programme!I8666)</f>
        <v>&lt;numeroLigne&gt;3&lt;/numeroLigne&gt;</v>
      </c>
    </row>
    <row r="8666" spans="1:1" x14ac:dyDescent="0.2">
      <c r="A8666" s="1135" t="str">
        <f>CONCATENATE(Programme!C8667,Programme!D8667,Programme!E8667,Programme!F8667,Programme!G8667,Programme!H8667,Programme!I8667)</f>
        <v>&lt;/ValeurCellule&gt;</v>
      </c>
    </row>
    <row r="8667" spans="1:1" x14ac:dyDescent="0.2">
      <c r="A8667" s="1135" t="str">
        <f>CONCATENATE(Programme!C8668,Programme!D8668,Programme!E8668,Programme!F8668,Programme!G8668,Programme!H8668,Programme!I8668)</f>
        <v>&lt;ValeurCellule&gt;</v>
      </c>
    </row>
    <row r="8668" spans="1:1" x14ac:dyDescent="0.2">
      <c r="A8668" s="1135" t="str">
        <f>CONCATENATE(Programme!C8669,Programme!D8669,Programme!E8669,Programme!F8669,Programme!G8669,Programme!H8669,Programme!I8669)</f>
        <v>&lt;cellule&gt;&lt;codeEdi&gt;1083&lt;/codeEdi&gt;&lt;/cellule&gt;</v>
      </c>
    </row>
    <row r="8669" spans="1:1" x14ac:dyDescent="0.2">
      <c r="A8669" s="1135" t="str">
        <f>CONCATENATE(Programme!C8670,Programme!D8670,Programme!E8670,Programme!F8670,Programme!G8670,Programme!H8670,Programme!I8670)</f>
        <v>&lt;valeur&gt;5&lt;/valeur&gt;</v>
      </c>
    </row>
    <row r="8670" spans="1:1" x14ac:dyDescent="0.2">
      <c r="A8670" s="1135" t="str">
        <f>CONCATENATE(Programme!C8671,Programme!D8671,Programme!E8671,Programme!F8671,Programme!G8671,Programme!H8671,Programme!I8671)</f>
        <v>&lt;numeroLigne&gt;3&lt;/numeroLigne&gt;</v>
      </c>
    </row>
    <row r="8671" spans="1:1" x14ac:dyDescent="0.2">
      <c r="A8671" s="1135" t="str">
        <f>CONCATENATE(Programme!C8672,Programme!D8672,Programme!E8672,Programme!F8672,Programme!G8672,Programme!H8672,Programme!I8672)</f>
        <v>&lt;/ValeurCellule&gt;</v>
      </c>
    </row>
    <row r="8672" spans="1:1" x14ac:dyDescent="0.2">
      <c r="A8672" s="1135" t="str">
        <f>CONCATENATE(Programme!C8673,Programme!D8673,Programme!E8673,Programme!F8673,Programme!G8673,Programme!H8673,Programme!I8673)</f>
        <v>&lt;ValeurCellule&gt;</v>
      </c>
    </row>
    <row r="8673" spans="1:1" x14ac:dyDescent="0.2">
      <c r="A8673" s="1135" t="str">
        <f>CONCATENATE(Programme!C8674,Programme!D8674,Programme!E8674,Programme!F8674,Programme!G8674,Programme!H8674,Programme!I8674)</f>
        <v>&lt;cellule&gt;&lt;codeEdi&gt;1084&lt;/codeEdi&gt;&lt;/cellule&gt;</v>
      </c>
    </row>
    <row r="8674" spans="1:1" x14ac:dyDescent="0.2">
      <c r="A8674" s="1135" t="str">
        <f>CONCATENATE(Programme!C8675,Programme!D8675,Programme!E8675,Programme!F8675,Programme!G8675,Programme!H8675,Programme!I8675)</f>
        <v>&lt;valeur&gt;37242,834&lt;/valeur&gt;</v>
      </c>
    </row>
    <row r="8675" spans="1:1" x14ac:dyDescent="0.2">
      <c r="A8675" s="1135" t="str">
        <f>CONCATENATE(Programme!C8676,Programme!D8676,Programme!E8676,Programme!F8676,Programme!G8676,Programme!H8676,Programme!I8676)</f>
        <v>&lt;numeroLigne&gt;3&lt;/numeroLigne&gt;</v>
      </c>
    </row>
    <row r="8676" spans="1:1" x14ac:dyDescent="0.2">
      <c r="A8676" s="1135" t="str">
        <f>CONCATENATE(Programme!C8677,Programme!D8677,Programme!E8677,Programme!F8677,Programme!G8677,Programme!H8677,Programme!I8677)</f>
        <v>&lt;/ValeurCellule&gt;</v>
      </c>
    </row>
    <row r="8677" spans="1:1" x14ac:dyDescent="0.2">
      <c r="A8677" s="1135" t="str">
        <f>CONCATENATE(Programme!C8678,Programme!D8678,Programme!E8678,Programme!F8678,Programme!G8678,Programme!H8678,Programme!I8678)</f>
        <v>&lt;ValeurCellule&gt;</v>
      </c>
    </row>
    <row r="8678" spans="1:1" x14ac:dyDescent="0.2">
      <c r="A8678" s="1135" t="str">
        <f>CONCATENATE(Programme!C8679,Programme!D8679,Programme!E8679,Programme!F8679,Programme!G8679,Programme!H8679,Programme!I8679)</f>
        <v>&lt;cellule&gt;&lt;codeEdi&gt;1085&lt;/codeEdi&gt;&lt;/cellule&gt;</v>
      </c>
    </row>
    <row r="8679" spans="1:1" x14ac:dyDescent="0.2">
      <c r="A8679" s="1135" t="str">
        <f>CONCATENATE(Programme!C8680,Programme!D8680,Programme!E8680,Programme!F8680,Programme!G8680,Programme!H8680,Programme!I8680)</f>
        <v>&lt;valeur&gt;37242,834&lt;/valeur&gt;</v>
      </c>
    </row>
    <row r="8680" spans="1:1" x14ac:dyDescent="0.2">
      <c r="A8680" s="1135" t="str">
        <f>CONCATENATE(Programme!C8681,Programme!D8681,Programme!E8681,Programme!F8681,Programme!G8681,Programme!H8681,Programme!I8681)</f>
        <v>&lt;numeroLigne&gt;3&lt;/numeroLigne&gt;</v>
      </c>
    </row>
    <row r="8681" spans="1:1" x14ac:dyDescent="0.2">
      <c r="A8681" s="1135" t="str">
        <f>CONCATENATE(Programme!C8682,Programme!D8682,Programme!E8682,Programme!F8682,Programme!G8682,Programme!H8682,Programme!I8682)</f>
        <v>&lt;/ValeurCellule&gt;</v>
      </c>
    </row>
    <row r="8682" spans="1:1" x14ac:dyDescent="0.2">
      <c r="A8682" s="1135" t="str">
        <f>CONCATENATE(Programme!C8683,Programme!D8683,Programme!E8683,Programme!F8683,Programme!G8683,Programme!H8683,Programme!I8683)</f>
        <v>&lt;ValeurCellule&gt;</v>
      </c>
    </row>
    <row r="8683" spans="1:1" x14ac:dyDescent="0.2">
      <c r="A8683" s="1135" t="str">
        <f>CONCATENATE(Programme!C8684,Programme!D8684,Programme!E8684,Programme!F8684,Programme!G8684,Programme!H8684,Programme!I8684)</f>
        <v>&lt;cellule&gt;&lt;codeEdi&gt;1086&lt;/codeEdi&gt;&lt;/cellule&gt;</v>
      </c>
    </row>
    <row r="8684" spans="1:1" x14ac:dyDescent="0.2">
      <c r="A8684" s="1135" t="str">
        <f>CONCATENATE(Programme!C8685,Programme!D8685,Programme!E8685,Programme!F8685,Programme!G8685,Programme!H8685,Programme!I8685)</f>
        <v>&lt;valeur&gt;&lt;/valeur&gt;</v>
      </c>
    </row>
    <row r="8685" spans="1:1" x14ac:dyDescent="0.2">
      <c r="A8685" s="1135" t="str">
        <f>CONCATENATE(Programme!C8686,Programme!D8686,Programme!E8686,Programme!F8686,Programme!G8686,Programme!H8686,Programme!I8686)</f>
        <v>&lt;numeroLigne&gt;3&lt;/numeroLigne&gt;</v>
      </c>
    </row>
    <row r="8686" spans="1:1" x14ac:dyDescent="0.2">
      <c r="A8686" s="1135" t="str">
        <f>CONCATENATE(Programme!C8687,Programme!D8687,Programme!E8687,Programme!F8687,Programme!G8687,Programme!H8687,Programme!I8687)</f>
        <v>&lt;/ValeurCellule&gt;</v>
      </c>
    </row>
    <row r="8687" spans="1:1" x14ac:dyDescent="0.2">
      <c r="A8687" s="1135" t="str">
        <f>CONCATENATE(Programme!C8688,Programme!D8688,Programme!E8688,Programme!F8688,Programme!G8688,Programme!H8688,Programme!I8688)</f>
        <v>&lt;ValeurCellule&gt;</v>
      </c>
    </row>
    <row r="8688" spans="1:1" x14ac:dyDescent="0.2">
      <c r="A8688" s="1135" t="str">
        <f>CONCATENATE(Programme!C8689,Programme!D8689,Programme!E8689,Programme!F8689,Programme!G8689,Programme!H8689,Programme!I8689)</f>
        <v>&lt;cellule&gt;&lt;codeEdi&gt;10061&lt;/codeEdi&gt;&lt;/cellule&gt;</v>
      </c>
    </row>
    <row r="8689" spans="1:1" x14ac:dyDescent="0.2">
      <c r="A8689" s="1135" t="str">
        <f>CONCATENATE(Programme!C8690,Programme!D8690,Programme!E8690,Programme!F8690,Programme!G8690,Programme!H8690,Programme!I8690)</f>
        <v>&lt;valeur&gt;MAT DE TRANSPORST&lt;/valeur&gt;</v>
      </c>
    </row>
    <row r="8690" spans="1:1" x14ac:dyDescent="0.2">
      <c r="A8690" s="1135" t="str">
        <f>CONCATENATE(Programme!C8691,Programme!D8691,Programme!E8691,Programme!F8691,Programme!G8691,Programme!H8691,Programme!I8691)</f>
        <v>&lt;numeroLigne&gt;4&lt;/numeroLigne&gt;</v>
      </c>
    </row>
    <row r="8691" spans="1:1" x14ac:dyDescent="0.2">
      <c r="A8691" s="1135" t="str">
        <f>CONCATENATE(Programme!C8692,Programme!D8692,Programme!E8692,Programme!F8692,Programme!G8692,Programme!H8692,Programme!I8692)</f>
        <v>&lt;/ValeurCellule&gt;</v>
      </c>
    </row>
    <row r="8692" spans="1:1" x14ac:dyDescent="0.2">
      <c r="A8692" s="1135" t="str">
        <f>CONCATENATE(Programme!C8693,Programme!D8693,Programme!E8693,Programme!F8693,Programme!G8693,Programme!H8693,Programme!I8693)</f>
        <v>&lt;ValeurCellule&gt;</v>
      </c>
    </row>
    <row r="8693" spans="1:1" x14ac:dyDescent="0.2">
      <c r="A8693" s="1135" t="str">
        <f>CONCATENATE(Programme!C8694,Programme!D8694,Programme!E8694,Programme!F8694,Programme!G8694,Programme!H8694,Programme!I8694)</f>
        <v>&lt;cellule&gt;&lt;codeEdi&gt;1078&lt;/codeEdi&gt;&lt;/cellule&gt;</v>
      </c>
    </row>
    <row r="8694" spans="1:1" x14ac:dyDescent="0.2">
      <c r="A8694" s="1135" t="str">
        <f>CONCATENATE(Programme!C8695,Programme!D8695,Programme!E8695,Programme!F8695,Programme!G8695,Programme!H8695,Programme!I8695)</f>
        <v>&lt;valeur&gt;43039&lt;/valeur&gt;</v>
      </c>
    </row>
    <row r="8695" spans="1:1" x14ac:dyDescent="0.2">
      <c r="A8695" s="1135" t="str">
        <f>CONCATENATE(Programme!C8696,Programme!D8696,Programme!E8696,Programme!F8696,Programme!G8696,Programme!H8696,Programme!I8696)</f>
        <v>&lt;numeroLigne&gt;4&lt;/numeroLigne&gt;</v>
      </c>
    </row>
    <row r="8696" spans="1:1" x14ac:dyDescent="0.2">
      <c r="A8696" s="1135" t="str">
        <f>CONCATENATE(Programme!C8697,Programme!D8697,Programme!E8697,Programme!F8697,Programme!G8697,Programme!H8697,Programme!I8697)</f>
        <v>&lt;/ValeurCellule&gt;</v>
      </c>
    </row>
    <row r="8697" spans="1:1" x14ac:dyDescent="0.2">
      <c r="A8697" s="1135" t="str">
        <f>CONCATENATE(Programme!C8698,Programme!D8698,Programme!E8698,Programme!F8698,Programme!G8698,Programme!H8698,Programme!I8698)</f>
        <v>&lt;ValeurCellule&gt;</v>
      </c>
    </row>
    <row r="8698" spans="1:1" x14ac:dyDescent="0.2">
      <c r="A8698" s="1135" t="str">
        <f>CONCATENATE(Programme!C8699,Programme!D8699,Programme!E8699,Programme!F8699,Programme!G8699,Programme!H8699,Programme!I8699)</f>
        <v>&lt;cellule&gt;&lt;codeEdi&gt;1079&lt;/codeEdi&gt;&lt;/cellule&gt;</v>
      </c>
    </row>
    <row r="8699" spans="1:1" x14ac:dyDescent="0.2">
      <c r="A8699" s="1135" t="str">
        <f>CONCATENATE(Programme!C8700,Programme!D8700,Programme!E8700,Programme!F8700,Programme!G8700,Programme!H8700,Programme!I8700)</f>
        <v>&lt;valeur&gt;97164&lt;/valeur&gt;</v>
      </c>
    </row>
    <row r="8700" spans="1:1" x14ac:dyDescent="0.2">
      <c r="A8700" s="1135" t="str">
        <f>CONCATENATE(Programme!C8701,Programme!D8701,Programme!E8701,Programme!F8701,Programme!G8701,Programme!H8701,Programme!I8701)</f>
        <v>&lt;numeroLigne&gt;4&lt;/numeroLigne&gt;</v>
      </c>
    </row>
    <row r="8701" spans="1:1" x14ac:dyDescent="0.2">
      <c r="A8701" s="1135" t="str">
        <f>CONCATENATE(Programme!C8702,Programme!D8702,Programme!E8702,Programme!F8702,Programme!G8702,Programme!H8702,Programme!I8702)</f>
        <v>&lt;/ValeurCellule&gt;</v>
      </c>
    </row>
    <row r="8702" spans="1:1" x14ac:dyDescent="0.2">
      <c r="A8702" s="1135" t="str">
        <f>CONCATENATE(Programme!C8703,Programme!D8703,Programme!E8703,Programme!F8703,Programme!G8703,Programme!H8703,Programme!I8703)</f>
        <v>&lt;ValeurCellule&gt;</v>
      </c>
    </row>
    <row r="8703" spans="1:1" x14ac:dyDescent="0.2">
      <c r="A8703" s="1135" t="str">
        <f>CONCATENATE(Programme!C8704,Programme!D8704,Programme!E8704,Programme!F8704,Programme!G8704,Programme!H8704,Programme!I8704)</f>
        <v>&lt;cellule&gt;&lt;codeEdi&gt;1080&lt;/codeEdi&gt;&lt;/cellule&gt;</v>
      </c>
    </row>
    <row r="8704" spans="1:1" x14ac:dyDescent="0.2">
      <c r="A8704" s="1135" t="str">
        <f>CONCATENATE(Programme!C8705,Programme!D8705,Programme!E8705,Programme!F8705,Programme!G8705,Programme!H8705,Programme!I8705)</f>
        <v>&lt;valeur&gt;&lt;/valeur&gt;</v>
      </c>
    </row>
    <row r="8705" spans="1:1" x14ac:dyDescent="0.2">
      <c r="A8705" s="1135" t="str">
        <f>CONCATENATE(Programme!C8706,Programme!D8706,Programme!E8706,Programme!F8706,Programme!G8706,Programme!H8706,Programme!I8706)</f>
        <v>&lt;numeroLigne&gt;4&lt;/numeroLigne&gt;</v>
      </c>
    </row>
    <row r="8706" spans="1:1" x14ac:dyDescent="0.2">
      <c r="A8706" s="1135" t="str">
        <f>CONCATENATE(Programme!C8707,Programme!D8707,Programme!E8707,Programme!F8707,Programme!G8707,Programme!H8707,Programme!I8707)</f>
        <v>&lt;/ValeurCellule&gt;</v>
      </c>
    </row>
    <row r="8707" spans="1:1" x14ac:dyDescent="0.2">
      <c r="A8707" s="1135" t="str">
        <f>CONCATENATE(Programme!C8708,Programme!D8708,Programme!E8708,Programme!F8708,Programme!G8708,Programme!H8708,Programme!I8708)</f>
        <v>&lt;ValeurCellule&gt;</v>
      </c>
    </row>
    <row r="8708" spans="1:1" x14ac:dyDescent="0.2">
      <c r="A8708" s="1135" t="str">
        <f>CONCATENATE(Programme!C8709,Programme!D8709,Programme!E8709,Programme!F8709,Programme!G8709,Programme!H8709,Programme!I8709)</f>
        <v>&lt;cellule&gt;&lt;codeEdi&gt;1081&lt;/codeEdi&gt;&lt;/cellule&gt;</v>
      </c>
    </row>
    <row r="8709" spans="1:1" x14ac:dyDescent="0.2">
      <c r="A8709" s="1135" t="str">
        <f>CONCATENATE(Programme!C8710,Programme!D8710,Programme!E8710,Programme!F8710,Programme!G8710,Programme!H8710,Programme!I8710)</f>
        <v>&lt;valeur&gt;3238,8&lt;/valeur&gt;</v>
      </c>
    </row>
    <row r="8710" spans="1:1" x14ac:dyDescent="0.2">
      <c r="A8710" s="1135" t="str">
        <f>CONCATENATE(Programme!C8711,Programme!D8711,Programme!E8711,Programme!F8711,Programme!G8711,Programme!H8711,Programme!I8711)</f>
        <v>&lt;numeroLigne&gt;4&lt;/numeroLigne&gt;</v>
      </c>
    </row>
    <row r="8711" spans="1:1" x14ac:dyDescent="0.2">
      <c r="A8711" s="1135" t="str">
        <f>CONCATENATE(Programme!C8712,Programme!D8712,Programme!E8712,Programme!F8712,Programme!G8712,Programme!H8712,Programme!I8712)</f>
        <v>&lt;/ValeurCellule&gt;</v>
      </c>
    </row>
    <row r="8712" spans="1:1" x14ac:dyDescent="0.2">
      <c r="A8712" s="1135" t="str">
        <f>CONCATENATE(Programme!C8713,Programme!D8713,Programme!E8713,Programme!F8713,Programme!G8713,Programme!H8713,Programme!I8713)</f>
        <v>&lt;ValeurCellule&gt;</v>
      </c>
    </row>
    <row r="8713" spans="1:1" x14ac:dyDescent="0.2">
      <c r="A8713" s="1135" t="str">
        <f>CONCATENATE(Programme!C8714,Programme!D8714,Programme!E8714,Programme!F8714,Programme!G8714,Programme!H8714,Programme!I8714)</f>
        <v>&lt;cellule&gt;&lt;codeEdi&gt;1082&lt;/codeEdi&gt;&lt;/cellule&gt;</v>
      </c>
    </row>
    <row r="8714" spans="1:1" x14ac:dyDescent="0.2">
      <c r="A8714" s="1135" t="str">
        <f>CONCATENATE(Programme!C8715,Programme!D8715,Programme!E8715,Programme!F8715,Programme!G8715,Programme!H8715,Programme!I8715)</f>
        <v>&lt;valeur&gt;0,2&lt;/valeur&gt;</v>
      </c>
    </row>
    <row r="8715" spans="1:1" x14ac:dyDescent="0.2">
      <c r="A8715" s="1135" t="str">
        <f>CONCATENATE(Programme!C8716,Programme!D8716,Programme!E8716,Programme!F8716,Programme!G8716,Programme!H8716,Programme!I8716)</f>
        <v>&lt;numeroLigne&gt;4&lt;/numeroLigne&gt;</v>
      </c>
    </row>
    <row r="8716" spans="1:1" x14ac:dyDescent="0.2">
      <c r="A8716" s="1135" t="str">
        <f>CONCATENATE(Programme!C8717,Programme!D8717,Programme!E8717,Programme!F8717,Programme!G8717,Programme!H8717,Programme!I8717)</f>
        <v>&lt;/ValeurCellule&gt;</v>
      </c>
    </row>
    <row r="8717" spans="1:1" x14ac:dyDescent="0.2">
      <c r="A8717" s="1135" t="str">
        <f>CONCATENATE(Programme!C8718,Programme!D8718,Programme!E8718,Programme!F8718,Programme!G8718,Programme!H8718,Programme!I8718)</f>
        <v>&lt;ValeurCellule&gt;</v>
      </c>
    </row>
    <row r="8718" spans="1:1" x14ac:dyDescent="0.2">
      <c r="A8718" s="1135" t="str">
        <f>CONCATENATE(Programme!C8719,Programme!D8719,Programme!E8719,Programme!F8719,Programme!G8719,Programme!H8719,Programme!I8719)</f>
        <v>&lt;cellule&gt;&lt;codeEdi&gt;1083&lt;/codeEdi&gt;&lt;/cellule&gt;</v>
      </c>
    </row>
    <row r="8719" spans="1:1" x14ac:dyDescent="0.2">
      <c r="A8719" s="1135" t="str">
        <f>CONCATENATE(Programme!C8720,Programme!D8720,Programme!E8720,Programme!F8720,Programme!G8720,Programme!H8720,Programme!I8720)</f>
        <v>&lt;valeur&gt;5&lt;/valeur&gt;</v>
      </c>
    </row>
    <row r="8720" spans="1:1" x14ac:dyDescent="0.2">
      <c r="A8720" s="1135" t="str">
        <f>CONCATENATE(Programme!C8721,Programme!D8721,Programme!E8721,Programme!F8721,Programme!G8721,Programme!H8721,Programme!I8721)</f>
        <v>&lt;numeroLigne&gt;4&lt;/numeroLigne&gt;</v>
      </c>
    </row>
    <row r="8721" spans="1:1" x14ac:dyDescent="0.2">
      <c r="A8721" s="1135" t="str">
        <f>CONCATENATE(Programme!C8722,Programme!D8722,Programme!E8722,Programme!F8722,Programme!G8722,Programme!H8722,Programme!I8722)</f>
        <v>&lt;/ValeurCellule&gt;</v>
      </c>
    </row>
    <row r="8722" spans="1:1" x14ac:dyDescent="0.2">
      <c r="A8722" s="1135" t="str">
        <f>CONCATENATE(Programme!C8723,Programme!D8723,Programme!E8723,Programme!F8723,Programme!G8723,Programme!H8723,Programme!I8723)</f>
        <v>&lt;ValeurCellule&gt;</v>
      </c>
    </row>
    <row r="8723" spans="1:1" x14ac:dyDescent="0.2">
      <c r="A8723" s="1135" t="str">
        <f>CONCATENATE(Programme!C8724,Programme!D8724,Programme!E8724,Programme!F8724,Programme!G8724,Programme!H8724,Programme!I8724)</f>
        <v>&lt;cellule&gt;&lt;codeEdi&gt;1084&lt;/codeEdi&gt;&lt;/cellule&gt;</v>
      </c>
    </row>
    <row r="8724" spans="1:1" x14ac:dyDescent="0.2">
      <c r="A8724" s="1135" t="str">
        <f>CONCATENATE(Programme!C8725,Programme!D8725,Programme!E8725,Programme!F8725,Programme!G8725,Programme!H8725,Programme!I8725)</f>
        <v>&lt;valeur&gt;19432,8&lt;/valeur&gt;</v>
      </c>
    </row>
    <row r="8725" spans="1:1" x14ac:dyDescent="0.2">
      <c r="A8725" s="1135" t="str">
        <f>CONCATENATE(Programme!C8726,Programme!D8726,Programme!E8726,Programme!F8726,Programme!G8726,Programme!H8726,Programme!I8726)</f>
        <v>&lt;numeroLigne&gt;4&lt;/numeroLigne&gt;</v>
      </c>
    </row>
    <row r="8726" spans="1:1" x14ac:dyDescent="0.2">
      <c r="A8726" s="1135" t="str">
        <f>CONCATENATE(Programme!C8727,Programme!D8727,Programme!E8727,Programme!F8727,Programme!G8727,Programme!H8727,Programme!I8727)</f>
        <v>&lt;/ValeurCellule&gt;</v>
      </c>
    </row>
    <row r="8727" spans="1:1" x14ac:dyDescent="0.2">
      <c r="A8727" s="1135" t="str">
        <f>CONCATENATE(Programme!C8728,Programme!D8728,Programme!E8728,Programme!F8728,Programme!G8728,Programme!H8728,Programme!I8728)</f>
        <v>&lt;ValeurCellule&gt;</v>
      </c>
    </row>
    <row r="8728" spans="1:1" x14ac:dyDescent="0.2">
      <c r="A8728" s="1135" t="str">
        <f>CONCATENATE(Programme!C8729,Programme!D8729,Programme!E8729,Programme!F8729,Programme!G8729,Programme!H8729,Programme!I8729)</f>
        <v>&lt;cellule&gt;&lt;codeEdi&gt;1085&lt;/codeEdi&gt;&lt;/cellule&gt;</v>
      </c>
    </row>
    <row r="8729" spans="1:1" x14ac:dyDescent="0.2">
      <c r="A8729" s="1135" t="str">
        <f>CONCATENATE(Programme!C8730,Programme!D8730,Programme!E8730,Programme!F8730,Programme!G8730,Programme!H8730,Programme!I8730)</f>
        <v>&lt;valeur&gt;19432,8&lt;/valeur&gt;</v>
      </c>
    </row>
    <row r="8730" spans="1:1" x14ac:dyDescent="0.2">
      <c r="A8730" s="1135" t="str">
        <f>CONCATENATE(Programme!C8731,Programme!D8731,Programme!E8731,Programme!F8731,Programme!G8731,Programme!H8731,Programme!I8731)</f>
        <v>&lt;numeroLigne&gt;4&lt;/numeroLigne&gt;</v>
      </c>
    </row>
    <row r="8731" spans="1:1" x14ac:dyDescent="0.2">
      <c r="A8731" s="1135" t="str">
        <f>CONCATENATE(Programme!C8732,Programme!D8732,Programme!E8732,Programme!F8732,Programme!G8732,Programme!H8732,Programme!I8732)</f>
        <v>&lt;/ValeurCellule&gt;</v>
      </c>
    </row>
    <row r="8732" spans="1:1" x14ac:dyDescent="0.2">
      <c r="A8732" s="1135" t="str">
        <f>CONCATENATE(Programme!C8733,Programme!D8733,Programme!E8733,Programme!F8733,Programme!G8733,Programme!H8733,Programme!I8733)</f>
        <v>&lt;ValeurCellule&gt;</v>
      </c>
    </row>
    <row r="8733" spans="1:1" x14ac:dyDescent="0.2">
      <c r="A8733" s="1135" t="str">
        <f>CONCATENATE(Programme!C8734,Programme!D8734,Programme!E8734,Programme!F8734,Programme!G8734,Programme!H8734,Programme!I8734)</f>
        <v>&lt;cellule&gt;&lt;codeEdi&gt;1086&lt;/codeEdi&gt;&lt;/cellule&gt;</v>
      </c>
    </row>
    <row r="8734" spans="1:1" x14ac:dyDescent="0.2">
      <c r="A8734" s="1135" t="str">
        <f>CONCATENATE(Programme!C8735,Programme!D8735,Programme!E8735,Programme!F8735,Programme!G8735,Programme!H8735,Programme!I8735)</f>
        <v>&lt;valeur&gt;&lt;/valeur&gt;</v>
      </c>
    </row>
    <row r="8735" spans="1:1" x14ac:dyDescent="0.2">
      <c r="A8735" s="1135" t="str">
        <f>CONCATENATE(Programme!C8736,Programme!D8736,Programme!E8736,Programme!F8736,Programme!G8736,Programme!H8736,Programme!I8736)</f>
        <v>&lt;numeroLigne&gt;4&lt;/numeroLigne&gt;</v>
      </c>
    </row>
    <row r="8736" spans="1:1" x14ac:dyDescent="0.2">
      <c r="A8736" s="1135" t="str">
        <f>CONCATENATE(Programme!C8737,Programme!D8737,Programme!E8737,Programme!F8737,Programme!G8737,Programme!H8737,Programme!I8737)</f>
        <v>&lt;/ValeurCellule&gt;</v>
      </c>
    </row>
    <row r="8737" spans="1:1" x14ac:dyDescent="0.2">
      <c r="A8737" s="1135" t="str">
        <f>CONCATENATE(Programme!C8738,Programme!D8738,Programme!E8738,Programme!F8738,Programme!G8738,Programme!H8738,Programme!I8738)</f>
        <v>&lt;ValeurCellule&gt;</v>
      </c>
    </row>
    <row r="8738" spans="1:1" x14ac:dyDescent="0.2">
      <c r="A8738" s="1135" t="str">
        <f>CONCATENATE(Programme!C8739,Programme!D8739,Programme!E8739,Programme!F8739,Programme!G8739,Programme!H8739,Programme!I8739)</f>
        <v>&lt;cellule&gt;&lt;codeEdi&gt;10061&lt;/codeEdi&gt;&lt;/cellule&gt;</v>
      </c>
    </row>
    <row r="8739" spans="1:1" x14ac:dyDescent="0.2">
      <c r="A8739" s="1135" t="str">
        <f>CONCATENATE(Programme!C8740,Programme!D8740,Programme!E8740,Programme!F8740,Programme!G8740,Programme!H8740,Programme!I8740)</f>
        <v>&lt;valeur&gt;MAT DE TRANSPORST&lt;/valeur&gt;</v>
      </c>
    </row>
    <row r="8740" spans="1:1" x14ac:dyDescent="0.2">
      <c r="A8740" s="1135" t="str">
        <f>CONCATENATE(Programme!C8741,Programme!D8741,Programme!E8741,Programme!F8741,Programme!G8741,Programme!H8741,Programme!I8741)</f>
        <v>&lt;numeroLigne&gt;5&lt;/numeroLigne&gt;</v>
      </c>
    </row>
    <row r="8741" spans="1:1" x14ac:dyDescent="0.2">
      <c r="A8741" s="1135" t="str">
        <f>CONCATENATE(Programme!C8742,Programme!D8742,Programme!E8742,Programme!F8742,Programme!G8742,Programme!H8742,Programme!I8742)</f>
        <v>&lt;/ValeurCellule&gt;</v>
      </c>
    </row>
    <row r="8742" spans="1:1" x14ac:dyDescent="0.2">
      <c r="A8742" s="1135" t="str">
        <f>CONCATENATE(Programme!C8743,Programme!D8743,Programme!E8743,Programme!F8743,Programme!G8743,Programme!H8743,Programme!I8743)</f>
        <v>&lt;ValeurCellule&gt;</v>
      </c>
    </row>
    <row r="8743" spans="1:1" x14ac:dyDescent="0.2">
      <c r="A8743" s="1135" t="str">
        <f>CONCATENATE(Programme!C8744,Programme!D8744,Programme!E8744,Programme!F8744,Programme!G8744,Programme!H8744,Programme!I8744)</f>
        <v>&lt;cellule&gt;&lt;codeEdi&gt;1078&lt;/codeEdi&gt;&lt;/cellule&gt;</v>
      </c>
    </row>
    <row r="8744" spans="1:1" x14ac:dyDescent="0.2">
      <c r="A8744" s="1135" t="str">
        <f>CONCATENATE(Programme!C8745,Programme!D8745,Programme!E8745,Programme!F8745,Programme!G8745,Programme!H8745,Programme!I8745)</f>
        <v>&lt;valeur&gt;43039&lt;/valeur&gt;</v>
      </c>
    </row>
    <row r="8745" spans="1:1" x14ac:dyDescent="0.2">
      <c r="A8745" s="1135" t="str">
        <f>CONCATENATE(Programme!C8746,Programme!D8746,Programme!E8746,Programme!F8746,Programme!G8746,Programme!H8746,Programme!I8746)</f>
        <v>&lt;numeroLigne&gt;5&lt;/numeroLigne&gt;</v>
      </c>
    </row>
    <row r="8746" spans="1:1" x14ac:dyDescent="0.2">
      <c r="A8746" s="1135" t="str">
        <f>CONCATENATE(Programme!C8747,Programme!D8747,Programme!E8747,Programme!F8747,Programme!G8747,Programme!H8747,Programme!I8747)</f>
        <v>&lt;/ValeurCellule&gt;</v>
      </c>
    </row>
    <row r="8747" spans="1:1" x14ac:dyDescent="0.2">
      <c r="A8747" s="1135" t="str">
        <f>CONCATENATE(Programme!C8748,Programme!D8748,Programme!E8748,Programme!F8748,Programme!G8748,Programme!H8748,Programme!I8748)</f>
        <v>&lt;ValeurCellule&gt;</v>
      </c>
    </row>
    <row r="8748" spans="1:1" x14ac:dyDescent="0.2">
      <c r="A8748" s="1135" t="str">
        <f>CONCATENATE(Programme!C8749,Programme!D8749,Programme!E8749,Programme!F8749,Programme!G8749,Programme!H8749,Programme!I8749)</f>
        <v>&lt;cellule&gt;&lt;codeEdi&gt;1079&lt;/codeEdi&gt;&lt;/cellule&gt;</v>
      </c>
    </row>
    <row r="8749" spans="1:1" x14ac:dyDescent="0.2">
      <c r="A8749" s="1135" t="str">
        <f>CONCATENATE(Programme!C8750,Programme!D8750,Programme!E8750,Programme!F8750,Programme!G8750,Programme!H8750,Programme!I8750)</f>
        <v>&lt;valeur&gt;97104&lt;/valeur&gt;</v>
      </c>
    </row>
    <row r="8750" spans="1:1" x14ac:dyDescent="0.2">
      <c r="A8750" s="1135" t="str">
        <f>CONCATENATE(Programme!C8751,Programme!D8751,Programme!E8751,Programme!F8751,Programme!G8751,Programme!H8751,Programme!I8751)</f>
        <v>&lt;numeroLigne&gt;5&lt;/numeroLigne&gt;</v>
      </c>
    </row>
    <row r="8751" spans="1:1" x14ac:dyDescent="0.2">
      <c r="A8751" s="1135" t="str">
        <f>CONCATENATE(Programme!C8752,Programme!D8752,Programme!E8752,Programme!F8752,Programme!G8752,Programme!H8752,Programme!I8752)</f>
        <v>&lt;/ValeurCellule&gt;</v>
      </c>
    </row>
    <row r="8752" spans="1:1" x14ac:dyDescent="0.2">
      <c r="A8752" s="1135" t="str">
        <f>CONCATENATE(Programme!C8753,Programme!D8753,Programme!E8753,Programme!F8753,Programme!G8753,Programme!H8753,Programme!I8753)</f>
        <v>&lt;ValeurCellule&gt;</v>
      </c>
    </row>
    <row r="8753" spans="1:1" x14ac:dyDescent="0.2">
      <c r="A8753" s="1135" t="str">
        <f>CONCATENATE(Programme!C8754,Programme!D8754,Programme!E8754,Programme!F8754,Programme!G8754,Programme!H8754,Programme!I8754)</f>
        <v>&lt;cellule&gt;&lt;codeEdi&gt;1080&lt;/codeEdi&gt;&lt;/cellule&gt;</v>
      </c>
    </row>
    <row r="8754" spans="1:1" x14ac:dyDescent="0.2">
      <c r="A8754" s="1135" t="str">
        <f>CONCATENATE(Programme!C8755,Programme!D8755,Programme!E8755,Programme!F8755,Programme!G8755,Programme!H8755,Programme!I8755)</f>
        <v>&lt;valeur&gt;&lt;/valeur&gt;</v>
      </c>
    </row>
    <row r="8755" spans="1:1" x14ac:dyDescent="0.2">
      <c r="A8755" s="1135" t="str">
        <f>CONCATENATE(Programme!C8756,Programme!D8756,Programme!E8756,Programme!F8756,Programme!G8756,Programme!H8756,Programme!I8756)</f>
        <v>&lt;numeroLigne&gt;5&lt;/numeroLigne&gt;</v>
      </c>
    </row>
    <row r="8756" spans="1:1" x14ac:dyDescent="0.2">
      <c r="A8756" s="1135" t="str">
        <f>CONCATENATE(Programme!C8757,Programme!D8757,Programme!E8757,Programme!F8757,Programme!G8757,Programme!H8757,Programme!I8757)</f>
        <v>&lt;/ValeurCellule&gt;</v>
      </c>
    </row>
    <row r="8757" spans="1:1" x14ac:dyDescent="0.2">
      <c r="A8757" s="1135" t="str">
        <f>CONCATENATE(Programme!C8758,Programme!D8758,Programme!E8758,Programme!F8758,Programme!G8758,Programme!H8758,Programme!I8758)</f>
        <v>&lt;ValeurCellule&gt;</v>
      </c>
    </row>
    <row r="8758" spans="1:1" x14ac:dyDescent="0.2">
      <c r="A8758" s="1135" t="str">
        <f>CONCATENATE(Programme!C8759,Programme!D8759,Programme!E8759,Programme!F8759,Programme!G8759,Programme!H8759,Programme!I8759)</f>
        <v>&lt;cellule&gt;&lt;codeEdi&gt;1081&lt;/codeEdi&gt;&lt;/cellule&gt;</v>
      </c>
    </row>
    <row r="8759" spans="1:1" x14ac:dyDescent="0.2">
      <c r="A8759" s="1135" t="str">
        <f>CONCATENATE(Programme!C8760,Programme!D8760,Programme!E8760,Programme!F8760,Programme!G8760,Programme!H8760,Programme!I8760)</f>
        <v>&lt;valeur&gt;3236,8&lt;/valeur&gt;</v>
      </c>
    </row>
    <row r="8760" spans="1:1" x14ac:dyDescent="0.2">
      <c r="A8760" s="1135" t="str">
        <f>CONCATENATE(Programme!C8761,Programme!D8761,Programme!E8761,Programme!F8761,Programme!G8761,Programme!H8761,Programme!I8761)</f>
        <v>&lt;numeroLigne&gt;5&lt;/numeroLigne&gt;</v>
      </c>
    </row>
    <row r="8761" spans="1:1" x14ac:dyDescent="0.2">
      <c r="A8761" s="1135" t="str">
        <f>CONCATENATE(Programme!C8762,Programme!D8762,Programme!E8762,Programme!F8762,Programme!G8762,Programme!H8762,Programme!I8762)</f>
        <v>&lt;/ValeurCellule&gt;</v>
      </c>
    </row>
    <row r="8762" spans="1:1" x14ac:dyDescent="0.2">
      <c r="A8762" s="1135" t="str">
        <f>CONCATENATE(Programme!C8763,Programme!D8763,Programme!E8763,Programme!F8763,Programme!G8763,Programme!H8763,Programme!I8763)</f>
        <v>&lt;ValeurCellule&gt;</v>
      </c>
    </row>
    <row r="8763" spans="1:1" x14ac:dyDescent="0.2">
      <c r="A8763" s="1135" t="str">
        <f>CONCATENATE(Programme!C8764,Programme!D8764,Programme!E8764,Programme!F8764,Programme!G8764,Programme!H8764,Programme!I8764)</f>
        <v>&lt;cellule&gt;&lt;codeEdi&gt;1082&lt;/codeEdi&gt;&lt;/cellule&gt;</v>
      </c>
    </row>
    <row r="8764" spans="1:1" x14ac:dyDescent="0.2">
      <c r="A8764" s="1135" t="str">
        <f>CONCATENATE(Programme!C8765,Programme!D8765,Programme!E8765,Programme!F8765,Programme!G8765,Programme!H8765,Programme!I8765)</f>
        <v>&lt;valeur&gt;0,2&lt;/valeur&gt;</v>
      </c>
    </row>
    <row r="8765" spans="1:1" x14ac:dyDescent="0.2">
      <c r="A8765" s="1135" t="str">
        <f>CONCATENATE(Programme!C8766,Programme!D8766,Programme!E8766,Programme!F8766,Programme!G8766,Programme!H8766,Programme!I8766)</f>
        <v>&lt;numeroLigne&gt;5&lt;/numeroLigne&gt;</v>
      </c>
    </row>
    <row r="8766" spans="1:1" x14ac:dyDescent="0.2">
      <c r="A8766" s="1135" t="str">
        <f>CONCATENATE(Programme!C8767,Programme!D8767,Programme!E8767,Programme!F8767,Programme!G8767,Programme!H8767,Programme!I8767)</f>
        <v>&lt;/ValeurCellule&gt;</v>
      </c>
    </row>
    <row r="8767" spans="1:1" x14ac:dyDescent="0.2">
      <c r="A8767" s="1135" t="str">
        <f>CONCATENATE(Programme!C8768,Programme!D8768,Programme!E8768,Programme!F8768,Programme!G8768,Programme!H8768,Programme!I8768)</f>
        <v>&lt;ValeurCellule&gt;</v>
      </c>
    </row>
    <row r="8768" spans="1:1" x14ac:dyDescent="0.2">
      <c r="A8768" s="1135" t="str">
        <f>CONCATENATE(Programme!C8769,Programme!D8769,Programme!E8769,Programme!F8769,Programme!G8769,Programme!H8769,Programme!I8769)</f>
        <v>&lt;cellule&gt;&lt;codeEdi&gt;1083&lt;/codeEdi&gt;&lt;/cellule&gt;</v>
      </c>
    </row>
    <row r="8769" spans="1:1" x14ac:dyDescent="0.2">
      <c r="A8769" s="1135" t="str">
        <f>CONCATENATE(Programme!C8770,Programme!D8770,Programme!E8770,Programme!F8770,Programme!G8770,Programme!H8770,Programme!I8770)</f>
        <v>&lt;valeur&gt;5&lt;/valeur&gt;</v>
      </c>
    </row>
    <row r="8770" spans="1:1" x14ac:dyDescent="0.2">
      <c r="A8770" s="1135" t="str">
        <f>CONCATENATE(Programme!C8771,Programme!D8771,Programme!E8771,Programme!F8771,Programme!G8771,Programme!H8771,Programme!I8771)</f>
        <v>&lt;numeroLigne&gt;5&lt;/numeroLigne&gt;</v>
      </c>
    </row>
    <row r="8771" spans="1:1" x14ac:dyDescent="0.2">
      <c r="A8771" s="1135" t="str">
        <f>CONCATENATE(Programme!C8772,Programme!D8772,Programme!E8772,Programme!F8772,Programme!G8772,Programme!H8772,Programme!I8772)</f>
        <v>&lt;/ValeurCellule&gt;</v>
      </c>
    </row>
    <row r="8772" spans="1:1" x14ac:dyDescent="0.2">
      <c r="A8772" s="1135" t="str">
        <f>CONCATENATE(Programme!C8773,Programme!D8773,Programme!E8773,Programme!F8773,Programme!G8773,Programme!H8773,Programme!I8773)</f>
        <v>&lt;ValeurCellule&gt;</v>
      </c>
    </row>
    <row r="8773" spans="1:1" x14ac:dyDescent="0.2">
      <c r="A8773" s="1135" t="str">
        <f>CONCATENATE(Programme!C8774,Programme!D8774,Programme!E8774,Programme!F8774,Programme!G8774,Programme!H8774,Programme!I8774)</f>
        <v>&lt;cellule&gt;&lt;codeEdi&gt;1084&lt;/codeEdi&gt;&lt;/cellule&gt;</v>
      </c>
    </row>
    <row r="8774" spans="1:1" x14ac:dyDescent="0.2">
      <c r="A8774" s="1135" t="str">
        <f>CONCATENATE(Programme!C8775,Programme!D8775,Programme!E8775,Programme!F8775,Programme!G8775,Programme!H8775,Programme!I8775)</f>
        <v>&lt;valeur&gt;19420,8&lt;/valeur&gt;</v>
      </c>
    </row>
    <row r="8775" spans="1:1" x14ac:dyDescent="0.2">
      <c r="A8775" s="1135" t="str">
        <f>CONCATENATE(Programme!C8776,Programme!D8776,Programme!E8776,Programme!F8776,Programme!G8776,Programme!H8776,Programme!I8776)</f>
        <v>&lt;numeroLigne&gt;5&lt;/numeroLigne&gt;</v>
      </c>
    </row>
    <row r="8776" spans="1:1" x14ac:dyDescent="0.2">
      <c r="A8776" s="1135" t="str">
        <f>CONCATENATE(Programme!C8777,Programme!D8777,Programme!E8777,Programme!F8777,Programme!G8777,Programme!H8777,Programme!I8777)</f>
        <v>&lt;/ValeurCellule&gt;</v>
      </c>
    </row>
    <row r="8777" spans="1:1" x14ac:dyDescent="0.2">
      <c r="A8777" s="1135" t="str">
        <f>CONCATENATE(Programme!C8778,Programme!D8778,Programme!E8778,Programme!F8778,Programme!G8778,Programme!H8778,Programme!I8778)</f>
        <v>&lt;ValeurCellule&gt;</v>
      </c>
    </row>
    <row r="8778" spans="1:1" x14ac:dyDescent="0.2">
      <c r="A8778" s="1135" t="str">
        <f>CONCATENATE(Programme!C8779,Programme!D8779,Programme!E8779,Programme!F8779,Programme!G8779,Programme!H8779,Programme!I8779)</f>
        <v>&lt;cellule&gt;&lt;codeEdi&gt;1085&lt;/codeEdi&gt;&lt;/cellule&gt;</v>
      </c>
    </row>
    <row r="8779" spans="1:1" x14ac:dyDescent="0.2">
      <c r="A8779" s="1135" t="str">
        <f>CONCATENATE(Programme!C8780,Programme!D8780,Programme!E8780,Programme!F8780,Programme!G8780,Programme!H8780,Programme!I8780)</f>
        <v>&lt;valeur&gt;19420,8&lt;/valeur&gt;</v>
      </c>
    </row>
    <row r="8780" spans="1:1" x14ac:dyDescent="0.2">
      <c r="A8780" s="1135" t="str">
        <f>CONCATENATE(Programme!C8781,Programme!D8781,Programme!E8781,Programme!F8781,Programme!G8781,Programme!H8781,Programme!I8781)</f>
        <v>&lt;numeroLigne&gt;5&lt;/numeroLigne&gt;</v>
      </c>
    </row>
    <row r="8781" spans="1:1" x14ac:dyDescent="0.2">
      <c r="A8781" s="1135" t="str">
        <f>CONCATENATE(Programme!C8782,Programme!D8782,Programme!E8782,Programme!F8782,Programme!G8782,Programme!H8782,Programme!I8782)</f>
        <v>&lt;/ValeurCellule&gt;</v>
      </c>
    </row>
    <row r="8782" spans="1:1" x14ac:dyDescent="0.2">
      <c r="A8782" s="1135" t="str">
        <f>CONCATENATE(Programme!C8783,Programme!D8783,Programme!E8783,Programme!F8783,Programme!G8783,Programme!H8783,Programme!I8783)</f>
        <v>&lt;ValeurCellule&gt;</v>
      </c>
    </row>
    <row r="8783" spans="1:1" x14ac:dyDescent="0.2">
      <c r="A8783" s="1135" t="str">
        <f>CONCATENATE(Programme!C8784,Programme!D8784,Programme!E8784,Programme!F8784,Programme!G8784,Programme!H8784,Programme!I8784)</f>
        <v>&lt;cellule&gt;&lt;codeEdi&gt;1086&lt;/codeEdi&gt;&lt;/cellule&gt;</v>
      </c>
    </row>
    <row r="8784" spans="1:1" x14ac:dyDescent="0.2">
      <c r="A8784" s="1135" t="str">
        <f>CONCATENATE(Programme!C8785,Programme!D8785,Programme!E8785,Programme!F8785,Programme!G8785,Programme!H8785,Programme!I8785)</f>
        <v>&lt;valeur&gt;&lt;/valeur&gt;</v>
      </c>
    </row>
    <row r="8785" spans="1:1" x14ac:dyDescent="0.2">
      <c r="A8785" s="1135" t="str">
        <f>CONCATENATE(Programme!C8786,Programme!D8786,Programme!E8786,Programme!F8786,Programme!G8786,Programme!H8786,Programme!I8786)</f>
        <v>&lt;numeroLigne&gt;5&lt;/numeroLigne&gt;</v>
      </c>
    </row>
    <row r="8786" spans="1:1" x14ac:dyDescent="0.2">
      <c r="A8786" s="1135" t="str">
        <f>CONCATENATE(Programme!C8787,Programme!D8787,Programme!E8787,Programme!F8787,Programme!G8787,Programme!H8787,Programme!I8787)</f>
        <v>&lt;/ValeurCellule&gt;</v>
      </c>
    </row>
    <row r="8787" spans="1:1" x14ac:dyDescent="0.2">
      <c r="A8787" s="1135" t="str">
        <f>CONCATENATE(Programme!C8788,Programme!D8788,Programme!E8788,Programme!F8788,Programme!G8788,Programme!H8788,Programme!I8788)</f>
        <v>&lt;ValeurCellule&gt;</v>
      </c>
    </row>
    <row r="8788" spans="1:1" x14ac:dyDescent="0.2">
      <c r="A8788" s="1135" t="str">
        <f>CONCATENATE(Programme!C8789,Programme!D8789,Programme!E8789,Programme!F8789,Programme!G8789,Programme!H8789,Programme!I8789)</f>
        <v>&lt;cellule&gt;&lt;codeEdi&gt;10061&lt;/codeEdi&gt;&lt;/cellule&gt;</v>
      </c>
    </row>
    <row r="8789" spans="1:1" x14ac:dyDescent="0.2">
      <c r="A8789" s="1135" t="str">
        <f>CONCATENATE(Programme!C8790,Programme!D8790,Programme!E8790,Programme!F8790,Programme!G8790,Programme!H8790,Programme!I8790)</f>
        <v>&lt;valeur&gt;MAT DE TRANSPORST&lt;/valeur&gt;</v>
      </c>
    </row>
    <row r="8790" spans="1:1" x14ac:dyDescent="0.2">
      <c r="A8790" s="1135" t="str">
        <f>CONCATENATE(Programme!C8791,Programme!D8791,Programme!E8791,Programme!F8791,Programme!G8791,Programme!H8791,Programme!I8791)</f>
        <v>&lt;numeroLigne&gt;6&lt;/numeroLigne&gt;</v>
      </c>
    </row>
    <row r="8791" spans="1:1" x14ac:dyDescent="0.2">
      <c r="A8791" s="1135" t="str">
        <f>CONCATENATE(Programme!C8792,Programme!D8792,Programme!E8792,Programme!F8792,Programme!G8792,Programme!H8792,Programme!I8792)</f>
        <v>&lt;/ValeurCellule&gt;</v>
      </c>
    </row>
    <row r="8792" spans="1:1" x14ac:dyDescent="0.2">
      <c r="A8792" s="1135" t="str">
        <f>CONCATENATE(Programme!C8793,Programme!D8793,Programme!E8793,Programme!F8793,Programme!G8793,Programme!H8793,Programme!I8793)</f>
        <v>&lt;ValeurCellule&gt;</v>
      </c>
    </row>
    <row r="8793" spans="1:1" x14ac:dyDescent="0.2">
      <c r="A8793" s="1135" t="str">
        <f>CONCATENATE(Programme!C8794,Programme!D8794,Programme!E8794,Programme!F8794,Programme!G8794,Programme!H8794,Programme!I8794)</f>
        <v>&lt;cellule&gt;&lt;codeEdi&gt;1078&lt;/codeEdi&gt;&lt;/cellule&gt;</v>
      </c>
    </row>
    <row r="8794" spans="1:1" x14ac:dyDescent="0.2">
      <c r="A8794" s="1135" t="str">
        <f>CONCATENATE(Programme!C8795,Programme!D8795,Programme!E8795,Programme!F8795,Programme!G8795,Programme!H8795,Programme!I8795)</f>
        <v>&lt;valeur&gt;43054&lt;/valeur&gt;</v>
      </c>
    </row>
    <row r="8795" spans="1:1" x14ac:dyDescent="0.2">
      <c r="A8795" s="1135" t="str">
        <f>CONCATENATE(Programme!C8796,Programme!D8796,Programme!E8796,Programme!F8796,Programme!G8796,Programme!H8796,Programme!I8796)</f>
        <v>&lt;numeroLigne&gt;6&lt;/numeroLigne&gt;</v>
      </c>
    </row>
    <row r="8796" spans="1:1" x14ac:dyDescent="0.2">
      <c r="A8796" s="1135" t="str">
        <f>CONCATENATE(Programme!C8797,Programme!D8797,Programme!E8797,Programme!F8797,Programme!G8797,Programme!H8797,Programme!I8797)</f>
        <v>&lt;/ValeurCellule&gt;</v>
      </c>
    </row>
    <row r="8797" spans="1:1" x14ac:dyDescent="0.2">
      <c r="A8797" s="1135" t="str">
        <f>CONCATENATE(Programme!C8798,Programme!D8798,Programme!E8798,Programme!F8798,Programme!G8798,Programme!H8798,Programme!I8798)</f>
        <v>&lt;ValeurCellule&gt;</v>
      </c>
    </row>
    <row r="8798" spans="1:1" x14ac:dyDescent="0.2">
      <c r="A8798" s="1135" t="str">
        <f>CONCATENATE(Programme!C8799,Programme!D8799,Programme!E8799,Programme!F8799,Programme!G8799,Programme!H8799,Programme!I8799)</f>
        <v>&lt;cellule&gt;&lt;codeEdi&gt;1079&lt;/codeEdi&gt;&lt;/cellule&gt;</v>
      </c>
    </row>
    <row r="8799" spans="1:1" x14ac:dyDescent="0.2">
      <c r="A8799" s="1135" t="str">
        <f>CONCATENATE(Programme!C8800,Programme!D8800,Programme!E8800,Programme!F8800,Programme!G8800,Programme!H8800,Programme!I8800)</f>
        <v>&lt;valeur&gt;90300&lt;/valeur&gt;</v>
      </c>
    </row>
    <row r="8800" spans="1:1" x14ac:dyDescent="0.2">
      <c r="A8800" s="1135" t="str">
        <f>CONCATENATE(Programme!C8801,Programme!D8801,Programme!E8801,Programme!F8801,Programme!G8801,Programme!H8801,Programme!I8801)</f>
        <v>&lt;numeroLigne&gt;6&lt;/numeroLigne&gt;</v>
      </c>
    </row>
    <row r="8801" spans="1:1" x14ac:dyDescent="0.2">
      <c r="A8801" s="1135" t="str">
        <f>CONCATENATE(Programme!C8802,Programme!D8802,Programme!E8802,Programme!F8802,Programme!G8802,Programme!H8802,Programme!I8802)</f>
        <v>&lt;/ValeurCellule&gt;</v>
      </c>
    </row>
    <row r="8802" spans="1:1" x14ac:dyDescent="0.2">
      <c r="A8802" s="1135" t="str">
        <f>CONCATENATE(Programme!C8803,Programme!D8803,Programme!E8803,Programme!F8803,Programme!G8803,Programme!H8803,Programme!I8803)</f>
        <v>&lt;ValeurCellule&gt;</v>
      </c>
    </row>
    <row r="8803" spans="1:1" x14ac:dyDescent="0.2">
      <c r="A8803" s="1135" t="str">
        <f>CONCATENATE(Programme!C8804,Programme!D8804,Programme!E8804,Programme!F8804,Programme!G8804,Programme!H8804,Programme!I8804)</f>
        <v>&lt;cellule&gt;&lt;codeEdi&gt;1080&lt;/codeEdi&gt;&lt;/cellule&gt;</v>
      </c>
    </row>
    <row r="8804" spans="1:1" x14ac:dyDescent="0.2">
      <c r="A8804" s="1135" t="str">
        <f>CONCATENATE(Programme!C8805,Programme!D8805,Programme!E8805,Programme!F8805,Programme!G8805,Programme!H8805,Programme!I8805)</f>
        <v>&lt;valeur&gt;&lt;/valeur&gt;</v>
      </c>
    </row>
    <row r="8805" spans="1:1" x14ac:dyDescent="0.2">
      <c r="A8805" s="1135" t="str">
        <f>CONCATENATE(Programme!C8806,Programme!D8806,Programme!E8806,Programme!F8806,Programme!G8806,Programme!H8806,Programme!I8806)</f>
        <v>&lt;numeroLigne&gt;6&lt;/numeroLigne&gt;</v>
      </c>
    </row>
    <row r="8806" spans="1:1" x14ac:dyDescent="0.2">
      <c r="A8806" s="1135" t="str">
        <f>CONCATENATE(Programme!C8807,Programme!D8807,Programme!E8807,Programme!F8807,Programme!G8807,Programme!H8807,Programme!I8807)</f>
        <v>&lt;/ValeurCellule&gt;</v>
      </c>
    </row>
    <row r="8807" spans="1:1" x14ac:dyDescent="0.2">
      <c r="A8807" s="1135" t="str">
        <f>CONCATENATE(Programme!C8808,Programme!D8808,Programme!E8808,Programme!F8808,Programme!G8808,Programme!H8808,Programme!I8808)</f>
        <v>&lt;ValeurCellule&gt;</v>
      </c>
    </row>
    <row r="8808" spans="1:1" x14ac:dyDescent="0.2">
      <c r="A8808" s="1135" t="str">
        <f>CONCATENATE(Programme!C8809,Programme!D8809,Programme!E8809,Programme!F8809,Programme!G8809,Programme!H8809,Programme!I8809)</f>
        <v>&lt;cellule&gt;&lt;codeEdi&gt;1081&lt;/codeEdi&gt;&lt;/cellule&gt;</v>
      </c>
    </row>
    <row r="8809" spans="1:1" x14ac:dyDescent="0.2">
      <c r="A8809" s="1135" t="str">
        <f>CONCATENATE(Programme!C8810,Programme!D8810,Programme!E8810,Programme!F8810,Programme!G8810,Programme!H8810,Programme!I8810)</f>
        <v>&lt;valeur&gt;2257,5&lt;/valeur&gt;</v>
      </c>
    </row>
    <row r="8810" spans="1:1" x14ac:dyDescent="0.2">
      <c r="A8810" s="1135" t="str">
        <f>CONCATENATE(Programme!C8811,Programme!D8811,Programme!E8811,Programme!F8811,Programme!G8811,Programme!H8811,Programme!I8811)</f>
        <v>&lt;numeroLigne&gt;6&lt;/numeroLigne&gt;</v>
      </c>
    </row>
    <row r="8811" spans="1:1" x14ac:dyDescent="0.2">
      <c r="A8811" s="1135" t="str">
        <f>CONCATENATE(Programme!C8812,Programme!D8812,Programme!E8812,Programme!F8812,Programme!G8812,Programme!H8812,Programme!I8812)</f>
        <v>&lt;/ValeurCellule&gt;</v>
      </c>
    </row>
    <row r="8812" spans="1:1" x14ac:dyDescent="0.2">
      <c r="A8812" s="1135" t="str">
        <f>CONCATENATE(Programme!C8813,Programme!D8813,Programme!E8813,Programme!F8813,Programme!G8813,Programme!H8813,Programme!I8813)</f>
        <v>&lt;ValeurCellule&gt;</v>
      </c>
    </row>
    <row r="8813" spans="1:1" x14ac:dyDescent="0.2">
      <c r="A8813" s="1135" t="str">
        <f>CONCATENATE(Programme!C8814,Programme!D8814,Programme!E8814,Programme!F8814,Programme!G8814,Programme!H8814,Programme!I8814)</f>
        <v>&lt;cellule&gt;&lt;codeEdi&gt;1082&lt;/codeEdi&gt;&lt;/cellule&gt;</v>
      </c>
    </row>
    <row r="8814" spans="1:1" x14ac:dyDescent="0.2">
      <c r="A8814" s="1135" t="str">
        <f>CONCATENATE(Programme!C8815,Programme!D8815,Programme!E8815,Programme!F8815,Programme!G8815,Programme!H8815,Programme!I8815)</f>
        <v>&lt;valeur&gt;0,2&lt;/valeur&gt;</v>
      </c>
    </row>
    <row r="8815" spans="1:1" x14ac:dyDescent="0.2">
      <c r="A8815" s="1135" t="str">
        <f>CONCATENATE(Programme!C8816,Programme!D8816,Programme!E8816,Programme!F8816,Programme!G8816,Programme!H8816,Programme!I8816)</f>
        <v>&lt;numeroLigne&gt;6&lt;/numeroLigne&gt;</v>
      </c>
    </row>
    <row r="8816" spans="1:1" x14ac:dyDescent="0.2">
      <c r="A8816" s="1135" t="str">
        <f>CONCATENATE(Programme!C8817,Programme!D8817,Programme!E8817,Programme!F8817,Programme!G8817,Programme!H8817,Programme!I8817)</f>
        <v>&lt;/ValeurCellule&gt;</v>
      </c>
    </row>
    <row r="8817" spans="1:1" x14ac:dyDescent="0.2">
      <c r="A8817" s="1135" t="str">
        <f>CONCATENATE(Programme!C8818,Programme!D8818,Programme!E8818,Programme!F8818,Programme!G8818,Programme!H8818,Programme!I8818)</f>
        <v>&lt;ValeurCellule&gt;</v>
      </c>
    </row>
    <row r="8818" spans="1:1" x14ac:dyDescent="0.2">
      <c r="A8818" s="1135" t="str">
        <f>CONCATENATE(Programme!C8819,Programme!D8819,Programme!E8819,Programme!F8819,Programme!G8819,Programme!H8819,Programme!I8819)</f>
        <v>&lt;cellule&gt;&lt;codeEdi&gt;1083&lt;/codeEdi&gt;&lt;/cellule&gt;</v>
      </c>
    </row>
    <row r="8819" spans="1:1" x14ac:dyDescent="0.2">
      <c r="A8819" s="1135" t="str">
        <f>CONCATENATE(Programme!C8820,Programme!D8820,Programme!E8820,Programme!F8820,Programme!G8820,Programme!H8820,Programme!I8820)</f>
        <v>&lt;valeur&gt;5&lt;/valeur&gt;</v>
      </c>
    </row>
    <row r="8820" spans="1:1" x14ac:dyDescent="0.2">
      <c r="A8820" s="1135" t="str">
        <f>CONCATENATE(Programme!C8821,Programme!D8821,Programme!E8821,Programme!F8821,Programme!G8821,Programme!H8821,Programme!I8821)</f>
        <v>&lt;numeroLigne&gt;6&lt;/numeroLigne&gt;</v>
      </c>
    </row>
    <row r="8821" spans="1:1" x14ac:dyDescent="0.2">
      <c r="A8821" s="1135" t="str">
        <f>CONCATENATE(Programme!C8822,Programme!D8822,Programme!E8822,Programme!F8822,Programme!G8822,Programme!H8822,Programme!I8822)</f>
        <v>&lt;/ValeurCellule&gt;</v>
      </c>
    </row>
    <row r="8822" spans="1:1" x14ac:dyDescent="0.2">
      <c r="A8822" s="1135" t="str">
        <f>CONCATENATE(Programme!C8823,Programme!D8823,Programme!E8823,Programme!F8823,Programme!G8823,Programme!H8823,Programme!I8823)</f>
        <v>&lt;ValeurCellule&gt;</v>
      </c>
    </row>
    <row r="8823" spans="1:1" x14ac:dyDescent="0.2">
      <c r="A8823" s="1135" t="str">
        <f>CONCATENATE(Programme!C8824,Programme!D8824,Programme!E8824,Programme!F8824,Programme!G8824,Programme!H8824,Programme!I8824)</f>
        <v>&lt;cellule&gt;&lt;codeEdi&gt;1084&lt;/codeEdi&gt;&lt;/cellule&gt;</v>
      </c>
    </row>
    <row r="8824" spans="1:1" x14ac:dyDescent="0.2">
      <c r="A8824" s="1135" t="str">
        <f>CONCATENATE(Programme!C8825,Programme!D8825,Programme!E8825,Programme!F8825,Programme!G8825,Programme!H8825,Programme!I8825)</f>
        <v>&lt;valeur&gt;18060&lt;/valeur&gt;</v>
      </c>
    </row>
    <row r="8825" spans="1:1" x14ac:dyDescent="0.2">
      <c r="A8825" s="1135" t="str">
        <f>CONCATENATE(Programme!C8826,Programme!D8826,Programme!E8826,Programme!F8826,Programme!G8826,Programme!H8826,Programme!I8826)</f>
        <v>&lt;numeroLigne&gt;6&lt;/numeroLigne&gt;</v>
      </c>
    </row>
    <row r="8826" spans="1:1" x14ac:dyDescent="0.2">
      <c r="A8826" s="1135" t="str">
        <f>CONCATENATE(Programme!C8827,Programme!D8827,Programme!E8827,Programme!F8827,Programme!G8827,Programme!H8827,Programme!I8827)</f>
        <v>&lt;/ValeurCellule&gt;</v>
      </c>
    </row>
    <row r="8827" spans="1:1" x14ac:dyDescent="0.2">
      <c r="A8827" s="1135" t="str">
        <f>CONCATENATE(Programme!C8828,Programme!D8828,Programme!E8828,Programme!F8828,Programme!G8828,Programme!H8828,Programme!I8828)</f>
        <v>&lt;ValeurCellule&gt;</v>
      </c>
    </row>
    <row r="8828" spans="1:1" x14ac:dyDescent="0.2">
      <c r="A8828" s="1135" t="str">
        <f>CONCATENATE(Programme!C8829,Programme!D8829,Programme!E8829,Programme!F8829,Programme!G8829,Programme!H8829,Programme!I8829)</f>
        <v>&lt;cellule&gt;&lt;codeEdi&gt;1085&lt;/codeEdi&gt;&lt;/cellule&gt;</v>
      </c>
    </row>
    <row r="8829" spans="1:1" x14ac:dyDescent="0.2">
      <c r="A8829" s="1135" t="str">
        <f>CONCATENATE(Programme!C8830,Programme!D8830,Programme!E8830,Programme!F8830,Programme!G8830,Programme!H8830,Programme!I8830)</f>
        <v>&lt;valeur&gt;18060&lt;/valeur&gt;</v>
      </c>
    </row>
    <row r="8830" spans="1:1" x14ac:dyDescent="0.2">
      <c r="A8830" s="1135" t="str">
        <f>CONCATENATE(Programme!C8831,Programme!D8831,Programme!E8831,Programme!F8831,Programme!G8831,Programme!H8831,Programme!I8831)</f>
        <v>&lt;numeroLigne&gt;6&lt;/numeroLigne&gt;</v>
      </c>
    </row>
    <row r="8831" spans="1:1" x14ac:dyDescent="0.2">
      <c r="A8831" s="1135" t="str">
        <f>CONCATENATE(Programme!C8832,Programme!D8832,Programme!E8832,Programme!F8832,Programme!G8832,Programme!H8832,Programme!I8832)</f>
        <v>&lt;/ValeurCellule&gt;</v>
      </c>
    </row>
    <row r="8832" spans="1:1" x14ac:dyDescent="0.2">
      <c r="A8832" s="1135" t="str">
        <f>CONCATENATE(Programme!C8833,Programme!D8833,Programme!E8833,Programme!F8833,Programme!G8833,Programme!H8833,Programme!I8833)</f>
        <v>&lt;ValeurCellule&gt;</v>
      </c>
    </row>
    <row r="8833" spans="1:1" x14ac:dyDescent="0.2">
      <c r="A8833" s="1135" t="str">
        <f>CONCATENATE(Programme!C8834,Programme!D8834,Programme!E8834,Programme!F8834,Programme!G8834,Programme!H8834,Programme!I8834)</f>
        <v>&lt;cellule&gt;&lt;codeEdi&gt;1086&lt;/codeEdi&gt;&lt;/cellule&gt;</v>
      </c>
    </row>
    <row r="8834" spans="1:1" x14ac:dyDescent="0.2">
      <c r="A8834" s="1135" t="str">
        <f>CONCATENATE(Programme!C8835,Programme!D8835,Programme!E8835,Programme!F8835,Programme!G8835,Programme!H8835,Programme!I8835)</f>
        <v>&lt;valeur&gt;&lt;/valeur&gt;</v>
      </c>
    </row>
    <row r="8835" spans="1:1" x14ac:dyDescent="0.2">
      <c r="A8835" s="1135" t="str">
        <f>CONCATENATE(Programme!C8836,Programme!D8836,Programme!E8836,Programme!F8836,Programme!G8836,Programme!H8836,Programme!I8836)</f>
        <v>&lt;numeroLigne&gt;6&lt;/numeroLigne&gt;</v>
      </c>
    </row>
    <row r="8836" spans="1:1" x14ac:dyDescent="0.2">
      <c r="A8836" s="1135" t="str">
        <f>CONCATENATE(Programme!C8837,Programme!D8837,Programme!E8837,Programme!F8837,Programme!G8837,Programme!H8837,Programme!I8837)</f>
        <v>&lt;/ValeurCellule&gt;</v>
      </c>
    </row>
    <row r="8837" spans="1:1" x14ac:dyDescent="0.2">
      <c r="A8837" s="1135" t="str">
        <f>CONCATENATE(Programme!C8838,Programme!D8838,Programme!E8838,Programme!F8838,Programme!G8838,Programme!H8838,Programme!I8838)</f>
        <v>&lt;ValeurCellule&gt;</v>
      </c>
    </row>
    <row r="8838" spans="1:1" x14ac:dyDescent="0.2">
      <c r="A8838" s="1135" t="str">
        <f>CONCATENATE(Programme!C8839,Programme!D8839,Programme!E8839,Programme!F8839,Programme!G8839,Programme!H8839,Programme!I8839)</f>
        <v>&lt;cellule&gt;&lt;codeEdi&gt;10061&lt;/codeEdi&gt;&lt;/cellule&gt;</v>
      </c>
    </row>
    <row r="8839" spans="1:1" x14ac:dyDescent="0.2">
      <c r="A8839" s="1135" t="str">
        <f>CONCATENATE(Programme!C8840,Programme!D8840,Programme!E8840,Programme!F8840,Programme!G8840,Programme!H8840,Programme!I8840)</f>
        <v>&lt;valeur&gt;MAT DE TRANSPORST&lt;/valeur&gt;</v>
      </c>
    </row>
    <row r="8840" spans="1:1" x14ac:dyDescent="0.2">
      <c r="A8840" s="1135" t="str">
        <f>CONCATENATE(Programme!C8841,Programme!D8841,Programme!E8841,Programme!F8841,Programme!G8841,Programme!H8841,Programme!I8841)</f>
        <v>&lt;numeroLigne&gt;7&lt;/numeroLigne&gt;</v>
      </c>
    </row>
    <row r="8841" spans="1:1" x14ac:dyDescent="0.2">
      <c r="A8841" s="1135" t="str">
        <f>CONCATENATE(Programme!C8842,Programme!D8842,Programme!E8842,Programme!F8842,Programme!G8842,Programme!H8842,Programme!I8842)</f>
        <v>&lt;/ValeurCellule&gt;</v>
      </c>
    </row>
    <row r="8842" spans="1:1" x14ac:dyDescent="0.2">
      <c r="A8842" s="1135" t="str">
        <f>CONCATENATE(Programme!C8843,Programme!D8843,Programme!E8843,Programme!F8843,Programme!G8843,Programme!H8843,Programme!I8843)</f>
        <v>&lt;ValeurCellule&gt;</v>
      </c>
    </row>
    <row r="8843" spans="1:1" x14ac:dyDescent="0.2">
      <c r="A8843" s="1135" t="str">
        <f>CONCATENATE(Programme!C8844,Programme!D8844,Programme!E8844,Programme!F8844,Programme!G8844,Programme!H8844,Programme!I8844)</f>
        <v>&lt;cellule&gt;&lt;codeEdi&gt;1078&lt;/codeEdi&gt;&lt;/cellule&gt;</v>
      </c>
    </row>
    <row r="8844" spans="1:1" x14ac:dyDescent="0.2">
      <c r="A8844" s="1135" t="str">
        <f>CONCATENATE(Programme!C8845,Programme!D8845,Programme!E8845,Programme!F8845,Programme!G8845,Programme!H8845,Programme!I8845)</f>
        <v>&lt;valeur&gt;43063&lt;/valeur&gt;</v>
      </c>
    </row>
    <row r="8845" spans="1:1" x14ac:dyDescent="0.2">
      <c r="A8845" s="1135" t="str">
        <f>CONCATENATE(Programme!C8846,Programme!D8846,Programme!E8846,Programme!F8846,Programme!G8846,Programme!H8846,Programme!I8846)</f>
        <v>&lt;numeroLigne&gt;7&lt;/numeroLigne&gt;</v>
      </c>
    </row>
    <row r="8846" spans="1:1" x14ac:dyDescent="0.2">
      <c r="A8846" s="1135" t="str">
        <f>CONCATENATE(Programme!C8847,Programme!D8847,Programme!E8847,Programme!F8847,Programme!G8847,Programme!H8847,Programme!I8847)</f>
        <v>&lt;/ValeurCellule&gt;</v>
      </c>
    </row>
    <row r="8847" spans="1:1" x14ac:dyDescent="0.2">
      <c r="A8847" s="1135" t="str">
        <f>CONCATENATE(Programme!C8848,Programme!D8848,Programme!E8848,Programme!F8848,Programme!G8848,Programme!H8848,Programme!I8848)</f>
        <v>&lt;ValeurCellule&gt;</v>
      </c>
    </row>
    <row r="8848" spans="1:1" x14ac:dyDescent="0.2">
      <c r="A8848" s="1135" t="str">
        <f>CONCATENATE(Programme!C8849,Programme!D8849,Programme!E8849,Programme!F8849,Programme!G8849,Programme!H8849,Programme!I8849)</f>
        <v>&lt;cellule&gt;&lt;codeEdi&gt;1079&lt;/codeEdi&gt;&lt;/cellule&gt;</v>
      </c>
    </row>
    <row r="8849" spans="1:1" x14ac:dyDescent="0.2">
      <c r="A8849" s="1135" t="str">
        <f>CONCATENATE(Programme!C8850,Programme!D8850,Programme!E8850,Programme!F8850,Programme!G8850,Programme!H8850,Programme!I8850)</f>
        <v>&lt;valeur&gt;101604,17&lt;/valeur&gt;</v>
      </c>
    </row>
    <row r="8850" spans="1:1" x14ac:dyDescent="0.2">
      <c r="A8850" s="1135" t="str">
        <f>CONCATENATE(Programme!C8851,Programme!D8851,Programme!E8851,Programme!F8851,Programme!G8851,Programme!H8851,Programme!I8851)</f>
        <v>&lt;numeroLigne&gt;7&lt;/numeroLigne&gt;</v>
      </c>
    </row>
    <row r="8851" spans="1:1" x14ac:dyDescent="0.2">
      <c r="A8851" s="1135" t="str">
        <f>CONCATENATE(Programme!C8852,Programme!D8852,Programme!E8852,Programme!F8852,Programme!G8852,Programme!H8852,Programme!I8852)</f>
        <v>&lt;/ValeurCellule&gt;</v>
      </c>
    </row>
    <row r="8852" spans="1:1" x14ac:dyDescent="0.2">
      <c r="A8852" s="1135" t="str">
        <f>CONCATENATE(Programme!C8853,Programme!D8853,Programme!E8853,Programme!F8853,Programme!G8853,Programme!H8853,Programme!I8853)</f>
        <v>&lt;ValeurCellule&gt;</v>
      </c>
    </row>
    <row r="8853" spans="1:1" x14ac:dyDescent="0.2">
      <c r="A8853" s="1135" t="str">
        <f>CONCATENATE(Programme!C8854,Programme!D8854,Programme!E8854,Programme!F8854,Programme!G8854,Programme!H8854,Programme!I8854)</f>
        <v>&lt;cellule&gt;&lt;codeEdi&gt;1080&lt;/codeEdi&gt;&lt;/cellule&gt;</v>
      </c>
    </row>
    <row r="8854" spans="1:1" x14ac:dyDescent="0.2">
      <c r="A8854" s="1135" t="str">
        <f>CONCATENATE(Programme!C8855,Programme!D8855,Programme!E8855,Programme!F8855,Programme!G8855,Programme!H8855,Programme!I8855)</f>
        <v>&lt;valeur&gt;&lt;/valeur&gt;</v>
      </c>
    </row>
    <row r="8855" spans="1:1" x14ac:dyDescent="0.2">
      <c r="A8855" s="1135" t="str">
        <f>CONCATENATE(Programme!C8856,Programme!D8856,Programme!E8856,Programme!F8856,Programme!G8856,Programme!H8856,Programme!I8856)</f>
        <v>&lt;numeroLigne&gt;7&lt;/numeroLigne&gt;</v>
      </c>
    </row>
    <row r="8856" spans="1:1" x14ac:dyDescent="0.2">
      <c r="A8856" s="1135" t="str">
        <f>CONCATENATE(Programme!C8857,Programme!D8857,Programme!E8857,Programme!F8857,Programme!G8857,Programme!H8857,Programme!I8857)</f>
        <v>&lt;/ValeurCellule&gt;</v>
      </c>
    </row>
    <row r="8857" spans="1:1" x14ac:dyDescent="0.2">
      <c r="A8857" s="1135" t="str">
        <f>CONCATENATE(Programme!C8858,Programme!D8858,Programme!E8858,Programme!F8858,Programme!G8858,Programme!H8858,Programme!I8858)</f>
        <v>&lt;ValeurCellule&gt;</v>
      </c>
    </row>
    <row r="8858" spans="1:1" x14ac:dyDescent="0.2">
      <c r="A8858" s="1135" t="str">
        <f>CONCATENATE(Programme!C8859,Programme!D8859,Programme!E8859,Programme!F8859,Programme!G8859,Programme!H8859,Programme!I8859)</f>
        <v>&lt;cellule&gt;&lt;codeEdi&gt;1081&lt;/codeEdi&gt;&lt;/cellule&gt;</v>
      </c>
    </row>
    <row r="8859" spans="1:1" x14ac:dyDescent="0.2">
      <c r="A8859" s="1135" t="str">
        <f>CONCATENATE(Programme!C8860,Programme!D8860,Programme!E8860,Programme!F8860,Programme!G8860,Programme!H8860,Programme!I8860)</f>
        <v>&lt;valeur&gt;1693,4&lt;/valeur&gt;</v>
      </c>
    </row>
    <row r="8860" spans="1:1" x14ac:dyDescent="0.2">
      <c r="A8860" s="1135" t="str">
        <f>CONCATENATE(Programme!C8861,Programme!D8861,Programme!E8861,Programme!F8861,Programme!G8861,Programme!H8861,Programme!I8861)</f>
        <v>&lt;numeroLigne&gt;7&lt;/numeroLigne&gt;</v>
      </c>
    </row>
    <row r="8861" spans="1:1" x14ac:dyDescent="0.2">
      <c r="A8861" s="1135" t="str">
        <f>CONCATENATE(Programme!C8862,Programme!D8862,Programme!E8862,Programme!F8862,Programme!G8862,Programme!H8862,Programme!I8862)</f>
        <v>&lt;/ValeurCellule&gt;</v>
      </c>
    </row>
    <row r="8862" spans="1:1" x14ac:dyDescent="0.2">
      <c r="A8862" s="1135" t="str">
        <f>CONCATENATE(Programme!C8863,Programme!D8863,Programme!E8863,Programme!F8863,Programme!G8863,Programme!H8863,Programme!I8863)</f>
        <v>&lt;ValeurCellule&gt;</v>
      </c>
    </row>
    <row r="8863" spans="1:1" x14ac:dyDescent="0.2">
      <c r="A8863" s="1135" t="str">
        <f>CONCATENATE(Programme!C8864,Programme!D8864,Programme!E8864,Programme!F8864,Programme!G8864,Programme!H8864,Programme!I8864)</f>
        <v>&lt;cellule&gt;&lt;codeEdi&gt;1082&lt;/codeEdi&gt;&lt;/cellule&gt;</v>
      </c>
    </row>
    <row r="8864" spans="1:1" x14ac:dyDescent="0.2">
      <c r="A8864" s="1135" t="str">
        <f>CONCATENATE(Programme!C8865,Programme!D8865,Programme!E8865,Programme!F8865,Programme!G8865,Programme!H8865,Programme!I8865)</f>
        <v>&lt;valeur&gt;0,2&lt;/valeur&gt;</v>
      </c>
    </row>
    <row r="8865" spans="1:1" x14ac:dyDescent="0.2">
      <c r="A8865" s="1135" t="str">
        <f>CONCATENATE(Programme!C8866,Programme!D8866,Programme!E8866,Programme!F8866,Programme!G8866,Programme!H8866,Programme!I8866)</f>
        <v>&lt;numeroLigne&gt;7&lt;/numeroLigne&gt;</v>
      </c>
    </row>
    <row r="8866" spans="1:1" x14ac:dyDescent="0.2">
      <c r="A8866" s="1135" t="str">
        <f>CONCATENATE(Programme!C8867,Programme!D8867,Programme!E8867,Programme!F8867,Programme!G8867,Programme!H8867,Programme!I8867)</f>
        <v>&lt;/ValeurCellule&gt;</v>
      </c>
    </row>
    <row r="8867" spans="1:1" x14ac:dyDescent="0.2">
      <c r="A8867" s="1135" t="str">
        <f>CONCATENATE(Programme!C8868,Programme!D8868,Programme!E8868,Programme!F8868,Programme!G8868,Programme!H8868,Programme!I8868)</f>
        <v>&lt;ValeurCellule&gt;</v>
      </c>
    </row>
    <row r="8868" spans="1:1" x14ac:dyDescent="0.2">
      <c r="A8868" s="1135" t="str">
        <f>CONCATENATE(Programme!C8869,Programme!D8869,Programme!E8869,Programme!F8869,Programme!G8869,Programme!H8869,Programme!I8869)</f>
        <v>&lt;cellule&gt;&lt;codeEdi&gt;1083&lt;/codeEdi&gt;&lt;/cellule&gt;</v>
      </c>
    </row>
    <row r="8869" spans="1:1" x14ac:dyDescent="0.2">
      <c r="A8869" s="1135" t="str">
        <f>CONCATENATE(Programme!C8870,Programme!D8870,Programme!E8870,Programme!F8870,Programme!G8870,Programme!H8870,Programme!I8870)</f>
        <v>&lt;valeur&gt;5&lt;/valeur&gt;</v>
      </c>
    </row>
    <row r="8870" spans="1:1" x14ac:dyDescent="0.2">
      <c r="A8870" s="1135" t="str">
        <f>CONCATENATE(Programme!C8871,Programme!D8871,Programme!E8871,Programme!F8871,Programme!G8871,Programme!H8871,Programme!I8871)</f>
        <v>&lt;numeroLigne&gt;7&lt;/numeroLigne&gt;</v>
      </c>
    </row>
    <row r="8871" spans="1:1" x14ac:dyDescent="0.2">
      <c r="A8871" s="1135" t="str">
        <f>CONCATENATE(Programme!C8872,Programme!D8872,Programme!E8872,Programme!F8872,Programme!G8872,Programme!H8872,Programme!I8872)</f>
        <v>&lt;/ValeurCellule&gt;</v>
      </c>
    </row>
    <row r="8872" spans="1:1" x14ac:dyDescent="0.2">
      <c r="A8872" s="1135" t="str">
        <f>CONCATENATE(Programme!C8873,Programme!D8873,Programme!E8873,Programme!F8873,Programme!G8873,Programme!H8873,Programme!I8873)</f>
        <v>&lt;ValeurCellule&gt;</v>
      </c>
    </row>
    <row r="8873" spans="1:1" x14ac:dyDescent="0.2">
      <c r="A8873" s="1135" t="str">
        <f>CONCATENATE(Programme!C8874,Programme!D8874,Programme!E8874,Programme!F8874,Programme!G8874,Programme!H8874,Programme!I8874)</f>
        <v>&lt;cellule&gt;&lt;codeEdi&gt;1084&lt;/codeEdi&gt;&lt;/cellule&gt;</v>
      </c>
    </row>
    <row r="8874" spans="1:1" x14ac:dyDescent="0.2">
      <c r="A8874" s="1135" t="str">
        <f>CONCATENATE(Programme!C8875,Programme!D8875,Programme!E8875,Programme!F8875,Programme!G8875,Programme!H8875,Programme!I8875)</f>
        <v>&lt;valeur&gt;20320,834&lt;/valeur&gt;</v>
      </c>
    </row>
    <row r="8875" spans="1:1" x14ac:dyDescent="0.2">
      <c r="A8875" s="1135" t="str">
        <f>CONCATENATE(Programme!C8876,Programme!D8876,Programme!E8876,Programme!F8876,Programme!G8876,Programme!H8876,Programme!I8876)</f>
        <v>&lt;numeroLigne&gt;7&lt;/numeroLigne&gt;</v>
      </c>
    </row>
    <row r="8876" spans="1:1" x14ac:dyDescent="0.2">
      <c r="A8876" s="1135" t="str">
        <f>CONCATENATE(Programme!C8877,Programme!D8877,Programme!E8877,Programme!F8877,Programme!G8877,Programme!H8877,Programme!I8877)</f>
        <v>&lt;/ValeurCellule&gt;</v>
      </c>
    </row>
    <row r="8877" spans="1:1" x14ac:dyDescent="0.2">
      <c r="A8877" s="1135" t="str">
        <f>CONCATENATE(Programme!C8878,Programme!D8878,Programme!E8878,Programme!F8878,Programme!G8878,Programme!H8878,Programme!I8878)</f>
        <v>&lt;ValeurCellule&gt;</v>
      </c>
    </row>
    <row r="8878" spans="1:1" x14ac:dyDescent="0.2">
      <c r="A8878" s="1135" t="str">
        <f>CONCATENATE(Programme!C8879,Programme!D8879,Programme!E8879,Programme!F8879,Programme!G8879,Programme!H8879,Programme!I8879)</f>
        <v>&lt;cellule&gt;&lt;codeEdi&gt;1085&lt;/codeEdi&gt;&lt;/cellule&gt;</v>
      </c>
    </row>
    <row r="8879" spans="1:1" x14ac:dyDescent="0.2">
      <c r="A8879" s="1135" t="str">
        <f>CONCATENATE(Programme!C8880,Programme!D8880,Programme!E8880,Programme!F8880,Programme!G8880,Programme!H8880,Programme!I8880)</f>
        <v>&lt;valeur&gt;20320,834&lt;/valeur&gt;</v>
      </c>
    </row>
    <row r="8880" spans="1:1" x14ac:dyDescent="0.2">
      <c r="A8880" s="1135" t="str">
        <f>CONCATENATE(Programme!C8881,Programme!D8881,Programme!E8881,Programme!F8881,Programme!G8881,Programme!H8881,Programme!I8881)</f>
        <v>&lt;numeroLigne&gt;7&lt;/numeroLigne&gt;</v>
      </c>
    </row>
    <row r="8881" spans="1:1" x14ac:dyDescent="0.2">
      <c r="A8881" s="1135" t="str">
        <f>CONCATENATE(Programme!C8882,Programme!D8882,Programme!E8882,Programme!F8882,Programme!G8882,Programme!H8882,Programme!I8882)</f>
        <v>&lt;/ValeurCellule&gt;</v>
      </c>
    </row>
    <row r="8882" spans="1:1" x14ac:dyDescent="0.2">
      <c r="A8882" s="1135" t="str">
        <f>CONCATENATE(Programme!C8883,Programme!D8883,Programme!E8883,Programme!F8883,Programme!G8883,Programme!H8883,Programme!I8883)</f>
        <v>&lt;ValeurCellule&gt;</v>
      </c>
    </row>
    <row r="8883" spans="1:1" x14ac:dyDescent="0.2">
      <c r="A8883" s="1135" t="str">
        <f>CONCATENATE(Programme!C8884,Programme!D8884,Programme!E8884,Programme!F8884,Programme!G8884,Programme!H8884,Programme!I8884)</f>
        <v>&lt;cellule&gt;&lt;codeEdi&gt;1086&lt;/codeEdi&gt;&lt;/cellule&gt;</v>
      </c>
    </row>
    <row r="8884" spans="1:1" x14ac:dyDescent="0.2">
      <c r="A8884" s="1135" t="str">
        <f>CONCATENATE(Programme!C8885,Programme!D8885,Programme!E8885,Programme!F8885,Programme!G8885,Programme!H8885,Programme!I8885)</f>
        <v>&lt;valeur&gt;&lt;/valeur&gt;</v>
      </c>
    </row>
    <row r="8885" spans="1:1" x14ac:dyDescent="0.2">
      <c r="A8885" s="1135" t="str">
        <f>CONCATENATE(Programme!C8886,Programme!D8886,Programme!E8886,Programme!F8886,Programme!G8886,Programme!H8886,Programme!I8886)</f>
        <v>&lt;numeroLigne&gt;7&lt;/numeroLigne&gt;</v>
      </c>
    </row>
    <row r="8886" spans="1:1" x14ac:dyDescent="0.2">
      <c r="A8886" s="1135" t="str">
        <f>CONCATENATE(Programme!C8887,Programme!D8887,Programme!E8887,Programme!F8887,Programme!G8887,Programme!H8887,Programme!I8887)</f>
        <v>&lt;/ValeurCellule&gt;</v>
      </c>
    </row>
    <row r="8887" spans="1:1" x14ac:dyDescent="0.2">
      <c r="A8887" s="1135" t="str">
        <f>CONCATENATE(Programme!C8888,Programme!D8888,Programme!E8888,Programme!F8888,Programme!G8888,Programme!H8888,Programme!I8888)</f>
        <v>&lt;ValeurCellule&gt;</v>
      </c>
    </row>
    <row r="8888" spans="1:1" x14ac:dyDescent="0.2">
      <c r="A8888" s="1135" t="str">
        <f>CONCATENATE(Programme!C8889,Programme!D8889,Programme!E8889,Programme!F8889,Programme!G8889,Programme!H8889,Programme!I8889)</f>
        <v>&lt;cellule&gt;&lt;codeEdi&gt;10061&lt;/codeEdi&gt;&lt;/cellule&gt;</v>
      </c>
    </row>
    <row r="8889" spans="1:1" x14ac:dyDescent="0.2">
      <c r="A8889" s="1135" t="str">
        <f>CONCATENATE(Programme!C8890,Programme!D8890,Programme!E8890,Programme!F8890,Programme!G8890,Programme!H8890,Programme!I8890)</f>
        <v>&lt;valeur&gt;MAT DE TRANSPORST&lt;/valeur&gt;</v>
      </c>
    </row>
    <row r="8890" spans="1:1" x14ac:dyDescent="0.2">
      <c r="A8890" s="1135" t="str">
        <f>CONCATENATE(Programme!C8891,Programme!D8891,Programme!E8891,Programme!F8891,Programme!G8891,Programme!H8891,Programme!I8891)</f>
        <v>&lt;numeroLigne&gt;8&lt;/numeroLigne&gt;</v>
      </c>
    </row>
    <row r="8891" spans="1:1" x14ac:dyDescent="0.2">
      <c r="A8891" s="1135" t="str">
        <f>CONCATENATE(Programme!C8892,Programme!D8892,Programme!E8892,Programme!F8892,Programme!G8892,Programme!H8892,Programme!I8892)</f>
        <v>&lt;/ValeurCellule&gt;</v>
      </c>
    </row>
    <row r="8892" spans="1:1" x14ac:dyDescent="0.2">
      <c r="A8892" s="1135" t="str">
        <f>CONCATENATE(Programme!C8893,Programme!D8893,Programme!E8893,Programme!F8893,Programme!G8893,Programme!H8893,Programme!I8893)</f>
        <v>&lt;ValeurCellule&gt;</v>
      </c>
    </row>
    <row r="8893" spans="1:1" x14ac:dyDescent="0.2">
      <c r="A8893" s="1135" t="str">
        <f>CONCATENATE(Programme!C8894,Programme!D8894,Programme!E8894,Programme!F8894,Programme!G8894,Programme!H8894,Programme!I8894)</f>
        <v>&lt;cellule&gt;&lt;codeEdi&gt;1078&lt;/codeEdi&gt;&lt;/cellule&gt;</v>
      </c>
    </row>
    <row r="8894" spans="1:1" x14ac:dyDescent="0.2">
      <c r="A8894" s="1135" t="str">
        <f>CONCATENATE(Programme!C8895,Programme!D8895,Programme!E8895,Programme!F8895,Programme!G8895,Programme!H8895,Programme!I8895)</f>
        <v>&lt;valeur&gt;31/112/17&lt;/valeur&gt;</v>
      </c>
    </row>
    <row r="8895" spans="1:1" x14ac:dyDescent="0.2">
      <c r="A8895" s="1135" t="str">
        <f>CONCATENATE(Programme!C8896,Programme!D8896,Programme!E8896,Programme!F8896,Programme!G8896,Programme!H8896,Programme!I8896)</f>
        <v>&lt;numeroLigne&gt;8&lt;/numeroLigne&gt;</v>
      </c>
    </row>
    <row r="8896" spans="1:1" x14ac:dyDescent="0.2">
      <c r="A8896" s="1135" t="str">
        <f>CONCATENATE(Programme!C8897,Programme!D8897,Programme!E8897,Programme!F8897,Programme!G8897,Programme!H8897,Programme!I8897)</f>
        <v>&lt;/ValeurCellule&gt;</v>
      </c>
    </row>
    <row r="8897" spans="1:1" x14ac:dyDescent="0.2">
      <c r="A8897" s="1135" t="str">
        <f>CONCATENATE(Programme!C8898,Programme!D8898,Programme!E8898,Programme!F8898,Programme!G8898,Programme!H8898,Programme!I8898)</f>
        <v>&lt;ValeurCellule&gt;</v>
      </c>
    </row>
    <row r="8898" spans="1:1" x14ac:dyDescent="0.2">
      <c r="A8898" s="1135" t="str">
        <f>CONCATENATE(Programme!C8899,Programme!D8899,Programme!E8899,Programme!F8899,Programme!G8899,Programme!H8899,Programme!I8899)</f>
        <v>&lt;cellule&gt;&lt;codeEdi&gt;1079&lt;/codeEdi&gt;&lt;/cellule&gt;</v>
      </c>
    </row>
    <row r="8899" spans="1:1" x14ac:dyDescent="0.2">
      <c r="A8899" s="1135" t="str">
        <f>CONCATENATE(Programme!C8900,Programme!D8900,Programme!E8900,Programme!F8900,Programme!G8900,Programme!H8900,Programme!I8900)</f>
        <v>&lt;valeur&gt;103842,24&lt;/valeur&gt;</v>
      </c>
    </row>
    <row r="8900" spans="1:1" x14ac:dyDescent="0.2">
      <c r="A8900" s="1135" t="str">
        <f>CONCATENATE(Programme!C8901,Programme!D8901,Programme!E8901,Programme!F8901,Programme!G8901,Programme!H8901,Programme!I8901)</f>
        <v>&lt;numeroLigne&gt;8&lt;/numeroLigne&gt;</v>
      </c>
    </row>
    <row r="8901" spans="1:1" x14ac:dyDescent="0.2">
      <c r="A8901" s="1135" t="str">
        <f>CONCATENATE(Programme!C8902,Programme!D8902,Programme!E8902,Programme!F8902,Programme!G8902,Programme!H8902,Programme!I8902)</f>
        <v>&lt;/ValeurCellule&gt;</v>
      </c>
    </row>
    <row r="8902" spans="1:1" x14ac:dyDescent="0.2">
      <c r="A8902" s="1135" t="str">
        <f>CONCATENATE(Programme!C8903,Programme!D8903,Programme!E8903,Programme!F8903,Programme!G8903,Programme!H8903,Programme!I8903)</f>
        <v>&lt;ValeurCellule&gt;</v>
      </c>
    </row>
    <row r="8903" spans="1:1" x14ac:dyDescent="0.2">
      <c r="A8903" s="1135" t="str">
        <f>CONCATENATE(Programme!C8904,Programme!D8904,Programme!E8904,Programme!F8904,Programme!G8904,Programme!H8904,Programme!I8904)</f>
        <v>&lt;cellule&gt;&lt;codeEdi&gt;1080&lt;/codeEdi&gt;&lt;/cellule&gt;</v>
      </c>
    </row>
    <row r="8904" spans="1:1" x14ac:dyDescent="0.2">
      <c r="A8904" s="1135" t="str">
        <f>CONCATENATE(Programme!C8905,Programme!D8905,Programme!E8905,Programme!F8905,Programme!G8905,Programme!H8905,Programme!I8905)</f>
        <v>&lt;valeur&gt;&lt;/valeur&gt;</v>
      </c>
    </row>
    <row r="8905" spans="1:1" x14ac:dyDescent="0.2">
      <c r="A8905" s="1135" t="str">
        <f>CONCATENATE(Programme!C8906,Programme!D8906,Programme!E8906,Programme!F8906,Programme!G8906,Programme!H8906,Programme!I8906)</f>
        <v>&lt;numeroLigne&gt;8&lt;/numeroLigne&gt;</v>
      </c>
    </row>
    <row r="8906" spans="1:1" x14ac:dyDescent="0.2">
      <c r="A8906" s="1135" t="str">
        <f>CONCATENATE(Programme!C8907,Programme!D8907,Programme!E8907,Programme!F8907,Programme!G8907,Programme!H8907,Programme!I8907)</f>
        <v>&lt;/ValeurCellule&gt;</v>
      </c>
    </row>
    <row r="8907" spans="1:1" x14ac:dyDescent="0.2">
      <c r="A8907" s="1135" t="str">
        <f>CONCATENATE(Programme!C8908,Programme!D8908,Programme!E8908,Programme!F8908,Programme!G8908,Programme!H8908,Programme!I8908)</f>
        <v>&lt;ValeurCellule&gt;</v>
      </c>
    </row>
    <row r="8908" spans="1:1" x14ac:dyDescent="0.2">
      <c r="A8908" s="1135" t="str">
        <f>CONCATENATE(Programme!C8909,Programme!D8909,Programme!E8909,Programme!F8909,Programme!G8909,Programme!H8909,Programme!I8909)</f>
        <v>&lt;cellule&gt;&lt;codeEdi&gt;1081&lt;/codeEdi&gt;&lt;/cellule&gt;</v>
      </c>
    </row>
    <row r="8909" spans="1:1" x14ac:dyDescent="0.2">
      <c r="A8909" s="1135" t="str">
        <f>CONCATENATE(Programme!C8910,Programme!D8910,Programme!E8910,Programme!F8910,Programme!G8910,Programme!H8910,Programme!I8910)</f>
        <v>&lt;valeur&gt;0&lt;/valeur&gt;</v>
      </c>
    </row>
    <row r="8910" spans="1:1" x14ac:dyDescent="0.2">
      <c r="A8910" s="1135" t="str">
        <f>CONCATENATE(Programme!C8911,Programme!D8911,Programme!E8911,Programme!F8911,Programme!G8911,Programme!H8911,Programme!I8911)</f>
        <v>&lt;numeroLigne&gt;8&lt;/numeroLigne&gt;</v>
      </c>
    </row>
    <row r="8911" spans="1:1" x14ac:dyDescent="0.2">
      <c r="A8911" s="1135" t="str">
        <f>CONCATENATE(Programme!C8912,Programme!D8912,Programme!E8912,Programme!F8912,Programme!G8912,Programme!H8912,Programme!I8912)</f>
        <v>&lt;/ValeurCellule&gt;</v>
      </c>
    </row>
    <row r="8912" spans="1:1" x14ac:dyDescent="0.2">
      <c r="A8912" s="1135" t="str">
        <f>CONCATENATE(Programme!C8913,Programme!D8913,Programme!E8913,Programme!F8913,Programme!G8913,Programme!H8913,Programme!I8913)</f>
        <v>&lt;ValeurCellule&gt;</v>
      </c>
    </row>
    <row r="8913" spans="1:1" x14ac:dyDescent="0.2">
      <c r="A8913" s="1135" t="str">
        <f>CONCATENATE(Programme!C8914,Programme!D8914,Programme!E8914,Programme!F8914,Programme!G8914,Programme!H8914,Programme!I8914)</f>
        <v>&lt;cellule&gt;&lt;codeEdi&gt;1082&lt;/codeEdi&gt;&lt;/cellule&gt;</v>
      </c>
    </row>
    <row r="8914" spans="1:1" x14ac:dyDescent="0.2">
      <c r="A8914" s="1135" t="str">
        <f>CONCATENATE(Programme!C8915,Programme!D8915,Programme!E8915,Programme!F8915,Programme!G8915,Programme!H8915,Programme!I8915)</f>
        <v>&lt;valeur&gt;0,2&lt;/valeur&gt;</v>
      </c>
    </row>
    <row r="8915" spans="1:1" x14ac:dyDescent="0.2">
      <c r="A8915" s="1135" t="str">
        <f>CONCATENATE(Programme!C8916,Programme!D8916,Programme!E8916,Programme!F8916,Programme!G8916,Programme!H8916,Programme!I8916)</f>
        <v>&lt;numeroLigne&gt;8&lt;/numeroLigne&gt;</v>
      </c>
    </row>
    <row r="8916" spans="1:1" x14ac:dyDescent="0.2">
      <c r="A8916" s="1135" t="str">
        <f>CONCATENATE(Programme!C8917,Programme!D8917,Programme!E8917,Programme!F8917,Programme!G8917,Programme!H8917,Programme!I8917)</f>
        <v>&lt;/ValeurCellule&gt;</v>
      </c>
    </row>
    <row r="8917" spans="1:1" x14ac:dyDescent="0.2">
      <c r="A8917" s="1135" t="str">
        <f>CONCATENATE(Programme!C8918,Programme!D8918,Programme!E8918,Programme!F8918,Programme!G8918,Programme!H8918,Programme!I8918)</f>
        <v>&lt;ValeurCellule&gt;</v>
      </c>
    </row>
    <row r="8918" spans="1:1" x14ac:dyDescent="0.2">
      <c r="A8918" s="1135" t="str">
        <f>CONCATENATE(Programme!C8919,Programme!D8919,Programme!E8919,Programme!F8919,Programme!G8919,Programme!H8919,Programme!I8919)</f>
        <v>&lt;cellule&gt;&lt;codeEdi&gt;1083&lt;/codeEdi&gt;&lt;/cellule&gt;</v>
      </c>
    </row>
    <row r="8919" spans="1:1" x14ac:dyDescent="0.2">
      <c r="A8919" s="1135" t="str">
        <f>CONCATENATE(Programme!C8920,Programme!D8920,Programme!E8920,Programme!F8920,Programme!G8920,Programme!H8920,Programme!I8920)</f>
        <v>&lt;valeur&gt;5&lt;/valeur&gt;</v>
      </c>
    </row>
    <row r="8920" spans="1:1" x14ac:dyDescent="0.2">
      <c r="A8920" s="1135" t="str">
        <f>CONCATENATE(Programme!C8921,Programme!D8921,Programme!E8921,Programme!F8921,Programme!G8921,Programme!H8921,Programme!I8921)</f>
        <v>&lt;numeroLigne&gt;8&lt;/numeroLigne&gt;</v>
      </c>
    </row>
    <row r="8921" spans="1:1" x14ac:dyDescent="0.2">
      <c r="A8921" s="1135" t="str">
        <f>CONCATENATE(Programme!C8922,Programme!D8922,Programme!E8922,Programme!F8922,Programme!G8922,Programme!H8922,Programme!I8922)</f>
        <v>&lt;/ValeurCellule&gt;</v>
      </c>
    </row>
    <row r="8922" spans="1:1" x14ac:dyDescent="0.2">
      <c r="A8922" s="1135" t="str">
        <f>CONCATENATE(Programme!C8923,Programme!D8923,Programme!E8923,Programme!F8923,Programme!G8923,Programme!H8923,Programme!I8923)</f>
        <v>&lt;ValeurCellule&gt;</v>
      </c>
    </row>
    <row r="8923" spans="1:1" x14ac:dyDescent="0.2">
      <c r="A8923" s="1135" t="str">
        <f>CONCATENATE(Programme!C8924,Programme!D8924,Programme!E8924,Programme!F8924,Programme!G8924,Programme!H8924,Programme!I8924)</f>
        <v>&lt;cellule&gt;&lt;codeEdi&gt;1084&lt;/codeEdi&gt;&lt;/cellule&gt;</v>
      </c>
    </row>
    <row r="8924" spans="1:1" x14ac:dyDescent="0.2">
      <c r="A8924" s="1135" t="str">
        <f>CONCATENATE(Programme!C8925,Programme!D8925,Programme!E8925,Programme!F8925,Programme!G8925,Programme!H8925,Programme!I8925)</f>
        <v>&lt;valeur&gt;20768,448&lt;/valeur&gt;</v>
      </c>
    </row>
    <row r="8925" spans="1:1" x14ac:dyDescent="0.2">
      <c r="A8925" s="1135" t="str">
        <f>CONCATENATE(Programme!C8926,Programme!D8926,Programme!E8926,Programme!F8926,Programme!G8926,Programme!H8926,Programme!I8926)</f>
        <v>&lt;numeroLigne&gt;8&lt;/numeroLigne&gt;</v>
      </c>
    </row>
    <row r="8926" spans="1:1" x14ac:dyDescent="0.2">
      <c r="A8926" s="1135" t="str">
        <f>CONCATENATE(Programme!C8927,Programme!D8927,Programme!E8927,Programme!F8927,Programme!G8927,Programme!H8927,Programme!I8927)</f>
        <v>&lt;/ValeurCellule&gt;</v>
      </c>
    </row>
    <row r="8927" spans="1:1" x14ac:dyDescent="0.2">
      <c r="A8927" s="1135" t="str">
        <f>CONCATENATE(Programme!C8928,Programme!D8928,Programme!E8928,Programme!F8928,Programme!G8928,Programme!H8928,Programme!I8928)</f>
        <v>&lt;ValeurCellule&gt;</v>
      </c>
    </row>
    <row r="8928" spans="1:1" x14ac:dyDescent="0.2">
      <c r="A8928" s="1135" t="str">
        <f>CONCATENATE(Programme!C8929,Programme!D8929,Programme!E8929,Programme!F8929,Programme!G8929,Programme!H8929,Programme!I8929)</f>
        <v>&lt;cellule&gt;&lt;codeEdi&gt;1085&lt;/codeEdi&gt;&lt;/cellule&gt;</v>
      </c>
    </row>
    <row r="8929" spans="1:1" x14ac:dyDescent="0.2">
      <c r="A8929" s="1135" t="str">
        <f>CONCATENATE(Programme!C8930,Programme!D8930,Programme!E8930,Programme!F8930,Programme!G8930,Programme!H8930,Programme!I8930)</f>
        <v>&lt;valeur&gt;20768,448&lt;/valeur&gt;</v>
      </c>
    </row>
    <row r="8930" spans="1:1" x14ac:dyDescent="0.2">
      <c r="A8930" s="1135" t="str">
        <f>CONCATENATE(Programme!C8931,Programme!D8931,Programme!E8931,Programme!F8931,Programme!G8931,Programme!H8931,Programme!I8931)</f>
        <v>&lt;numeroLigne&gt;8&lt;/numeroLigne&gt;</v>
      </c>
    </row>
    <row r="8931" spans="1:1" x14ac:dyDescent="0.2">
      <c r="A8931" s="1135" t="str">
        <f>CONCATENATE(Programme!C8932,Programme!D8932,Programme!E8932,Programme!F8932,Programme!G8932,Programme!H8932,Programme!I8932)</f>
        <v>&lt;/ValeurCellule&gt;</v>
      </c>
    </row>
    <row r="8932" spans="1:1" x14ac:dyDescent="0.2">
      <c r="A8932" s="1135" t="str">
        <f>CONCATENATE(Programme!C8933,Programme!D8933,Programme!E8933,Programme!F8933,Programme!G8933,Programme!H8933,Programme!I8933)</f>
        <v>&lt;ValeurCellule&gt;</v>
      </c>
    </row>
    <row r="8933" spans="1:1" x14ac:dyDescent="0.2">
      <c r="A8933" s="1135" t="str">
        <f>CONCATENATE(Programme!C8934,Programme!D8934,Programme!E8934,Programme!F8934,Programme!G8934,Programme!H8934,Programme!I8934)</f>
        <v>&lt;cellule&gt;&lt;codeEdi&gt;1086&lt;/codeEdi&gt;&lt;/cellule&gt;</v>
      </c>
    </row>
    <row r="8934" spans="1:1" x14ac:dyDescent="0.2">
      <c r="A8934" s="1135" t="str">
        <f>CONCATENATE(Programme!C8935,Programme!D8935,Programme!E8935,Programme!F8935,Programme!G8935,Programme!H8935,Programme!I8935)</f>
        <v>&lt;valeur&gt;&lt;/valeur&gt;</v>
      </c>
    </row>
    <row r="8935" spans="1:1" x14ac:dyDescent="0.2">
      <c r="A8935" s="1135" t="str">
        <f>CONCATENATE(Programme!C8936,Programme!D8936,Programme!E8936,Programme!F8936,Programme!G8936,Programme!H8936,Programme!I8936)</f>
        <v>&lt;numeroLigne&gt;8&lt;/numeroLigne&gt;</v>
      </c>
    </row>
    <row r="8936" spans="1:1" x14ac:dyDescent="0.2">
      <c r="A8936" s="1135" t="str">
        <f>CONCATENATE(Programme!C8937,Programme!D8937,Programme!E8937,Programme!F8937,Programme!G8937,Programme!H8937,Programme!I8937)</f>
        <v>&lt;/ValeurCellule&gt;</v>
      </c>
    </row>
    <row r="8937" spans="1:1" x14ac:dyDescent="0.2">
      <c r="A8937" s="1135" t="str">
        <f>CONCATENATE(Programme!C8938,Programme!D8938,Programme!E8938,Programme!F8938,Programme!G8938,Programme!H8938,Programme!I8938)</f>
        <v>&lt;ValeurCellule&gt;</v>
      </c>
    </row>
    <row r="8938" spans="1:1" x14ac:dyDescent="0.2">
      <c r="A8938" s="1135" t="str">
        <f>CONCATENATE(Programme!C8939,Programme!D8939,Programme!E8939,Programme!F8939,Programme!G8939,Programme!H8939,Programme!I8939)</f>
        <v>&lt;cellule&gt;&lt;codeEdi&gt;10061&lt;/codeEdi&gt;&lt;/cellule&gt;</v>
      </c>
    </row>
    <row r="8939" spans="1:1" x14ac:dyDescent="0.2">
      <c r="A8939" s="1135" t="str">
        <f>CONCATENATE(Programme!C8940,Programme!D8940,Programme!E8940,Programme!F8940,Programme!G8940,Programme!H8940,Programme!I8940)</f>
        <v>&lt;valeur&gt;MAT DE TRANSPORST&lt;/valeur&gt;</v>
      </c>
    </row>
    <row r="8940" spans="1:1" x14ac:dyDescent="0.2">
      <c r="A8940" s="1135" t="str">
        <f>CONCATENATE(Programme!C8941,Programme!D8941,Programme!E8941,Programme!F8941,Programme!G8941,Programme!H8941,Programme!I8941)</f>
        <v>&lt;numeroLigne&gt;9&lt;/numeroLigne&gt;</v>
      </c>
    </row>
    <row r="8941" spans="1:1" x14ac:dyDescent="0.2">
      <c r="A8941" s="1135" t="str">
        <f>CONCATENATE(Programme!C8942,Programme!D8942,Programme!E8942,Programme!F8942,Programme!G8942,Programme!H8942,Programme!I8942)</f>
        <v>&lt;/ValeurCellule&gt;</v>
      </c>
    </row>
    <row r="8942" spans="1:1" x14ac:dyDescent="0.2">
      <c r="A8942" s="1135" t="str">
        <f>CONCATENATE(Programme!C8943,Programme!D8943,Programme!E8943,Programme!F8943,Programme!G8943,Programme!H8943,Programme!I8943)</f>
        <v>&lt;ValeurCellule&gt;</v>
      </c>
    </row>
    <row r="8943" spans="1:1" x14ac:dyDescent="0.2">
      <c r="A8943" s="1135" t="str">
        <f>CONCATENATE(Programme!C8944,Programme!D8944,Programme!E8944,Programme!F8944,Programme!G8944,Programme!H8944,Programme!I8944)</f>
        <v>&lt;cellule&gt;&lt;codeEdi&gt;1078&lt;/codeEdi&gt;&lt;/cellule&gt;</v>
      </c>
    </row>
    <row r="8944" spans="1:1" x14ac:dyDescent="0.2">
      <c r="A8944" s="1135" t="str">
        <f>CONCATENATE(Programme!C8945,Programme!D8945,Programme!E8945,Programme!F8945,Programme!G8945,Programme!H8945,Programme!I8945)</f>
        <v>&lt;valeur&gt;43106&lt;/valeur&gt;</v>
      </c>
    </row>
    <row r="8945" spans="1:1" x14ac:dyDescent="0.2">
      <c r="A8945" s="1135" t="str">
        <f>CONCATENATE(Programme!C8946,Programme!D8946,Programme!E8946,Programme!F8946,Programme!G8946,Programme!H8946,Programme!I8946)</f>
        <v>&lt;numeroLigne&gt;9&lt;/numeroLigne&gt;</v>
      </c>
    </row>
    <row r="8946" spans="1:1" x14ac:dyDescent="0.2">
      <c r="A8946" s="1135" t="str">
        <f>CONCATENATE(Programme!C8947,Programme!D8947,Programme!E8947,Programme!F8947,Programme!G8947,Programme!H8947,Programme!I8947)</f>
        <v>&lt;/ValeurCellule&gt;</v>
      </c>
    </row>
    <row r="8947" spans="1:1" x14ac:dyDescent="0.2">
      <c r="A8947" s="1135" t="str">
        <f>CONCATENATE(Programme!C8948,Programme!D8948,Programme!E8948,Programme!F8948,Programme!G8948,Programme!H8948,Programme!I8948)</f>
        <v>&lt;ValeurCellule&gt;</v>
      </c>
    </row>
    <row r="8948" spans="1:1" x14ac:dyDescent="0.2">
      <c r="A8948" s="1135" t="str">
        <f>CONCATENATE(Programme!C8949,Programme!D8949,Programme!E8949,Programme!F8949,Programme!G8949,Programme!H8949,Programme!I8949)</f>
        <v>&lt;cellule&gt;&lt;codeEdi&gt;1079&lt;/codeEdi&gt;&lt;/cellule&gt;</v>
      </c>
    </row>
    <row r="8949" spans="1:1" x14ac:dyDescent="0.2">
      <c r="A8949" s="1135" t="str">
        <f>CONCATENATE(Programme!C8950,Programme!D8950,Programme!E8950,Programme!F8950,Programme!G8950,Programme!H8950,Programme!I8950)</f>
        <v>&lt;valeur&gt;92500&lt;/valeur&gt;</v>
      </c>
    </row>
    <row r="8950" spans="1:1" x14ac:dyDescent="0.2">
      <c r="A8950" s="1135" t="str">
        <f>CONCATENATE(Programme!C8951,Programme!D8951,Programme!E8951,Programme!F8951,Programme!G8951,Programme!H8951,Programme!I8951)</f>
        <v>&lt;numeroLigne&gt;9&lt;/numeroLigne&gt;</v>
      </c>
    </row>
    <row r="8951" spans="1:1" x14ac:dyDescent="0.2">
      <c r="A8951" s="1135" t="str">
        <f>CONCATENATE(Programme!C8952,Programme!D8952,Programme!E8952,Programme!F8952,Programme!G8952,Programme!H8952,Programme!I8952)</f>
        <v>&lt;/ValeurCellule&gt;</v>
      </c>
    </row>
    <row r="8952" spans="1:1" x14ac:dyDescent="0.2">
      <c r="A8952" s="1135" t="str">
        <f>CONCATENATE(Programme!C8953,Programme!D8953,Programme!E8953,Programme!F8953,Programme!G8953,Programme!H8953,Programme!I8953)</f>
        <v>&lt;ValeurCellule&gt;</v>
      </c>
    </row>
    <row r="8953" spans="1:1" x14ac:dyDescent="0.2">
      <c r="A8953" s="1135" t="str">
        <f>CONCATENATE(Programme!C8954,Programme!D8954,Programme!E8954,Programme!F8954,Programme!G8954,Programme!H8954,Programme!I8954)</f>
        <v>&lt;cellule&gt;&lt;codeEdi&gt;1080&lt;/codeEdi&gt;&lt;/cellule&gt;</v>
      </c>
    </row>
    <row r="8954" spans="1:1" x14ac:dyDescent="0.2">
      <c r="A8954" s="1135" t="str">
        <f>CONCATENATE(Programme!C8955,Programme!D8955,Programme!E8955,Programme!F8955,Programme!G8955,Programme!H8955,Programme!I8955)</f>
        <v>&lt;valeur&gt;&lt;/valeur&gt;</v>
      </c>
    </row>
    <row r="8955" spans="1:1" x14ac:dyDescent="0.2">
      <c r="A8955" s="1135" t="str">
        <f>CONCATENATE(Programme!C8956,Programme!D8956,Programme!E8956,Programme!F8956,Programme!G8956,Programme!H8956,Programme!I8956)</f>
        <v>&lt;numeroLigne&gt;9&lt;/numeroLigne&gt;</v>
      </c>
    </row>
    <row r="8956" spans="1:1" x14ac:dyDescent="0.2">
      <c r="A8956" s="1135" t="str">
        <f>CONCATENATE(Programme!C8957,Programme!D8957,Programme!E8957,Programme!F8957,Programme!G8957,Programme!H8957,Programme!I8957)</f>
        <v>&lt;/ValeurCellule&gt;</v>
      </c>
    </row>
    <row r="8957" spans="1:1" x14ac:dyDescent="0.2">
      <c r="A8957" s="1135" t="str">
        <f>CONCATENATE(Programme!C8958,Programme!D8958,Programme!E8958,Programme!F8958,Programme!G8958,Programme!H8958,Programme!I8958)</f>
        <v>&lt;ValeurCellule&gt;</v>
      </c>
    </row>
    <row r="8958" spans="1:1" x14ac:dyDescent="0.2">
      <c r="A8958" s="1135" t="str">
        <f>CONCATENATE(Programme!C8959,Programme!D8959,Programme!E8959,Programme!F8959,Programme!G8959,Programme!H8959,Programme!I8959)</f>
        <v>&lt;cellule&gt;&lt;codeEdi&gt;1081&lt;/codeEdi&gt;&lt;/cellule&gt;</v>
      </c>
    </row>
    <row r="8959" spans="1:1" x14ac:dyDescent="0.2">
      <c r="A8959" s="1135" t="str">
        <f>CONCATENATE(Programme!C8960,Programme!D8960,Programme!E8960,Programme!F8960,Programme!G8960,Programme!H8960,Programme!I8960)</f>
        <v>&lt;valeur&gt;&lt;/valeur&gt;</v>
      </c>
    </row>
    <row r="8960" spans="1:1" x14ac:dyDescent="0.2">
      <c r="A8960" s="1135" t="str">
        <f>CONCATENATE(Programme!C8961,Programme!D8961,Programme!E8961,Programme!F8961,Programme!G8961,Programme!H8961,Programme!I8961)</f>
        <v>&lt;numeroLigne&gt;9&lt;/numeroLigne&gt;</v>
      </c>
    </row>
    <row r="8961" spans="1:1" x14ac:dyDescent="0.2">
      <c r="A8961" s="1135" t="str">
        <f>CONCATENATE(Programme!C8962,Programme!D8962,Programme!E8962,Programme!F8962,Programme!G8962,Programme!H8962,Programme!I8962)</f>
        <v>&lt;/ValeurCellule&gt;</v>
      </c>
    </row>
    <row r="8962" spans="1:1" x14ac:dyDescent="0.2">
      <c r="A8962" s="1135" t="str">
        <f>CONCATENATE(Programme!C8963,Programme!D8963,Programme!E8963,Programme!F8963,Programme!G8963,Programme!H8963,Programme!I8963)</f>
        <v>&lt;ValeurCellule&gt;</v>
      </c>
    </row>
    <row r="8963" spans="1:1" x14ac:dyDescent="0.2">
      <c r="A8963" s="1135" t="str">
        <f>CONCATENATE(Programme!C8964,Programme!D8964,Programme!E8964,Programme!F8964,Programme!G8964,Programme!H8964,Programme!I8964)</f>
        <v>&lt;cellule&gt;&lt;codeEdi&gt;1082&lt;/codeEdi&gt;&lt;/cellule&gt;</v>
      </c>
    </row>
    <row r="8964" spans="1:1" x14ac:dyDescent="0.2">
      <c r="A8964" s="1135" t="str">
        <f>CONCATENATE(Programme!C8965,Programme!D8965,Programme!E8965,Programme!F8965,Programme!G8965,Programme!H8965,Programme!I8965)</f>
        <v>&lt;valeur&gt;0,2&lt;/valeur&gt;</v>
      </c>
    </row>
    <row r="8965" spans="1:1" x14ac:dyDescent="0.2">
      <c r="A8965" s="1135" t="str">
        <f>CONCATENATE(Programme!C8966,Programme!D8966,Programme!E8966,Programme!F8966,Programme!G8966,Programme!H8966,Programme!I8966)</f>
        <v>&lt;numeroLigne&gt;9&lt;/numeroLigne&gt;</v>
      </c>
    </row>
    <row r="8966" spans="1:1" x14ac:dyDescent="0.2">
      <c r="A8966" s="1135" t="str">
        <f>CONCATENATE(Programme!C8967,Programme!D8967,Programme!E8967,Programme!F8967,Programme!G8967,Programme!H8967,Programme!I8967)</f>
        <v>&lt;/ValeurCellule&gt;</v>
      </c>
    </row>
    <row r="8967" spans="1:1" x14ac:dyDescent="0.2">
      <c r="A8967" s="1135" t="str">
        <f>CONCATENATE(Programme!C8968,Programme!D8968,Programme!E8968,Programme!F8968,Programme!G8968,Programme!H8968,Programme!I8968)</f>
        <v>&lt;ValeurCellule&gt;</v>
      </c>
    </row>
    <row r="8968" spans="1:1" x14ac:dyDescent="0.2">
      <c r="A8968" s="1135" t="str">
        <f>CONCATENATE(Programme!C8969,Programme!D8969,Programme!E8969,Programme!F8969,Programme!G8969,Programme!H8969,Programme!I8969)</f>
        <v>&lt;cellule&gt;&lt;codeEdi&gt;1083&lt;/codeEdi&gt;&lt;/cellule&gt;</v>
      </c>
    </row>
    <row r="8969" spans="1:1" x14ac:dyDescent="0.2">
      <c r="A8969" s="1135" t="str">
        <f>CONCATENATE(Programme!C8970,Programme!D8970,Programme!E8970,Programme!F8970,Programme!G8970,Programme!H8970,Programme!I8970)</f>
        <v>&lt;valeur&gt;5&lt;/valeur&gt;</v>
      </c>
    </row>
    <row r="8970" spans="1:1" x14ac:dyDescent="0.2">
      <c r="A8970" s="1135" t="str">
        <f>CONCATENATE(Programme!C8971,Programme!D8971,Programme!E8971,Programme!F8971,Programme!G8971,Programme!H8971,Programme!I8971)</f>
        <v>&lt;numeroLigne&gt;9&lt;/numeroLigne&gt;</v>
      </c>
    </row>
    <row r="8971" spans="1:1" x14ac:dyDescent="0.2">
      <c r="A8971" s="1135" t="str">
        <f>CONCATENATE(Programme!C8972,Programme!D8972,Programme!E8972,Programme!F8972,Programme!G8972,Programme!H8972,Programme!I8972)</f>
        <v>&lt;/ValeurCellule&gt;</v>
      </c>
    </row>
    <row r="8972" spans="1:1" x14ac:dyDescent="0.2">
      <c r="A8972" s="1135" t="str">
        <f>CONCATENATE(Programme!C8973,Programme!D8973,Programme!E8973,Programme!F8973,Programme!G8973,Programme!H8973,Programme!I8973)</f>
        <v>&lt;ValeurCellule&gt;</v>
      </c>
    </row>
    <row r="8973" spans="1:1" x14ac:dyDescent="0.2">
      <c r="A8973" s="1135" t="str">
        <f>CONCATENATE(Programme!C8974,Programme!D8974,Programme!E8974,Programme!F8974,Programme!G8974,Programme!H8974,Programme!I8974)</f>
        <v>&lt;cellule&gt;&lt;codeEdi&gt;1084&lt;/codeEdi&gt;&lt;/cellule&gt;</v>
      </c>
    </row>
    <row r="8974" spans="1:1" x14ac:dyDescent="0.2">
      <c r="A8974" s="1135" t="str">
        <f>CONCATENATE(Programme!C8975,Programme!D8975,Programme!E8975,Programme!F8975,Programme!G8975,Programme!H8975,Programme!I8975)</f>
        <v>&lt;valeur&gt;18500&lt;/valeur&gt;</v>
      </c>
    </row>
    <row r="8975" spans="1:1" x14ac:dyDescent="0.2">
      <c r="A8975" s="1135" t="str">
        <f>CONCATENATE(Programme!C8976,Programme!D8976,Programme!E8976,Programme!F8976,Programme!G8976,Programme!H8976,Programme!I8976)</f>
        <v>&lt;numeroLigne&gt;9&lt;/numeroLigne&gt;</v>
      </c>
    </row>
    <row r="8976" spans="1:1" x14ac:dyDescent="0.2">
      <c r="A8976" s="1135" t="str">
        <f>CONCATENATE(Programme!C8977,Programme!D8977,Programme!E8977,Programme!F8977,Programme!G8977,Programme!H8977,Programme!I8977)</f>
        <v>&lt;/ValeurCellule&gt;</v>
      </c>
    </row>
    <row r="8977" spans="1:1" x14ac:dyDescent="0.2">
      <c r="A8977" s="1135" t="str">
        <f>CONCATENATE(Programme!C8978,Programme!D8978,Programme!E8978,Programme!F8978,Programme!G8978,Programme!H8978,Programme!I8978)</f>
        <v>&lt;ValeurCellule&gt;</v>
      </c>
    </row>
    <row r="8978" spans="1:1" x14ac:dyDescent="0.2">
      <c r="A8978" s="1135" t="str">
        <f>CONCATENATE(Programme!C8979,Programme!D8979,Programme!E8979,Programme!F8979,Programme!G8979,Programme!H8979,Programme!I8979)</f>
        <v>&lt;cellule&gt;&lt;codeEdi&gt;1085&lt;/codeEdi&gt;&lt;/cellule&gt;</v>
      </c>
    </row>
    <row r="8979" spans="1:1" x14ac:dyDescent="0.2">
      <c r="A8979" s="1135" t="str">
        <f>CONCATENATE(Programme!C8980,Programme!D8980,Programme!E8980,Programme!F8980,Programme!G8980,Programme!H8980,Programme!I8980)</f>
        <v>&lt;valeur&gt;18500&lt;/valeur&gt;</v>
      </c>
    </row>
    <row r="8980" spans="1:1" x14ac:dyDescent="0.2">
      <c r="A8980" s="1135" t="str">
        <f>CONCATENATE(Programme!C8981,Programme!D8981,Programme!E8981,Programme!F8981,Programme!G8981,Programme!H8981,Programme!I8981)</f>
        <v>&lt;numeroLigne&gt;9&lt;/numeroLigne&gt;</v>
      </c>
    </row>
    <row r="8981" spans="1:1" x14ac:dyDescent="0.2">
      <c r="A8981" s="1135" t="str">
        <f>CONCATENATE(Programme!C8982,Programme!D8982,Programme!E8982,Programme!F8982,Programme!G8982,Programme!H8982,Programme!I8982)</f>
        <v>&lt;/ValeurCellule&gt;</v>
      </c>
    </row>
    <row r="8982" spans="1:1" x14ac:dyDescent="0.2">
      <c r="A8982" s="1135" t="str">
        <f>CONCATENATE(Programme!C8983,Programme!D8983,Programme!E8983,Programme!F8983,Programme!G8983,Programme!H8983,Programme!I8983)</f>
        <v>&lt;ValeurCellule&gt;</v>
      </c>
    </row>
    <row r="8983" spans="1:1" x14ac:dyDescent="0.2">
      <c r="A8983" s="1135" t="str">
        <f>CONCATENATE(Programme!C8984,Programme!D8984,Programme!E8984,Programme!F8984,Programme!G8984,Programme!H8984,Programme!I8984)</f>
        <v>&lt;cellule&gt;&lt;codeEdi&gt;1086&lt;/codeEdi&gt;&lt;/cellule&gt;</v>
      </c>
    </row>
    <row r="8984" spans="1:1" x14ac:dyDescent="0.2">
      <c r="A8984" s="1135" t="str">
        <f>CONCATENATE(Programme!C8985,Programme!D8985,Programme!E8985,Programme!F8985,Programme!G8985,Programme!H8985,Programme!I8985)</f>
        <v>&lt;valeur&gt;&lt;/valeur&gt;</v>
      </c>
    </row>
    <row r="8985" spans="1:1" x14ac:dyDescent="0.2">
      <c r="A8985" s="1135" t="str">
        <f>CONCATENATE(Programme!C8986,Programme!D8986,Programme!E8986,Programme!F8986,Programme!G8986,Programme!H8986,Programme!I8986)</f>
        <v>&lt;numeroLigne&gt;9&lt;/numeroLigne&gt;</v>
      </c>
    </row>
    <row r="8986" spans="1:1" x14ac:dyDescent="0.2">
      <c r="A8986" s="1135" t="str">
        <f>CONCATENATE(Programme!C8987,Programme!D8987,Programme!E8987,Programme!F8987,Programme!G8987,Programme!H8987,Programme!I8987)</f>
        <v>&lt;/ValeurCellule&gt;</v>
      </c>
    </row>
    <row r="8987" spans="1:1" x14ac:dyDescent="0.2">
      <c r="A8987" s="1135" t="str">
        <f>CONCATENATE(Programme!C8988,Programme!D8988,Programme!E8988,Programme!F8988,Programme!G8988,Programme!H8988,Programme!I8988)</f>
        <v>&lt;ValeurCellule&gt;</v>
      </c>
    </row>
    <row r="8988" spans="1:1" x14ac:dyDescent="0.2">
      <c r="A8988" s="1135" t="str">
        <f>CONCATENATE(Programme!C8989,Programme!D8989,Programme!E8989,Programme!F8989,Programme!G8989,Programme!H8989,Programme!I8989)</f>
        <v>&lt;cellule&gt;&lt;codeEdi&gt;10061&lt;/codeEdi&gt;&lt;/cellule&gt;</v>
      </c>
    </row>
    <row r="8989" spans="1:1" x14ac:dyDescent="0.2">
      <c r="A8989" s="1135" t="str">
        <f>CONCATENATE(Programme!C8990,Programme!D8990,Programme!E8990,Programme!F8990,Programme!G8990,Programme!H8990,Programme!I8990)</f>
        <v>&lt;valeur&gt;MATDE TRANSPORT&lt;/valeur&gt;</v>
      </c>
    </row>
    <row r="8990" spans="1:1" x14ac:dyDescent="0.2">
      <c r="A8990" s="1135" t="str">
        <f>CONCATENATE(Programme!C8991,Programme!D8991,Programme!E8991,Programme!F8991,Programme!G8991,Programme!H8991,Programme!I8991)</f>
        <v>&lt;numeroLigne&gt;10&lt;/numeroLigne&gt;</v>
      </c>
    </row>
    <row r="8991" spans="1:1" x14ac:dyDescent="0.2">
      <c r="A8991" s="1135" t="str">
        <f>CONCATENATE(Programme!C8992,Programme!D8992,Programme!E8992,Programme!F8992,Programme!G8992,Programme!H8992,Programme!I8992)</f>
        <v>&lt;/ValeurCellule&gt;</v>
      </c>
    </row>
    <row r="8992" spans="1:1" x14ac:dyDescent="0.2">
      <c r="A8992" s="1135" t="str">
        <f>CONCATENATE(Programme!C8993,Programme!D8993,Programme!E8993,Programme!F8993,Programme!G8993,Programme!H8993,Programme!I8993)</f>
        <v>&lt;ValeurCellule&gt;</v>
      </c>
    </row>
    <row r="8993" spans="1:1" x14ac:dyDescent="0.2">
      <c r="A8993" s="1135" t="str">
        <f>CONCATENATE(Programme!C8994,Programme!D8994,Programme!E8994,Programme!F8994,Programme!G8994,Programme!H8994,Programme!I8994)</f>
        <v>&lt;cellule&gt;&lt;codeEdi&gt;1078&lt;/codeEdi&gt;&lt;/cellule&gt;</v>
      </c>
    </row>
    <row r="8994" spans="1:1" x14ac:dyDescent="0.2">
      <c r="A8994" s="1135" t="str">
        <f>CONCATENATE(Programme!C8995,Programme!D8995,Programme!E8995,Programme!F8995,Programme!G8995,Programme!H8995,Programme!I8995)</f>
        <v>&lt;valeur&gt;43106&lt;/valeur&gt;</v>
      </c>
    </row>
    <row r="8995" spans="1:1" x14ac:dyDescent="0.2">
      <c r="A8995" s="1135" t="str">
        <f>CONCATENATE(Programme!C8996,Programme!D8996,Programme!E8996,Programme!F8996,Programme!G8996,Programme!H8996,Programme!I8996)</f>
        <v>&lt;numeroLigne&gt;10&lt;/numeroLigne&gt;</v>
      </c>
    </row>
    <row r="8996" spans="1:1" x14ac:dyDescent="0.2">
      <c r="A8996" s="1135" t="str">
        <f>CONCATENATE(Programme!C8997,Programme!D8997,Programme!E8997,Programme!F8997,Programme!G8997,Programme!H8997,Programme!I8997)</f>
        <v>&lt;/ValeurCellule&gt;</v>
      </c>
    </row>
    <row r="8997" spans="1:1" x14ac:dyDescent="0.2">
      <c r="A8997" s="1135" t="str">
        <f>CONCATENATE(Programme!C8998,Programme!D8998,Programme!E8998,Programme!F8998,Programme!G8998,Programme!H8998,Programme!I8998)</f>
        <v>&lt;ValeurCellule&gt;</v>
      </c>
    </row>
    <row r="8998" spans="1:1" x14ac:dyDescent="0.2">
      <c r="A8998" s="1135" t="str">
        <f>CONCATENATE(Programme!C8999,Programme!D8999,Programme!E8999,Programme!F8999,Programme!G8999,Programme!H8999,Programme!I8999)</f>
        <v>&lt;cellule&gt;&lt;codeEdi&gt;1079&lt;/codeEdi&gt;&lt;/cellule&gt;</v>
      </c>
    </row>
    <row r="8999" spans="1:1" x14ac:dyDescent="0.2">
      <c r="A8999" s="1135" t="str">
        <f>CONCATENATE(Programme!C9000,Programme!D9000,Programme!E9000,Programme!F9000,Programme!G9000,Programme!H9000,Programme!I9000)</f>
        <v>&lt;valeur&gt;92500&lt;/valeur&gt;</v>
      </c>
    </row>
    <row r="9000" spans="1:1" x14ac:dyDescent="0.2">
      <c r="A9000" s="1135" t="str">
        <f>CONCATENATE(Programme!C9001,Programme!D9001,Programme!E9001,Programme!F9001,Programme!G9001,Programme!H9001,Programme!I9001)</f>
        <v>&lt;numeroLigne&gt;10&lt;/numeroLigne&gt;</v>
      </c>
    </row>
    <row r="9001" spans="1:1" x14ac:dyDescent="0.2">
      <c r="A9001" s="1135" t="str">
        <f>CONCATENATE(Programme!C9002,Programme!D9002,Programme!E9002,Programme!F9002,Programme!G9002,Programme!H9002,Programme!I9002)</f>
        <v>&lt;/ValeurCellule&gt;</v>
      </c>
    </row>
    <row r="9002" spans="1:1" x14ac:dyDescent="0.2">
      <c r="A9002" s="1135" t="str">
        <f>CONCATENATE(Programme!C9003,Programme!D9003,Programme!E9003,Programme!F9003,Programme!G9003,Programme!H9003,Programme!I9003)</f>
        <v>&lt;ValeurCellule&gt;</v>
      </c>
    </row>
    <row r="9003" spans="1:1" x14ac:dyDescent="0.2">
      <c r="A9003" s="1135" t="str">
        <f>CONCATENATE(Programme!C9004,Programme!D9004,Programme!E9004,Programme!F9004,Programme!G9004,Programme!H9004,Programme!I9004)</f>
        <v>&lt;cellule&gt;&lt;codeEdi&gt;1080&lt;/codeEdi&gt;&lt;/cellule&gt;</v>
      </c>
    </row>
    <row r="9004" spans="1:1" x14ac:dyDescent="0.2">
      <c r="A9004" s="1135" t="str">
        <f>CONCATENATE(Programme!C9005,Programme!D9005,Programme!E9005,Programme!F9005,Programme!G9005,Programme!H9005,Programme!I9005)</f>
        <v>&lt;valeur&gt;&lt;/valeur&gt;</v>
      </c>
    </row>
    <row r="9005" spans="1:1" x14ac:dyDescent="0.2">
      <c r="A9005" s="1135" t="str">
        <f>CONCATENATE(Programme!C9006,Programme!D9006,Programme!E9006,Programme!F9006,Programme!G9006,Programme!H9006,Programme!I9006)</f>
        <v>&lt;numeroLigne&gt;10&lt;/numeroLigne&gt;</v>
      </c>
    </row>
    <row r="9006" spans="1:1" x14ac:dyDescent="0.2">
      <c r="A9006" s="1135" t="str">
        <f>CONCATENATE(Programme!C9007,Programme!D9007,Programme!E9007,Programme!F9007,Programme!G9007,Programme!H9007,Programme!I9007)</f>
        <v>&lt;/ValeurCellule&gt;</v>
      </c>
    </row>
    <row r="9007" spans="1:1" x14ac:dyDescent="0.2">
      <c r="A9007" s="1135" t="str">
        <f>CONCATENATE(Programme!C9008,Programme!D9008,Programme!E9008,Programme!F9008,Programme!G9008,Programme!H9008,Programme!I9008)</f>
        <v>&lt;ValeurCellule&gt;</v>
      </c>
    </row>
    <row r="9008" spans="1:1" x14ac:dyDescent="0.2">
      <c r="A9008" s="1135" t="str">
        <f>CONCATENATE(Programme!C9009,Programme!D9009,Programme!E9009,Programme!F9009,Programme!G9009,Programme!H9009,Programme!I9009)</f>
        <v>&lt;cellule&gt;&lt;codeEdi&gt;1081&lt;/codeEdi&gt;&lt;/cellule&gt;</v>
      </c>
    </row>
    <row r="9009" spans="1:1" x14ac:dyDescent="0.2">
      <c r="A9009" s="1135" t="str">
        <f>CONCATENATE(Programme!C9010,Programme!D9010,Programme!E9010,Programme!F9010,Programme!G9010,Programme!H9010,Programme!I9010)</f>
        <v>&lt;valeur&gt;&lt;/valeur&gt;</v>
      </c>
    </row>
    <row r="9010" spans="1:1" x14ac:dyDescent="0.2">
      <c r="A9010" s="1135" t="str">
        <f>CONCATENATE(Programme!C9011,Programme!D9011,Programme!E9011,Programme!F9011,Programme!G9011,Programme!H9011,Programme!I9011)</f>
        <v>&lt;numeroLigne&gt;10&lt;/numeroLigne&gt;</v>
      </c>
    </row>
    <row r="9011" spans="1:1" x14ac:dyDescent="0.2">
      <c r="A9011" s="1135" t="str">
        <f>CONCATENATE(Programme!C9012,Programme!D9012,Programme!E9012,Programme!F9012,Programme!G9012,Programme!H9012,Programme!I9012)</f>
        <v>&lt;/ValeurCellule&gt;</v>
      </c>
    </row>
    <row r="9012" spans="1:1" x14ac:dyDescent="0.2">
      <c r="A9012" s="1135" t="str">
        <f>CONCATENATE(Programme!C9013,Programme!D9013,Programme!E9013,Programme!F9013,Programme!G9013,Programme!H9013,Programme!I9013)</f>
        <v>&lt;ValeurCellule&gt;</v>
      </c>
    </row>
    <row r="9013" spans="1:1" x14ac:dyDescent="0.2">
      <c r="A9013" s="1135" t="str">
        <f>CONCATENATE(Programme!C9014,Programme!D9014,Programme!E9014,Programme!F9014,Programme!G9014,Programme!H9014,Programme!I9014)</f>
        <v>&lt;cellule&gt;&lt;codeEdi&gt;1082&lt;/codeEdi&gt;&lt;/cellule&gt;</v>
      </c>
    </row>
    <row r="9014" spans="1:1" x14ac:dyDescent="0.2">
      <c r="A9014" s="1135" t="str">
        <f>CONCATENATE(Programme!C9015,Programme!D9015,Programme!E9015,Programme!F9015,Programme!G9015,Programme!H9015,Programme!I9015)</f>
        <v>&lt;valeur&gt;0,2&lt;/valeur&gt;</v>
      </c>
    </row>
    <row r="9015" spans="1:1" x14ac:dyDescent="0.2">
      <c r="A9015" s="1135" t="str">
        <f>CONCATENATE(Programme!C9016,Programme!D9016,Programme!E9016,Programme!F9016,Programme!G9016,Programme!H9016,Programme!I9016)</f>
        <v>&lt;numeroLigne&gt;10&lt;/numeroLigne&gt;</v>
      </c>
    </row>
    <row r="9016" spans="1:1" x14ac:dyDescent="0.2">
      <c r="A9016" s="1135" t="str">
        <f>CONCATENATE(Programme!C9017,Programme!D9017,Programme!E9017,Programme!F9017,Programme!G9017,Programme!H9017,Programme!I9017)</f>
        <v>&lt;/ValeurCellule&gt;</v>
      </c>
    </row>
    <row r="9017" spans="1:1" x14ac:dyDescent="0.2">
      <c r="A9017" s="1135" t="str">
        <f>CONCATENATE(Programme!C9018,Programme!D9018,Programme!E9018,Programme!F9018,Programme!G9018,Programme!H9018,Programme!I9018)</f>
        <v>&lt;ValeurCellule&gt;</v>
      </c>
    </row>
    <row r="9018" spans="1:1" x14ac:dyDescent="0.2">
      <c r="A9018" s="1135" t="str">
        <f>CONCATENATE(Programme!C9019,Programme!D9019,Programme!E9019,Programme!F9019,Programme!G9019,Programme!H9019,Programme!I9019)</f>
        <v>&lt;cellule&gt;&lt;codeEdi&gt;1083&lt;/codeEdi&gt;&lt;/cellule&gt;</v>
      </c>
    </row>
    <row r="9019" spans="1:1" x14ac:dyDescent="0.2">
      <c r="A9019" s="1135" t="str">
        <f>CONCATENATE(Programme!C9020,Programme!D9020,Programme!E9020,Programme!F9020,Programme!G9020,Programme!H9020,Programme!I9020)</f>
        <v>&lt;valeur&gt;5&lt;/valeur&gt;</v>
      </c>
    </row>
    <row r="9020" spans="1:1" x14ac:dyDescent="0.2">
      <c r="A9020" s="1135" t="str">
        <f>CONCATENATE(Programme!C9021,Programme!D9021,Programme!E9021,Programme!F9021,Programme!G9021,Programme!H9021,Programme!I9021)</f>
        <v>&lt;numeroLigne&gt;10&lt;/numeroLigne&gt;</v>
      </c>
    </row>
    <row r="9021" spans="1:1" x14ac:dyDescent="0.2">
      <c r="A9021" s="1135" t="str">
        <f>CONCATENATE(Programme!C9022,Programme!D9022,Programme!E9022,Programme!F9022,Programme!G9022,Programme!H9022,Programme!I9022)</f>
        <v>&lt;/ValeurCellule&gt;</v>
      </c>
    </row>
    <row r="9022" spans="1:1" x14ac:dyDescent="0.2">
      <c r="A9022" s="1135" t="str">
        <f>CONCATENATE(Programme!C9023,Programme!D9023,Programme!E9023,Programme!F9023,Programme!G9023,Programme!H9023,Programme!I9023)</f>
        <v>&lt;ValeurCellule&gt;</v>
      </c>
    </row>
    <row r="9023" spans="1:1" x14ac:dyDescent="0.2">
      <c r="A9023" s="1135" t="str">
        <f>CONCATENATE(Programme!C9024,Programme!D9024,Programme!E9024,Programme!F9024,Programme!G9024,Programme!H9024,Programme!I9024)</f>
        <v>&lt;cellule&gt;&lt;codeEdi&gt;1084&lt;/codeEdi&gt;&lt;/cellule&gt;</v>
      </c>
    </row>
    <row r="9024" spans="1:1" x14ac:dyDescent="0.2">
      <c r="A9024" s="1135" t="str">
        <f>CONCATENATE(Programme!C9025,Programme!D9025,Programme!E9025,Programme!F9025,Programme!G9025,Programme!H9025,Programme!I9025)</f>
        <v>&lt;valeur&gt;18500&lt;/valeur&gt;</v>
      </c>
    </row>
    <row r="9025" spans="1:1" x14ac:dyDescent="0.2">
      <c r="A9025" s="1135" t="str">
        <f>CONCATENATE(Programme!C9026,Programme!D9026,Programme!E9026,Programme!F9026,Programme!G9026,Programme!H9026,Programme!I9026)</f>
        <v>&lt;numeroLigne&gt;10&lt;/numeroLigne&gt;</v>
      </c>
    </row>
    <row r="9026" spans="1:1" x14ac:dyDescent="0.2">
      <c r="A9026" s="1135" t="str">
        <f>CONCATENATE(Programme!C9027,Programme!D9027,Programme!E9027,Programme!F9027,Programme!G9027,Programme!H9027,Programme!I9027)</f>
        <v>&lt;/ValeurCellule&gt;</v>
      </c>
    </row>
    <row r="9027" spans="1:1" x14ac:dyDescent="0.2">
      <c r="A9027" s="1135" t="str">
        <f>CONCATENATE(Programme!C9028,Programme!D9028,Programme!E9028,Programme!F9028,Programme!G9028,Programme!H9028,Programme!I9028)</f>
        <v>&lt;ValeurCellule&gt;</v>
      </c>
    </row>
    <row r="9028" spans="1:1" x14ac:dyDescent="0.2">
      <c r="A9028" s="1135" t="str">
        <f>CONCATENATE(Programme!C9029,Programme!D9029,Programme!E9029,Programme!F9029,Programme!G9029,Programme!H9029,Programme!I9029)</f>
        <v>&lt;cellule&gt;&lt;codeEdi&gt;1085&lt;/codeEdi&gt;&lt;/cellule&gt;</v>
      </c>
    </row>
    <row r="9029" spans="1:1" x14ac:dyDescent="0.2">
      <c r="A9029" s="1135" t="str">
        <f>CONCATENATE(Programme!C9030,Programme!D9030,Programme!E9030,Programme!F9030,Programme!G9030,Programme!H9030,Programme!I9030)</f>
        <v>&lt;valeur&gt;18500&lt;/valeur&gt;</v>
      </c>
    </row>
    <row r="9030" spans="1:1" x14ac:dyDescent="0.2">
      <c r="A9030" s="1135" t="str">
        <f>CONCATENATE(Programme!C9031,Programme!D9031,Programme!E9031,Programme!F9031,Programme!G9031,Programme!H9031,Programme!I9031)</f>
        <v>&lt;numeroLigne&gt;10&lt;/numeroLigne&gt;</v>
      </c>
    </row>
    <row r="9031" spans="1:1" x14ac:dyDescent="0.2">
      <c r="A9031" s="1135" t="str">
        <f>CONCATENATE(Programme!C9032,Programme!D9032,Programme!E9032,Programme!F9032,Programme!G9032,Programme!H9032,Programme!I9032)</f>
        <v>&lt;/ValeurCellule&gt;</v>
      </c>
    </row>
    <row r="9032" spans="1:1" x14ac:dyDescent="0.2">
      <c r="A9032" s="1135" t="str">
        <f>CONCATENATE(Programme!C9033,Programme!D9033,Programme!E9033,Programme!F9033,Programme!G9033,Programme!H9033,Programme!I9033)</f>
        <v>&lt;ValeurCellule&gt;</v>
      </c>
    </row>
    <row r="9033" spans="1:1" x14ac:dyDescent="0.2">
      <c r="A9033" s="1135" t="str">
        <f>CONCATENATE(Programme!C9034,Programme!D9034,Programme!E9034,Programme!F9034,Programme!G9034,Programme!H9034,Programme!I9034)</f>
        <v>&lt;cellule&gt;&lt;codeEdi&gt;1086&lt;/codeEdi&gt;&lt;/cellule&gt;</v>
      </c>
    </row>
    <row r="9034" spans="1:1" x14ac:dyDescent="0.2">
      <c r="A9034" s="1135" t="str">
        <f>CONCATENATE(Programme!C9035,Programme!D9035,Programme!E9035,Programme!F9035,Programme!G9035,Programme!H9035,Programme!I9035)</f>
        <v>&lt;valeur&gt;&lt;/valeur&gt;</v>
      </c>
    </row>
    <row r="9035" spans="1:1" x14ac:dyDescent="0.2">
      <c r="A9035" s="1135" t="str">
        <f>CONCATENATE(Programme!C9036,Programme!D9036,Programme!E9036,Programme!F9036,Programme!G9036,Programme!H9036,Programme!I9036)</f>
        <v>&lt;numeroLigne&gt;10&lt;/numeroLigne&gt;</v>
      </c>
    </row>
    <row r="9036" spans="1:1" x14ac:dyDescent="0.2">
      <c r="A9036" s="1135" t="str">
        <f>CONCATENATE(Programme!C9037,Programme!D9037,Programme!E9037,Programme!F9037,Programme!G9037,Programme!H9037,Programme!I9037)</f>
        <v>&lt;/ValeurCellule&gt;</v>
      </c>
    </row>
    <row r="9037" spans="1:1" x14ac:dyDescent="0.2">
      <c r="A9037" s="1135" t="str">
        <f>CONCATENATE(Programme!C9038,Programme!D9038,Programme!E9038,Programme!F9038,Programme!G9038,Programme!H9038,Programme!I9038)</f>
        <v>&lt;ValeurCellule&gt;</v>
      </c>
    </row>
    <row r="9038" spans="1:1" x14ac:dyDescent="0.2">
      <c r="A9038" s="1135" t="str">
        <f>CONCATENATE(Programme!C9039,Programme!D9039,Programme!E9039,Programme!F9039,Programme!G9039,Programme!H9039,Programme!I9039)</f>
        <v>&lt;cellule&gt;</v>
      </c>
    </row>
    <row r="9039" spans="1:1" x14ac:dyDescent="0.2">
      <c r="A9039" s="1135" t="str">
        <f>CONCATENATE(Programme!C9040,Programme!D9040,Programme!E9040,Programme!F9040,Programme!G9040,Programme!H9040,Programme!I9040)</f>
        <v>&lt;codeEdi&gt;1088&lt;/codeEdi&gt;</v>
      </c>
    </row>
    <row r="9040" spans="1:1" x14ac:dyDescent="0.2">
      <c r="A9040" s="1135" t="str">
        <f>CONCATENATE(Programme!C9041,Programme!D9041,Programme!E9041,Programme!F9041,Programme!G9041,Programme!H9041,Programme!I9041)</f>
        <v>&lt;/cellule&gt;</v>
      </c>
    </row>
    <row r="9041" spans="1:1" x14ac:dyDescent="0.2">
      <c r="A9041" s="1135" t="str">
        <f>CONCATENATE(Programme!C9042,Programme!D9042,Programme!E9042,Programme!F9042,Programme!G9042,Programme!H9042,Programme!I9042)</f>
        <v>&lt;valeur&gt;1778527,58&lt;/valeur&gt;</v>
      </c>
    </row>
    <row r="9042" spans="1:1" x14ac:dyDescent="0.2">
      <c r="A9042" s="1135" t="str">
        <f>CONCATENATE(Programme!C9043,Programme!D9043,Programme!E9043,Programme!F9043,Programme!G9043,Programme!H9043,Programme!I9043)</f>
        <v>&lt;/ValeurCellule&gt;</v>
      </c>
    </row>
    <row r="9043" spans="1:1" x14ac:dyDescent="0.2">
      <c r="A9043" s="1135" t="str">
        <f>CONCATENATE(Programme!C9044,Programme!D9044,Programme!E9044,Programme!F9044,Programme!G9044,Programme!H9044,Programme!I9044)</f>
        <v>&lt;ValeurCellule&gt;</v>
      </c>
    </row>
    <row r="9044" spans="1:1" x14ac:dyDescent="0.2">
      <c r="A9044" s="1135" t="str">
        <f>CONCATENATE(Programme!C9045,Programme!D9045,Programme!E9045,Programme!F9045,Programme!G9045,Programme!H9045,Programme!I9045)</f>
        <v>&lt;cellule&gt;</v>
      </c>
    </row>
    <row r="9045" spans="1:1" x14ac:dyDescent="0.2">
      <c r="A9045" s="1135" t="str">
        <f>CONCATENATE(Programme!C9046,Programme!D9046,Programme!E9046,Programme!F9046,Programme!G9046,Programme!H9046,Programme!I9046)</f>
        <v>&lt;codeEdi&gt;1089&lt;/codeEdi&gt;</v>
      </c>
    </row>
    <row r="9046" spans="1:1" x14ac:dyDescent="0.2">
      <c r="A9046" s="1135" t="str">
        <f>CONCATENATE(Programme!C9047,Programme!D9047,Programme!E9047,Programme!F9047,Programme!G9047,Programme!H9047,Programme!I9047)</f>
        <v>&lt;/cellule&gt;</v>
      </c>
    </row>
    <row r="9047" spans="1:1" x14ac:dyDescent="0.2">
      <c r="A9047" s="1135" t="str">
        <f>CONCATENATE(Programme!C9048,Programme!D9048,Programme!E9048,Programme!F9048,Programme!G9048,Programme!H9048,Programme!I9048)</f>
        <v>&lt;valeur&gt;0&lt;/valeur&gt;</v>
      </c>
    </row>
    <row r="9048" spans="1:1" x14ac:dyDescent="0.2">
      <c r="A9048" s="1135" t="str">
        <f>CONCATENATE(Programme!C9049,Programme!D9049,Programme!E9049,Programme!F9049,Programme!G9049,Programme!H9049,Programme!I9049)</f>
        <v>&lt;/ValeurCellule&gt;</v>
      </c>
    </row>
    <row r="9049" spans="1:1" x14ac:dyDescent="0.2">
      <c r="A9049" s="1135" t="str">
        <f>CONCATENATE(Programme!C9050,Programme!D9050,Programme!E9050,Programme!F9050,Programme!G9050,Programme!H9050,Programme!I9050)</f>
        <v>&lt;ValeurCellule&gt;</v>
      </c>
    </row>
    <row r="9050" spans="1:1" x14ac:dyDescent="0.2">
      <c r="A9050" s="1135" t="str">
        <f>CONCATENATE(Programme!C9051,Programme!D9051,Programme!E9051,Programme!F9051,Programme!G9051,Programme!H9051,Programme!I9051)</f>
        <v>&lt;cellule&gt;</v>
      </c>
    </row>
    <row r="9051" spans="1:1" x14ac:dyDescent="0.2">
      <c r="A9051" s="1135" t="str">
        <f>CONCATENATE(Programme!C9052,Programme!D9052,Programme!E9052,Programme!F9052,Programme!G9052,Programme!H9052,Programme!I9052)</f>
        <v>&lt;codeEdi&gt;1090&lt;/codeEdi&gt;</v>
      </c>
    </row>
    <row r="9052" spans="1:1" x14ac:dyDescent="0.2">
      <c r="A9052" s="1135" t="str">
        <f>CONCATENATE(Programme!C9053,Programme!D9053,Programme!E9053,Programme!F9053,Programme!G9053,Programme!H9053,Programme!I9053)</f>
        <v>&lt;/cellule&gt;</v>
      </c>
    </row>
    <row r="9053" spans="1:1" x14ac:dyDescent="0.2">
      <c r="A9053" s="1135" t="str">
        <f>CONCATENATE(Programme!C9054,Programme!D9054,Programme!E9054,Programme!F9054,Programme!G9054,Programme!H9054,Programme!I9054)</f>
        <v>&lt;valeur&gt;171871,64&lt;/valeur&gt;</v>
      </c>
    </row>
    <row r="9054" spans="1:1" x14ac:dyDescent="0.2">
      <c r="A9054" s="1135" t="str">
        <f>CONCATENATE(Programme!C9055,Programme!D9055,Programme!E9055,Programme!F9055,Programme!G9055,Programme!H9055,Programme!I9055)</f>
        <v>&lt;/ValeurCellule&gt;</v>
      </c>
    </row>
    <row r="9055" spans="1:1" x14ac:dyDescent="0.2">
      <c r="A9055" s="1135" t="str">
        <f>CONCATENATE(Programme!C9056,Programme!D9056,Programme!E9056,Programme!F9056,Programme!G9056,Programme!H9056,Programme!I9056)</f>
        <v>&lt;ValeurCellule&gt;</v>
      </c>
    </row>
    <row r="9056" spans="1:1" x14ac:dyDescent="0.2">
      <c r="A9056" s="1135" t="str">
        <f>CONCATENATE(Programme!C9057,Programme!D9057,Programme!E9057,Programme!F9057,Programme!G9057,Programme!H9057,Programme!I9057)</f>
        <v>&lt;cellule&gt;</v>
      </c>
    </row>
    <row r="9057" spans="1:1" x14ac:dyDescent="0.2">
      <c r="A9057" s="1135" t="str">
        <f>CONCATENATE(Programme!C9058,Programme!D9058,Programme!E9058,Programme!F9058,Programme!G9058,Programme!H9058,Programme!I9058)</f>
        <v>&lt;codeEdi&gt;1091&lt;/codeEdi&gt;</v>
      </c>
    </row>
    <row r="9058" spans="1:1" x14ac:dyDescent="0.2">
      <c r="A9058" s="1135" t="str">
        <f>CONCATENATE(Programme!C9059,Programme!D9059,Programme!E9059,Programme!F9059,Programme!G9059,Programme!H9059,Programme!I9059)</f>
        <v>&lt;/cellule&gt;</v>
      </c>
    </row>
    <row r="9059" spans="1:1" x14ac:dyDescent="0.2">
      <c r="A9059" s="1135" t="str">
        <f>CONCATENATE(Programme!C9060,Programme!D9060,Programme!E9060,Programme!F9060,Programme!G9060,Programme!H9060,Programme!I9060)</f>
        <v>&lt;valeur&gt;&lt;/valeur&gt;</v>
      </c>
    </row>
    <row r="9060" spans="1:1" x14ac:dyDescent="0.2">
      <c r="A9060" s="1135" t="str">
        <f>CONCATENATE(Programme!C9061,Programme!D9061,Programme!E9061,Programme!F9061,Programme!G9061,Programme!H9061,Programme!I9061)</f>
        <v>&lt;/ValeurCellule&gt;</v>
      </c>
    </row>
    <row r="9061" spans="1:1" x14ac:dyDescent="0.2">
      <c r="A9061" s="1135" t="str">
        <f>CONCATENATE(Programme!C9062,Programme!D9062,Programme!E9062,Programme!F9062,Programme!G9062,Programme!H9062,Programme!I9062)</f>
        <v>&lt;ValeurCellule&gt;</v>
      </c>
    </row>
    <row r="9062" spans="1:1" x14ac:dyDescent="0.2">
      <c r="A9062" s="1135" t="str">
        <f>CONCATENATE(Programme!C9063,Programme!D9063,Programme!E9063,Programme!F9063,Programme!G9063,Programme!H9063,Programme!I9063)</f>
        <v>&lt;cellule&gt;</v>
      </c>
    </row>
    <row r="9063" spans="1:1" x14ac:dyDescent="0.2">
      <c r="A9063" s="1135" t="str">
        <f>CONCATENATE(Programme!C9064,Programme!D9064,Programme!E9064,Programme!F9064,Programme!G9064,Programme!H9064,Programme!I9064)</f>
        <v>&lt;codeEdi&gt;1093&lt;/codeEdi&gt;</v>
      </c>
    </row>
    <row r="9064" spans="1:1" x14ac:dyDescent="0.2">
      <c r="A9064" s="1135" t="str">
        <f>CONCATENATE(Programme!C9065,Programme!D9065,Programme!E9065,Programme!F9065,Programme!G9065,Programme!H9065,Programme!I9065)</f>
        <v>&lt;/cellule&gt;</v>
      </c>
    </row>
    <row r="9065" spans="1:1" x14ac:dyDescent="0.2">
      <c r="A9065" s="1135" t="str">
        <f>CONCATENATE(Programme!C9066,Programme!D9066,Programme!E9066,Programme!F9066,Programme!G9066,Programme!H9066,Programme!I9066)</f>
        <v>&lt;valeur&gt;356372,016&lt;/valeur&gt;</v>
      </c>
    </row>
    <row r="9066" spans="1:1" x14ac:dyDescent="0.2">
      <c r="A9066" s="1135" t="str">
        <f>CONCATENATE(Programme!C9067,Programme!D9067,Programme!E9067,Programme!F9067,Programme!G9067,Programme!H9067,Programme!I9067)</f>
        <v>&lt;/ValeurCellule&gt;</v>
      </c>
    </row>
    <row r="9067" spans="1:1" x14ac:dyDescent="0.2">
      <c r="A9067" s="1135" t="str">
        <f>CONCATENATE(Programme!C9068,Programme!D9068,Programme!E9068,Programme!F9068,Programme!G9068,Programme!H9068,Programme!I9068)</f>
        <v>&lt;ValeurCellule&gt;</v>
      </c>
    </row>
    <row r="9068" spans="1:1" x14ac:dyDescent="0.2">
      <c r="A9068" s="1135" t="str">
        <f>CONCATENATE(Programme!C9069,Programme!D9069,Programme!E9069,Programme!F9069,Programme!G9069,Programme!H9069,Programme!I9069)</f>
        <v>&lt;cellule&gt;</v>
      </c>
    </row>
    <row r="9069" spans="1:1" x14ac:dyDescent="0.2">
      <c r="A9069" s="1135" t="str">
        <f>CONCATENATE(Programme!C9070,Programme!D9070,Programme!E9070,Programme!F9070,Programme!G9070,Programme!H9070,Programme!I9070)</f>
        <v>&lt;codeEdi&gt;1094&lt;/codeEdi&gt;</v>
      </c>
    </row>
    <row r="9070" spans="1:1" x14ac:dyDescent="0.2">
      <c r="A9070" s="1135" t="str">
        <f>CONCATENATE(Programme!C9071,Programme!D9071,Programme!E9071,Programme!F9071,Programme!G9071,Programme!H9071,Programme!I9071)</f>
        <v>&lt;/cellule&gt;</v>
      </c>
    </row>
    <row r="9071" spans="1:1" x14ac:dyDescent="0.2">
      <c r="A9071" s="1135" t="str">
        <f>CONCATENATE(Programme!C9072,Programme!D9072,Programme!E9072,Programme!F9072,Programme!G9072,Programme!H9072,Programme!I9072)</f>
        <v>&lt;valeur&gt;357426,386&lt;/valeur&gt;</v>
      </c>
    </row>
    <row r="9072" spans="1:1" x14ac:dyDescent="0.2">
      <c r="A9072" s="1135" t="str">
        <f>CONCATENATE(Programme!C9073,Programme!D9073,Programme!E9073,Programme!F9073,Programme!G9073,Programme!H9073,Programme!I9073)</f>
        <v>&lt;/ValeurCellule&gt;</v>
      </c>
    </row>
    <row r="9073" spans="1:1" x14ac:dyDescent="0.2">
      <c r="A9073" s="1135" t="str">
        <f>CONCATENATE(Programme!C9074,Programme!D9074,Programme!E9074,Programme!F9074,Programme!G9074,Programme!H9074,Programme!I9074)</f>
        <v>&lt;/groupeValeurs&gt;</v>
      </c>
    </row>
    <row r="9074" spans="1:1" x14ac:dyDescent="0.2">
      <c r="A9074" s="1135" t="str">
        <f>CONCATENATE(Programme!C9075,Programme!D9075,Programme!E9075,Programme!F9075,Programme!G9075,Programme!H9075,Programme!I9075)</f>
        <v>&lt;extraFieldvaleurs&gt;</v>
      </c>
    </row>
    <row r="9075" spans="1:1" x14ac:dyDescent="0.2">
      <c r="A9075" s="1135" t="str">
        <f>CONCATENATE(Programme!C9076,Programme!D9076,Programme!E9076,Programme!F9076,Programme!G9076,Programme!H9076,Programme!I9076)</f>
        <v>&lt;ExtraFieldValeur&gt;</v>
      </c>
    </row>
    <row r="9076" spans="1:1" x14ac:dyDescent="0.2">
      <c r="A9076" s="1135" t="str">
        <f>CONCATENATE(Programme!C9077,Programme!D9077,Programme!E9077,Programme!F9077,Programme!G9077,Programme!H9077,Programme!I9077)</f>
        <v xml:space="preserve"> &lt;extraField&gt;</v>
      </c>
    </row>
    <row r="9077" spans="1:1" x14ac:dyDescent="0.2">
      <c r="A9077" s="1135" t="str">
        <f>CONCATENATE(Programme!C9078,Programme!D9078,Programme!E9078,Programme!F9078,Programme!G9078,Programme!H9078,Programme!I9078)</f>
        <v>&lt;code&gt;22&lt;/code&gt;</v>
      </c>
    </row>
    <row r="9078" spans="1:1" x14ac:dyDescent="0.2">
      <c r="A9078" s="1135" t="str">
        <f>CONCATENATE(Programme!C9079,Programme!D9079,Programme!E9079,Programme!F9079,Programme!G9079,Programme!H9079,Programme!I9079)</f>
        <v xml:space="preserve">&lt;/extraField&gt; </v>
      </c>
    </row>
    <row r="9079" spans="1:1" x14ac:dyDescent="0.2">
      <c r="A9079" s="1135" t="str">
        <f>CONCATENATE(Programme!C9080,Programme!D9080,Programme!E9080,Programme!F9080,Programme!G9080,Programme!H9080,Programme!I9080)</f>
        <v>&lt;valeur&gt;356372,016&lt;/valeur&gt;</v>
      </c>
    </row>
    <row r="9080" spans="1:1" x14ac:dyDescent="0.2">
      <c r="A9080" s="1135" t="str">
        <f>CONCATENATE(Programme!C9081,Programme!D9081,Programme!E9081,Programme!F9081,Programme!G9081,Programme!H9081,Programme!I9081)</f>
        <v>&lt;/ExtraFieldValeur&gt;</v>
      </c>
    </row>
    <row r="9081" spans="1:1" x14ac:dyDescent="0.2">
      <c r="A9081" s="1135" t="str">
        <f>CONCATENATE(Programme!C9082,Programme!D9082,Programme!E9082,Programme!F9082,Programme!G9082,Programme!H9082,Programme!I9082)</f>
        <v>&lt;ExtraFieldValeur&gt;</v>
      </c>
    </row>
    <row r="9082" spans="1:1" x14ac:dyDescent="0.2">
      <c r="A9082" s="1135" t="str">
        <f>CONCATENATE(Programme!C9083,Programme!D9083,Programme!E9083,Programme!F9083,Programme!G9083,Programme!H9083,Programme!I9083)</f>
        <v xml:space="preserve"> &lt;extraField&gt;</v>
      </c>
    </row>
    <row r="9083" spans="1:1" x14ac:dyDescent="0.2">
      <c r="A9083" s="1135" t="str">
        <f>CONCATENATE(Programme!C9084,Programme!D9084,Programme!E9084,Programme!F9084,Programme!G9084,Programme!H9084,Programme!I9084)</f>
        <v>&lt;code&gt;50&lt;/code&gt;</v>
      </c>
    </row>
    <row r="9084" spans="1:1" x14ac:dyDescent="0.2">
      <c r="A9084" s="1135" t="str">
        <f>CONCATENATE(Programme!C9085,Programme!D9085,Programme!E9085,Programme!F9085,Programme!G9085,Programme!H9085,Programme!I9085)</f>
        <v xml:space="preserve">&lt;/extraField&gt; </v>
      </c>
    </row>
    <row r="9085" spans="1:1" x14ac:dyDescent="0.2">
      <c r="A9085" s="1135" t="str">
        <f>CONCATENATE(Programme!C9086,Programme!D9086,Programme!E9086,Programme!F9086,Programme!G9086,Programme!H9086,Programme!I9086)</f>
        <v>&lt;valeur&gt;31/12/2022&lt;/valeur&gt;</v>
      </c>
    </row>
    <row r="9086" spans="1:1" x14ac:dyDescent="0.2">
      <c r="A9086" s="1135" t="str">
        <f>CONCATENATE(Programme!C9087,Programme!D9087,Programme!E9087,Programme!F9087,Programme!G9087,Programme!H9087,Programme!I9087)</f>
        <v>&lt;/ExtraFieldValeur&gt;</v>
      </c>
    </row>
    <row r="9087" spans="1:1" x14ac:dyDescent="0.2">
      <c r="A9087" s="1135" t="str">
        <f>CONCATENATE(Programme!C9088,Programme!D9088,Programme!E9088,Programme!F9088,Programme!G9088,Programme!H9088,Programme!I9088)</f>
        <v>&lt;ExtraFieldValeur&gt;</v>
      </c>
    </row>
    <row r="9088" spans="1:1" x14ac:dyDescent="0.2">
      <c r="A9088" s="1135" t="str">
        <f>CONCATENATE(Programme!C9089,Programme!D9089,Programme!E9089,Programme!F9089,Programme!G9089,Programme!H9089,Programme!I9089)</f>
        <v xml:space="preserve"> &lt;extraField&gt;</v>
      </c>
    </row>
    <row r="9089" spans="1:1" x14ac:dyDescent="0.2">
      <c r="A9089" s="1135" t="str">
        <f>CONCATENATE(Programme!C9090,Programme!D9090,Programme!E9090,Programme!F9090,Programme!G9090,Programme!H9090,Programme!I9090)</f>
        <v>&lt;code&gt;51&lt;/code&gt;</v>
      </c>
    </row>
    <row r="9090" spans="1:1" x14ac:dyDescent="0.2">
      <c r="A9090" s="1135" t="str">
        <f>CONCATENATE(Programme!C9091,Programme!D9091,Programme!E9091,Programme!F9091,Programme!G9091,Programme!H9091,Programme!I9091)</f>
        <v xml:space="preserve">&lt;/extraField&gt; </v>
      </c>
    </row>
    <row r="9091" spans="1:1" x14ac:dyDescent="0.2">
      <c r="A9091" s="1135" t="str">
        <f>CONCATENATE(Programme!C9092,Programme!D9092,Programme!E9092,Programme!F9092,Programme!G9092,Programme!H9092,Programme!I9092)</f>
        <v>&lt;valeur&gt;44562&lt;/valeur&gt;</v>
      </c>
    </row>
    <row r="9092" spans="1:1" x14ac:dyDescent="0.2">
      <c r="A9092" s="1135" t="str">
        <f>CONCATENATE(Programme!C9093,Programme!D9093,Programme!E9093,Programme!F9093,Programme!G9093,Programme!H9093,Programme!I9093)</f>
        <v>&lt;/ExtraFieldValeur&gt;</v>
      </c>
    </row>
    <row r="9093" spans="1:1" x14ac:dyDescent="0.2">
      <c r="A9093" s="1135" t="str">
        <f>CONCATENATE(Programme!C9094,Programme!D9094,Programme!E9094,Programme!F9094,Programme!G9094,Programme!H9094,Programme!I9094)</f>
        <v>&lt;ExtraFieldValeur&gt;</v>
      </c>
    </row>
    <row r="9094" spans="1:1" x14ac:dyDescent="0.2">
      <c r="A9094" s="1135" t="str">
        <f>CONCATENATE(Programme!C9095,Programme!D9095,Programme!E9095,Programme!F9095,Programme!G9095,Programme!H9095,Programme!I9095)</f>
        <v xml:space="preserve"> &lt;extraField&gt;</v>
      </c>
    </row>
    <row r="9095" spans="1:1" x14ac:dyDescent="0.2">
      <c r="A9095" s="1135" t="str">
        <f>CONCATENATE(Programme!C9096,Programme!D9096,Programme!E9096,Programme!F9096,Programme!G9096,Programme!H9096,Programme!I9096)</f>
        <v>&lt;code&gt;52&lt;/code&gt;</v>
      </c>
    </row>
    <row r="9096" spans="1:1" x14ac:dyDescent="0.2">
      <c r="A9096" s="1135" t="str">
        <f>CONCATENATE(Programme!C9097,Programme!D9097,Programme!E9097,Programme!F9097,Programme!G9097,Programme!H9097,Programme!I9097)</f>
        <v xml:space="preserve">&lt;/extraField&gt; </v>
      </c>
    </row>
    <row r="9097" spans="1:1" x14ac:dyDescent="0.2">
      <c r="A9097" s="1135" t="str">
        <f>CONCATENATE(Programme!C9098,Programme!D9098,Programme!E9098,Programme!F9098,Programme!G9098,Programme!H9098,Programme!I9098)</f>
        <v>&lt;valeur&gt;31/12/2022&lt;/valeur&gt;</v>
      </c>
    </row>
    <row r="9098" spans="1:1" x14ac:dyDescent="0.2">
      <c r="A9098" s="1135" t="str">
        <f>CONCATENATE(Programme!C9099,Programme!D9099,Programme!E9099,Programme!F9099,Programme!G9099,Programme!H9099,Programme!I9099)</f>
        <v>&lt;/ExtraFieldValeur&gt;</v>
      </c>
    </row>
    <row r="9099" spans="1:1" x14ac:dyDescent="0.2">
      <c r="A9099" s="1135" t="str">
        <f>CONCATENATE(Programme!C9100,Programme!D9100,Programme!E9100,Programme!F9100,Programme!G9100,Programme!H9100,Programme!I9100)</f>
        <v>&lt;/extraFieldvaleurs&gt;</v>
      </c>
    </row>
    <row r="9100" spans="1:1" x14ac:dyDescent="0.2">
      <c r="A9100" s="1135" t="str">
        <f>CONCATENATE(Programme!C9101,Programme!D9101,Programme!E9101,Programme!F9101,Programme!G9101,Programme!H9101,Programme!I9101)</f>
        <v>&lt;/ValeursTableau&gt;</v>
      </c>
    </row>
    <row r="9101" spans="1:1" x14ac:dyDescent="0.2">
      <c r="A9101" s="1135" t="str">
        <f>CONCATENATE(Programme!C9102,Programme!D9102,Programme!E9102,Programme!F9102,Programme!G9102,Programme!H9102,Programme!I9102)</f>
        <v>&lt;ValeursTableau&gt;</v>
      </c>
    </row>
    <row r="9102" spans="1:1" x14ac:dyDescent="0.2">
      <c r="A9102" s="1135" t="str">
        <f>CONCATENATE(Programme!C9103,Programme!D9103,Programme!E9103,Programme!F9103,Programme!G9103,Programme!H9103,Programme!I9103)</f>
        <v>&lt;tableau&gt;&lt;id&gt;26&lt;/id&gt;&lt;/tableau&gt;</v>
      </c>
    </row>
    <row r="9103" spans="1:1" x14ac:dyDescent="0.2">
      <c r="A9103" s="1135" t="str">
        <f>CONCATENATE(Programme!C9104,Programme!D9104,Programme!E9104,Programme!F9104,Programme!G9104,Programme!H9104,Programme!I9104)</f>
        <v>&lt;groupeValeurs&gt;</v>
      </c>
    </row>
    <row r="9104" spans="1:1" x14ac:dyDescent="0.2">
      <c r="A9104" s="1135" t="str">
        <f>CONCATENATE(Programme!C9105,Programme!D9105,Programme!E9105,Programme!F9105,Programme!G9105,Programme!H9105,Programme!I9105)</f>
        <v>&lt;ValeurCellule&gt;</v>
      </c>
    </row>
    <row r="9105" spans="1:1" x14ac:dyDescent="0.2">
      <c r="A9105" s="1135" t="str">
        <f>CONCATENATE(Programme!C9106,Programme!D9106,Programme!E9106,Programme!F9106,Programme!G9106,Programme!H9106,Programme!I9106)</f>
        <v>&lt;cellule&gt;</v>
      </c>
    </row>
    <row r="9106" spans="1:1" x14ac:dyDescent="0.2">
      <c r="A9106" s="1135" t="str">
        <f>CONCATENATE(Programme!C9107,Programme!D9107,Programme!E9107,Programme!F9107,Programme!G9107,Programme!H9107,Programme!I9107)</f>
        <v>&lt;codeEdi&gt;1110&lt;/codeEdi&gt;</v>
      </c>
    </row>
    <row r="9107" spans="1:1" x14ac:dyDescent="0.2">
      <c r="A9107" s="1135" t="str">
        <f>CONCATENATE(Programme!C9108,Programme!D9108,Programme!E9108,Programme!F9108,Programme!G9108,Programme!H9108,Programme!I9108)</f>
        <v>&lt;/cellule&gt;</v>
      </c>
    </row>
    <row r="9108" spans="1:1" x14ac:dyDescent="0.2">
      <c r="A9108" s="1135" t="str">
        <f>CONCATENATE(Programme!C9109,Programme!D9109,Programme!E9109,Programme!F9109,Programme!G9109,Programme!H9109,Programme!I9109)</f>
        <v>&lt;valeur&gt;&lt;/valeur&gt;</v>
      </c>
    </row>
    <row r="9109" spans="1:1" x14ac:dyDescent="0.2">
      <c r="A9109" s="1135" t="str">
        <f>CONCATENATE(Programme!C9110,Programme!D9110,Programme!E9110,Programme!F9110,Programme!G9110,Programme!H9110,Programme!I9110)</f>
        <v>&lt;/ValeurCellule&gt;</v>
      </c>
    </row>
    <row r="9110" spans="1:1" x14ac:dyDescent="0.2">
      <c r="A9110" s="1135" t="str">
        <f>CONCATENATE(Programme!C9111,Programme!D9111,Programme!E9111,Programme!F9111,Programme!G9111,Programme!H9111,Programme!I9111)</f>
        <v>&lt;ValeurCellule&gt;</v>
      </c>
    </row>
    <row r="9111" spans="1:1" x14ac:dyDescent="0.2">
      <c r="A9111" s="1135" t="str">
        <f>CONCATENATE(Programme!C9112,Programme!D9112,Programme!E9112,Programme!F9112,Programme!G9112,Programme!H9112,Programme!I9112)</f>
        <v>&lt;cellule&gt;</v>
      </c>
    </row>
    <row r="9112" spans="1:1" x14ac:dyDescent="0.2">
      <c r="A9112" s="1135" t="str">
        <f>CONCATENATE(Programme!C9113,Programme!D9113,Programme!E9113,Programme!F9113,Programme!G9113,Programme!H9113,Programme!I9113)</f>
        <v>&lt;codeEdi&gt;1119&lt;/codeEdi&gt;</v>
      </c>
    </row>
    <row r="9113" spans="1:1" x14ac:dyDescent="0.2">
      <c r="A9113" s="1135" t="str">
        <f>CONCATENATE(Programme!C9114,Programme!D9114,Programme!E9114,Programme!F9114,Programme!G9114,Programme!H9114,Programme!I9114)</f>
        <v>&lt;/cellule&gt;</v>
      </c>
    </row>
    <row r="9114" spans="1:1" x14ac:dyDescent="0.2">
      <c r="A9114" s="1135" t="str">
        <f>CONCATENATE(Programme!C9115,Programme!D9115,Programme!E9115,Programme!F9115,Programme!G9115,Programme!H9115,Programme!I9115)</f>
        <v>&lt;valeur&gt;&lt;/valeur&gt;</v>
      </c>
    </row>
    <row r="9115" spans="1:1" x14ac:dyDescent="0.2">
      <c r="A9115" s="1135" t="str">
        <f>CONCATENATE(Programme!C9116,Programme!D9116,Programme!E9116,Programme!F9116,Programme!G9116,Programme!H9116,Programme!I9116)</f>
        <v>&lt;/ValeurCellule&gt;</v>
      </c>
    </row>
    <row r="9116" spans="1:1" x14ac:dyDescent="0.2">
      <c r="A9116" s="1135" t="str">
        <f>CONCATENATE(Programme!C9117,Programme!D9117,Programme!E9117,Programme!F9117,Programme!G9117,Programme!H9117,Programme!I9117)</f>
        <v>&lt;ValeurCellule&gt;</v>
      </c>
    </row>
    <row r="9117" spans="1:1" x14ac:dyDescent="0.2">
      <c r="A9117" s="1135" t="str">
        <f>CONCATENATE(Programme!C9118,Programme!D9118,Programme!E9118,Programme!F9118,Programme!G9118,Programme!H9118,Programme!I9118)</f>
        <v>&lt;cellule&gt;</v>
      </c>
    </row>
    <row r="9118" spans="1:1" x14ac:dyDescent="0.2">
      <c r="A9118" s="1135" t="str">
        <f>CONCATENATE(Programme!C9119,Programme!D9119,Programme!E9119,Programme!F9119,Programme!G9119,Programme!H9119,Programme!I9119)</f>
        <v>&lt;codeEdi&gt;1128&lt;/codeEdi&gt;</v>
      </c>
    </row>
    <row r="9119" spans="1:1" x14ac:dyDescent="0.2">
      <c r="A9119" s="1135" t="str">
        <f>CONCATENATE(Programme!C9120,Programme!D9120,Programme!E9120,Programme!F9120,Programme!G9120,Programme!H9120,Programme!I9120)</f>
        <v>&lt;/cellule&gt;</v>
      </c>
    </row>
    <row r="9120" spans="1:1" x14ac:dyDescent="0.2">
      <c r="A9120" s="1135" t="str">
        <f>CONCATENATE(Programme!C9121,Programme!D9121,Programme!E9121,Programme!F9121,Programme!G9121,Programme!H9121,Programme!I9121)</f>
        <v>&lt;valeur&gt;&lt;/valeur&gt;</v>
      </c>
    </row>
    <row r="9121" spans="1:1" x14ac:dyDescent="0.2">
      <c r="A9121" s="1135" t="str">
        <f>CONCATENATE(Programme!C9122,Programme!D9122,Programme!E9122,Programme!F9122,Programme!G9122,Programme!H9122,Programme!I9122)</f>
        <v>&lt;/ValeurCellule&gt;</v>
      </c>
    </row>
    <row r="9122" spans="1:1" x14ac:dyDescent="0.2">
      <c r="A9122" s="1135" t="str">
        <f>CONCATENATE(Programme!C9123,Programme!D9123,Programme!E9123,Programme!F9123,Programme!G9123,Programme!H9123,Programme!I9123)</f>
        <v>&lt;ValeurCellule&gt;</v>
      </c>
    </row>
    <row r="9123" spans="1:1" x14ac:dyDescent="0.2">
      <c r="A9123" s="1135" t="str">
        <f>CONCATENATE(Programme!C9124,Programme!D9124,Programme!E9124,Programme!F9124,Programme!G9124,Programme!H9124,Programme!I9124)</f>
        <v>&lt;cellule&gt;</v>
      </c>
    </row>
    <row r="9124" spans="1:1" x14ac:dyDescent="0.2">
      <c r="A9124" s="1135" t="str">
        <f>CONCATENATE(Programme!C9125,Programme!D9125,Programme!E9125,Programme!F9125,Programme!G9125,Programme!H9125,Programme!I9125)</f>
        <v>&lt;codeEdi&gt;1137&lt;/codeEdi&gt;</v>
      </c>
    </row>
    <row r="9125" spans="1:1" x14ac:dyDescent="0.2">
      <c r="A9125" s="1135" t="str">
        <f>CONCATENATE(Programme!C9126,Programme!D9126,Programme!E9126,Programme!F9126,Programme!G9126,Programme!H9126,Programme!I9126)</f>
        <v>&lt;/cellule&gt;</v>
      </c>
    </row>
    <row r="9126" spans="1:1" x14ac:dyDescent="0.2">
      <c r="A9126" s="1135" t="str">
        <f>CONCATENATE(Programme!C9127,Programme!D9127,Programme!E9127,Programme!F9127,Programme!G9127,Programme!H9127,Programme!I9127)</f>
        <v>&lt;valeur&gt;&lt;/valeur&gt;</v>
      </c>
    </row>
    <row r="9127" spans="1:1" x14ac:dyDescent="0.2">
      <c r="A9127" s="1135" t="str">
        <f>CONCATENATE(Programme!C9128,Programme!D9128,Programme!E9128,Programme!F9128,Programme!G9128,Programme!H9128,Programme!I9128)</f>
        <v>&lt;/ValeurCellule&gt;</v>
      </c>
    </row>
    <row r="9128" spans="1:1" x14ac:dyDescent="0.2">
      <c r="A9128" s="1135" t="str">
        <f>CONCATENATE(Programme!C9129,Programme!D9129,Programme!E9129,Programme!F9129,Programme!G9129,Programme!H9129,Programme!I9129)</f>
        <v>&lt;ValeurCellule&gt;</v>
      </c>
    </row>
    <row r="9129" spans="1:1" x14ac:dyDescent="0.2">
      <c r="A9129" s="1135" t="str">
        <f>CONCATENATE(Programme!C9130,Programme!D9130,Programme!E9130,Programme!F9130,Programme!G9130,Programme!H9130,Programme!I9130)</f>
        <v>&lt;cellule&gt;</v>
      </c>
    </row>
    <row r="9130" spans="1:1" x14ac:dyDescent="0.2">
      <c r="A9130" s="1135" t="str">
        <f>CONCATENATE(Programme!C9131,Programme!D9131,Programme!E9131,Programme!F9131,Programme!G9131,Programme!H9131,Programme!I9131)</f>
        <v>&lt;codeEdi&gt;1146&lt;/codeEdi&gt;</v>
      </c>
    </row>
    <row r="9131" spans="1:1" x14ac:dyDescent="0.2">
      <c r="A9131" s="1135" t="str">
        <f>CONCATENATE(Programme!C9132,Programme!D9132,Programme!E9132,Programme!F9132,Programme!G9132,Programme!H9132,Programme!I9132)</f>
        <v>&lt;/cellule&gt;</v>
      </c>
    </row>
    <row r="9132" spans="1:1" x14ac:dyDescent="0.2">
      <c r="A9132" s="1135" t="str">
        <f>CONCATENATE(Programme!C9133,Programme!D9133,Programme!E9133,Programme!F9133,Programme!G9133,Programme!H9133,Programme!I9133)</f>
        <v>&lt;valeur&gt;&lt;/valeur&gt;</v>
      </c>
    </row>
    <row r="9133" spans="1:1" x14ac:dyDescent="0.2">
      <c r="A9133" s="1135" t="str">
        <f>CONCATENATE(Programme!C9134,Programme!D9134,Programme!E9134,Programme!F9134,Programme!G9134,Programme!H9134,Programme!I9134)</f>
        <v>&lt;/ValeurCellule&gt;</v>
      </c>
    </row>
    <row r="9134" spans="1:1" x14ac:dyDescent="0.2">
      <c r="A9134" s="1135" t="str">
        <f>CONCATENATE(Programme!C9135,Programme!D9135,Programme!E9135,Programme!F9135,Programme!G9135,Programme!H9135,Programme!I9135)</f>
        <v>&lt;ValeurCellule&gt;</v>
      </c>
    </row>
    <row r="9135" spans="1:1" x14ac:dyDescent="0.2">
      <c r="A9135" s="1135" t="str">
        <f>CONCATENATE(Programme!C9136,Programme!D9136,Programme!E9136,Programme!F9136,Programme!G9136,Programme!H9136,Programme!I9136)</f>
        <v>&lt;cellule&gt;</v>
      </c>
    </row>
    <row r="9136" spans="1:1" x14ac:dyDescent="0.2">
      <c r="A9136" s="1135" t="str">
        <f>CONCATENATE(Programme!C9137,Programme!D9137,Programme!E9137,Programme!F9137,Programme!G9137,Programme!H9137,Programme!I9137)</f>
        <v>&lt;codeEdi&gt;1155&lt;/codeEdi&gt;</v>
      </c>
    </row>
    <row r="9137" spans="1:1" x14ac:dyDescent="0.2">
      <c r="A9137" s="1135" t="str">
        <f>CONCATENATE(Programme!C9138,Programme!D9138,Programme!E9138,Programme!F9138,Programme!G9138,Programme!H9138,Programme!I9138)</f>
        <v>&lt;/cellule&gt;</v>
      </c>
    </row>
    <row r="9138" spans="1:1" x14ac:dyDescent="0.2">
      <c r="A9138" s="1135" t="str">
        <f>CONCATENATE(Programme!C9139,Programme!D9139,Programme!E9139,Programme!F9139,Programme!G9139,Programme!H9139,Programme!I9139)</f>
        <v>&lt;valeur&gt;&lt;/valeur&gt;</v>
      </c>
    </row>
    <row r="9139" spans="1:1" x14ac:dyDescent="0.2">
      <c r="A9139" s="1135" t="str">
        <f>CONCATENATE(Programme!C9140,Programme!D9140,Programme!E9140,Programme!F9140,Programme!G9140,Programme!H9140,Programme!I9140)</f>
        <v>&lt;/ValeurCellule&gt;</v>
      </c>
    </row>
    <row r="9140" spans="1:1" x14ac:dyDescent="0.2">
      <c r="A9140" s="1135" t="str">
        <f>CONCATENATE(Programme!C9141,Programme!D9141,Programme!E9141,Programme!F9141,Programme!G9141,Programme!H9141,Programme!I9141)</f>
        <v>&lt;ValeurCellule&gt;</v>
      </c>
    </row>
    <row r="9141" spans="1:1" x14ac:dyDescent="0.2">
      <c r="A9141" s="1135" t="str">
        <f>CONCATENATE(Programme!C9142,Programme!D9142,Programme!E9142,Programme!F9142,Programme!G9142,Programme!H9142,Programme!I9142)</f>
        <v>&lt;cellule&gt;</v>
      </c>
    </row>
    <row r="9142" spans="1:1" x14ac:dyDescent="0.2">
      <c r="A9142" s="1135" t="str">
        <f>CONCATENATE(Programme!C9143,Programme!D9143,Programme!E9143,Programme!F9143,Programme!G9143,Programme!H9143,Programme!I9143)</f>
        <v>&lt;codeEdi&gt;1164&lt;/codeEdi&gt;</v>
      </c>
    </row>
    <row r="9143" spans="1:1" x14ac:dyDescent="0.2">
      <c r="A9143" s="1135" t="str">
        <f>CONCATENATE(Programme!C9144,Programme!D9144,Programme!E9144,Programme!F9144,Programme!G9144,Programme!H9144,Programme!I9144)</f>
        <v>&lt;/cellule&gt;</v>
      </c>
    </row>
    <row r="9144" spans="1:1" x14ac:dyDescent="0.2">
      <c r="A9144" s="1135" t="str">
        <f>CONCATENATE(Programme!C9145,Programme!D9145,Programme!E9145,Programme!F9145,Programme!G9145,Programme!H9145,Programme!I9145)</f>
        <v>&lt;valeur&gt;&lt;/valeur&gt;</v>
      </c>
    </row>
    <row r="9145" spans="1:1" x14ac:dyDescent="0.2">
      <c r="A9145" s="1135" t="str">
        <f>CONCATENATE(Programme!C9146,Programme!D9146,Programme!E9146,Programme!F9146,Programme!G9146,Programme!H9146,Programme!I9146)</f>
        <v>&lt;/ValeurCellule&gt;</v>
      </c>
    </row>
    <row r="9146" spans="1:1" x14ac:dyDescent="0.2">
      <c r="A9146" s="1135" t="str">
        <f>CONCATENATE(Programme!C9147,Programme!D9147,Programme!E9147,Programme!F9147,Programme!G9147,Programme!H9147,Programme!I9147)</f>
        <v>&lt;ValeurCellule&gt;</v>
      </c>
    </row>
    <row r="9147" spans="1:1" x14ac:dyDescent="0.2">
      <c r="A9147" s="1135" t="str">
        <f>CONCATENATE(Programme!C9148,Programme!D9148,Programme!E9148,Programme!F9148,Programme!G9148,Programme!H9148,Programme!I9148)</f>
        <v>&lt;cellule&gt;</v>
      </c>
    </row>
    <row r="9148" spans="1:1" x14ac:dyDescent="0.2">
      <c r="A9148" s="1135" t="str">
        <f>CONCATENATE(Programme!C9149,Programme!D9149,Programme!E9149,Programme!F9149,Programme!G9149,Programme!H9149,Programme!I9149)</f>
        <v>&lt;codeEdi&gt;1173&lt;/codeEdi&gt;</v>
      </c>
    </row>
    <row r="9149" spans="1:1" x14ac:dyDescent="0.2">
      <c r="A9149" s="1135" t="str">
        <f>CONCATENATE(Programme!C9150,Programme!D9150,Programme!E9150,Programme!F9150,Programme!G9150,Programme!H9150,Programme!I9150)</f>
        <v>&lt;/cellule&gt;</v>
      </c>
    </row>
    <row r="9150" spans="1:1" x14ac:dyDescent="0.2">
      <c r="A9150" s="1135" t="str">
        <f>CONCATENATE(Programme!C9151,Programme!D9151,Programme!E9151,Programme!F9151,Programme!G9151,Programme!H9151,Programme!I9151)</f>
        <v>&lt;valeur&gt;&lt;/valeur&gt;</v>
      </c>
    </row>
    <row r="9151" spans="1:1" x14ac:dyDescent="0.2">
      <c r="A9151" s="1135" t="str">
        <f>CONCATENATE(Programme!C9152,Programme!D9152,Programme!E9152,Programme!F9152,Programme!G9152,Programme!H9152,Programme!I9152)</f>
        <v>&lt;/ValeurCellule&gt;</v>
      </c>
    </row>
    <row r="9152" spans="1:1" x14ac:dyDescent="0.2">
      <c r="A9152" s="1135" t="str">
        <f>CONCATENATE(Programme!C9153,Programme!D9153,Programme!E9153,Programme!F9153,Programme!G9153,Programme!H9153,Programme!I9153)</f>
        <v>&lt;ValeurCellule&gt;</v>
      </c>
    </row>
    <row r="9153" spans="1:1" x14ac:dyDescent="0.2">
      <c r="A9153" s="1135" t="str">
        <f>CONCATENATE(Programme!C9154,Programme!D9154,Programme!E9154,Programme!F9154,Programme!G9154,Programme!H9154,Programme!I9154)</f>
        <v>&lt;cellule&gt;</v>
      </c>
    </row>
    <row r="9154" spans="1:1" x14ac:dyDescent="0.2">
      <c r="A9154" s="1135" t="str">
        <f>CONCATENATE(Programme!C9155,Programme!D9155,Programme!E9155,Programme!F9155,Programme!G9155,Programme!H9155,Programme!I9155)</f>
        <v>&lt;codeEdi&gt;1182&lt;/codeEdi&gt;</v>
      </c>
    </row>
    <row r="9155" spans="1:1" x14ac:dyDescent="0.2">
      <c r="A9155" s="1135" t="str">
        <f>CONCATENATE(Programme!C9156,Programme!D9156,Programme!E9156,Programme!F9156,Programme!G9156,Programme!H9156,Programme!I9156)</f>
        <v>&lt;/cellule&gt;</v>
      </c>
    </row>
    <row r="9156" spans="1:1" x14ac:dyDescent="0.2">
      <c r="A9156" s="1135" t="str">
        <f>CONCATENATE(Programme!C9157,Programme!D9157,Programme!E9157,Programme!F9157,Programme!G9157,Programme!H9157,Programme!I9157)</f>
        <v>&lt;valeur&gt;&lt;/valeur&gt;</v>
      </c>
    </row>
    <row r="9157" spans="1:1" x14ac:dyDescent="0.2">
      <c r="A9157" s="1135" t="str">
        <f>CONCATENATE(Programme!C9158,Programme!D9158,Programme!E9158,Programme!F9158,Programme!G9158,Programme!H9158,Programme!I9158)</f>
        <v>&lt;/ValeurCellule&gt;</v>
      </c>
    </row>
    <row r="9158" spans="1:1" x14ac:dyDescent="0.2">
      <c r="A9158" s="1135" t="str">
        <f>CONCATENATE(Programme!C9159,Programme!D9159,Programme!E9159,Programme!F9159,Programme!G9159,Programme!H9159,Programme!I9159)</f>
        <v>&lt;ValeurCellule&gt;</v>
      </c>
    </row>
    <row r="9159" spans="1:1" x14ac:dyDescent="0.2">
      <c r="A9159" s="1135" t="str">
        <f>CONCATENATE(Programme!C9160,Programme!D9160,Programme!E9160,Programme!F9160,Programme!G9160,Programme!H9160,Programme!I9160)</f>
        <v>&lt;cellule&gt;</v>
      </c>
    </row>
    <row r="9160" spans="1:1" x14ac:dyDescent="0.2">
      <c r="A9160" s="1135" t="str">
        <f>CONCATENATE(Programme!C9161,Programme!D9161,Programme!E9161,Programme!F9161,Programme!G9161,Programme!H9161,Programme!I9161)</f>
        <v>&lt;codeEdi&gt;1191&lt;/codeEdi&gt;</v>
      </c>
    </row>
    <row r="9161" spans="1:1" x14ac:dyDescent="0.2">
      <c r="A9161" s="1135" t="str">
        <f>CONCATENATE(Programme!C9162,Programme!D9162,Programme!E9162,Programme!F9162,Programme!G9162,Programme!H9162,Programme!I9162)</f>
        <v>&lt;/cellule&gt;</v>
      </c>
    </row>
    <row r="9162" spans="1:1" x14ac:dyDescent="0.2">
      <c r="A9162" s="1135" t="str">
        <f>CONCATENATE(Programme!C9163,Programme!D9163,Programme!E9163,Programme!F9163,Programme!G9163,Programme!H9163,Programme!I9163)</f>
        <v>&lt;valeur&gt;&lt;/valeur&gt;</v>
      </c>
    </row>
    <row r="9163" spans="1:1" x14ac:dyDescent="0.2">
      <c r="A9163" s="1135" t="str">
        <f>CONCATENATE(Programme!C9164,Programme!D9164,Programme!E9164,Programme!F9164,Programme!G9164,Programme!H9164,Programme!I9164)</f>
        <v>&lt;/ValeurCellule&gt;</v>
      </c>
    </row>
    <row r="9164" spans="1:1" x14ac:dyDescent="0.2">
      <c r="A9164" s="1135" t="str">
        <f>CONCATENATE(Programme!C9165,Programme!D9165,Programme!E9165,Programme!F9165,Programme!G9165,Programme!H9165,Programme!I9165)</f>
        <v>&lt;ValeurCellule&gt;</v>
      </c>
    </row>
    <row r="9165" spans="1:1" x14ac:dyDescent="0.2">
      <c r="A9165" s="1135" t="str">
        <f>CONCATENATE(Programme!C9166,Programme!D9166,Programme!E9166,Programme!F9166,Programme!G9166,Programme!H9166,Programme!I9166)</f>
        <v>&lt;cellule&gt;</v>
      </c>
    </row>
    <row r="9166" spans="1:1" x14ac:dyDescent="0.2">
      <c r="A9166" s="1135" t="str">
        <f>CONCATENATE(Programme!C9167,Programme!D9167,Programme!E9167,Programme!F9167,Programme!G9167,Programme!H9167,Programme!I9167)</f>
        <v>&lt;codeEdi&gt;1200&lt;/codeEdi&gt;</v>
      </c>
    </row>
    <row r="9167" spans="1:1" x14ac:dyDescent="0.2">
      <c r="A9167" s="1135" t="str">
        <f>CONCATENATE(Programme!C9168,Programme!D9168,Programme!E9168,Programme!F9168,Programme!G9168,Programme!H9168,Programme!I9168)</f>
        <v>&lt;/cellule&gt;</v>
      </c>
    </row>
    <row r="9168" spans="1:1" x14ac:dyDescent="0.2">
      <c r="A9168" s="1135" t="str">
        <f>CONCATENATE(Programme!C9169,Programme!D9169,Programme!E9169,Programme!F9169,Programme!G9169,Programme!H9169,Programme!I9169)</f>
        <v>&lt;valeur&gt;0&lt;/valeur&gt;</v>
      </c>
    </row>
    <row r="9169" spans="1:1" x14ac:dyDescent="0.2">
      <c r="A9169" s="1135" t="str">
        <f>CONCATENATE(Programme!C9170,Programme!D9170,Programme!E9170,Programme!F9170,Programme!G9170,Programme!H9170,Programme!I9170)</f>
        <v>&lt;/ValeurCellule&gt;</v>
      </c>
    </row>
    <row r="9170" spans="1:1" x14ac:dyDescent="0.2">
      <c r="A9170" s="1135" t="str">
        <f>CONCATENATE(Programme!C9171,Programme!D9171,Programme!E9171,Programme!F9171,Programme!G9171,Programme!H9171,Programme!I9171)</f>
        <v>&lt;ValeurCellule&gt;</v>
      </c>
    </row>
    <row r="9171" spans="1:1" x14ac:dyDescent="0.2">
      <c r="A9171" s="1135" t="str">
        <f>CONCATENATE(Programme!C9172,Programme!D9172,Programme!E9172,Programme!F9172,Programme!G9172,Programme!H9172,Programme!I9172)</f>
        <v>&lt;cellule&gt;</v>
      </c>
    </row>
    <row r="9172" spans="1:1" x14ac:dyDescent="0.2">
      <c r="A9172" s="1135" t="str">
        <f>CONCATENATE(Programme!C9173,Programme!D9173,Programme!E9173,Programme!F9173,Programme!G9173,Programme!H9173,Programme!I9173)</f>
        <v>&lt;codeEdi&gt;1111&lt;/codeEdi&gt;</v>
      </c>
    </row>
    <row r="9173" spans="1:1" x14ac:dyDescent="0.2">
      <c r="A9173" s="1135" t="str">
        <f>CONCATENATE(Programme!C9174,Programme!D9174,Programme!E9174,Programme!F9174,Programme!G9174,Programme!H9174,Programme!I9174)</f>
        <v>&lt;/cellule&gt;</v>
      </c>
    </row>
    <row r="9174" spans="1:1" x14ac:dyDescent="0.2">
      <c r="A9174" s="1135" t="str">
        <f>CONCATENATE(Programme!C9175,Programme!D9175,Programme!E9175,Programme!F9175,Programme!G9175,Programme!H9175,Programme!I9175)</f>
        <v>&lt;valeur&gt;&lt;/valeur&gt;</v>
      </c>
    </row>
    <row r="9175" spans="1:1" x14ac:dyDescent="0.2">
      <c r="A9175" s="1135" t="str">
        <f>CONCATENATE(Programme!C9176,Programme!D9176,Programme!E9176,Programme!F9176,Programme!G9176,Programme!H9176,Programme!I9176)</f>
        <v>&lt;/ValeurCellule&gt;</v>
      </c>
    </row>
    <row r="9176" spans="1:1" x14ac:dyDescent="0.2">
      <c r="A9176" s="1135" t="str">
        <f>CONCATENATE(Programme!C9177,Programme!D9177,Programme!E9177,Programme!F9177,Programme!G9177,Programme!H9177,Programme!I9177)</f>
        <v>&lt;ValeurCellule&gt;</v>
      </c>
    </row>
    <row r="9177" spans="1:1" x14ac:dyDescent="0.2">
      <c r="A9177" s="1135" t="str">
        <f>CONCATENATE(Programme!C9178,Programme!D9178,Programme!E9178,Programme!F9178,Programme!G9178,Programme!H9178,Programme!I9178)</f>
        <v>&lt;cellule&gt;</v>
      </c>
    </row>
    <row r="9178" spans="1:1" x14ac:dyDescent="0.2">
      <c r="A9178" s="1135" t="str">
        <f>CONCATENATE(Programme!C9179,Programme!D9179,Programme!E9179,Programme!F9179,Programme!G9179,Programme!H9179,Programme!I9179)</f>
        <v>&lt;codeEdi&gt;1120&lt;/codeEdi&gt;</v>
      </c>
    </row>
    <row r="9179" spans="1:1" x14ac:dyDescent="0.2">
      <c r="A9179" s="1135" t="str">
        <f>CONCATENATE(Programme!C9180,Programme!D9180,Programme!E9180,Programme!F9180,Programme!G9180,Programme!H9180,Programme!I9180)</f>
        <v>&lt;/cellule&gt;</v>
      </c>
    </row>
    <row r="9180" spans="1:1" x14ac:dyDescent="0.2">
      <c r="A9180" s="1135" t="str">
        <f>CONCATENATE(Programme!C9181,Programme!D9181,Programme!E9181,Programme!F9181,Programme!G9181,Programme!H9181,Programme!I9181)</f>
        <v>&lt;valeur&gt;&lt;/valeur&gt;</v>
      </c>
    </row>
    <row r="9181" spans="1:1" x14ac:dyDescent="0.2">
      <c r="A9181" s="1135" t="str">
        <f>CONCATENATE(Programme!C9182,Programme!D9182,Programme!E9182,Programme!F9182,Programme!G9182,Programme!H9182,Programme!I9182)</f>
        <v>&lt;/ValeurCellule&gt;</v>
      </c>
    </row>
    <row r="9182" spans="1:1" x14ac:dyDescent="0.2">
      <c r="A9182" s="1135" t="str">
        <f>CONCATENATE(Programme!C9183,Programme!D9183,Programme!E9183,Programme!F9183,Programme!G9183,Programme!H9183,Programme!I9183)</f>
        <v>&lt;ValeurCellule&gt;</v>
      </c>
    </row>
    <row r="9183" spans="1:1" x14ac:dyDescent="0.2">
      <c r="A9183" s="1135" t="str">
        <f>CONCATENATE(Programme!C9184,Programme!D9184,Programme!E9184,Programme!F9184,Programme!G9184,Programme!H9184,Programme!I9184)</f>
        <v>&lt;cellule&gt;</v>
      </c>
    </row>
    <row r="9184" spans="1:1" x14ac:dyDescent="0.2">
      <c r="A9184" s="1135" t="str">
        <f>CONCATENATE(Programme!C9185,Programme!D9185,Programme!E9185,Programme!F9185,Programme!G9185,Programme!H9185,Programme!I9185)</f>
        <v>&lt;codeEdi&gt;1129&lt;/codeEdi&gt;</v>
      </c>
    </row>
    <row r="9185" spans="1:1" x14ac:dyDescent="0.2">
      <c r="A9185" s="1135" t="str">
        <f>CONCATENATE(Programme!C9186,Programme!D9186,Programme!E9186,Programme!F9186,Programme!G9186,Programme!H9186,Programme!I9186)</f>
        <v>&lt;/cellule&gt;</v>
      </c>
    </row>
    <row r="9186" spans="1:1" x14ac:dyDescent="0.2">
      <c r="A9186" s="1135" t="str">
        <f>CONCATENATE(Programme!C9187,Programme!D9187,Programme!E9187,Programme!F9187,Programme!G9187,Programme!H9187,Programme!I9187)</f>
        <v>&lt;valeur&gt;&lt;/valeur&gt;</v>
      </c>
    </row>
    <row r="9187" spans="1:1" x14ac:dyDescent="0.2">
      <c r="A9187" s="1135" t="str">
        <f>CONCATENATE(Programme!C9188,Programme!D9188,Programme!E9188,Programme!F9188,Programme!G9188,Programme!H9188,Programme!I9188)</f>
        <v>&lt;/ValeurCellule&gt;</v>
      </c>
    </row>
    <row r="9188" spans="1:1" x14ac:dyDescent="0.2">
      <c r="A9188" s="1135" t="str">
        <f>CONCATENATE(Programme!C9189,Programme!D9189,Programme!E9189,Programme!F9189,Programme!G9189,Programme!H9189,Programme!I9189)</f>
        <v>&lt;ValeurCellule&gt;</v>
      </c>
    </row>
    <row r="9189" spans="1:1" x14ac:dyDescent="0.2">
      <c r="A9189" s="1135" t="str">
        <f>CONCATENATE(Programme!C9190,Programme!D9190,Programme!E9190,Programme!F9190,Programme!G9190,Programme!H9190,Programme!I9190)</f>
        <v>&lt;cellule&gt;</v>
      </c>
    </row>
    <row r="9190" spans="1:1" x14ac:dyDescent="0.2">
      <c r="A9190" s="1135" t="str">
        <f>CONCATENATE(Programme!C9191,Programme!D9191,Programme!E9191,Programme!F9191,Programme!G9191,Programme!H9191,Programme!I9191)</f>
        <v>&lt;codeEdi&gt;1138&lt;/codeEdi&gt;</v>
      </c>
    </row>
    <row r="9191" spans="1:1" x14ac:dyDescent="0.2">
      <c r="A9191" s="1135" t="str">
        <f>CONCATENATE(Programme!C9192,Programme!D9192,Programme!E9192,Programme!F9192,Programme!G9192,Programme!H9192,Programme!I9192)</f>
        <v>&lt;/cellule&gt;</v>
      </c>
    </row>
    <row r="9192" spans="1:1" x14ac:dyDescent="0.2">
      <c r="A9192" s="1135" t="str">
        <f>CONCATENATE(Programme!C9193,Programme!D9193,Programme!E9193,Programme!F9193,Programme!G9193,Programme!H9193,Programme!I9193)</f>
        <v>&lt;valeur&gt;&lt;/valeur&gt;</v>
      </c>
    </row>
    <row r="9193" spans="1:1" x14ac:dyDescent="0.2">
      <c r="A9193" s="1135" t="str">
        <f>CONCATENATE(Programme!C9194,Programme!D9194,Programme!E9194,Programme!F9194,Programme!G9194,Programme!H9194,Programme!I9194)</f>
        <v>&lt;/ValeurCellule&gt;</v>
      </c>
    </row>
    <row r="9194" spans="1:1" x14ac:dyDescent="0.2">
      <c r="A9194" s="1135" t="str">
        <f>CONCATENATE(Programme!C9195,Programme!D9195,Programme!E9195,Programme!F9195,Programme!G9195,Programme!H9195,Programme!I9195)</f>
        <v>&lt;ValeurCellule&gt;</v>
      </c>
    </row>
    <row r="9195" spans="1:1" x14ac:dyDescent="0.2">
      <c r="A9195" s="1135" t="str">
        <f>CONCATENATE(Programme!C9196,Programme!D9196,Programme!E9196,Programme!F9196,Programme!G9196,Programme!H9196,Programme!I9196)</f>
        <v>&lt;cellule&gt;</v>
      </c>
    </row>
    <row r="9196" spans="1:1" x14ac:dyDescent="0.2">
      <c r="A9196" s="1135" t="str">
        <f>CONCATENATE(Programme!C9197,Programme!D9197,Programme!E9197,Programme!F9197,Programme!G9197,Programme!H9197,Programme!I9197)</f>
        <v>&lt;codeEdi&gt;1147&lt;/codeEdi&gt;</v>
      </c>
    </row>
    <row r="9197" spans="1:1" x14ac:dyDescent="0.2">
      <c r="A9197" s="1135" t="str">
        <f>CONCATENATE(Programme!C9198,Programme!D9198,Programme!E9198,Programme!F9198,Programme!G9198,Programme!H9198,Programme!I9198)</f>
        <v>&lt;/cellule&gt;</v>
      </c>
    </row>
    <row r="9198" spans="1:1" x14ac:dyDescent="0.2">
      <c r="A9198" s="1135" t="str">
        <f>CONCATENATE(Programme!C9199,Programme!D9199,Programme!E9199,Programme!F9199,Programme!G9199,Programme!H9199,Programme!I9199)</f>
        <v>&lt;valeur&gt;&lt;/valeur&gt;</v>
      </c>
    </row>
    <row r="9199" spans="1:1" x14ac:dyDescent="0.2">
      <c r="A9199" s="1135" t="str">
        <f>CONCATENATE(Programme!C9200,Programme!D9200,Programme!E9200,Programme!F9200,Programme!G9200,Programme!H9200,Programme!I9200)</f>
        <v>&lt;/ValeurCellule&gt;</v>
      </c>
    </row>
    <row r="9200" spans="1:1" x14ac:dyDescent="0.2">
      <c r="A9200" s="1135" t="str">
        <f>CONCATENATE(Programme!C9201,Programme!D9201,Programme!E9201,Programme!F9201,Programme!G9201,Programme!H9201,Programme!I9201)</f>
        <v>&lt;ValeurCellule&gt;</v>
      </c>
    </row>
    <row r="9201" spans="1:1" x14ac:dyDescent="0.2">
      <c r="A9201" s="1135" t="str">
        <f>CONCATENATE(Programme!C9202,Programme!D9202,Programme!E9202,Programme!F9202,Programme!G9202,Programme!H9202,Programme!I9202)</f>
        <v>&lt;cellule&gt;</v>
      </c>
    </row>
    <row r="9202" spans="1:1" x14ac:dyDescent="0.2">
      <c r="A9202" s="1135" t="str">
        <f>CONCATENATE(Programme!C9203,Programme!D9203,Programme!E9203,Programme!F9203,Programme!G9203,Programme!H9203,Programme!I9203)</f>
        <v>&lt;codeEdi&gt;1156&lt;/codeEdi&gt;</v>
      </c>
    </row>
    <row r="9203" spans="1:1" x14ac:dyDescent="0.2">
      <c r="A9203" s="1135" t="str">
        <f>CONCATENATE(Programme!C9204,Programme!D9204,Programme!E9204,Programme!F9204,Programme!G9204,Programme!H9204,Programme!I9204)</f>
        <v>&lt;/cellule&gt;</v>
      </c>
    </row>
    <row r="9204" spans="1:1" x14ac:dyDescent="0.2">
      <c r="A9204" s="1135" t="str">
        <f>CONCATENATE(Programme!C9205,Programme!D9205,Programme!E9205,Programme!F9205,Programme!G9205,Programme!H9205,Programme!I9205)</f>
        <v>&lt;valeur&gt;&lt;/valeur&gt;</v>
      </c>
    </row>
    <row r="9205" spans="1:1" x14ac:dyDescent="0.2">
      <c r="A9205" s="1135" t="str">
        <f>CONCATENATE(Programme!C9206,Programme!D9206,Programme!E9206,Programme!F9206,Programme!G9206,Programme!H9206,Programme!I9206)</f>
        <v>&lt;/ValeurCellule&gt;</v>
      </c>
    </row>
    <row r="9206" spans="1:1" x14ac:dyDescent="0.2">
      <c r="A9206" s="1135" t="str">
        <f>CONCATENATE(Programme!C9207,Programme!D9207,Programme!E9207,Programme!F9207,Programme!G9207,Programme!H9207,Programme!I9207)</f>
        <v>&lt;ValeurCellule&gt;</v>
      </c>
    </row>
    <row r="9207" spans="1:1" x14ac:dyDescent="0.2">
      <c r="A9207" s="1135" t="str">
        <f>CONCATENATE(Programme!C9208,Programme!D9208,Programme!E9208,Programme!F9208,Programme!G9208,Programme!H9208,Programme!I9208)</f>
        <v>&lt;cellule&gt;</v>
      </c>
    </row>
    <row r="9208" spans="1:1" x14ac:dyDescent="0.2">
      <c r="A9208" s="1135" t="str">
        <f>CONCATENATE(Programme!C9209,Programme!D9209,Programme!E9209,Programme!F9209,Programme!G9209,Programme!H9209,Programme!I9209)</f>
        <v>&lt;codeEdi&gt;1165&lt;/codeEdi&gt;</v>
      </c>
    </row>
    <row r="9209" spans="1:1" x14ac:dyDescent="0.2">
      <c r="A9209" s="1135" t="str">
        <f>CONCATENATE(Programme!C9210,Programme!D9210,Programme!E9210,Programme!F9210,Programme!G9210,Programme!H9210,Programme!I9210)</f>
        <v>&lt;/cellule&gt;</v>
      </c>
    </row>
    <row r="9210" spans="1:1" x14ac:dyDescent="0.2">
      <c r="A9210" s="1135" t="str">
        <f>CONCATENATE(Programme!C9211,Programme!D9211,Programme!E9211,Programme!F9211,Programme!G9211,Programme!H9211,Programme!I9211)</f>
        <v>&lt;valeur&gt;&lt;/valeur&gt;</v>
      </c>
    </row>
    <row r="9211" spans="1:1" x14ac:dyDescent="0.2">
      <c r="A9211" s="1135" t="str">
        <f>CONCATENATE(Programme!C9212,Programme!D9212,Programme!E9212,Programme!F9212,Programme!G9212,Programme!H9212,Programme!I9212)</f>
        <v>&lt;/ValeurCellule&gt;</v>
      </c>
    </row>
    <row r="9212" spans="1:1" x14ac:dyDescent="0.2">
      <c r="A9212" s="1135" t="str">
        <f>CONCATENATE(Programme!C9213,Programme!D9213,Programme!E9213,Programme!F9213,Programme!G9213,Programme!H9213,Programme!I9213)</f>
        <v>&lt;ValeurCellule&gt;</v>
      </c>
    </row>
    <row r="9213" spans="1:1" x14ac:dyDescent="0.2">
      <c r="A9213" s="1135" t="str">
        <f>CONCATENATE(Programme!C9214,Programme!D9214,Programme!E9214,Programme!F9214,Programme!G9214,Programme!H9214,Programme!I9214)</f>
        <v>&lt;cellule&gt;</v>
      </c>
    </row>
    <row r="9214" spans="1:1" x14ac:dyDescent="0.2">
      <c r="A9214" s="1135" t="str">
        <f>CONCATENATE(Programme!C9215,Programme!D9215,Programme!E9215,Programme!F9215,Programme!G9215,Programme!H9215,Programme!I9215)</f>
        <v>&lt;codeEdi&gt;1174&lt;/codeEdi&gt;</v>
      </c>
    </row>
    <row r="9215" spans="1:1" x14ac:dyDescent="0.2">
      <c r="A9215" s="1135" t="str">
        <f>CONCATENATE(Programme!C9216,Programme!D9216,Programme!E9216,Programme!F9216,Programme!G9216,Programme!H9216,Programme!I9216)</f>
        <v>&lt;/cellule&gt;</v>
      </c>
    </row>
    <row r="9216" spans="1:1" x14ac:dyDescent="0.2">
      <c r="A9216" s="1135" t="str">
        <f>CONCATENATE(Programme!C9217,Programme!D9217,Programme!E9217,Programme!F9217,Programme!G9217,Programme!H9217,Programme!I9217)</f>
        <v>&lt;valeur&gt;&lt;/valeur&gt;</v>
      </c>
    </row>
    <row r="9217" spans="1:1" x14ac:dyDescent="0.2">
      <c r="A9217" s="1135" t="str">
        <f>CONCATENATE(Programme!C9218,Programme!D9218,Programme!E9218,Programme!F9218,Programme!G9218,Programme!H9218,Programme!I9218)</f>
        <v>&lt;/ValeurCellule&gt;</v>
      </c>
    </row>
    <row r="9218" spans="1:1" x14ac:dyDescent="0.2">
      <c r="A9218" s="1135" t="str">
        <f>CONCATENATE(Programme!C9219,Programme!D9219,Programme!E9219,Programme!F9219,Programme!G9219,Programme!H9219,Programme!I9219)</f>
        <v>&lt;ValeurCellule&gt;</v>
      </c>
    </row>
    <row r="9219" spans="1:1" x14ac:dyDescent="0.2">
      <c r="A9219" s="1135" t="str">
        <f>CONCATENATE(Programme!C9220,Programme!D9220,Programme!E9220,Programme!F9220,Programme!G9220,Programme!H9220,Programme!I9220)</f>
        <v>&lt;cellule&gt;</v>
      </c>
    </row>
    <row r="9220" spans="1:1" x14ac:dyDescent="0.2">
      <c r="A9220" s="1135" t="str">
        <f>CONCATENATE(Programme!C9221,Programme!D9221,Programme!E9221,Programme!F9221,Programme!G9221,Programme!H9221,Programme!I9221)</f>
        <v>&lt;codeEdi&gt;1183&lt;/codeEdi&gt;</v>
      </c>
    </row>
    <row r="9221" spans="1:1" x14ac:dyDescent="0.2">
      <c r="A9221" s="1135" t="str">
        <f>CONCATENATE(Programme!C9222,Programme!D9222,Programme!E9222,Programme!F9222,Programme!G9222,Programme!H9222,Programme!I9222)</f>
        <v>&lt;/cellule&gt;</v>
      </c>
    </row>
    <row r="9222" spans="1:1" x14ac:dyDescent="0.2">
      <c r="A9222" s="1135" t="str">
        <f>CONCATENATE(Programme!C9223,Programme!D9223,Programme!E9223,Programme!F9223,Programme!G9223,Programme!H9223,Programme!I9223)</f>
        <v>&lt;valeur&gt;&lt;/valeur&gt;</v>
      </c>
    </row>
    <row r="9223" spans="1:1" x14ac:dyDescent="0.2">
      <c r="A9223" s="1135" t="str">
        <f>CONCATENATE(Programme!C9224,Programme!D9224,Programme!E9224,Programme!F9224,Programme!G9224,Programme!H9224,Programme!I9224)</f>
        <v>&lt;/ValeurCellule&gt;</v>
      </c>
    </row>
    <row r="9224" spans="1:1" x14ac:dyDescent="0.2">
      <c r="A9224" s="1135" t="str">
        <f>CONCATENATE(Programme!C9225,Programme!D9225,Programme!E9225,Programme!F9225,Programme!G9225,Programme!H9225,Programme!I9225)</f>
        <v>&lt;ValeurCellule&gt;</v>
      </c>
    </row>
    <row r="9225" spans="1:1" x14ac:dyDescent="0.2">
      <c r="A9225" s="1135" t="str">
        <f>CONCATENATE(Programme!C9226,Programme!D9226,Programme!E9226,Programme!F9226,Programme!G9226,Programme!H9226,Programme!I9226)</f>
        <v>&lt;cellule&gt;</v>
      </c>
    </row>
    <row r="9226" spans="1:1" x14ac:dyDescent="0.2">
      <c r="A9226" s="1135" t="str">
        <f>CONCATENATE(Programme!C9227,Programme!D9227,Programme!E9227,Programme!F9227,Programme!G9227,Programme!H9227,Programme!I9227)</f>
        <v>&lt;codeEdi&gt;1192&lt;/codeEdi&gt;</v>
      </c>
    </row>
    <row r="9227" spans="1:1" x14ac:dyDescent="0.2">
      <c r="A9227" s="1135" t="str">
        <f>CONCATENATE(Programme!C9228,Programme!D9228,Programme!E9228,Programme!F9228,Programme!G9228,Programme!H9228,Programme!I9228)</f>
        <v>&lt;/cellule&gt;</v>
      </c>
    </row>
    <row r="9228" spans="1:1" x14ac:dyDescent="0.2">
      <c r="A9228" s="1135" t="str">
        <f>CONCATENATE(Programme!C9229,Programme!D9229,Programme!E9229,Programme!F9229,Programme!G9229,Programme!H9229,Programme!I9229)</f>
        <v>&lt;valeur&gt;&lt;/valeur&gt;</v>
      </c>
    </row>
    <row r="9229" spans="1:1" x14ac:dyDescent="0.2">
      <c r="A9229" s="1135" t="str">
        <f>CONCATENATE(Programme!C9230,Programme!D9230,Programme!E9230,Programme!F9230,Programme!G9230,Programme!H9230,Programme!I9230)</f>
        <v>&lt;/ValeurCellule&gt;</v>
      </c>
    </row>
    <row r="9230" spans="1:1" x14ac:dyDescent="0.2">
      <c r="A9230" s="1135" t="str">
        <f>CONCATENATE(Programme!C9231,Programme!D9231,Programme!E9231,Programme!F9231,Programme!G9231,Programme!H9231,Programme!I9231)</f>
        <v>&lt;ValeurCellule&gt;</v>
      </c>
    </row>
    <row r="9231" spans="1:1" x14ac:dyDescent="0.2">
      <c r="A9231" s="1135" t="str">
        <f>CONCATENATE(Programme!C9232,Programme!D9232,Programme!E9232,Programme!F9232,Programme!G9232,Programme!H9232,Programme!I9232)</f>
        <v>&lt;cellule&gt;</v>
      </c>
    </row>
    <row r="9232" spans="1:1" x14ac:dyDescent="0.2">
      <c r="A9232" s="1135" t="str">
        <f>CONCATENATE(Programme!C9233,Programme!D9233,Programme!E9233,Programme!F9233,Programme!G9233,Programme!H9233,Programme!I9233)</f>
        <v>&lt;codeEdi&gt;1201&lt;/codeEdi&gt;</v>
      </c>
    </row>
    <row r="9233" spans="1:1" x14ac:dyDescent="0.2">
      <c r="A9233" s="1135" t="str">
        <f>CONCATENATE(Programme!C9234,Programme!D9234,Programme!E9234,Programme!F9234,Programme!G9234,Programme!H9234,Programme!I9234)</f>
        <v>&lt;/cellule&gt;</v>
      </c>
    </row>
    <row r="9234" spans="1:1" x14ac:dyDescent="0.2">
      <c r="A9234" s="1135" t="str">
        <f>CONCATENATE(Programme!C9235,Programme!D9235,Programme!E9235,Programme!F9235,Programme!G9235,Programme!H9235,Programme!I9235)</f>
        <v>&lt;valeur&gt;0&lt;/valeur&gt;</v>
      </c>
    </row>
    <row r="9235" spans="1:1" x14ac:dyDescent="0.2">
      <c r="A9235" s="1135" t="str">
        <f>CONCATENATE(Programme!C9236,Programme!D9236,Programme!E9236,Programme!F9236,Programme!G9236,Programme!H9236,Programme!I9236)</f>
        <v>&lt;/ValeurCellule&gt;</v>
      </c>
    </row>
    <row r="9236" spans="1:1" x14ac:dyDescent="0.2">
      <c r="A9236" s="1135" t="str">
        <f>CONCATENATE(Programme!C9237,Programme!D9237,Programme!E9237,Programme!F9237,Programme!G9237,Programme!H9237,Programme!I9237)</f>
        <v>&lt;ValeurCellule&gt;</v>
      </c>
    </row>
    <row r="9237" spans="1:1" x14ac:dyDescent="0.2">
      <c r="A9237" s="1135" t="str">
        <f>CONCATENATE(Programme!C9238,Programme!D9238,Programme!E9238,Programme!F9238,Programme!G9238,Programme!H9238,Programme!I9238)</f>
        <v>&lt;cellule&gt;</v>
      </c>
    </row>
    <row r="9238" spans="1:1" x14ac:dyDescent="0.2">
      <c r="A9238" s="1135" t="str">
        <f>CONCATENATE(Programme!C9239,Programme!D9239,Programme!E9239,Programme!F9239,Programme!G9239,Programme!H9239,Programme!I9239)</f>
        <v>&lt;codeEdi&gt;1112&lt;/codeEdi&gt;</v>
      </c>
    </row>
    <row r="9239" spans="1:1" x14ac:dyDescent="0.2">
      <c r="A9239" s="1135" t="str">
        <f>CONCATENATE(Programme!C9240,Programme!D9240,Programme!E9240,Programme!F9240,Programme!G9240,Programme!H9240,Programme!I9240)</f>
        <v>&lt;/cellule&gt;</v>
      </c>
    </row>
    <row r="9240" spans="1:1" x14ac:dyDescent="0.2">
      <c r="A9240" s="1135" t="str">
        <f>CONCATENATE(Programme!C9241,Programme!D9241,Programme!E9241,Programme!F9241,Programme!G9241,Programme!H9241,Programme!I9241)</f>
        <v>&lt;valeur&gt;&lt;/valeur&gt;</v>
      </c>
    </row>
    <row r="9241" spans="1:1" x14ac:dyDescent="0.2">
      <c r="A9241" s="1135" t="str">
        <f>CONCATENATE(Programme!C9242,Programme!D9242,Programme!E9242,Programme!F9242,Programme!G9242,Programme!H9242,Programme!I9242)</f>
        <v>&lt;/ValeurCellule&gt;</v>
      </c>
    </row>
    <row r="9242" spans="1:1" x14ac:dyDescent="0.2">
      <c r="A9242" s="1135" t="str">
        <f>CONCATENATE(Programme!C9243,Programme!D9243,Programme!E9243,Programme!F9243,Programme!G9243,Programme!H9243,Programme!I9243)</f>
        <v>&lt;ValeurCellule&gt;</v>
      </c>
    </row>
    <row r="9243" spans="1:1" x14ac:dyDescent="0.2">
      <c r="A9243" s="1135" t="str">
        <f>CONCATENATE(Programme!C9244,Programme!D9244,Programme!E9244,Programme!F9244,Programme!G9244,Programme!H9244,Programme!I9244)</f>
        <v>&lt;cellule&gt;</v>
      </c>
    </row>
    <row r="9244" spans="1:1" x14ac:dyDescent="0.2">
      <c r="A9244" s="1135" t="str">
        <f>CONCATENATE(Programme!C9245,Programme!D9245,Programme!E9245,Programme!F9245,Programme!G9245,Programme!H9245,Programme!I9245)</f>
        <v>&lt;codeEdi&gt;1121&lt;/codeEdi&gt;</v>
      </c>
    </row>
    <row r="9245" spans="1:1" x14ac:dyDescent="0.2">
      <c r="A9245" s="1135" t="str">
        <f>CONCATENATE(Programme!C9246,Programme!D9246,Programme!E9246,Programme!F9246,Programme!G9246,Programme!H9246,Programme!I9246)</f>
        <v>&lt;/cellule&gt;</v>
      </c>
    </row>
    <row r="9246" spans="1:1" x14ac:dyDescent="0.2">
      <c r="A9246" s="1135" t="str">
        <f>CONCATENATE(Programme!C9247,Programme!D9247,Programme!E9247,Programme!F9247,Programme!G9247,Programme!H9247,Programme!I9247)</f>
        <v>&lt;valeur&gt;&lt;/valeur&gt;</v>
      </c>
    </row>
    <row r="9247" spans="1:1" x14ac:dyDescent="0.2">
      <c r="A9247" s="1135" t="str">
        <f>CONCATENATE(Programme!C9248,Programme!D9248,Programme!E9248,Programme!F9248,Programme!G9248,Programme!H9248,Programme!I9248)</f>
        <v>&lt;/ValeurCellule&gt;</v>
      </c>
    </row>
    <row r="9248" spans="1:1" x14ac:dyDescent="0.2">
      <c r="A9248" s="1135" t="str">
        <f>CONCATENATE(Programme!C9249,Programme!D9249,Programme!E9249,Programme!F9249,Programme!G9249,Programme!H9249,Programme!I9249)</f>
        <v>&lt;ValeurCellule&gt;</v>
      </c>
    </row>
    <row r="9249" spans="1:1" x14ac:dyDescent="0.2">
      <c r="A9249" s="1135" t="str">
        <f>CONCATENATE(Programme!C9250,Programme!D9250,Programme!E9250,Programme!F9250,Programme!G9250,Programme!H9250,Programme!I9250)</f>
        <v>&lt;cellule&gt;</v>
      </c>
    </row>
    <row r="9250" spans="1:1" x14ac:dyDescent="0.2">
      <c r="A9250" s="1135" t="str">
        <f>CONCATENATE(Programme!C9251,Programme!D9251,Programme!E9251,Programme!F9251,Programme!G9251,Programme!H9251,Programme!I9251)</f>
        <v>&lt;codeEdi&gt;1130&lt;/codeEdi&gt;</v>
      </c>
    </row>
    <row r="9251" spans="1:1" x14ac:dyDescent="0.2">
      <c r="A9251" s="1135" t="str">
        <f>CONCATENATE(Programme!C9252,Programme!D9252,Programme!E9252,Programme!F9252,Programme!G9252,Programme!H9252,Programme!I9252)</f>
        <v>&lt;/cellule&gt;</v>
      </c>
    </row>
    <row r="9252" spans="1:1" x14ac:dyDescent="0.2">
      <c r="A9252" s="1135" t="str">
        <f>CONCATENATE(Programme!C9253,Programme!D9253,Programme!E9253,Programme!F9253,Programme!G9253,Programme!H9253,Programme!I9253)</f>
        <v>&lt;valeur&gt;&lt;/valeur&gt;</v>
      </c>
    </row>
    <row r="9253" spans="1:1" x14ac:dyDescent="0.2">
      <c r="A9253" s="1135" t="str">
        <f>CONCATENATE(Programme!C9254,Programme!D9254,Programme!E9254,Programme!F9254,Programme!G9254,Programme!H9254,Programme!I9254)</f>
        <v>&lt;/ValeurCellule&gt;</v>
      </c>
    </row>
    <row r="9254" spans="1:1" x14ac:dyDescent="0.2">
      <c r="A9254" s="1135" t="str">
        <f>CONCATENATE(Programme!C9255,Programme!D9255,Programme!E9255,Programme!F9255,Programme!G9255,Programme!H9255,Programme!I9255)</f>
        <v>&lt;ValeurCellule&gt;</v>
      </c>
    </row>
    <row r="9255" spans="1:1" x14ac:dyDescent="0.2">
      <c r="A9255" s="1135" t="str">
        <f>CONCATENATE(Programme!C9256,Programme!D9256,Programme!E9256,Programme!F9256,Programme!G9256,Programme!H9256,Programme!I9256)</f>
        <v>&lt;cellule&gt;</v>
      </c>
    </row>
    <row r="9256" spans="1:1" x14ac:dyDescent="0.2">
      <c r="A9256" s="1135" t="str">
        <f>CONCATENATE(Programme!C9257,Programme!D9257,Programme!E9257,Programme!F9257,Programme!G9257,Programme!H9257,Programme!I9257)</f>
        <v>&lt;codeEdi&gt;1139&lt;/codeEdi&gt;</v>
      </c>
    </row>
    <row r="9257" spans="1:1" x14ac:dyDescent="0.2">
      <c r="A9257" s="1135" t="str">
        <f>CONCATENATE(Programme!C9258,Programme!D9258,Programme!E9258,Programme!F9258,Programme!G9258,Programme!H9258,Programme!I9258)</f>
        <v>&lt;/cellule&gt;</v>
      </c>
    </row>
    <row r="9258" spans="1:1" x14ac:dyDescent="0.2">
      <c r="A9258" s="1135" t="str">
        <f>CONCATENATE(Programme!C9259,Programme!D9259,Programme!E9259,Programme!F9259,Programme!G9259,Programme!H9259,Programme!I9259)</f>
        <v>&lt;valeur&gt;&lt;/valeur&gt;</v>
      </c>
    </row>
    <row r="9259" spans="1:1" x14ac:dyDescent="0.2">
      <c r="A9259" s="1135" t="str">
        <f>CONCATENATE(Programme!C9260,Programme!D9260,Programme!E9260,Programme!F9260,Programme!G9260,Programme!H9260,Programme!I9260)</f>
        <v>&lt;/ValeurCellule&gt;</v>
      </c>
    </row>
    <row r="9260" spans="1:1" x14ac:dyDescent="0.2">
      <c r="A9260" s="1135" t="str">
        <f>CONCATENATE(Programme!C9261,Programme!D9261,Programme!E9261,Programme!F9261,Programme!G9261,Programme!H9261,Programme!I9261)</f>
        <v>&lt;ValeurCellule&gt;</v>
      </c>
    </row>
    <row r="9261" spans="1:1" x14ac:dyDescent="0.2">
      <c r="A9261" s="1135" t="str">
        <f>CONCATENATE(Programme!C9262,Programme!D9262,Programme!E9262,Programme!F9262,Programme!G9262,Programme!H9262,Programme!I9262)</f>
        <v>&lt;cellule&gt;</v>
      </c>
    </row>
    <row r="9262" spans="1:1" x14ac:dyDescent="0.2">
      <c r="A9262" s="1135" t="str">
        <f>CONCATENATE(Programme!C9263,Programme!D9263,Programme!E9263,Programme!F9263,Programme!G9263,Programme!H9263,Programme!I9263)</f>
        <v>&lt;codeEdi&gt;1148&lt;/codeEdi&gt;</v>
      </c>
    </row>
    <row r="9263" spans="1:1" x14ac:dyDescent="0.2">
      <c r="A9263" s="1135" t="str">
        <f>CONCATENATE(Programme!C9264,Programme!D9264,Programme!E9264,Programme!F9264,Programme!G9264,Programme!H9264,Programme!I9264)</f>
        <v>&lt;/cellule&gt;</v>
      </c>
    </row>
    <row r="9264" spans="1:1" x14ac:dyDescent="0.2">
      <c r="A9264" s="1135" t="str">
        <f>CONCATENATE(Programme!C9265,Programme!D9265,Programme!E9265,Programme!F9265,Programme!G9265,Programme!H9265,Programme!I9265)</f>
        <v>&lt;valeur&gt;&lt;/valeur&gt;</v>
      </c>
    </row>
    <row r="9265" spans="1:1" x14ac:dyDescent="0.2">
      <c r="A9265" s="1135" t="str">
        <f>CONCATENATE(Programme!C9266,Programme!D9266,Programme!E9266,Programme!F9266,Programme!G9266,Programme!H9266,Programme!I9266)</f>
        <v>&lt;/ValeurCellule&gt;</v>
      </c>
    </row>
    <row r="9266" spans="1:1" x14ac:dyDescent="0.2">
      <c r="A9266" s="1135" t="str">
        <f>CONCATENATE(Programme!C9267,Programme!D9267,Programme!E9267,Programme!F9267,Programme!G9267,Programme!H9267,Programme!I9267)</f>
        <v>&lt;ValeurCellule&gt;</v>
      </c>
    </row>
    <row r="9267" spans="1:1" x14ac:dyDescent="0.2">
      <c r="A9267" s="1135" t="str">
        <f>CONCATENATE(Programme!C9268,Programme!D9268,Programme!E9268,Programme!F9268,Programme!G9268,Programme!H9268,Programme!I9268)</f>
        <v>&lt;cellule&gt;</v>
      </c>
    </row>
    <row r="9268" spans="1:1" x14ac:dyDescent="0.2">
      <c r="A9268" s="1135" t="str">
        <f>CONCATENATE(Programme!C9269,Programme!D9269,Programme!E9269,Programme!F9269,Programme!G9269,Programme!H9269,Programme!I9269)</f>
        <v>&lt;codeEdi&gt;1157&lt;/codeEdi&gt;</v>
      </c>
    </row>
    <row r="9269" spans="1:1" x14ac:dyDescent="0.2">
      <c r="A9269" s="1135" t="str">
        <f>CONCATENATE(Programme!C9270,Programme!D9270,Programme!E9270,Programme!F9270,Programme!G9270,Programme!H9270,Programme!I9270)</f>
        <v>&lt;/cellule&gt;</v>
      </c>
    </row>
    <row r="9270" spans="1:1" x14ac:dyDescent="0.2">
      <c r="A9270" s="1135" t="str">
        <f>CONCATENATE(Programme!C9271,Programme!D9271,Programme!E9271,Programme!F9271,Programme!G9271,Programme!H9271,Programme!I9271)</f>
        <v>&lt;valeur&gt;&lt;/valeur&gt;</v>
      </c>
    </row>
    <row r="9271" spans="1:1" x14ac:dyDescent="0.2">
      <c r="A9271" s="1135" t="str">
        <f>CONCATENATE(Programme!C9272,Programme!D9272,Programme!E9272,Programme!F9272,Programme!G9272,Programme!H9272,Programme!I9272)</f>
        <v>&lt;/ValeurCellule&gt;</v>
      </c>
    </row>
    <row r="9272" spans="1:1" x14ac:dyDescent="0.2">
      <c r="A9272" s="1135" t="str">
        <f>CONCATENATE(Programme!C9273,Programme!D9273,Programme!E9273,Programme!F9273,Programme!G9273,Programme!H9273,Programme!I9273)</f>
        <v>&lt;ValeurCellule&gt;</v>
      </c>
    </row>
    <row r="9273" spans="1:1" x14ac:dyDescent="0.2">
      <c r="A9273" s="1135" t="str">
        <f>CONCATENATE(Programme!C9274,Programme!D9274,Programme!E9274,Programme!F9274,Programme!G9274,Programme!H9274,Programme!I9274)</f>
        <v>&lt;cellule&gt;</v>
      </c>
    </row>
    <row r="9274" spans="1:1" x14ac:dyDescent="0.2">
      <c r="A9274" s="1135" t="str">
        <f>CONCATENATE(Programme!C9275,Programme!D9275,Programme!E9275,Programme!F9275,Programme!G9275,Programme!H9275,Programme!I9275)</f>
        <v>&lt;codeEdi&gt;1166&lt;/codeEdi&gt;</v>
      </c>
    </row>
    <row r="9275" spans="1:1" x14ac:dyDescent="0.2">
      <c r="A9275" s="1135" t="str">
        <f>CONCATENATE(Programme!C9276,Programme!D9276,Programme!E9276,Programme!F9276,Programme!G9276,Programme!H9276,Programme!I9276)</f>
        <v>&lt;/cellule&gt;</v>
      </c>
    </row>
    <row r="9276" spans="1:1" x14ac:dyDescent="0.2">
      <c r="A9276" s="1135" t="str">
        <f>CONCATENATE(Programme!C9277,Programme!D9277,Programme!E9277,Programme!F9277,Programme!G9277,Programme!H9277,Programme!I9277)</f>
        <v>&lt;valeur&gt;&lt;/valeur&gt;</v>
      </c>
    </row>
    <row r="9277" spans="1:1" x14ac:dyDescent="0.2">
      <c r="A9277" s="1135" t="str">
        <f>CONCATENATE(Programme!C9278,Programme!D9278,Programme!E9278,Programme!F9278,Programme!G9278,Programme!H9278,Programme!I9278)</f>
        <v>&lt;/ValeurCellule&gt;</v>
      </c>
    </row>
    <row r="9278" spans="1:1" x14ac:dyDescent="0.2">
      <c r="A9278" s="1135" t="str">
        <f>CONCATENATE(Programme!C9279,Programme!D9279,Programme!E9279,Programme!F9279,Programme!G9279,Programme!H9279,Programme!I9279)</f>
        <v>&lt;ValeurCellule&gt;</v>
      </c>
    </row>
    <row r="9279" spans="1:1" x14ac:dyDescent="0.2">
      <c r="A9279" s="1135" t="str">
        <f>CONCATENATE(Programme!C9280,Programme!D9280,Programme!E9280,Programme!F9280,Programme!G9280,Programme!H9280,Programme!I9280)</f>
        <v>&lt;cellule&gt;</v>
      </c>
    </row>
    <row r="9280" spans="1:1" x14ac:dyDescent="0.2">
      <c r="A9280" s="1135" t="str">
        <f>CONCATENATE(Programme!C9281,Programme!D9281,Programme!E9281,Programme!F9281,Programme!G9281,Programme!H9281,Programme!I9281)</f>
        <v>&lt;codeEdi&gt;1184&lt;/codeEdi&gt;</v>
      </c>
    </row>
    <row r="9281" spans="1:1" x14ac:dyDescent="0.2">
      <c r="A9281" s="1135" t="str">
        <f>CONCATENATE(Programme!C9282,Programme!D9282,Programme!E9282,Programme!F9282,Programme!G9282,Programme!H9282,Programme!I9282)</f>
        <v>&lt;/cellule&gt;</v>
      </c>
    </row>
    <row r="9282" spans="1:1" x14ac:dyDescent="0.2">
      <c r="A9282" s="1135" t="str">
        <f>CONCATENATE(Programme!C9283,Programme!D9283,Programme!E9283,Programme!F9283,Programme!G9283,Programme!H9283,Programme!I9283)</f>
        <v>&lt;valeur&gt;&lt;/valeur&gt;</v>
      </c>
    </row>
    <row r="9283" spans="1:1" x14ac:dyDescent="0.2">
      <c r="A9283" s="1135" t="str">
        <f>CONCATENATE(Programme!C9284,Programme!D9284,Programme!E9284,Programme!F9284,Programme!G9284,Programme!H9284,Programme!I9284)</f>
        <v>&lt;/ValeurCellule&gt;</v>
      </c>
    </row>
    <row r="9284" spans="1:1" x14ac:dyDescent="0.2">
      <c r="A9284" s="1135" t="str">
        <f>CONCATENATE(Programme!C9285,Programme!D9285,Programme!E9285,Programme!F9285,Programme!G9285,Programme!H9285,Programme!I9285)</f>
        <v>&lt;ValeurCellule&gt;</v>
      </c>
    </row>
    <row r="9285" spans="1:1" x14ac:dyDescent="0.2">
      <c r="A9285" s="1135" t="str">
        <f>CONCATENATE(Programme!C9286,Programme!D9286,Programme!E9286,Programme!F9286,Programme!G9286,Programme!H9286,Programme!I9286)</f>
        <v>&lt;cellule&gt;</v>
      </c>
    </row>
    <row r="9286" spans="1:1" x14ac:dyDescent="0.2">
      <c r="A9286" s="1135" t="str">
        <f>CONCATENATE(Programme!C9287,Programme!D9287,Programme!E9287,Programme!F9287,Programme!G9287,Programme!H9287,Programme!I9287)</f>
        <v>&lt;codeEdi&gt;1193&lt;/codeEdi&gt;</v>
      </c>
    </row>
    <row r="9287" spans="1:1" x14ac:dyDescent="0.2">
      <c r="A9287" s="1135" t="str">
        <f>CONCATENATE(Programme!C9288,Programme!D9288,Programme!E9288,Programme!F9288,Programme!G9288,Programme!H9288,Programme!I9288)</f>
        <v>&lt;/cellule&gt;</v>
      </c>
    </row>
    <row r="9288" spans="1:1" x14ac:dyDescent="0.2">
      <c r="A9288" s="1135" t="str">
        <f>CONCATENATE(Programme!C9289,Programme!D9289,Programme!E9289,Programme!F9289,Programme!G9289,Programme!H9289,Programme!I9289)</f>
        <v>&lt;valeur&gt;&lt;/valeur&gt;</v>
      </c>
    </row>
    <row r="9289" spans="1:1" x14ac:dyDescent="0.2">
      <c r="A9289" s="1135" t="str">
        <f>CONCATENATE(Programme!C9290,Programme!D9290,Programme!E9290,Programme!F9290,Programme!G9290,Programme!H9290,Programme!I9290)</f>
        <v>&lt;/ValeurCellule&gt;</v>
      </c>
    </row>
    <row r="9290" spans="1:1" x14ac:dyDescent="0.2">
      <c r="A9290" s="1135" t="str">
        <f>CONCATENATE(Programme!C9291,Programme!D9291,Programme!E9291,Programme!F9291,Programme!G9291,Programme!H9291,Programme!I9291)</f>
        <v>&lt;ValeurCellule&gt;</v>
      </c>
    </row>
    <row r="9291" spans="1:1" x14ac:dyDescent="0.2">
      <c r="A9291" s="1135" t="str">
        <f>CONCATENATE(Programme!C9292,Programme!D9292,Programme!E9292,Programme!F9292,Programme!G9292,Programme!H9292,Programme!I9292)</f>
        <v>&lt;cellule&gt;</v>
      </c>
    </row>
    <row r="9292" spans="1:1" x14ac:dyDescent="0.2">
      <c r="A9292" s="1135" t="str">
        <f>CONCATENATE(Programme!C9293,Programme!D9293,Programme!E9293,Programme!F9293,Programme!G9293,Programme!H9293,Programme!I9293)</f>
        <v>&lt;codeEdi&gt;1202&lt;/codeEdi&gt;</v>
      </c>
    </row>
    <row r="9293" spans="1:1" x14ac:dyDescent="0.2">
      <c r="A9293" s="1135" t="str">
        <f>CONCATENATE(Programme!C9294,Programme!D9294,Programme!E9294,Programme!F9294,Programme!G9294,Programme!H9294,Programme!I9294)</f>
        <v>&lt;/cellule&gt;</v>
      </c>
    </row>
    <row r="9294" spans="1:1" x14ac:dyDescent="0.2">
      <c r="A9294" s="1135" t="str">
        <f>CONCATENATE(Programme!C9295,Programme!D9295,Programme!E9295,Programme!F9295,Programme!G9295,Programme!H9295,Programme!I9295)</f>
        <v>&lt;valeur&gt;0&lt;/valeur&gt;</v>
      </c>
    </row>
    <row r="9295" spans="1:1" x14ac:dyDescent="0.2">
      <c r="A9295" s="1135" t="str">
        <f>CONCATENATE(Programme!C9296,Programme!D9296,Programme!E9296,Programme!F9296,Programme!G9296,Programme!H9296,Programme!I9296)</f>
        <v>&lt;/ValeurCellule&gt;</v>
      </c>
    </row>
    <row r="9296" spans="1:1" x14ac:dyDescent="0.2">
      <c r="A9296" s="1135" t="str">
        <f>CONCATENATE(Programme!C9297,Programme!D9297,Programme!E9297,Programme!F9297,Programme!G9297,Programme!H9297,Programme!I9297)</f>
        <v>&lt;ValeurCellule&gt;</v>
      </c>
    </row>
    <row r="9297" spans="1:1" x14ac:dyDescent="0.2">
      <c r="A9297" s="1135" t="str">
        <f>CONCATENATE(Programme!C9298,Programme!D9298,Programme!E9298,Programme!F9298,Programme!G9298,Programme!H9298,Programme!I9298)</f>
        <v>&lt;cellule&gt;</v>
      </c>
    </row>
    <row r="9298" spans="1:1" x14ac:dyDescent="0.2">
      <c r="A9298" s="1135" t="str">
        <f>CONCATENATE(Programme!C9299,Programme!D9299,Programme!E9299,Programme!F9299,Programme!G9299,Programme!H9299,Programme!I9299)</f>
        <v>&lt;codeEdi&gt;1175&lt;/codeEdi&gt;</v>
      </c>
    </row>
    <row r="9299" spans="1:1" x14ac:dyDescent="0.2">
      <c r="A9299" s="1135" t="str">
        <f>CONCATENATE(Programme!C9300,Programme!D9300,Programme!E9300,Programme!F9300,Programme!G9300,Programme!H9300,Programme!I9300)</f>
        <v>&lt;/cellule&gt;</v>
      </c>
    </row>
    <row r="9300" spans="1:1" x14ac:dyDescent="0.2">
      <c r="A9300" s="1135" t="str">
        <f>CONCATENATE(Programme!C9301,Programme!D9301,Programme!E9301,Programme!F9301,Programme!G9301,Programme!H9301,Programme!I9301)</f>
        <v>&lt;valeur&gt;&lt;/valeur&gt;</v>
      </c>
    </row>
    <row r="9301" spans="1:1" x14ac:dyDescent="0.2">
      <c r="A9301" s="1135" t="str">
        <f>CONCATENATE(Programme!C9302,Programme!D9302,Programme!E9302,Programme!F9302,Programme!G9302,Programme!H9302,Programme!I9302)</f>
        <v>&lt;/ValeurCellule&gt;</v>
      </c>
    </row>
    <row r="9302" spans="1:1" x14ac:dyDescent="0.2">
      <c r="A9302" s="1135" t="str">
        <f>CONCATENATE(Programme!C9303,Programme!D9303,Programme!E9303,Programme!F9303,Programme!G9303,Programme!H9303,Programme!I9303)</f>
        <v>&lt;ValeurCellule&gt;</v>
      </c>
    </row>
    <row r="9303" spans="1:1" x14ac:dyDescent="0.2">
      <c r="A9303" s="1135" t="str">
        <f>CONCATENATE(Programme!C9304,Programme!D9304,Programme!E9304,Programme!F9304,Programme!G9304,Programme!H9304,Programme!I9304)</f>
        <v>&lt;cellule&gt;</v>
      </c>
    </row>
    <row r="9304" spans="1:1" x14ac:dyDescent="0.2">
      <c r="A9304" s="1135" t="str">
        <f>CONCATENATE(Programme!C9305,Programme!D9305,Programme!E9305,Programme!F9305,Programme!G9305,Programme!H9305,Programme!I9305)</f>
        <v>&lt;codeEdi&gt;1113&lt;/codeEdi&gt;</v>
      </c>
    </row>
    <row r="9305" spans="1:1" x14ac:dyDescent="0.2">
      <c r="A9305" s="1135" t="str">
        <f>CONCATENATE(Programme!C9306,Programme!D9306,Programme!E9306,Programme!F9306,Programme!G9306,Programme!H9306,Programme!I9306)</f>
        <v>&lt;/cellule&gt;</v>
      </c>
    </row>
    <row r="9306" spans="1:1" x14ac:dyDescent="0.2">
      <c r="A9306" s="1135" t="str">
        <f>CONCATENATE(Programme!C9307,Programme!D9307,Programme!E9307,Programme!F9307,Programme!G9307,Programme!H9307,Programme!I9307)</f>
        <v>&lt;valeur&gt;&lt;/valeur&gt;</v>
      </c>
    </row>
    <row r="9307" spans="1:1" x14ac:dyDescent="0.2">
      <c r="A9307" s="1135" t="str">
        <f>CONCATENATE(Programme!C9308,Programme!D9308,Programme!E9308,Programme!F9308,Programme!G9308,Programme!H9308,Programme!I9308)</f>
        <v>&lt;/ValeurCellule&gt;</v>
      </c>
    </row>
    <row r="9308" spans="1:1" x14ac:dyDescent="0.2">
      <c r="A9308" s="1135" t="str">
        <f>CONCATENATE(Programme!C9309,Programme!D9309,Programme!E9309,Programme!F9309,Programme!G9309,Programme!H9309,Programme!I9309)</f>
        <v>&lt;ValeurCellule&gt;</v>
      </c>
    </row>
    <row r="9309" spans="1:1" x14ac:dyDescent="0.2">
      <c r="A9309" s="1135" t="str">
        <f>CONCATENATE(Programme!C9310,Programme!D9310,Programme!E9310,Programme!F9310,Programme!G9310,Programme!H9310,Programme!I9310)</f>
        <v>&lt;cellule&gt;</v>
      </c>
    </row>
    <row r="9310" spans="1:1" x14ac:dyDescent="0.2">
      <c r="A9310" s="1135" t="str">
        <f>CONCATENATE(Programme!C9311,Programme!D9311,Programme!E9311,Programme!F9311,Programme!G9311,Programme!H9311,Programme!I9311)</f>
        <v>&lt;codeEdi&gt;1122&lt;/codeEdi&gt;</v>
      </c>
    </row>
    <row r="9311" spans="1:1" x14ac:dyDescent="0.2">
      <c r="A9311" s="1135" t="str">
        <f>CONCATENATE(Programme!C9312,Programme!D9312,Programme!E9312,Programme!F9312,Programme!G9312,Programme!H9312,Programme!I9312)</f>
        <v>&lt;/cellule&gt;</v>
      </c>
    </row>
    <row r="9312" spans="1:1" x14ac:dyDescent="0.2">
      <c r="A9312" s="1135" t="str">
        <f>CONCATENATE(Programme!C9313,Programme!D9313,Programme!E9313,Programme!F9313,Programme!G9313,Programme!H9313,Programme!I9313)</f>
        <v>&lt;valeur&gt;&lt;/valeur&gt;</v>
      </c>
    </row>
    <row r="9313" spans="1:1" x14ac:dyDescent="0.2">
      <c r="A9313" s="1135" t="str">
        <f>CONCATENATE(Programme!C9314,Programme!D9314,Programme!E9314,Programme!F9314,Programme!G9314,Programme!H9314,Programme!I9314)</f>
        <v>&lt;/ValeurCellule&gt;</v>
      </c>
    </row>
    <row r="9314" spans="1:1" x14ac:dyDescent="0.2">
      <c r="A9314" s="1135" t="str">
        <f>CONCATENATE(Programme!C9315,Programme!D9315,Programme!E9315,Programme!F9315,Programme!G9315,Programme!H9315,Programme!I9315)</f>
        <v>&lt;ValeurCellule&gt;</v>
      </c>
    </row>
    <row r="9315" spans="1:1" x14ac:dyDescent="0.2">
      <c r="A9315" s="1135" t="str">
        <f>CONCATENATE(Programme!C9316,Programme!D9316,Programme!E9316,Programme!F9316,Programme!G9316,Programme!H9316,Programme!I9316)</f>
        <v>&lt;cellule&gt;</v>
      </c>
    </row>
    <row r="9316" spans="1:1" x14ac:dyDescent="0.2">
      <c r="A9316" s="1135" t="str">
        <f>CONCATENATE(Programme!C9317,Programme!D9317,Programme!E9317,Programme!F9317,Programme!G9317,Programme!H9317,Programme!I9317)</f>
        <v>&lt;codeEdi&gt;1131&lt;/codeEdi&gt;</v>
      </c>
    </row>
    <row r="9317" spans="1:1" x14ac:dyDescent="0.2">
      <c r="A9317" s="1135" t="str">
        <f>CONCATENATE(Programme!C9318,Programme!D9318,Programme!E9318,Programme!F9318,Programme!G9318,Programme!H9318,Programme!I9318)</f>
        <v>&lt;/cellule&gt;</v>
      </c>
    </row>
    <row r="9318" spans="1:1" x14ac:dyDescent="0.2">
      <c r="A9318" s="1135" t="str">
        <f>CONCATENATE(Programme!C9319,Programme!D9319,Programme!E9319,Programme!F9319,Programme!G9319,Programme!H9319,Programme!I9319)</f>
        <v>&lt;valeur&gt;&lt;/valeur&gt;</v>
      </c>
    </row>
    <row r="9319" spans="1:1" x14ac:dyDescent="0.2">
      <c r="A9319" s="1135" t="str">
        <f>CONCATENATE(Programme!C9320,Programme!D9320,Programme!E9320,Programme!F9320,Programme!G9320,Programme!H9320,Programme!I9320)</f>
        <v>&lt;/ValeurCellule&gt;</v>
      </c>
    </row>
    <row r="9320" spans="1:1" x14ac:dyDescent="0.2">
      <c r="A9320" s="1135" t="str">
        <f>CONCATENATE(Programme!C9321,Programme!D9321,Programme!E9321,Programme!F9321,Programme!G9321,Programme!H9321,Programme!I9321)</f>
        <v>&lt;ValeurCellule&gt;</v>
      </c>
    </row>
    <row r="9321" spans="1:1" x14ac:dyDescent="0.2">
      <c r="A9321" s="1135" t="str">
        <f>CONCATENATE(Programme!C9322,Programme!D9322,Programme!E9322,Programme!F9322,Programme!G9322,Programme!H9322,Programme!I9322)</f>
        <v>&lt;cellule&gt;</v>
      </c>
    </row>
    <row r="9322" spans="1:1" x14ac:dyDescent="0.2">
      <c r="A9322" s="1135" t="str">
        <f>CONCATENATE(Programme!C9323,Programme!D9323,Programme!E9323,Programme!F9323,Programme!G9323,Programme!H9323,Programme!I9323)</f>
        <v>&lt;codeEdi&gt;1140&lt;/codeEdi&gt;</v>
      </c>
    </row>
    <row r="9323" spans="1:1" x14ac:dyDescent="0.2">
      <c r="A9323" s="1135" t="str">
        <f>CONCATENATE(Programme!C9324,Programme!D9324,Programme!E9324,Programme!F9324,Programme!G9324,Programme!H9324,Programme!I9324)</f>
        <v>&lt;/cellule&gt;</v>
      </c>
    </row>
    <row r="9324" spans="1:1" x14ac:dyDescent="0.2">
      <c r="A9324" s="1135" t="str">
        <f>CONCATENATE(Programme!C9325,Programme!D9325,Programme!E9325,Programme!F9325,Programme!G9325,Programme!H9325,Programme!I9325)</f>
        <v>&lt;valeur&gt;&lt;/valeur&gt;</v>
      </c>
    </row>
    <row r="9325" spans="1:1" x14ac:dyDescent="0.2">
      <c r="A9325" s="1135" t="str">
        <f>CONCATENATE(Programme!C9326,Programme!D9326,Programme!E9326,Programme!F9326,Programme!G9326,Programme!H9326,Programme!I9326)</f>
        <v>&lt;/ValeurCellule&gt;</v>
      </c>
    </row>
    <row r="9326" spans="1:1" x14ac:dyDescent="0.2">
      <c r="A9326" s="1135" t="str">
        <f>CONCATENATE(Programme!C9327,Programme!D9327,Programme!E9327,Programme!F9327,Programme!G9327,Programme!H9327,Programme!I9327)</f>
        <v>&lt;ValeurCellule&gt;</v>
      </c>
    </row>
    <row r="9327" spans="1:1" x14ac:dyDescent="0.2">
      <c r="A9327" s="1135" t="str">
        <f>CONCATENATE(Programme!C9328,Programme!D9328,Programme!E9328,Programme!F9328,Programme!G9328,Programme!H9328,Programme!I9328)</f>
        <v>&lt;cellule&gt;</v>
      </c>
    </row>
    <row r="9328" spans="1:1" x14ac:dyDescent="0.2">
      <c r="A9328" s="1135" t="str">
        <f>CONCATENATE(Programme!C9329,Programme!D9329,Programme!E9329,Programme!F9329,Programme!G9329,Programme!H9329,Programme!I9329)</f>
        <v>&lt;codeEdi&gt;1149&lt;/codeEdi&gt;</v>
      </c>
    </row>
    <row r="9329" spans="1:1" x14ac:dyDescent="0.2">
      <c r="A9329" s="1135" t="str">
        <f>CONCATENATE(Programme!C9330,Programme!D9330,Programme!E9330,Programme!F9330,Programme!G9330,Programme!H9330,Programme!I9330)</f>
        <v>&lt;/cellule&gt;</v>
      </c>
    </row>
    <row r="9330" spans="1:1" x14ac:dyDescent="0.2">
      <c r="A9330" s="1135" t="str">
        <f>CONCATENATE(Programme!C9331,Programme!D9331,Programme!E9331,Programme!F9331,Programme!G9331,Programme!H9331,Programme!I9331)</f>
        <v>&lt;valeur&gt;&lt;/valeur&gt;</v>
      </c>
    </row>
    <row r="9331" spans="1:1" x14ac:dyDescent="0.2">
      <c r="A9331" s="1135" t="str">
        <f>CONCATENATE(Programme!C9332,Programme!D9332,Programme!E9332,Programme!F9332,Programme!G9332,Programme!H9332,Programme!I9332)</f>
        <v>&lt;/ValeurCellule&gt;</v>
      </c>
    </row>
    <row r="9332" spans="1:1" x14ac:dyDescent="0.2">
      <c r="A9332" s="1135" t="str">
        <f>CONCATENATE(Programme!C9333,Programme!D9333,Programme!E9333,Programme!F9333,Programme!G9333,Programme!H9333,Programme!I9333)</f>
        <v>&lt;ValeurCellule&gt;</v>
      </c>
    </row>
    <row r="9333" spans="1:1" x14ac:dyDescent="0.2">
      <c r="A9333" s="1135" t="str">
        <f>CONCATENATE(Programme!C9334,Programme!D9334,Programme!E9334,Programme!F9334,Programme!G9334,Programme!H9334,Programme!I9334)</f>
        <v>&lt;cellule&gt;</v>
      </c>
    </row>
    <row r="9334" spans="1:1" x14ac:dyDescent="0.2">
      <c r="A9334" s="1135" t="str">
        <f>CONCATENATE(Programme!C9335,Programme!D9335,Programme!E9335,Programme!F9335,Programme!G9335,Programme!H9335,Programme!I9335)</f>
        <v>&lt;codeEdi&gt;1158&lt;/codeEdi&gt;</v>
      </c>
    </row>
    <row r="9335" spans="1:1" x14ac:dyDescent="0.2">
      <c r="A9335" s="1135" t="str">
        <f>CONCATENATE(Programme!C9336,Programme!D9336,Programme!E9336,Programme!F9336,Programme!G9336,Programme!H9336,Programme!I9336)</f>
        <v>&lt;/cellule&gt;</v>
      </c>
    </row>
    <row r="9336" spans="1:1" x14ac:dyDescent="0.2">
      <c r="A9336" s="1135" t="str">
        <f>CONCATENATE(Programme!C9337,Programme!D9337,Programme!E9337,Programme!F9337,Programme!G9337,Programme!H9337,Programme!I9337)</f>
        <v>&lt;valeur&gt;&lt;/valeur&gt;</v>
      </c>
    </row>
    <row r="9337" spans="1:1" x14ac:dyDescent="0.2">
      <c r="A9337" s="1135" t="str">
        <f>CONCATENATE(Programme!C9338,Programme!D9338,Programme!E9338,Programme!F9338,Programme!G9338,Programme!H9338,Programme!I9338)</f>
        <v>&lt;/ValeurCellule&gt;</v>
      </c>
    </row>
    <row r="9338" spans="1:1" x14ac:dyDescent="0.2">
      <c r="A9338" s="1135" t="str">
        <f>CONCATENATE(Programme!C9339,Programme!D9339,Programme!E9339,Programme!F9339,Programme!G9339,Programme!H9339,Programme!I9339)</f>
        <v>&lt;ValeurCellule&gt;</v>
      </c>
    </row>
    <row r="9339" spans="1:1" x14ac:dyDescent="0.2">
      <c r="A9339" s="1135" t="str">
        <f>CONCATENATE(Programme!C9340,Programme!D9340,Programme!E9340,Programme!F9340,Programme!G9340,Programme!H9340,Programme!I9340)</f>
        <v>&lt;cellule&gt;</v>
      </c>
    </row>
    <row r="9340" spans="1:1" x14ac:dyDescent="0.2">
      <c r="A9340" s="1135" t="str">
        <f>CONCATENATE(Programme!C9341,Programme!D9341,Programme!E9341,Programme!F9341,Programme!G9341,Programme!H9341,Programme!I9341)</f>
        <v>&lt;codeEdi&gt;1167&lt;/codeEdi&gt;</v>
      </c>
    </row>
    <row r="9341" spans="1:1" x14ac:dyDescent="0.2">
      <c r="A9341" s="1135" t="str">
        <f>CONCATENATE(Programme!C9342,Programme!D9342,Programme!E9342,Programme!F9342,Programme!G9342,Programme!H9342,Programme!I9342)</f>
        <v>&lt;/cellule&gt;</v>
      </c>
    </row>
    <row r="9342" spans="1:1" x14ac:dyDescent="0.2">
      <c r="A9342" s="1135" t="str">
        <f>CONCATENATE(Programme!C9343,Programme!D9343,Programme!E9343,Programme!F9343,Programme!G9343,Programme!H9343,Programme!I9343)</f>
        <v>&lt;valeur&gt;&lt;/valeur&gt;</v>
      </c>
    </row>
    <row r="9343" spans="1:1" x14ac:dyDescent="0.2">
      <c r="A9343" s="1135" t="str">
        <f>CONCATENATE(Programme!C9344,Programme!D9344,Programme!E9344,Programme!F9344,Programme!G9344,Programme!H9344,Programme!I9344)</f>
        <v>&lt;/ValeurCellule&gt;</v>
      </c>
    </row>
    <row r="9344" spans="1:1" x14ac:dyDescent="0.2">
      <c r="A9344" s="1135" t="str">
        <f>CONCATENATE(Programme!C9345,Programme!D9345,Programme!E9345,Programme!F9345,Programme!G9345,Programme!H9345,Programme!I9345)</f>
        <v>&lt;ValeurCellule&gt;</v>
      </c>
    </row>
    <row r="9345" spans="1:1" x14ac:dyDescent="0.2">
      <c r="A9345" s="1135" t="str">
        <f>CONCATENATE(Programme!C9346,Programme!D9346,Programme!E9346,Programme!F9346,Programme!G9346,Programme!H9346,Programme!I9346)</f>
        <v>&lt;cellule&gt;</v>
      </c>
    </row>
    <row r="9346" spans="1:1" x14ac:dyDescent="0.2">
      <c r="A9346" s="1135" t="str">
        <f>CONCATENATE(Programme!C9347,Programme!D9347,Programme!E9347,Programme!F9347,Programme!G9347,Programme!H9347,Programme!I9347)</f>
        <v>&lt;codeEdi&gt;1185&lt;/codeEdi&gt;</v>
      </c>
    </row>
    <row r="9347" spans="1:1" x14ac:dyDescent="0.2">
      <c r="A9347" s="1135" t="str">
        <f>CONCATENATE(Programme!C9348,Programme!D9348,Programme!E9348,Programme!F9348,Programme!G9348,Programme!H9348,Programme!I9348)</f>
        <v>&lt;/cellule&gt;</v>
      </c>
    </row>
    <row r="9348" spans="1:1" x14ac:dyDescent="0.2">
      <c r="A9348" s="1135" t="str">
        <f>CONCATENATE(Programme!C9349,Programme!D9349,Programme!E9349,Programme!F9349,Programme!G9349,Programme!H9349,Programme!I9349)</f>
        <v>&lt;valeur&gt;&lt;/valeur&gt;</v>
      </c>
    </row>
    <row r="9349" spans="1:1" x14ac:dyDescent="0.2">
      <c r="A9349" s="1135" t="str">
        <f>CONCATENATE(Programme!C9350,Programme!D9350,Programme!E9350,Programme!F9350,Programme!G9350,Programme!H9350,Programme!I9350)</f>
        <v>&lt;/ValeurCellule&gt;</v>
      </c>
    </row>
    <row r="9350" spans="1:1" x14ac:dyDescent="0.2">
      <c r="A9350" s="1135" t="str">
        <f>CONCATENATE(Programme!C9351,Programme!D9351,Programme!E9351,Programme!F9351,Programme!G9351,Programme!H9351,Programme!I9351)</f>
        <v>&lt;ValeurCellule&gt;</v>
      </c>
    </row>
    <row r="9351" spans="1:1" x14ac:dyDescent="0.2">
      <c r="A9351" s="1135" t="str">
        <f>CONCATENATE(Programme!C9352,Programme!D9352,Programme!E9352,Programme!F9352,Programme!G9352,Programme!H9352,Programme!I9352)</f>
        <v>&lt;cellule&gt;</v>
      </c>
    </row>
    <row r="9352" spans="1:1" x14ac:dyDescent="0.2">
      <c r="A9352" s="1135" t="str">
        <f>CONCATENATE(Programme!C9353,Programme!D9353,Programme!E9353,Programme!F9353,Programme!G9353,Programme!H9353,Programme!I9353)</f>
        <v>&lt;codeEdi&gt;1194&lt;/codeEdi&gt;</v>
      </c>
    </row>
    <row r="9353" spans="1:1" x14ac:dyDescent="0.2">
      <c r="A9353" s="1135" t="str">
        <f>CONCATENATE(Programme!C9354,Programme!D9354,Programme!E9354,Programme!F9354,Programme!G9354,Programme!H9354,Programme!I9354)</f>
        <v>&lt;/cellule&gt;</v>
      </c>
    </row>
    <row r="9354" spans="1:1" x14ac:dyDescent="0.2">
      <c r="A9354" s="1135" t="str">
        <f>CONCATENATE(Programme!C9355,Programme!D9355,Programme!E9355,Programme!F9355,Programme!G9355,Programme!H9355,Programme!I9355)</f>
        <v>&lt;valeur&gt;&lt;/valeur&gt;</v>
      </c>
    </row>
    <row r="9355" spans="1:1" x14ac:dyDescent="0.2">
      <c r="A9355" s="1135" t="str">
        <f>CONCATENATE(Programme!C9356,Programme!D9356,Programme!E9356,Programme!F9356,Programme!G9356,Programme!H9356,Programme!I9356)</f>
        <v>&lt;/ValeurCellule&gt;</v>
      </c>
    </row>
    <row r="9356" spans="1:1" x14ac:dyDescent="0.2">
      <c r="A9356" s="1135" t="str">
        <f>CONCATENATE(Programme!C9357,Programme!D9357,Programme!E9357,Programme!F9357,Programme!G9357,Programme!H9357,Programme!I9357)</f>
        <v>&lt;ValeurCellule&gt;</v>
      </c>
    </row>
    <row r="9357" spans="1:1" x14ac:dyDescent="0.2">
      <c r="A9357" s="1135" t="str">
        <f>CONCATENATE(Programme!C9358,Programme!D9358,Programme!E9358,Programme!F9358,Programme!G9358,Programme!H9358,Programme!I9358)</f>
        <v>&lt;cellule&gt;</v>
      </c>
    </row>
    <row r="9358" spans="1:1" x14ac:dyDescent="0.2">
      <c r="A9358" s="1135" t="str">
        <f>CONCATENATE(Programme!C9359,Programme!D9359,Programme!E9359,Programme!F9359,Programme!G9359,Programme!H9359,Programme!I9359)</f>
        <v>&lt;codeEdi&gt;1203&lt;/codeEdi&gt;</v>
      </c>
    </row>
    <row r="9359" spans="1:1" x14ac:dyDescent="0.2">
      <c r="A9359" s="1135" t="str">
        <f>CONCATENATE(Programme!C9360,Programme!D9360,Programme!E9360,Programme!F9360,Programme!G9360,Programme!H9360,Programme!I9360)</f>
        <v>&lt;/cellule&gt;</v>
      </c>
    </row>
    <row r="9360" spans="1:1" x14ac:dyDescent="0.2">
      <c r="A9360" s="1135" t="str">
        <f>CONCATENATE(Programme!C9361,Programme!D9361,Programme!E9361,Programme!F9361,Programme!G9361,Programme!H9361,Programme!I9361)</f>
        <v>&lt;valeur&gt;0&lt;/valeur&gt;</v>
      </c>
    </row>
    <row r="9361" spans="1:1" x14ac:dyDescent="0.2">
      <c r="A9361" s="1135" t="str">
        <f>CONCATENATE(Programme!C9362,Programme!D9362,Programme!E9362,Programme!F9362,Programme!G9362,Programme!H9362,Programme!I9362)</f>
        <v>&lt;/ValeurCellule&gt;</v>
      </c>
    </row>
    <row r="9362" spans="1:1" x14ac:dyDescent="0.2">
      <c r="A9362" s="1135" t="str">
        <f>CONCATENATE(Programme!C9363,Programme!D9363,Programme!E9363,Programme!F9363,Programme!G9363,Programme!H9363,Programme!I9363)</f>
        <v>&lt;ValeurCellule&gt;</v>
      </c>
    </row>
    <row r="9363" spans="1:1" x14ac:dyDescent="0.2">
      <c r="A9363" s="1135" t="str">
        <f>CONCATENATE(Programme!C9364,Programme!D9364,Programme!E9364,Programme!F9364,Programme!G9364,Programme!H9364,Programme!I9364)</f>
        <v>&lt;cellule&gt;</v>
      </c>
    </row>
    <row r="9364" spans="1:1" x14ac:dyDescent="0.2">
      <c r="A9364" s="1135" t="str">
        <f>CONCATENATE(Programme!C9365,Programme!D9365,Programme!E9365,Programme!F9365,Programme!G9365,Programme!H9365,Programme!I9365)</f>
        <v>&lt;codeEdi&gt;1176&lt;/codeEdi&gt;</v>
      </c>
    </row>
    <row r="9365" spans="1:1" x14ac:dyDescent="0.2">
      <c r="A9365" s="1135" t="str">
        <f>CONCATENATE(Programme!C9366,Programme!D9366,Programme!E9366,Programme!F9366,Programme!G9366,Programme!H9366,Programme!I9366)</f>
        <v>&lt;/cellule&gt;</v>
      </c>
    </row>
    <row r="9366" spans="1:1" x14ac:dyDescent="0.2">
      <c r="A9366" s="1135" t="str">
        <f>CONCATENATE(Programme!C9367,Programme!D9367,Programme!E9367,Programme!F9367,Programme!G9367,Programme!H9367,Programme!I9367)</f>
        <v>&lt;valeur&gt;&lt;/valeur&gt;</v>
      </c>
    </row>
    <row r="9367" spans="1:1" x14ac:dyDescent="0.2">
      <c r="A9367" s="1135" t="str">
        <f>CONCATENATE(Programme!C9368,Programme!D9368,Programme!E9368,Programme!F9368,Programme!G9368,Programme!H9368,Programme!I9368)</f>
        <v>&lt;/ValeurCellule&gt;</v>
      </c>
    </row>
    <row r="9368" spans="1:1" x14ac:dyDescent="0.2">
      <c r="A9368" s="1135" t="str">
        <f>CONCATENATE(Programme!C9369,Programme!D9369,Programme!E9369,Programme!F9369,Programme!G9369,Programme!H9369,Programme!I9369)</f>
        <v>&lt;ValeurCellule&gt;</v>
      </c>
    </row>
    <row r="9369" spans="1:1" x14ac:dyDescent="0.2">
      <c r="A9369" s="1135" t="str">
        <f>CONCATENATE(Programme!C9370,Programme!D9370,Programme!E9370,Programme!F9370,Programme!G9370,Programme!H9370,Programme!I9370)</f>
        <v>&lt;cellule&gt;</v>
      </c>
    </row>
    <row r="9370" spans="1:1" x14ac:dyDescent="0.2">
      <c r="A9370" s="1135" t="str">
        <f>CONCATENATE(Programme!C9371,Programme!D9371,Programme!E9371,Programme!F9371,Programme!G9371,Programme!H9371,Programme!I9371)</f>
        <v>&lt;codeEdi&gt;1114&lt;/codeEdi&gt;</v>
      </c>
    </row>
    <row r="9371" spans="1:1" x14ac:dyDescent="0.2">
      <c r="A9371" s="1135" t="str">
        <f>CONCATENATE(Programme!C9372,Programme!D9372,Programme!E9372,Programme!F9372,Programme!G9372,Programme!H9372,Programme!I9372)</f>
        <v>&lt;/cellule&gt;</v>
      </c>
    </row>
    <row r="9372" spans="1:1" x14ac:dyDescent="0.2">
      <c r="A9372" s="1135" t="str">
        <f>CONCATENATE(Programme!C9373,Programme!D9373,Programme!E9373,Programme!F9373,Programme!G9373,Programme!H9373,Programme!I9373)</f>
        <v>&lt;valeur&gt;&lt;/valeur&gt;</v>
      </c>
    </row>
    <row r="9373" spans="1:1" x14ac:dyDescent="0.2">
      <c r="A9373" s="1135" t="str">
        <f>CONCATENATE(Programme!C9374,Programme!D9374,Programme!E9374,Programme!F9374,Programme!G9374,Programme!H9374,Programme!I9374)</f>
        <v>&lt;/ValeurCellule&gt;</v>
      </c>
    </row>
    <row r="9374" spans="1:1" x14ac:dyDescent="0.2">
      <c r="A9374" s="1135" t="str">
        <f>CONCATENATE(Programme!C9375,Programme!D9375,Programme!E9375,Programme!F9375,Programme!G9375,Programme!H9375,Programme!I9375)</f>
        <v>&lt;ValeurCellule&gt;</v>
      </c>
    </row>
    <row r="9375" spans="1:1" x14ac:dyDescent="0.2">
      <c r="A9375" s="1135" t="str">
        <f>CONCATENATE(Programme!C9376,Programme!D9376,Programme!E9376,Programme!F9376,Programme!G9376,Programme!H9376,Programme!I9376)</f>
        <v>&lt;cellule&gt;</v>
      </c>
    </row>
    <row r="9376" spans="1:1" x14ac:dyDescent="0.2">
      <c r="A9376" s="1135" t="str">
        <f>CONCATENATE(Programme!C9377,Programme!D9377,Programme!E9377,Programme!F9377,Programme!G9377,Programme!H9377,Programme!I9377)</f>
        <v>&lt;codeEdi&gt;1123&lt;/codeEdi&gt;</v>
      </c>
    </row>
    <row r="9377" spans="1:1" x14ac:dyDescent="0.2">
      <c r="A9377" s="1135" t="str">
        <f>CONCATENATE(Programme!C9378,Programme!D9378,Programme!E9378,Programme!F9378,Programme!G9378,Programme!H9378,Programme!I9378)</f>
        <v>&lt;/cellule&gt;</v>
      </c>
    </row>
    <row r="9378" spans="1:1" x14ac:dyDescent="0.2">
      <c r="A9378" s="1135" t="str">
        <f>CONCATENATE(Programme!C9379,Programme!D9379,Programme!E9379,Programme!F9379,Programme!G9379,Programme!H9379,Programme!I9379)</f>
        <v>&lt;valeur&gt;&lt;/valeur&gt;</v>
      </c>
    </row>
    <row r="9379" spans="1:1" x14ac:dyDescent="0.2">
      <c r="A9379" s="1135" t="str">
        <f>CONCATENATE(Programme!C9380,Programme!D9380,Programme!E9380,Programme!F9380,Programme!G9380,Programme!H9380,Programme!I9380)</f>
        <v>&lt;/ValeurCellule&gt;</v>
      </c>
    </row>
    <row r="9380" spans="1:1" x14ac:dyDescent="0.2">
      <c r="A9380" s="1135" t="str">
        <f>CONCATENATE(Programme!C9381,Programme!D9381,Programme!E9381,Programme!F9381,Programme!G9381,Programme!H9381,Programme!I9381)</f>
        <v>&lt;ValeurCellule&gt;</v>
      </c>
    </row>
    <row r="9381" spans="1:1" x14ac:dyDescent="0.2">
      <c r="A9381" s="1135" t="str">
        <f>CONCATENATE(Programme!C9382,Programme!D9382,Programme!E9382,Programme!F9382,Programme!G9382,Programme!H9382,Programme!I9382)</f>
        <v>&lt;cellule&gt;</v>
      </c>
    </row>
    <row r="9382" spans="1:1" x14ac:dyDescent="0.2">
      <c r="A9382" s="1135" t="str">
        <f>CONCATENATE(Programme!C9383,Programme!D9383,Programme!E9383,Programme!F9383,Programme!G9383,Programme!H9383,Programme!I9383)</f>
        <v>&lt;codeEdi&gt;1132&lt;/codeEdi&gt;</v>
      </c>
    </row>
    <row r="9383" spans="1:1" x14ac:dyDescent="0.2">
      <c r="A9383" s="1135" t="str">
        <f>CONCATENATE(Programme!C9384,Programme!D9384,Programme!E9384,Programme!F9384,Programme!G9384,Programme!H9384,Programme!I9384)</f>
        <v>&lt;/cellule&gt;</v>
      </c>
    </row>
    <row r="9384" spans="1:1" x14ac:dyDescent="0.2">
      <c r="A9384" s="1135" t="str">
        <f>CONCATENATE(Programme!C9385,Programme!D9385,Programme!E9385,Programme!F9385,Programme!G9385,Programme!H9385,Programme!I9385)</f>
        <v>&lt;valeur&gt;&lt;/valeur&gt;</v>
      </c>
    </row>
    <row r="9385" spans="1:1" x14ac:dyDescent="0.2">
      <c r="A9385" s="1135" t="str">
        <f>CONCATENATE(Programme!C9386,Programme!D9386,Programme!E9386,Programme!F9386,Programme!G9386,Programme!H9386,Programme!I9386)</f>
        <v>&lt;/ValeurCellule&gt;</v>
      </c>
    </row>
    <row r="9386" spans="1:1" x14ac:dyDescent="0.2">
      <c r="A9386" s="1135" t="str">
        <f>CONCATENATE(Programme!C9387,Programme!D9387,Programme!E9387,Programme!F9387,Programme!G9387,Programme!H9387,Programme!I9387)</f>
        <v>&lt;ValeurCellule&gt;</v>
      </c>
    </row>
    <row r="9387" spans="1:1" x14ac:dyDescent="0.2">
      <c r="A9387" s="1135" t="str">
        <f>CONCATENATE(Programme!C9388,Programme!D9388,Programme!E9388,Programme!F9388,Programme!G9388,Programme!H9388,Programme!I9388)</f>
        <v>&lt;cellule&gt;</v>
      </c>
    </row>
    <row r="9388" spans="1:1" x14ac:dyDescent="0.2">
      <c r="A9388" s="1135" t="str">
        <f>CONCATENATE(Programme!C9389,Programme!D9389,Programme!E9389,Programme!F9389,Programme!G9389,Programme!H9389,Programme!I9389)</f>
        <v>&lt;codeEdi&gt;1141&lt;/codeEdi&gt;</v>
      </c>
    </row>
    <row r="9389" spans="1:1" x14ac:dyDescent="0.2">
      <c r="A9389" s="1135" t="str">
        <f>CONCATENATE(Programme!C9390,Programme!D9390,Programme!E9390,Programme!F9390,Programme!G9390,Programme!H9390,Programme!I9390)</f>
        <v>&lt;/cellule&gt;</v>
      </c>
    </row>
    <row r="9390" spans="1:1" x14ac:dyDescent="0.2">
      <c r="A9390" s="1135" t="str">
        <f>CONCATENATE(Programme!C9391,Programme!D9391,Programme!E9391,Programme!F9391,Programme!G9391,Programme!H9391,Programme!I9391)</f>
        <v>&lt;valeur&gt;&lt;/valeur&gt;</v>
      </c>
    </row>
    <row r="9391" spans="1:1" x14ac:dyDescent="0.2">
      <c r="A9391" s="1135" t="str">
        <f>CONCATENATE(Programme!C9392,Programme!D9392,Programme!E9392,Programme!F9392,Programme!G9392,Programme!H9392,Programme!I9392)</f>
        <v>&lt;/ValeurCellule&gt;</v>
      </c>
    </row>
    <row r="9392" spans="1:1" x14ac:dyDescent="0.2">
      <c r="A9392" s="1135" t="str">
        <f>CONCATENATE(Programme!C9393,Programme!D9393,Programme!E9393,Programme!F9393,Programme!G9393,Programme!H9393,Programme!I9393)</f>
        <v>&lt;ValeurCellule&gt;</v>
      </c>
    </row>
    <row r="9393" spans="1:1" x14ac:dyDescent="0.2">
      <c r="A9393" s="1135" t="str">
        <f>CONCATENATE(Programme!C9394,Programme!D9394,Programme!E9394,Programme!F9394,Programme!G9394,Programme!H9394,Programme!I9394)</f>
        <v>&lt;cellule&gt;</v>
      </c>
    </row>
    <row r="9394" spans="1:1" x14ac:dyDescent="0.2">
      <c r="A9394" s="1135" t="str">
        <f>CONCATENATE(Programme!C9395,Programme!D9395,Programme!E9395,Programme!F9395,Programme!G9395,Programme!H9395,Programme!I9395)</f>
        <v>&lt;codeEdi&gt;1150&lt;/codeEdi&gt;</v>
      </c>
    </row>
    <row r="9395" spans="1:1" x14ac:dyDescent="0.2">
      <c r="A9395" s="1135" t="str">
        <f>CONCATENATE(Programme!C9396,Programme!D9396,Programme!E9396,Programme!F9396,Programme!G9396,Programme!H9396,Programme!I9396)</f>
        <v>&lt;/cellule&gt;</v>
      </c>
    </row>
    <row r="9396" spans="1:1" x14ac:dyDescent="0.2">
      <c r="A9396" s="1135" t="str">
        <f>CONCATENATE(Programme!C9397,Programme!D9397,Programme!E9397,Programme!F9397,Programme!G9397,Programme!H9397,Programme!I9397)</f>
        <v>&lt;valeur&gt;&lt;/valeur&gt;</v>
      </c>
    </row>
    <row r="9397" spans="1:1" x14ac:dyDescent="0.2">
      <c r="A9397" s="1135" t="str">
        <f>CONCATENATE(Programme!C9398,Programme!D9398,Programme!E9398,Programme!F9398,Programme!G9398,Programme!H9398,Programme!I9398)</f>
        <v>&lt;/ValeurCellule&gt;</v>
      </c>
    </row>
    <row r="9398" spans="1:1" x14ac:dyDescent="0.2">
      <c r="A9398" s="1135" t="str">
        <f>CONCATENATE(Programme!C9399,Programme!D9399,Programme!E9399,Programme!F9399,Programme!G9399,Programme!H9399,Programme!I9399)</f>
        <v>&lt;ValeurCellule&gt;</v>
      </c>
    </row>
    <row r="9399" spans="1:1" x14ac:dyDescent="0.2">
      <c r="A9399" s="1135" t="str">
        <f>CONCATENATE(Programme!C9400,Programme!D9400,Programme!E9400,Programme!F9400,Programme!G9400,Programme!H9400,Programme!I9400)</f>
        <v>&lt;cellule&gt;</v>
      </c>
    </row>
    <row r="9400" spans="1:1" x14ac:dyDescent="0.2">
      <c r="A9400" s="1135" t="str">
        <f>CONCATENATE(Programme!C9401,Programme!D9401,Programme!E9401,Programme!F9401,Programme!G9401,Programme!H9401,Programme!I9401)</f>
        <v>&lt;codeEdi&gt;1159&lt;/codeEdi&gt;</v>
      </c>
    </row>
    <row r="9401" spans="1:1" x14ac:dyDescent="0.2">
      <c r="A9401" s="1135" t="str">
        <f>CONCATENATE(Programme!C9402,Programme!D9402,Programme!E9402,Programme!F9402,Programme!G9402,Programme!H9402,Programme!I9402)</f>
        <v>&lt;/cellule&gt;</v>
      </c>
    </row>
    <row r="9402" spans="1:1" x14ac:dyDescent="0.2">
      <c r="A9402" s="1135" t="str">
        <f>CONCATENATE(Programme!C9403,Programme!D9403,Programme!E9403,Programme!F9403,Programme!G9403,Programme!H9403,Programme!I9403)</f>
        <v>&lt;valeur&gt;&lt;/valeur&gt;</v>
      </c>
    </row>
    <row r="9403" spans="1:1" x14ac:dyDescent="0.2">
      <c r="A9403" s="1135" t="str">
        <f>CONCATENATE(Programme!C9404,Programme!D9404,Programme!E9404,Programme!F9404,Programme!G9404,Programme!H9404,Programme!I9404)</f>
        <v>&lt;/ValeurCellule&gt;</v>
      </c>
    </row>
    <row r="9404" spans="1:1" x14ac:dyDescent="0.2">
      <c r="A9404" s="1135" t="str">
        <f>CONCATENATE(Programme!C9405,Programme!D9405,Programme!E9405,Programme!F9405,Programme!G9405,Programme!H9405,Programme!I9405)</f>
        <v>&lt;ValeurCellule&gt;</v>
      </c>
    </row>
    <row r="9405" spans="1:1" x14ac:dyDescent="0.2">
      <c r="A9405" s="1135" t="str">
        <f>CONCATENATE(Programme!C9406,Programme!D9406,Programme!E9406,Programme!F9406,Programme!G9406,Programme!H9406,Programme!I9406)</f>
        <v>&lt;cellule&gt;</v>
      </c>
    </row>
    <row r="9406" spans="1:1" x14ac:dyDescent="0.2">
      <c r="A9406" s="1135" t="str">
        <f>CONCATENATE(Programme!C9407,Programme!D9407,Programme!E9407,Programme!F9407,Programme!G9407,Programme!H9407,Programme!I9407)</f>
        <v>&lt;codeEdi&gt;1168&lt;/codeEdi&gt;</v>
      </c>
    </row>
    <row r="9407" spans="1:1" x14ac:dyDescent="0.2">
      <c r="A9407" s="1135" t="str">
        <f>CONCATENATE(Programme!C9408,Programme!D9408,Programme!E9408,Programme!F9408,Programme!G9408,Programme!H9408,Programme!I9408)</f>
        <v>&lt;/cellule&gt;</v>
      </c>
    </row>
    <row r="9408" spans="1:1" x14ac:dyDescent="0.2">
      <c r="A9408" s="1135" t="str">
        <f>CONCATENATE(Programme!C9409,Programme!D9409,Programme!E9409,Programme!F9409,Programme!G9409,Programme!H9409,Programme!I9409)</f>
        <v>&lt;valeur&gt;&lt;/valeur&gt;</v>
      </c>
    </row>
    <row r="9409" spans="1:1" x14ac:dyDescent="0.2">
      <c r="A9409" s="1135" t="str">
        <f>CONCATENATE(Programme!C9410,Programme!D9410,Programme!E9410,Programme!F9410,Programme!G9410,Programme!H9410,Programme!I9410)</f>
        <v>&lt;/ValeurCellule&gt;</v>
      </c>
    </row>
    <row r="9410" spans="1:1" x14ac:dyDescent="0.2">
      <c r="A9410" s="1135" t="str">
        <f>CONCATENATE(Programme!C9411,Programme!D9411,Programme!E9411,Programme!F9411,Programme!G9411,Programme!H9411,Programme!I9411)</f>
        <v>&lt;ValeurCellule&gt;</v>
      </c>
    </row>
    <row r="9411" spans="1:1" x14ac:dyDescent="0.2">
      <c r="A9411" s="1135" t="str">
        <f>CONCATENATE(Programme!C9412,Programme!D9412,Programme!E9412,Programme!F9412,Programme!G9412,Programme!H9412,Programme!I9412)</f>
        <v>&lt;cellule&gt;</v>
      </c>
    </row>
    <row r="9412" spans="1:1" x14ac:dyDescent="0.2">
      <c r="A9412" s="1135" t="str">
        <f>CONCATENATE(Programme!C9413,Programme!D9413,Programme!E9413,Programme!F9413,Programme!G9413,Programme!H9413,Programme!I9413)</f>
        <v>&lt;codeEdi&gt;1177&lt;/codeEdi&gt;</v>
      </c>
    </row>
    <row r="9413" spans="1:1" x14ac:dyDescent="0.2">
      <c r="A9413" s="1135" t="str">
        <f>CONCATENATE(Programme!C9414,Programme!D9414,Programme!E9414,Programme!F9414,Programme!G9414,Programme!H9414,Programme!I9414)</f>
        <v>&lt;/cellule&gt;</v>
      </c>
    </row>
    <row r="9414" spans="1:1" x14ac:dyDescent="0.2">
      <c r="A9414" s="1135" t="str">
        <f>CONCATENATE(Programme!C9415,Programme!D9415,Programme!E9415,Programme!F9415,Programme!G9415,Programme!H9415,Programme!I9415)</f>
        <v>&lt;valeur&gt;&lt;/valeur&gt;</v>
      </c>
    </row>
    <row r="9415" spans="1:1" x14ac:dyDescent="0.2">
      <c r="A9415" s="1135" t="str">
        <f>CONCATENATE(Programme!C9416,Programme!D9416,Programme!E9416,Programme!F9416,Programme!G9416,Programme!H9416,Programme!I9416)</f>
        <v>&lt;/ValeurCellule&gt;</v>
      </c>
    </row>
    <row r="9416" spans="1:1" x14ac:dyDescent="0.2">
      <c r="A9416" s="1135" t="str">
        <f>CONCATENATE(Programme!C9417,Programme!D9417,Programme!E9417,Programme!F9417,Programme!G9417,Programme!H9417,Programme!I9417)</f>
        <v>&lt;ValeurCellule&gt;</v>
      </c>
    </row>
    <row r="9417" spans="1:1" x14ac:dyDescent="0.2">
      <c r="A9417" s="1135" t="str">
        <f>CONCATENATE(Programme!C9418,Programme!D9418,Programme!E9418,Programme!F9418,Programme!G9418,Programme!H9418,Programme!I9418)</f>
        <v>&lt;cellule&gt;</v>
      </c>
    </row>
    <row r="9418" spans="1:1" x14ac:dyDescent="0.2">
      <c r="A9418" s="1135" t="str">
        <f>CONCATENATE(Programme!C9419,Programme!D9419,Programme!E9419,Programme!F9419,Programme!G9419,Programme!H9419,Programme!I9419)</f>
        <v>&lt;codeEdi&gt;1186&lt;/codeEdi&gt;</v>
      </c>
    </row>
    <row r="9419" spans="1:1" x14ac:dyDescent="0.2">
      <c r="A9419" s="1135" t="str">
        <f>CONCATENATE(Programme!C9420,Programme!D9420,Programme!E9420,Programme!F9420,Programme!G9420,Programme!H9420,Programme!I9420)</f>
        <v>&lt;/cellule&gt;</v>
      </c>
    </row>
    <row r="9420" spans="1:1" x14ac:dyDescent="0.2">
      <c r="A9420" s="1135" t="str">
        <f>CONCATENATE(Programme!C9421,Programme!D9421,Programme!E9421,Programme!F9421,Programme!G9421,Programme!H9421,Programme!I9421)</f>
        <v>&lt;valeur&gt;&lt;/valeur&gt;</v>
      </c>
    </row>
    <row r="9421" spans="1:1" x14ac:dyDescent="0.2">
      <c r="A9421" s="1135" t="str">
        <f>CONCATENATE(Programme!C9422,Programme!D9422,Programme!E9422,Programme!F9422,Programme!G9422,Programme!H9422,Programme!I9422)</f>
        <v>&lt;/ValeurCellule&gt;</v>
      </c>
    </row>
    <row r="9422" spans="1:1" x14ac:dyDescent="0.2">
      <c r="A9422" s="1135" t="str">
        <f>CONCATENATE(Programme!C9423,Programme!D9423,Programme!E9423,Programme!F9423,Programme!G9423,Programme!H9423,Programme!I9423)</f>
        <v>&lt;ValeurCellule&gt;</v>
      </c>
    </row>
    <row r="9423" spans="1:1" x14ac:dyDescent="0.2">
      <c r="A9423" s="1135" t="str">
        <f>CONCATENATE(Programme!C9424,Programme!D9424,Programme!E9424,Programme!F9424,Programme!G9424,Programme!H9424,Programme!I9424)</f>
        <v>&lt;cellule&gt;</v>
      </c>
    </row>
    <row r="9424" spans="1:1" x14ac:dyDescent="0.2">
      <c r="A9424" s="1135" t="str">
        <f>CONCATENATE(Programme!C9425,Programme!D9425,Programme!E9425,Programme!F9425,Programme!G9425,Programme!H9425,Programme!I9425)</f>
        <v>&lt;codeEdi&gt;1195&lt;/codeEdi&gt;</v>
      </c>
    </row>
    <row r="9425" spans="1:1" x14ac:dyDescent="0.2">
      <c r="A9425" s="1135" t="str">
        <f>CONCATENATE(Programme!C9426,Programme!D9426,Programme!E9426,Programme!F9426,Programme!G9426,Programme!H9426,Programme!I9426)</f>
        <v>&lt;/cellule&gt;</v>
      </c>
    </row>
    <row r="9426" spans="1:1" x14ac:dyDescent="0.2">
      <c r="A9426" s="1135" t="str">
        <f>CONCATENATE(Programme!C9427,Programme!D9427,Programme!E9427,Programme!F9427,Programme!G9427,Programme!H9427,Programme!I9427)</f>
        <v>&lt;valeur&gt;&lt;/valeur&gt;</v>
      </c>
    </row>
    <row r="9427" spans="1:1" x14ac:dyDescent="0.2">
      <c r="A9427" s="1135" t="str">
        <f>CONCATENATE(Programme!C9428,Programme!D9428,Programme!E9428,Programme!F9428,Programme!G9428,Programme!H9428,Programme!I9428)</f>
        <v>&lt;/ValeurCellule&gt;</v>
      </c>
    </row>
    <row r="9428" spans="1:1" x14ac:dyDescent="0.2">
      <c r="A9428" s="1135" t="str">
        <f>CONCATENATE(Programme!C9429,Programme!D9429,Programme!E9429,Programme!F9429,Programme!G9429,Programme!H9429,Programme!I9429)</f>
        <v>&lt;ValeurCellule&gt;</v>
      </c>
    </row>
    <row r="9429" spans="1:1" x14ac:dyDescent="0.2">
      <c r="A9429" s="1135" t="str">
        <f>CONCATENATE(Programme!C9430,Programme!D9430,Programme!E9430,Programme!F9430,Programme!G9430,Programme!H9430,Programme!I9430)</f>
        <v>&lt;cellule&gt;</v>
      </c>
    </row>
    <row r="9430" spans="1:1" x14ac:dyDescent="0.2">
      <c r="A9430" s="1135" t="str">
        <f>CONCATENATE(Programme!C9431,Programme!D9431,Programme!E9431,Programme!F9431,Programme!G9431,Programme!H9431,Programme!I9431)</f>
        <v>&lt;codeEdi&gt;1204&lt;/codeEdi&gt;</v>
      </c>
    </row>
    <row r="9431" spans="1:1" x14ac:dyDescent="0.2">
      <c r="A9431" s="1135" t="str">
        <f>CONCATENATE(Programme!C9432,Programme!D9432,Programme!E9432,Programme!F9432,Programme!G9432,Programme!H9432,Programme!I9432)</f>
        <v>&lt;/cellule&gt;</v>
      </c>
    </row>
    <row r="9432" spans="1:1" x14ac:dyDescent="0.2">
      <c r="A9432" s="1135" t="str">
        <f>CONCATENATE(Programme!C9433,Programme!D9433,Programme!E9433,Programme!F9433,Programme!G9433,Programme!H9433,Programme!I9433)</f>
        <v>&lt;valeur&gt;0&lt;/valeur&gt;</v>
      </c>
    </row>
    <row r="9433" spans="1:1" x14ac:dyDescent="0.2">
      <c r="A9433" s="1135" t="str">
        <f>CONCATENATE(Programme!C9434,Programme!D9434,Programme!E9434,Programme!F9434,Programme!G9434,Programme!H9434,Programme!I9434)</f>
        <v>&lt;/ValeurCellule&gt;</v>
      </c>
    </row>
    <row r="9434" spans="1:1" x14ac:dyDescent="0.2">
      <c r="A9434" s="1135" t="str">
        <f>CONCATENATE(Programme!C9435,Programme!D9435,Programme!E9435,Programme!F9435,Programme!G9435,Programme!H9435,Programme!I9435)</f>
        <v>&lt;ValeurCellule&gt;</v>
      </c>
    </row>
    <row r="9435" spans="1:1" x14ac:dyDescent="0.2">
      <c r="A9435" s="1135" t="str">
        <f>CONCATENATE(Programme!C9436,Programme!D9436,Programme!E9436,Programme!F9436,Programme!G9436,Programme!H9436,Programme!I9436)</f>
        <v>&lt;cellule&gt;</v>
      </c>
    </row>
    <row r="9436" spans="1:1" x14ac:dyDescent="0.2">
      <c r="A9436" s="1135" t="str">
        <f>CONCATENATE(Programme!C9437,Programme!D9437,Programme!E9437,Programme!F9437,Programme!G9437,Programme!H9437,Programme!I9437)</f>
        <v>&lt;codeEdi&gt;1115&lt;/codeEdi&gt;</v>
      </c>
    </row>
    <row r="9437" spans="1:1" x14ac:dyDescent="0.2">
      <c r="A9437" s="1135" t="str">
        <f>CONCATENATE(Programme!C9438,Programme!D9438,Programme!E9438,Programme!F9438,Programme!G9438,Programme!H9438,Programme!I9438)</f>
        <v>&lt;/cellule&gt;</v>
      </c>
    </row>
    <row r="9438" spans="1:1" x14ac:dyDescent="0.2">
      <c r="A9438" s="1135" t="str">
        <f>CONCATENATE(Programme!C9439,Programme!D9439,Programme!E9439,Programme!F9439,Programme!G9439,Programme!H9439,Programme!I9439)</f>
        <v>&lt;valeur&gt;&lt;/valeur&gt;</v>
      </c>
    </row>
    <row r="9439" spans="1:1" x14ac:dyDescent="0.2">
      <c r="A9439" s="1135" t="str">
        <f>CONCATENATE(Programme!C9440,Programme!D9440,Programme!E9440,Programme!F9440,Programme!G9440,Programme!H9440,Programme!I9440)</f>
        <v>&lt;/ValeurCellule&gt;</v>
      </c>
    </row>
    <row r="9440" spans="1:1" x14ac:dyDescent="0.2">
      <c r="A9440" s="1135" t="str">
        <f>CONCATENATE(Programme!C9441,Programme!D9441,Programme!E9441,Programme!F9441,Programme!G9441,Programme!H9441,Programme!I9441)</f>
        <v>&lt;ValeurCellule&gt;</v>
      </c>
    </row>
    <row r="9441" spans="1:1" x14ac:dyDescent="0.2">
      <c r="A9441" s="1135" t="str">
        <f>CONCATENATE(Programme!C9442,Programme!D9442,Programme!E9442,Programme!F9442,Programme!G9442,Programme!H9442,Programme!I9442)</f>
        <v>&lt;cellule&gt;</v>
      </c>
    </row>
    <row r="9442" spans="1:1" x14ac:dyDescent="0.2">
      <c r="A9442" s="1135" t="str">
        <f>CONCATENATE(Programme!C9443,Programme!D9443,Programme!E9443,Programme!F9443,Programme!G9443,Programme!H9443,Programme!I9443)</f>
        <v>&lt;codeEdi&gt;1124&lt;/codeEdi&gt;</v>
      </c>
    </row>
    <row r="9443" spans="1:1" x14ac:dyDescent="0.2">
      <c r="A9443" s="1135" t="str">
        <f>CONCATENATE(Programme!C9444,Programme!D9444,Programme!E9444,Programme!F9444,Programme!G9444,Programme!H9444,Programme!I9444)</f>
        <v>&lt;/cellule&gt;</v>
      </c>
    </row>
    <row r="9444" spans="1:1" x14ac:dyDescent="0.2">
      <c r="A9444" s="1135" t="str">
        <f>CONCATENATE(Programme!C9445,Programme!D9445,Programme!E9445,Programme!F9445,Programme!G9445,Programme!H9445,Programme!I9445)</f>
        <v>&lt;valeur&gt;&lt;/valeur&gt;</v>
      </c>
    </row>
    <row r="9445" spans="1:1" x14ac:dyDescent="0.2">
      <c r="A9445" s="1135" t="str">
        <f>CONCATENATE(Programme!C9446,Programme!D9446,Programme!E9446,Programme!F9446,Programme!G9446,Programme!H9446,Programme!I9446)</f>
        <v>&lt;/ValeurCellule&gt;</v>
      </c>
    </row>
    <row r="9446" spans="1:1" x14ac:dyDescent="0.2">
      <c r="A9446" s="1135" t="str">
        <f>CONCATENATE(Programme!C9447,Programme!D9447,Programme!E9447,Programme!F9447,Programme!G9447,Programme!H9447,Programme!I9447)</f>
        <v>&lt;ValeurCellule&gt;</v>
      </c>
    </row>
    <row r="9447" spans="1:1" x14ac:dyDescent="0.2">
      <c r="A9447" s="1135" t="str">
        <f>CONCATENATE(Programme!C9448,Programme!D9448,Programme!E9448,Programme!F9448,Programme!G9448,Programme!H9448,Programme!I9448)</f>
        <v>&lt;cellule&gt;</v>
      </c>
    </row>
    <row r="9448" spans="1:1" x14ac:dyDescent="0.2">
      <c r="A9448" s="1135" t="str">
        <f>CONCATENATE(Programme!C9449,Programme!D9449,Programme!E9449,Programme!F9449,Programme!G9449,Programme!H9449,Programme!I9449)</f>
        <v>&lt;codeEdi&gt;1133&lt;/codeEdi&gt;</v>
      </c>
    </row>
    <row r="9449" spans="1:1" x14ac:dyDescent="0.2">
      <c r="A9449" s="1135" t="str">
        <f>CONCATENATE(Programme!C9450,Programme!D9450,Programme!E9450,Programme!F9450,Programme!G9450,Programme!H9450,Programme!I9450)</f>
        <v>&lt;/cellule&gt;</v>
      </c>
    </row>
    <row r="9450" spans="1:1" x14ac:dyDescent="0.2">
      <c r="A9450" s="1135" t="str">
        <f>CONCATENATE(Programme!C9451,Programme!D9451,Programme!E9451,Programme!F9451,Programme!G9451,Programme!H9451,Programme!I9451)</f>
        <v>&lt;valeur&gt;&lt;/valeur&gt;</v>
      </c>
    </row>
    <row r="9451" spans="1:1" x14ac:dyDescent="0.2">
      <c r="A9451" s="1135" t="str">
        <f>CONCATENATE(Programme!C9452,Programme!D9452,Programme!E9452,Programme!F9452,Programme!G9452,Programme!H9452,Programme!I9452)</f>
        <v>&lt;/ValeurCellule&gt;</v>
      </c>
    </row>
    <row r="9452" spans="1:1" x14ac:dyDescent="0.2">
      <c r="A9452" s="1135" t="str">
        <f>CONCATENATE(Programme!C9453,Programme!D9453,Programme!E9453,Programme!F9453,Programme!G9453,Programme!H9453,Programme!I9453)</f>
        <v>&lt;ValeurCellule&gt;</v>
      </c>
    </row>
    <row r="9453" spans="1:1" x14ac:dyDescent="0.2">
      <c r="A9453" s="1135" t="str">
        <f>CONCATENATE(Programme!C9454,Programme!D9454,Programme!E9454,Programme!F9454,Programme!G9454,Programme!H9454,Programme!I9454)</f>
        <v>&lt;cellule&gt;</v>
      </c>
    </row>
    <row r="9454" spans="1:1" x14ac:dyDescent="0.2">
      <c r="A9454" s="1135" t="str">
        <f>CONCATENATE(Programme!C9455,Programme!D9455,Programme!E9455,Programme!F9455,Programme!G9455,Programme!H9455,Programme!I9455)</f>
        <v>&lt;codeEdi&gt;1142&lt;/codeEdi&gt;</v>
      </c>
    </row>
    <row r="9455" spans="1:1" x14ac:dyDescent="0.2">
      <c r="A9455" s="1135" t="str">
        <f>CONCATENATE(Programme!C9456,Programme!D9456,Programme!E9456,Programme!F9456,Programme!G9456,Programme!H9456,Programme!I9456)</f>
        <v>&lt;/cellule&gt;</v>
      </c>
    </row>
    <row r="9456" spans="1:1" x14ac:dyDescent="0.2">
      <c r="A9456" s="1135" t="str">
        <f>CONCATENATE(Programme!C9457,Programme!D9457,Programme!E9457,Programme!F9457,Programme!G9457,Programme!H9457,Programme!I9457)</f>
        <v>&lt;valeur&gt;&lt;/valeur&gt;</v>
      </c>
    </row>
    <row r="9457" spans="1:1" x14ac:dyDescent="0.2">
      <c r="A9457" s="1135" t="str">
        <f>CONCATENATE(Programme!C9458,Programme!D9458,Programme!E9458,Programme!F9458,Programme!G9458,Programme!H9458,Programme!I9458)</f>
        <v>&lt;/ValeurCellule&gt;</v>
      </c>
    </row>
    <row r="9458" spans="1:1" x14ac:dyDescent="0.2">
      <c r="A9458" s="1135" t="str">
        <f>CONCATENATE(Programme!C9459,Programme!D9459,Programme!E9459,Programme!F9459,Programme!G9459,Programme!H9459,Programme!I9459)</f>
        <v>&lt;ValeurCellule&gt;</v>
      </c>
    </row>
    <row r="9459" spans="1:1" x14ac:dyDescent="0.2">
      <c r="A9459" s="1135" t="str">
        <f>CONCATENATE(Programme!C9460,Programme!D9460,Programme!E9460,Programme!F9460,Programme!G9460,Programme!H9460,Programme!I9460)</f>
        <v>&lt;cellule&gt;</v>
      </c>
    </row>
    <row r="9460" spans="1:1" x14ac:dyDescent="0.2">
      <c r="A9460" s="1135" t="str">
        <f>CONCATENATE(Programme!C9461,Programme!D9461,Programme!E9461,Programme!F9461,Programme!G9461,Programme!H9461,Programme!I9461)</f>
        <v>&lt;codeEdi&gt;1151&lt;/codeEdi&gt;</v>
      </c>
    </row>
    <row r="9461" spans="1:1" x14ac:dyDescent="0.2">
      <c r="A9461" s="1135" t="str">
        <f>CONCATENATE(Programme!C9462,Programme!D9462,Programme!E9462,Programme!F9462,Programme!G9462,Programme!H9462,Programme!I9462)</f>
        <v>&lt;/cellule&gt;</v>
      </c>
    </row>
    <row r="9462" spans="1:1" x14ac:dyDescent="0.2">
      <c r="A9462" s="1135" t="str">
        <f>CONCATENATE(Programme!C9463,Programme!D9463,Programme!E9463,Programme!F9463,Programme!G9463,Programme!H9463,Programme!I9463)</f>
        <v>&lt;valeur&gt;&lt;/valeur&gt;</v>
      </c>
    </row>
    <row r="9463" spans="1:1" x14ac:dyDescent="0.2">
      <c r="A9463" s="1135" t="str">
        <f>CONCATENATE(Programme!C9464,Programme!D9464,Programme!E9464,Programme!F9464,Programme!G9464,Programme!H9464,Programme!I9464)</f>
        <v>&lt;/ValeurCellule&gt;</v>
      </c>
    </row>
    <row r="9464" spans="1:1" x14ac:dyDescent="0.2">
      <c r="A9464" s="1135" t="str">
        <f>CONCATENATE(Programme!C9465,Programme!D9465,Programme!E9465,Programme!F9465,Programme!G9465,Programme!H9465,Programme!I9465)</f>
        <v>&lt;ValeurCellule&gt;</v>
      </c>
    </row>
    <row r="9465" spans="1:1" x14ac:dyDescent="0.2">
      <c r="A9465" s="1135" t="str">
        <f>CONCATENATE(Programme!C9466,Programme!D9466,Programme!E9466,Programme!F9466,Programme!G9466,Programme!H9466,Programme!I9466)</f>
        <v>&lt;cellule&gt;</v>
      </c>
    </row>
    <row r="9466" spans="1:1" x14ac:dyDescent="0.2">
      <c r="A9466" s="1135" t="str">
        <f>CONCATENATE(Programme!C9467,Programme!D9467,Programme!E9467,Programme!F9467,Programme!G9467,Programme!H9467,Programme!I9467)</f>
        <v>&lt;codeEdi&gt;1160&lt;/codeEdi&gt;</v>
      </c>
    </row>
    <row r="9467" spans="1:1" x14ac:dyDescent="0.2">
      <c r="A9467" s="1135" t="str">
        <f>CONCATENATE(Programme!C9468,Programme!D9468,Programme!E9468,Programme!F9468,Programme!G9468,Programme!H9468,Programme!I9468)</f>
        <v>&lt;/cellule&gt;</v>
      </c>
    </row>
    <row r="9468" spans="1:1" x14ac:dyDescent="0.2">
      <c r="A9468" s="1135" t="str">
        <f>CONCATENATE(Programme!C9469,Programme!D9469,Programme!E9469,Programme!F9469,Programme!G9469,Programme!H9469,Programme!I9469)</f>
        <v>&lt;valeur&gt;&lt;/valeur&gt;</v>
      </c>
    </row>
    <row r="9469" spans="1:1" x14ac:dyDescent="0.2">
      <c r="A9469" s="1135" t="str">
        <f>CONCATENATE(Programme!C9470,Programme!D9470,Programme!E9470,Programme!F9470,Programme!G9470,Programme!H9470,Programme!I9470)</f>
        <v>&lt;/ValeurCellule&gt;</v>
      </c>
    </row>
    <row r="9470" spans="1:1" x14ac:dyDescent="0.2">
      <c r="A9470" s="1135" t="str">
        <f>CONCATENATE(Programme!C9471,Programme!D9471,Programme!E9471,Programme!F9471,Programme!G9471,Programme!H9471,Programme!I9471)</f>
        <v>&lt;ValeurCellule&gt;</v>
      </c>
    </row>
    <row r="9471" spans="1:1" x14ac:dyDescent="0.2">
      <c r="A9471" s="1135" t="str">
        <f>CONCATENATE(Programme!C9472,Programme!D9472,Programme!E9472,Programme!F9472,Programme!G9472,Programme!H9472,Programme!I9472)</f>
        <v>&lt;cellule&gt;</v>
      </c>
    </row>
    <row r="9472" spans="1:1" x14ac:dyDescent="0.2">
      <c r="A9472" s="1135" t="str">
        <f>CONCATENATE(Programme!C9473,Programme!D9473,Programme!E9473,Programme!F9473,Programme!G9473,Programme!H9473,Programme!I9473)</f>
        <v>&lt;codeEdi&gt;1169&lt;/codeEdi&gt;</v>
      </c>
    </row>
    <row r="9473" spans="1:1" x14ac:dyDescent="0.2">
      <c r="A9473" s="1135" t="str">
        <f>CONCATENATE(Programme!C9474,Programme!D9474,Programme!E9474,Programme!F9474,Programme!G9474,Programme!H9474,Programme!I9474)</f>
        <v>&lt;/cellule&gt;</v>
      </c>
    </row>
    <row r="9474" spans="1:1" x14ac:dyDescent="0.2">
      <c r="A9474" s="1135" t="str">
        <f>CONCATENATE(Programme!C9475,Programme!D9475,Programme!E9475,Programme!F9475,Programme!G9475,Programme!H9475,Programme!I9475)</f>
        <v>&lt;valeur&gt;&lt;/valeur&gt;</v>
      </c>
    </row>
    <row r="9475" spans="1:1" x14ac:dyDescent="0.2">
      <c r="A9475" s="1135" t="str">
        <f>CONCATENATE(Programme!C9476,Programme!D9476,Programme!E9476,Programme!F9476,Programme!G9476,Programme!H9476,Programme!I9476)</f>
        <v>&lt;/ValeurCellule&gt;</v>
      </c>
    </row>
    <row r="9476" spans="1:1" x14ac:dyDescent="0.2">
      <c r="A9476" s="1135" t="str">
        <f>CONCATENATE(Programme!C9477,Programme!D9477,Programme!E9477,Programme!F9477,Programme!G9477,Programme!H9477,Programme!I9477)</f>
        <v>&lt;ValeurCellule&gt;</v>
      </c>
    </row>
    <row r="9477" spans="1:1" x14ac:dyDescent="0.2">
      <c r="A9477" s="1135" t="str">
        <f>CONCATENATE(Programme!C9478,Programme!D9478,Programme!E9478,Programme!F9478,Programme!G9478,Programme!H9478,Programme!I9478)</f>
        <v>&lt;cellule&gt;</v>
      </c>
    </row>
    <row r="9478" spans="1:1" x14ac:dyDescent="0.2">
      <c r="A9478" s="1135" t="str">
        <f>CONCATENATE(Programme!C9479,Programme!D9479,Programme!E9479,Programme!F9479,Programme!G9479,Programme!H9479,Programme!I9479)</f>
        <v>&lt;codeEdi&gt;1178&lt;/codeEdi&gt;</v>
      </c>
    </row>
    <row r="9479" spans="1:1" x14ac:dyDescent="0.2">
      <c r="A9479" s="1135" t="str">
        <f>CONCATENATE(Programme!C9480,Programme!D9480,Programme!E9480,Programme!F9480,Programme!G9480,Programme!H9480,Programme!I9480)</f>
        <v>&lt;/cellule&gt;</v>
      </c>
    </row>
    <row r="9480" spans="1:1" x14ac:dyDescent="0.2">
      <c r="A9480" s="1135" t="str">
        <f>CONCATENATE(Programme!C9481,Programme!D9481,Programme!E9481,Programme!F9481,Programme!G9481,Programme!H9481,Programme!I9481)</f>
        <v>&lt;valeur&gt;&lt;/valeur&gt;</v>
      </c>
    </row>
    <row r="9481" spans="1:1" x14ac:dyDescent="0.2">
      <c r="A9481" s="1135" t="str">
        <f>CONCATENATE(Programme!C9482,Programme!D9482,Programme!E9482,Programme!F9482,Programme!G9482,Programme!H9482,Programme!I9482)</f>
        <v>&lt;/ValeurCellule&gt;</v>
      </c>
    </row>
    <row r="9482" spans="1:1" x14ac:dyDescent="0.2">
      <c r="A9482" s="1135" t="str">
        <f>CONCATENATE(Programme!C9483,Programme!D9483,Programme!E9483,Programme!F9483,Programme!G9483,Programme!H9483,Programme!I9483)</f>
        <v>&lt;ValeurCellule&gt;</v>
      </c>
    </row>
    <row r="9483" spans="1:1" x14ac:dyDescent="0.2">
      <c r="A9483" s="1135" t="str">
        <f>CONCATENATE(Programme!C9484,Programme!D9484,Programme!E9484,Programme!F9484,Programme!G9484,Programme!H9484,Programme!I9484)</f>
        <v>&lt;cellule&gt;</v>
      </c>
    </row>
    <row r="9484" spans="1:1" x14ac:dyDescent="0.2">
      <c r="A9484" s="1135" t="str">
        <f>CONCATENATE(Programme!C9485,Programme!D9485,Programme!E9485,Programme!F9485,Programme!G9485,Programme!H9485,Programme!I9485)</f>
        <v>&lt;codeEdi&gt;1187&lt;/codeEdi&gt;</v>
      </c>
    </row>
    <row r="9485" spans="1:1" x14ac:dyDescent="0.2">
      <c r="A9485" s="1135" t="str">
        <f>CONCATENATE(Programme!C9486,Programme!D9486,Programme!E9486,Programme!F9486,Programme!G9486,Programme!H9486,Programme!I9486)</f>
        <v>&lt;/cellule&gt;</v>
      </c>
    </row>
    <row r="9486" spans="1:1" x14ac:dyDescent="0.2">
      <c r="A9486" s="1135" t="str">
        <f>CONCATENATE(Programme!C9487,Programme!D9487,Programme!E9487,Programme!F9487,Programme!G9487,Programme!H9487,Programme!I9487)</f>
        <v>&lt;valeur&gt;&lt;/valeur&gt;</v>
      </c>
    </row>
    <row r="9487" spans="1:1" x14ac:dyDescent="0.2">
      <c r="A9487" s="1135" t="str">
        <f>CONCATENATE(Programme!C9488,Programme!D9488,Programme!E9488,Programme!F9488,Programme!G9488,Programme!H9488,Programme!I9488)</f>
        <v>&lt;/ValeurCellule&gt;</v>
      </c>
    </row>
    <row r="9488" spans="1:1" x14ac:dyDescent="0.2">
      <c r="A9488" s="1135" t="str">
        <f>CONCATENATE(Programme!C9489,Programme!D9489,Programme!E9489,Programme!F9489,Programme!G9489,Programme!H9489,Programme!I9489)</f>
        <v>&lt;ValeurCellule&gt;</v>
      </c>
    </row>
    <row r="9489" spans="1:1" x14ac:dyDescent="0.2">
      <c r="A9489" s="1135" t="str">
        <f>CONCATENATE(Programme!C9490,Programme!D9490,Programme!E9490,Programme!F9490,Programme!G9490,Programme!H9490,Programme!I9490)</f>
        <v>&lt;cellule&gt;</v>
      </c>
    </row>
    <row r="9490" spans="1:1" x14ac:dyDescent="0.2">
      <c r="A9490" s="1135" t="str">
        <f>CONCATENATE(Programme!C9491,Programme!D9491,Programme!E9491,Programme!F9491,Programme!G9491,Programme!H9491,Programme!I9491)</f>
        <v>&lt;codeEdi&gt;1196&lt;/codeEdi&gt;</v>
      </c>
    </row>
    <row r="9491" spans="1:1" x14ac:dyDescent="0.2">
      <c r="A9491" s="1135" t="str">
        <f>CONCATENATE(Programme!C9492,Programme!D9492,Programme!E9492,Programme!F9492,Programme!G9492,Programme!H9492,Programme!I9492)</f>
        <v>&lt;/cellule&gt;</v>
      </c>
    </row>
    <row r="9492" spans="1:1" x14ac:dyDescent="0.2">
      <c r="A9492" s="1135" t="str">
        <f>CONCATENATE(Programme!C9493,Programme!D9493,Programme!E9493,Programme!F9493,Programme!G9493,Programme!H9493,Programme!I9493)</f>
        <v>&lt;valeur&gt;&lt;/valeur&gt;</v>
      </c>
    </row>
    <row r="9493" spans="1:1" x14ac:dyDescent="0.2">
      <c r="A9493" s="1135" t="str">
        <f>CONCATENATE(Programme!C9494,Programme!D9494,Programme!E9494,Programme!F9494,Programme!G9494,Programme!H9494,Programme!I9494)</f>
        <v>&lt;/ValeurCellule&gt;</v>
      </c>
    </row>
    <row r="9494" spans="1:1" x14ac:dyDescent="0.2">
      <c r="A9494" s="1135" t="str">
        <f>CONCATENATE(Programme!C9495,Programme!D9495,Programme!E9495,Programme!F9495,Programme!G9495,Programme!H9495,Programme!I9495)</f>
        <v>&lt;ValeurCellule&gt;</v>
      </c>
    </row>
    <row r="9495" spans="1:1" x14ac:dyDescent="0.2">
      <c r="A9495" s="1135" t="str">
        <f>CONCATENATE(Programme!C9496,Programme!D9496,Programme!E9496,Programme!F9496,Programme!G9496,Programme!H9496,Programme!I9496)</f>
        <v>&lt;cellule&gt;</v>
      </c>
    </row>
    <row r="9496" spans="1:1" x14ac:dyDescent="0.2">
      <c r="A9496" s="1135" t="str">
        <f>CONCATENATE(Programme!C9497,Programme!D9497,Programme!E9497,Programme!F9497,Programme!G9497,Programme!H9497,Programme!I9497)</f>
        <v>&lt;codeEdi&gt;1205&lt;/codeEdi&gt;</v>
      </c>
    </row>
    <row r="9497" spans="1:1" x14ac:dyDescent="0.2">
      <c r="A9497" s="1135" t="str">
        <f>CONCATENATE(Programme!C9498,Programme!D9498,Programme!E9498,Programme!F9498,Programme!G9498,Programme!H9498,Programme!I9498)</f>
        <v>&lt;/cellule&gt;</v>
      </c>
    </row>
    <row r="9498" spans="1:1" x14ac:dyDescent="0.2">
      <c r="A9498" s="1135" t="str">
        <f>CONCATENATE(Programme!C9499,Programme!D9499,Programme!E9499,Programme!F9499,Programme!G9499,Programme!H9499,Programme!I9499)</f>
        <v>&lt;valeur&gt;0&lt;/valeur&gt;</v>
      </c>
    </row>
    <row r="9499" spans="1:1" x14ac:dyDescent="0.2">
      <c r="A9499" s="1135" t="str">
        <f>CONCATENATE(Programme!C9500,Programme!D9500,Programme!E9500,Programme!F9500,Programme!G9500,Programme!H9500,Programme!I9500)</f>
        <v>&lt;/ValeurCellule&gt;</v>
      </c>
    </row>
    <row r="9500" spans="1:1" x14ac:dyDescent="0.2">
      <c r="A9500" s="1135" t="str">
        <f>CONCATENATE(Programme!C9501,Programme!D9501,Programme!E9501,Programme!F9501,Programme!G9501,Programme!H9501,Programme!I9501)</f>
        <v>&lt;ValeurCellule&gt;</v>
      </c>
    </row>
    <row r="9501" spans="1:1" x14ac:dyDescent="0.2">
      <c r="A9501" s="1135" t="str">
        <f>CONCATENATE(Programme!C9502,Programme!D9502,Programme!E9502,Programme!F9502,Programme!G9502,Programme!H9502,Programme!I9502)</f>
        <v>&lt;cellule&gt;</v>
      </c>
    </row>
    <row r="9502" spans="1:1" x14ac:dyDescent="0.2">
      <c r="A9502" s="1135" t="str">
        <f>CONCATENATE(Programme!C9503,Programme!D9503,Programme!E9503,Programme!F9503,Programme!G9503,Programme!H9503,Programme!I9503)</f>
        <v>&lt;codeEdi&gt;1116&lt;/codeEdi&gt;</v>
      </c>
    </row>
    <row r="9503" spans="1:1" x14ac:dyDescent="0.2">
      <c r="A9503" s="1135" t="str">
        <f>CONCATENATE(Programme!C9504,Programme!D9504,Programme!E9504,Programme!F9504,Programme!G9504,Programme!H9504,Programme!I9504)</f>
        <v>&lt;/cellule&gt;</v>
      </c>
    </row>
    <row r="9504" spans="1:1" x14ac:dyDescent="0.2">
      <c r="A9504" s="1135" t="str">
        <f>CONCATENATE(Programme!C9505,Programme!D9505,Programme!E9505,Programme!F9505,Programme!G9505,Programme!H9505,Programme!I9505)</f>
        <v>&lt;valeur&gt;&lt;/valeur&gt;</v>
      </c>
    </row>
    <row r="9505" spans="1:1" x14ac:dyDescent="0.2">
      <c r="A9505" s="1135" t="str">
        <f>CONCATENATE(Programme!C9506,Programme!D9506,Programme!E9506,Programme!F9506,Programme!G9506,Programme!H9506,Programme!I9506)</f>
        <v>&lt;/ValeurCellule&gt;</v>
      </c>
    </row>
    <row r="9506" spans="1:1" x14ac:dyDescent="0.2">
      <c r="A9506" s="1135" t="str">
        <f>CONCATENATE(Programme!C9507,Programme!D9507,Programme!E9507,Programme!F9507,Programme!G9507,Programme!H9507,Programme!I9507)</f>
        <v>&lt;ValeurCellule&gt;</v>
      </c>
    </row>
    <row r="9507" spans="1:1" x14ac:dyDescent="0.2">
      <c r="A9507" s="1135" t="str">
        <f>CONCATENATE(Programme!C9508,Programme!D9508,Programme!E9508,Programme!F9508,Programme!G9508,Programme!H9508,Programme!I9508)</f>
        <v>&lt;cellule&gt;</v>
      </c>
    </row>
    <row r="9508" spans="1:1" x14ac:dyDescent="0.2">
      <c r="A9508" s="1135" t="str">
        <f>CONCATENATE(Programme!C9509,Programme!D9509,Programme!E9509,Programme!F9509,Programme!G9509,Programme!H9509,Programme!I9509)</f>
        <v>&lt;codeEdi&gt;1125&lt;/codeEdi&gt;</v>
      </c>
    </row>
    <row r="9509" spans="1:1" x14ac:dyDescent="0.2">
      <c r="A9509" s="1135" t="str">
        <f>CONCATENATE(Programme!C9510,Programme!D9510,Programme!E9510,Programme!F9510,Programme!G9510,Programme!H9510,Programme!I9510)</f>
        <v>&lt;/cellule&gt;</v>
      </c>
    </row>
    <row r="9510" spans="1:1" x14ac:dyDescent="0.2">
      <c r="A9510" s="1135" t="str">
        <f>CONCATENATE(Programme!C9511,Programme!D9511,Programme!E9511,Programme!F9511,Programme!G9511,Programme!H9511,Programme!I9511)</f>
        <v>&lt;valeur&gt;&lt;/valeur&gt;</v>
      </c>
    </row>
    <row r="9511" spans="1:1" x14ac:dyDescent="0.2">
      <c r="A9511" s="1135" t="str">
        <f>CONCATENATE(Programme!C9512,Programme!D9512,Programme!E9512,Programme!F9512,Programme!G9512,Programme!H9512,Programme!I9512)</f>
        <v>&lt;/ValeurCellule&gt;</v>
      </c>
    </row>
    <row r="9512" spans="1:1" x14ac:dyDescent="0.2">
      <c r="A9512" s="1135" t="str">
        <f>CONCATENATE(Programme!C9513,Programme!D9513,Programme!E9513,Programme!F9513,Programme!G9513,Programme!H9513,Programme!I9513)</f>
        <v>&lt;ValeurCellule&gt;</v>
      </c>
    </row>
    <row r="9513" spans="1:1" x14ac:dyDescent="0.2">
      <c r="A9513" s="1135" t="str">
        <f>CONCATENATE(Programme!C9514,Programme!D9514,Programme!E9514,Programme!F9514,Programme!G9514,Programme!H9514,Programme!I9514)</f>
        <v>&lt;cellule&gt;</v>
      </c>
    </row>
    <row r="9514" spans="1:1" x14ac:dyDescent="0.2">
      <c r="A9514" s="1135" t="str">
        <f>CONCATENATE(Programme!C9515,Programme!D9515,Programme!E9515,Programme!F9515,Programme!G9515,Programme!H9515,Programme!I9515)</f>
        <v>&lt;codeEdi&gt;1134&lt;/codeEdi&gt;</v>
      </c>
    </row>
    <row r="9515" spans="1:1" x14ac:dyDescent="0.2">
      <c r="A9515" s="1135" t="str">
        <f>CONCATENATE(Programme!C9516,Programme!D9516,Programme!E9516,Programme!F9516,Programme!G9516,Programme!H9516,Programme!I9516)</f>
        <v>&lt;/cellule&gt;</v>
      </c>
    </row>
    <row r="9516" spans="1:1" x14ac:dyDescent="0.2">
      <c r="A9516" s="1135" t="str">
        <f>CONCATENATE(Programme!C9517,Programme!D9517,Programme!E9517,Programme!F9517,Programme!G9517,Programme!H9517,Programme!I9517)</f>
        <v>&lt;valeur&gt;&lt;/valeur&gt;</v>
      </c>
    </row>
    <row r="9517" spans="1:1" x14ac:dyDescent="0.2">
      <c r="A9517" s="1135" t="str">
        <f>CONCATENATE(Programme!C9518,Programme!D9518,Programme!E9518,Programme!F9518,Programme!G9518,Programme!H9518,Programme!I9518)</f>
        <v>&lt;/ValeurCellule&gt;</v>
      </c>
    </row>
    <row r="9518" spans="1:1" x14ac:dyDescent="0.2">
      <c r="A9518" s="1135" t="str">
        <f>CONCATENATE(Programme!C9519,Programme!D9519,Programme!E9519,Programme!F9519,Programme!G9519,Programme!H9519,Programme!I9519)</f>
        <v>&lt;ValeurCellule&gt;</v>
      </c>
    </row>
    <row r="9519" spans="1:1" x14ac:dyDescent="0.2">
      <c r="A9519" s="1135" t="str">
        <f>CONCATENATE(Programme!C9520,Programme!D9520,Programme!E9520,Programme!F9520,Programme!G9520,Programme!H9520,Programme!I9520)</f>
        <v>&lt;cellule&gt;</v>
      </c>
    </row>
    <row r="9520" spans="1:1" x14ac:dyDescent="0.2">
      <c r="A9520" s="1135" t="str">
        <f>CONCATENATE(Programme!C9521,Programme!D9521,Programme!E9521,Programme!F9521,Programme!G9521,Programme!H9521,Programme!I9521)</f>
        <v>&lt;codeEdi&gt;1143&lt;/codeEdi&gt;</v>
      </c>
    </row>
    <row r="9521" spans="1:1" x14ac:dyDescent="0.2">
      <c r="A9521" s="1135" t="str">
        <f>CONCATENATE(Programme!C9522,Programme!D9522,Programme!E9522,Programme!F9522,Programme!G9522,Programme!H9522,Programme!I9522)</f>
        <v>&lt;/cellule&gt;</v>
      </c>
    </row>
    <row r="9522" spans="1:1" x14ac:dyDescent="0.2">
      <c r="A9522" s="1135" t="str">
        <f>CONCATENATE(Programme!C9523,Programme!D9523,Programme!E9523,Programme!F9523,Programme!G9523,Programme!H9523,Programme!I9523)</f>
        <v>&lt;valeur&gt;&lt;/valeur&gt;</v>
      </c>
    </row>
    <row r="9523" spans="1:1" x14ac:dyDescent="0.2">
      <c r="A9523" s="1135" t="str">
        <f>CONCATENATE(Programme!C9524,Programme!D9524,Programme!E9524,Programme!F9524,Programme!G9524,Programme!H9524,Programme!I9524)</f>
        <v>&lt;/ValeurCellule&gt;</v>
      </c>
    </row>
    <row r="9524" spans="1:1" x14ac:dyDescent="0.2">
      <c r="A9524" s="1135" t="str">
        <f>CONCATENATE(Programme!C9525,Programme!D9525,Programme!E9525,Programme!F9525,Programme!G9525,Programme!H9525,Programme!I9525)</f>
        <v>&lt;ValeurCellule&gt;</v>
      </c>
    </row>
    <row r="9525" spans="1:1" x14ac:dyDescent="0.2">
      <c r="A9525" s="1135" t="str">
        <f>CONCATENATE(Programme!C9526,Programme!D9526,Programme!E9526,Programme!F9526,Programme!G9526,Programme!H9526,Programme!I9526)</f>
        <v>&lt;cellule&gt;</v>
      </c>
    </row>
    <row r="9526" spans="1:1" x14ac:dyDescent="0.2">
      <c r="A9526" s="1135" t="str">
        <f>CONCATENATE(Programme!C9527,Programme!D9527,Programme!E9527,Programme!F9527,Programme!G9527,Programme!H9527,Programme!I9527)</f>
        <v>&lt;codeEdi&gt;1152&lt;/codeEdi&gt;</v>
      </c>
    </row>
    <row r="9527" spans="1:1" x14ac:dyDescent="0.2">
      <c r="A9527" s="1135" t="str">
        <f>CONCATENATE(Programme!C9528,Programme!D9528,Programme!E9528,Programme!F9528,Programme!G9528,Programme!H9528,Programme!I9528)</f>
        <v>&lt;/cellule&gt;</v>
      </c>
    </row>
    <row r="9528" spans="1:1" x14ac:dyDescent="0.2">
      <c r="A9528" s="1135" t="str">
        <f>CONCATENATE(Programme!C9529,Programme!D9529,Programme!E9529,Programme!F9529,Programme!G9529,Programme!H9529,Programme!I9529)</f>
        <v>&lt;valeur&gt;&lt;/valeur&gt;</v>
      </c>
    </row>
    <row r="9529" spans="1:1" x14ac:dyDescent="0.2">
      <c r="A9529" s="1135" t="str">
        <f>CONCATENATE(Programme!C9530,Programme!D9530,Programme!E9530,Programme!F9530,Programme!G9530,Programme!H9530,Programme!I9530)</f>
        <v>&lt;/ValeurCellule&gt;</v>
      </c>
    </row>
    <row r="9530" spans="1:1" x14ac:dyDescent="0.2">
      <c r="A9530" s="1135" t="str">
        <f>CONCATENATE(Programme!C9531,Programme!D9531,Programme!E9531,Programme!F9531,Programme!G9531,Programme!H9531,Programme!I9531)</f>
        <v>&lt;ValeurCellule&gt;</v>
      </c>
    </row>
    <row r="9531" spans="1:1" x14ac:dyDescent="0.2">
      <c r="A9531" s="1135" t="str">
        <f>CONCATENATE(Programme!C9532,Programme!D9532,Programme!E9532,Programme!F9532,Programme!G9532,Programme!H9532,Programme!I9532)</f>
        <v>&lt;cellule&gt;</v>
      </c>
    </row>
    <row r="9532" spans="1:1" x14ac:dyDescent="0.2">
      <c r="A9532" s="1135" t="str">
        <f>CONCATENATE(Programme!C9533,Programme!D9533,Programme!E9533,Programme!F9533,Programme!G9533,Programme!H9533,Programme!I9533)</f>
        <v>&lt;codeEdi&gt;1161&lt;/codeEdi&gt;</v>
      </c>
    </row>
    <row r="9533" spans="1:1" x14ac:dyDescent="0.2">
      <c r="A9533" s="1135" t="str">
        <f>CONCATENATE(Programme!C9534,Programme!D9534,Programme!E9534,Programme!F9534,Programme!G9534,Programme!H9534,Programme!I9534)</f>
        <v>&lt;/cellule&gt;</v>
      </c>
    </row>
    <row r="9534" spans="1:1" x14ac:dyDescent="0.2">
      <c r="A9534" s="1135" t="str">
        <f>CONCATENATE(Programme!C9535,Programme!D9535,Programme!E9535,Programme!F9535,Programme!G9535,Programme!H9535,Programme!I9535)</f>
        <v>&lt;valeur&gt;&lt;/valeur&gt;</v>
      </c>
    </row>
    <row r="9535" spans="1:1" x14ac:dyDescent="0.2">
      <c r="A9535" s="1135" t="str">
        <f>CONCATENATE(Programme!C9536,Programme!D9536,Programme!E9536,Programme!F9536,Programme!G9536,Programme!H9536,Programme!I9536)</f>
        <v>&lt;/ValeurCellule&gt;</v>
      </c>
    </row>
    <row r="9536" spans="1:1" x14ac:dyDescent="0.2">
      <c r="A9536" s="1135" t="str">
        <f>CONCATENATE(Programme!C9537,Programme!D9537,Programme!E9537,Programme!F9537,Programme!G9537,Programme!H9537,Programme!I9537)</f>
        <v>&lt;ValeurCellule&gt;</v>
      </c>
    </row>
    <row r="9537" spans="1:1" x14ac:dyDescent="0.2">
      <c r="A9537" s="1135" t="str">
        <f>CONCATENATE(Programme!C9538,Programme!D9538,Programme!E9538,Programme!F9538,Programme!G9538,Programme!H9538,Programme!I9538)</f>
        <v>&lt;cellule&gt;</v>
      </c>
    </row>
    <row r="9538" spans="1:1" x14ac:dyDescent="0.2">
      <c r="A9538" s="1135" t="str">
        <f>CONCATENATE(Programme!C9539,Programme!D9539,Programme!E9539,Programme!F9539,Programme!G9539,Programme!H9539,Programme!I9539)</f>
        <v>&lt;codeEdi&gt;1170&lt;/codeEdi&gt;</v>
      </c>
    </row>
    <row r="9539" spans="1:1" x14ac:dyDescent="0.2">
      <c r="A9539" s="1135" t="str">
        <f>CONCATENATE(Programme!C9540,Programme!D9540,Programme!E9540,Programme!F9540,Programme!G9540,Programme!H9540,Programme!I9540)</f>
        <v>&lt;/cellule&gt;</v>
      </c>
    </row>
    <row r="9540" spans="1:1" x14ac:dyDescent="0.2">
      <c r="A9540" s="1135" t="str">
        <f>CONCATENATE(Programme!C9541,Programme!D9541,Programme!E9541,Programme!F9541,Programme!G9541,Programme!H9541,Programme!I9541)</f>
        <v>&lt;valeur&gt;&lt;/valeur&gt;</v>
      </c>
    </row>
    <row r="9541" spans="1:1" x14ac:dyDescent="0.2">
      <c r="A9541" s="1135" t="str">
        <f>CONCATENATE(Programme!C9542,Programme!D9542,Programme!E9542,Programme!F9542,Programme!G9542,Programme!H9542,Programme!I9542)</f>
        <v>&lt;/ValeurCellule&gt;</v>
      </c>
    </row>
    <row r="9542" spans="1:1" x14ac:dyDescent="0.2">
      <c r="A9542" s="1135" t="str">
        <f>CONCATENATE(Programme!C9543,Programme!D9543,Programme!E9543,Programme!F9543,Programme!G9543,Programme!H9543,Programme!I9543)</f>
        <v>&lt;ValeurCellule&gt;</v>
      </c>
    </row>
    <row r="9543" spans="1:1" x14ac:dyDescent="0.2">
      <c r="A9543" s="1135" t="str">
        <f>CONCATENATE(Programme!C9544,Programme!D9544,Programme!E9544,Programme!F9544,Programme!G9544,Programme!H9544,Programme!I9544)</f>
        <v>&lt;cellule&gt;</v>
      </c>
    </row>
    <row r="9544" spans="1:1" x14ac:dyDescent="0.2">
      <c r="A9544" s="1135" t="str">
        <f>CONCATENATE(Programme!C9545,Programme!D9545,Programme!E9545,Programme!F9545,Programme!G9545,Programme!H9545,Programme!I9545)</f>
        <v>&lt;codeEdi&gt;1179&lt;/codeEdi&gt;</v>
      </c>
    </row>
    <row r="9545" spans="1:1" x14ac:dyDescent="0.2">
      <c r="A9545" s="1135" t="str">
        <f>CONCATENATE(Programme!C9546,Programme!D9546,Programme!E9546,Programme!F9546,Programme!G9546,Programme!H9546,Programme!I9546)</f>
        <v>&lt;/cellule&gt;</v>
      </c>
    </row>
    <row r="9546" spans="1:1" x14ac:dyDescent="0.2">
      <c r="A9546" s="1135" t="str">
        <f>CONCATENATE(Programme!C9547,Programme!D9547,Programme!E9547,Programme!F9547,Programme!G9547,Programme!H9547,Programme!I9547)</f>
        <v>&lt;valeur&gt;&lt;/valeur&gt;</v>
      </c>
    </row>
    <row r="9547" spans="1:1" x14ac:dyDescent="0.2">
      <c r="A9547" s="1135" t="str">
        <f>CONCATENATE(Programme!C9548,Programme!D9548,Programme!E9548,Programme!F9548,Programme!G9548,Programme!H9548,Programme!I9548)</f>
        <v>&lt;/ValeurCellule&gt;</v>
      </c>
    </row>
    <row r="9548" spans="1:1" x14ac:dyDescent="0.2">
      <c r="A9548" s="1135" t="str">
        <f>CONCATENATE(Programme!C9549,Programme!D9549,Programme!E9549,Programme!F9549,Programme!G9549,Programme!H9549,Programme!I9549)</f>
        <v>&lt;ValeurCellule&gt;</v>
      </c>
    </row>
    <row r="9549" spans="1:1" x14ac:dyDescent="0.2">
      <c r="A9549" s="1135" t="str">
        <f>CONCATENATE(Programme!C9550,Programme!D9550,Programme!E9550,Programme!F9550,Programme!G9550,Programme!H9550,Programme!I9550)</f>
        <v>&lt;cellule&gt;</v>
      </c>
    </row>
    <row r="9550" spans="1:1" x14ac:dyDescent="0.2">
      <c r="A9550" s="1135" t="str">
        <f>CONCATENATE(Programme!C9551,Programme!D9551,Programme!E9551,Programme!F9551,Programme!G9551,Programme!H9551,Programme!I9551)</f>
        <v>&lt;codeEdi&gt;1188&lt;/codeEdi&gt;</v>
      </c>
    </row>
    <row r="9551" spans="1:1" x14ac:dyDescent="0.2">
      <c r="A9551" s="1135" t="str">
        <f>CONCATENATE(Programme!C9552,Programme!D9552,Programme!E9552,Programme!F9552,Programme!G9552,Programme!H9552,Programme!I9552)</f>
        <v>&lt;/cellule&gt;</v>
      </c>
    </row>
    <row r="9552" spans="1:1" x14ac:dyDescent="0.2">
      <c r="A9552" s="1135" t="str">
        <f>CONCATENATE(Programme!C9553,Programme!D9553,Programme!E9553,Programme!F9553,Programme!G9553,Programme!H9553,Programme!I9553)</f>
        <v>&lt;valeur&gt;&lt;/valeur&gt;</v>
      </c>
    </row>
    <row r="9553" spans="1:1" x14ac:dyDescent="0.2">
      <c r="A9553" s="1135" t="str">
        <f>CONCATENATE(Programme!C9554,Programme!D9554,Programme!E9554,Programme!F9554,Programme!G9554,Programme!H9554,Programme!I9554)</f>
        <v>&lt;/ValeurCellule&gt;</v>
      </c>
    </row>
    <row r="9554" spans="1:1" x14ac:dyDescent="0.2">
      <c r="A9554" s="1135" t="str">
        <f>CONCATENATE(Programme!C9555,Programme!D9555,Programme!E9555,Programme!F9555,Programme!G9555,Programme!H9555,Programme!I9555)</f>
        <v>&lt;ValeurCellule&gt;</v>
      </c>
    </row>
    <row r="9555" spans="1:1" x14ac:dyDescent="0.2">
      <c r="A9555" s="1135" t="str">
        <f>CONCATENATE(Programme!C9556,Programme!D9556,Programme!E9556,Programme!F9556,Programme!G9556,Programme!H9556,Programme!I9556)</f>
        <v>&lt;cellule&gt;</v>
      </c>
    </row>
    <row r="9556" spans="1:1" x14ac:dyDescent="0.2">
      <c r="A9556" s="1135" t="str">
        <f>CONCATENATE(Programme!C9557,Programme!D9557,Programme!E9557,Programme!F9557,Programme!G9557,Programme!H9557,Programme!I9557)</f>
        <v>&lt;codeEdi&gt;1197&lt;/codeEdi&gt;</v>
      </c>
    </row>
    <row r="9557" spans="1:1" x14ac:dyDescent="0.2">
      <c r="A9557" s="1135" t="str">
        <f>CONCATENATE(Programme!C9558,Programme!D9558,Programme!E9558,Programme!F9558,Programme!G9558,Programme!H9558,Programme!I9558)</f>
        <v>&lt;/cellule&gt;</v>
      </c>
    </row>
    <row r="9558" spans="1:1" x14ac:dyDescent="0.2">
      <c r="A9558" s="1135" t="str">
        <f>CONCATENATE(Programme!C9559,Programme!D9559,Programme!E9559,Programme!F9559,Programme!G9559,Programme!H9559,Programme!I9559)</f>
        <v>&lt;valeur&gt;&lt;/valeur&gt;</v>
      </c>
    </row>
    <row r="9559" spans="1:1" x14ac:dyDescent="0.2">
      <c r="A9559" s="1135" t="str">
        <f>CONCATENATE(Programme!C9560,Programme!D9560,Programme!E9560,Programme!F9560,Programme!G9560,Programme!H9560,Programme!I9560)</f>
        <v>&lt;/ValeurCellule&gt;</v>
      </c>
    </row>
    <row r="9560" spans="1:1" x14ac:dyDescent="0.2">
      <c r="A9560" s="1135" t="str">
        <f>CONCATENATE(Programme!C9561,Programme!D9561,Programme!E9561,Programme!F9561,Programme!G9561,Programme!H9561,Programme!I9561)</f>
        <v>&lt;ValeurCellule&gt;</v>
      </c>
    </row>
    <row r="9561" spans="1:1" x14ac:dyDescent="0.2">
      <c r="A9561" s="1135" t="str">
        <f>CONCATENATE(Programme!C9562,Programme!D9562,Programme!E9562,Programme!F9562,Programme!G9562,Programme!H9562,Programme!I9562)</f>
        <v>&lt;cellule&gt;</v>
      </c>
    </row>
    <row r="9562" spans="1:1" x14ac:dyDescent="0.2">
      <c r="A9562" s="1135" t="str">
        <f>CONCATENATE(Programme!C9563,Programme!D9563,Programme!E9563,Programme!F9563,Programme!G9563,Programme!H9563,Programme!I9563)</f>
        <v>&lt;codeEdi&gt;1206&lt;/codeEdi&gt;</v>
      </c>
    </row>
    <row r="9563" spans="1:1" x14ac:dyDescent="0.2">
      <c r="A9563" s="1135" t="str">
        <f>CONCATENATE(Programme!C9564,Programme!D9564,Programme!E9564,Programme!F9564,Programme!G9564,Programme!H9564,Programme!I9564)</f>
        <v>&lt;/cellule&gt;</v>
      </c>
    </row>
    <row r="9564" spans="1:1" x14ac:dyDescent="0.2">
      <c r="A9564" s="1135" t="str">
        <f>CONCATENATE(Programme!C9565,Programme!D9565,Programme!E9565,Programme!F9565,Programme!G9565,Programme!H9565,Programme!I9565)</f>
        <v>&lt;valeur&gt;0&lt;/valeur&gt;</v>
      </c>
    </row>
    <row r="9565" spans="1:1" x14ac:dyDescent="0.2">
      <c r="A9565" s="1135" t="str">
        <f>CONCATENATE(Programme!C9566,Programme!D9566,Programme!E9566,Programme!F9566,Programme!G9566,Programme!H9566,Programme!I9566)</f>
        <v>&lt;/ValeurCellule&gt;</v>
      </c>
    </row>
    <row r="9566" spans="1:1" x14ac:dyDescent="0.2">
      <c r="A9566" s="1135" t="str">
        <f>CONCATENATE(Programme!C9567,Programme!D9567,Programme!E9567,Programme!F9567,Programme!G9567,Programme!H9567,Programme!I9567)</f>
        <v>&lt;ValeurCellule&gt;</v>
      </c>
    </row>
    <row r="9567" spans="1:1" x14ac:dyDescent="0.2">
      <c r="A9567" s="1135" t="str">
        <f>CONCATENATE(Programme!C9568,Programme!D9568,Programme!E9568,Programme!F9568,Programme!G9568,Programme!H9568,Programme!I9568)</f>
        <v>&lt;cellule&gt;</v>
      </c>
    </row>
    <row r="9568" spans="1:1" x14ac:dyDescent="0.2">
      <c r="A9568" s="1135" t="str">
        <f>CONCATENATE(Programme!C9569,Programme!D9569,Programme!E9569,Programme!F9569,Programme!G9569,Programme!H9569,Programme!I9569)</f>
        <v>&lt;codeEdi&gt;1117&lt;/codeEdi&gt;</v>
      </c>
    </row>
    <row r="9569" spans="1:1" x14ac:dyDescent="0.2">
      <c r="A9569" s="1135" t="str">
        <f>CONCATENATE(Programme!C9570,Programme!D9570,Programme!E9570,Programme!F9570,Programme!G9570,Programme!H9570,Programme!I9570)</f>
        <v>&lt;/cellule&gt;</v>
      </c>
    </row>
    <row r="9570" spans="1:1" x14ac:dyDescent="0.2">
      <c r="A9570" s="1135" t="str">
        <f>CONCATENATE(Programme!C9571,Programme!D9571,Programme!E9571,Programme!F9571,Programme!G9571,Programme!H9571,Programme!I9571)</f>
        <v>&lt;valeur&gt;&lt;/valeur&gt;</v>
      </c>
    </row>
    <row r="9571" spans="1:1" x14ac:dyDescent="0.2">
      <c r="A9571" s="1135" t="str">
        <f>CONCATENATE(Programme!C9572,Programme!D9572,Programme!E9572,Programme!F9572,Programme!G9572,Programme!H9572,Programme!I9572)</f>
        <v>&lt;/ValeurCellule&gt;</v>
      </c>
    </row>
    <row r="9572" spans="1:1" x14ac:dyDescent="0.2">
      <c r="A9572" s="1135" t="str">
        <f>CONCATENATE(Programme!C9573,Programme!D9573,Programme!E9573,Programme!F9573,Programme!G9573,Programme!H9573,Programme!I9573)</f>
        <v>&lt;ValeurCellule&gt;</v>
      </c>
    </row>
    <row r="9573" spans="1:1" x14ac:dyDescent="0.2">
      <c r="A9573" s="1135" t="str">
        <f>CONCATENATE(Programme!C9574,Programme!D9574,Programme!E9574,Programme!F9574,Programme!G9574,Programme!H9574,Programme!I9574)</f>
        <v>&lt;cellule&gt;</v>
      </c>
    </row>
    <row r="9574" spans="1:1" x14ac:dyDescent="0.2">
      <c r="A9574" s="1135" t="str">
        <f>CONCATENATE(Programme!C9575,Programme!D9575,Programme!E9575,Programme!F9575,Programme!G9575,Programme!H9575,Programme!I9575)</f>
        <v>&lt;codeEdi&gt;1126&lt;/codeEdi&gt;</v>
      </c>
    </row>
    <row r="9575" spans="1:1" x14ac:dyDescent="0.2">
      <c r="A9575" s="1135" t="str">
        <f>CONCATENATE(Programme!C9576,Programme!D9576,Programme!E9576,Programme!F9576,Programme!G9576,Programme!H9576,Programme!I9576)</f>
        <v>&lt;/cellule&gt;</v>
      </c>
    </row>
    <row r="9576" spans="1:1" x14ac:dyDescent="0.2">
      <c r="A9576" s="1135" t="str">
        <f>CONCATENATE(Programme!C9577,Programme!D9577,Programme!E9577,Programme!F9577,Programme!G9577,Programme!H9577,Programme!I9577)</f>
        <v>&lt;valeur&gt;&lt;/valeur&gt;</v>
      </c>
    </row>
    <row r="9577" spans="1:1" x14ac:dyDescent="0.2">
      <c r="A9577" s="1135" t="str">
        <f>CONCATENATE(Programme!C9578,Programme!D9578,Programme!E9578,Programme!F9578,Programme!G9578,Programme!H9578,Programme!I9578)</f>
        <v>&lt;/ValeurCellule&gt;</v>
      </c>
    </row>
    <row r="9578" spans="1:1" x14ac:dyDescent="0.2">
      <c r="A9578" s="1135" t="str">
        <f>CONCATENATE(Programme!C9579,Programme!D9579,Programme!E9579,Programme!F9579,Programme!G9579,Programme!H9579,Programme!I9579)</f>
        <v>&lt;ValeurCellule&gt;</v>
      </c>
    </row>
    <row r="9579" spans="1:1" x14ac:dyDescent="0.2">
      <c r="A9579" s="1135" t="str">
        <f>CONCATENATE(Programme!C9580,Programme!D9580,Programme!E9580,Programme!F9580,Programme!G9580,Programme!H9580,Programme!I9580)</f>
        <v>&lt;cellule&gt;</v>
      </c>
    </row>
    <row r="9580" spans="1:1" x14ac:dyDescent="0.2">
      <c r="A9580" s="1135" t="str">
        <f>CONCATENATE(Programme!C9581,Programme!D9581,Programme!E9581,Programme!F9581,Programme!G9581,Programme!H9581,Programme!I9581)</f>
        <v>&lt;codeEdi&gt;1135&lt;/codeEdi&gt;</v>
      </c>
    </row>
    <row r="9581" spans="1:1" x14ac:dyDescent="0.2">
      <c r="A9581" s="1135" t="str">
        <f>CONCATENATE(Programme!C9582,Programme!D9582,Programme!E9582,Programme!F9582,Programme!G9582,Programme!H9582,Programme!I9582)</f>
        <v>&lt;/cellule&gt;</v>
      </c>
    </row>
    <row r="9582" spans="1:1" x14ac:dyDescent="0.2">
      <c r="A9582" s="1135" t="str">
        <f>CONCATENATE(Programme!C9583,Programme!D9583,Programme!E9583,Programme!F9583,Programme!G9583,Programme!H9583,Programme!I9583)</f>
        <v>&lt;valeur&gt;&lt;/valeur&gt;</v>
      </c>
    </row>
    <row r="9583" spans="1:1" x14ac:dyDescent="0.2">
      <c r="A9583" s="1135" t="str">
        <f>CONCATENATE(Programme!C9584,Programme!D9584,Programme!E9584,Programme!F9584,Programme!G9584,Programme!H9584,Programme!I9584)</f>
        <v>&lt;/ValeurCellule&gt;</v>
      </c>
    </row>
    <row r="9584" spans="1:1" x14ac:dyDescent="0.2">
      <c r="A9584" s="1135" t="str">
        <f>CONCATENATE(Programme!C9585,Programme!D9585,Programme!E9585,Programme!F9585,Programme!G9585,Programme!H9585,Programme!I9585)</f>
        <v>&lt;ValeurCellule&gt;</v>
      </c>
    </row>
    <row r="9585" spans="1:1" x14ac:dyDescent="0.2">
      <c r="A9585" s="1135" t="str">
        <f>CONCATENATE(Programme!C9586,Programme!D9586,Programme!E9586,Programme!F9586,Programme!G9586,Programme!H9586,Programme!I9586)</f>
        <v>&lt;cellule&gt;</v>
      </c>
    </row>
    <row r="9586" spans="1:1" x14ac:dyDescent="0.2">
      <c r="A9586" s="1135" t="str">
        <f>CONCATENATE(Programme!C9587,Programme!D9587,Programme!E9587,Programme!F9587,Programme!G9587,Programme!H9587,Programme!I9587)</f>
        <v>&lt;codeEdi&gt;1144&lt;/codeEdi&gt;</v>
      </c>
    </row>
    <row r="9587" spans="1:1" x14ac:dyDescent="0.2">
      <c r="A9587" s="1135" t="str">
        <f>CONCATENATE(Programme!C9588,Programme!D9588,Programme!E9588,Programme!F9588,Programme!G9588,Programme!H9588,Programme!I9588)</f>
        <v>&lt;/cellule&gt;</v>
      </c>
    </row>
    <row r="9588" spans="1:1" x14ac:dyDescent="0.2">
      <c r="A9588" s="1135" t="str">
        <f>CONCATENATE(Programme!C9589,Programme!D9589,Programme!E9589,Programme!F9589,Programme!G9589,Programme!H9589,Programme!I9589)</f>
        <v>&lt;valeur&gt;&lt;/valeur&gt;</v>
      </c>
    </row>
    <row r="9589" spans="1:1" x14ac:dyDescent="0.2">
      <c r="A9589" s="1135" t="str">
        <f>CONCATENATE(Programme!C9590,Programme!D9590,Programme!E9590,Programme!F9590,Programme!G9590,Programme!H9590,Programme!I9590)</f>
        <v>&lt;/ValeurCellule&gt;</v>
      </c>
    </row>
    <row r="9590" spans="1:1" x14ac:dyDescent="0.2">
      <c r="A9590" s="1135" t="str">
        <f>CONCATENATE(Programme!C9591,Programme!D9591,Programme!E9591,Programme!F9591,Programme!G9591,Programme!H9591,Programme!I9591)</f>
        <v>&lt;ValeurCellule&gt;</v>
      </c>
    </row>
    <row r="9591" spans="1:1" x14ac:dyDescent="0.2">
      <c r="A9591" s="1135" t="str">
        <f>CONCATENATE(Programme!C9592,Programme!D9592,Programme!E9592,Programme!F9592,Programme!G9592,Programme!H9592,Programme!I9592)</f>
        <v>&lt;cellule&gt;</v>
      </c>
    </row>
    <row r="9592" spans="1:1" x14ac:dyDescent="0.2">
      <c r="A9592" s="1135" t="str">
        <f>CONCATENATE(Programme!C9593,Programme!D9593,Programme!E9593,Programme!F9593,Programme!G9593,Programme!H9593,Programme!I9593)</f>
        <v>&lt;codeEdi&gt;1153&lt;/codeEdi&gt;</v>
      </c>
    </row>
    <row r="9593" spans="1:1" x14ac:dyDescent="0.2">
      <c r="A9593" s="1135" t="str">
        <f>CONCATENATE(Programme!C9594,Programme!D9594,Programme!E9594,Programme!F9594,Programme!G9594,Programme!H9594,Programme!I9594)</f>
        <v>&lt;/cellule&gt;</v>
      </c>
    </row>
    <row r="9594" spans="1:1" x14ac:dyDescent="0.2">
      <c r="A9594" s="1135" t="str">
        <f>CONCATENATE(Programme!C9595,Programme!D9595,Programme!E9595,Programme!F9595,Programme!G9595,Programme!H9595,Programme!I9595)</f>
        <v>&lt;valeur&gt;&lt;/valeur&gt;</v>
      </c>
    </row>
    <row r="9595" spans="1:1" x14ac:dyDescent="0.2">
      <c r="A9595" s="1135" t="str">
        <f>CONCATENATE(Programme!C9596,Programme!D9596,Programme!E9596,Programme!F9596,Programme!G9596,Programme!H9596,Programme!I9596)</f>
        <v>&lt;/ValeurCellule&gt;</v>
      </c>
    </row>
    <row r="9596" spans="1:1" x14ac:dyDescent="0.2">
      <c r="A9596" s="1135" t="str">
        <f>CONCATENATE(Programme!C9597,Programme!D9597,Programme!E9597,Programme!F9597,Programme!G9597,Programme!H9597,Programme!I9597)</f>
        <v>&lt;ValeurCellule&gt;</v>
      </c>
    </row>
    <row r="9597" spans="1:1" x14ac:dyDescent="0.2">
      <c r="A9597" s="1135" t="str">
        <f>CONCATENATE(Programme!C9598,Programme!D9598,Programme!E9598,Programme!F9598,Programme!G9598,Programme!H9598,Programme!I9598)</f>
        <v>&lt;cellule&gt;</v>
      </c>
    </row>
    <row r="9598" spans="1:1" x14ac:dyDescent="0.2">
      <c r="A9598" s="1135" t="str">
        <f>CONCATENATE(Programme!C9599,Programme!D9599,Programme!E9599,Programme!F9599,Programme!G9599,Programme!H9599,Programme!I9599)</f>
        <v>&lt;codeEdi&gt;1162&lt;/codeEdi&gt;</v>
      </c>
    </row>
    <row r="9599" spans="1:1" x14ac:dyDescent="0.2">
      <c r="A9599" s="1135" t="str">
        <f>CONCATENATE(Programme!C9600,Programme!D9600,Programme!E9600,Programme!F9600,Programme!G9600,Programme!H9600,Programme!I9600)</f>
        <v>&lt;/cellule&gt;</v>
      </c>
    </row>
    <row r="9600" spans="1:1" x14ac:dyDescent="0.2">
      <c r="A9600" s="1135" t="str">
        <f>CONCATENATE(Programme!C9601,Programme!D9601,Programme!E9601,Programme!F9601,Programme!G9601,Programme!H9601,Programme!I9601)</f>
        <v>&lt;valeur&gt;&lt;/valeur&gt;</v>
      </c>
    </row>
    <row r="9601" spans="1:1" x14ac:dyDescent="0.2">
      <c r="A9601" s="1135" t="str">
        <f>CONCATENATE(Programme!C9602,Programme!D9602,Programme!E9602,Programme!F9602,Programme!G9602,Programme!H9602,Programme!I9602)</f>
        <v>&lt;/ValeurCellule&gt;</v>
      </c>
    </row>
    <row r="9602" spans="1:1" x14ac:dyDescent="0.2">
      <c r="A9602" s="1135" t="str">
        <f>CONCATENATE(Programme!C9603,Programme!D9603,Programme!E9603,Programme!F9603,Programme!G9603,Programme!H9603,Programme!I9603)</f>
        <v>&lt;ValeurCellule&gt;</v>
      </c>
    </row>
    <row r="9603" spans="1:1" x14ac:dyDescent="0.2">
      <c r="A9603" s="1135" t="str">
        <f>CONCATENATE(Programme!C9604,Programme!D9604,Programme!E9604,Programme!F9604,Programme!G9604,Programme!H9604,Programme!I9604)</f>
        <v>&lt;cellule&gt;</v>
      </c>
    </row>
    <row r="9604" spans="1:1" x14ac:dyDescent="0.2">
      <c r="A9604" s="1135" t="str">
        <f>CONCATENATE(Programme!C9605,Programme!D9605,Programme!E9605,Programme!F9605,Programme!G9605,Programme!H9605,Programme!I9605)</f>
        <v>&lt;codeEdi&gt;1171&lt;/codeEdi&gt;</v>
      </c>
    </row>
    <row r="9605" spans="1:1" x14ac:dyDescent="0.2">
      <c r="A9605" s="1135" t="str">
        <f>CONCATENATE(Programme!C9606,Programme!D9606,Programme!E9606,Programme!F9606,Programme!G9606,Programme!H9606,Programme!I9606)</f>
        <v>&lt;/cellule&gt;</v>
      </c>
    </row>
    <row r="9606" spans="1:1" x14ac:dyDescent="0.2">
      <c r="A9606" s="1135" t="str">
        <f>CONCATENATE(Programme!C9607,Programme!D9607,Programme!E9607,Programme!F9607,Programme!G9607,Programme!H9607,Programme!I9607)</f>
        <v>&lt;valeur&gt;&lt;/valeur&gt;</v>
      </c>
    </row>
    <row r="9607" spans="1:1" x14ac:dyDescent="0.2">
      <c r="A9607" s="1135" t="str">
        <f>CONCATENATE(Programme!C9608,Programme!D9608,Programme!E9608,Programme!F9608,Programme!G9608,Programme!H9608,Programme!I9608)</f>
        <v>&lt;/ValeurCellule&gt;</v>
      </c>
    </row>
    <row r="9608" spans="1:1" x14ac:dyDescent="0.2">
      <c r="A9608" s="1135" t="str">
        <f>CONCATENATE(Programme!C9609,Programme!D9609,Programme!E9609,Programme!F9609,Programme!G9609,Programme!H9609,Programme!I9609)</f>
        <v>&lt;ValeurCellule&gt;</v>
      </c>
    </row>
    <row r="9609" spans="1:1" x14ac:dyDescent="0.2">
      <c r="A9609" s="1135" t="str">
        <f>CONCATENATE(Programme!C9610,Programme!D9610,Programme!E9610,Programme!F9610,Programme!G9610,Programme!H9610,Programme!I9610)</f>
        <v>&lt;cellule&gt;</v>
      </c>
    </row>
    <row r="9610" spans="1:1" x14ac:dyDescent="0.2">
      <c r="A9610" s="1135" t="str">
        <f>CONCATENATE(Programme!C9611,Programme!D9611,Programme!E9611,Programme!F9611,Programme!G9611,Programme!H9611,Programme!I9611)</f>
        <v>&lt;codeEdi&gt;1180&lt;/codeEdi&gt;</v>
      </c>
    </row>
    <row r="9611" spans="1:1" x14ac:dyDescent="0.2">
      <c r="A9611" s="1135" t="str">
        <f>CONCATENATE(Programme!C9612,Programme!D9612,Programme!E9612,Programme!F9612,Programme!G9612,Programme!H9612,Programme!I9612)</f>
        <v>&lt;/cellule&gt;</v>
      </c>
    </row>
    <row r="9612" spans="1:1" x14ac:dyDescent="0.2">
      <c r="A9612" s="1135" t="str">
        <f>CONCATENATE(Programme!C9613,Programme!D9613,Programme!E9613,Programme!F9613,Programme!G9613,Programme!H9613,Programme!I9613)</f>
        <v>&lt;valeur&gt;&lt;/valeur&gt;</v>
      </c>
    </row>
    <row r="9613" spans="1:1" x14ac:dyDescent="0.2">
      <c r="A9613" s="1135" t="str">
        <f>CONCATENATE(Programme!C9614,Programme!D9614,Programme!E9614,Programme!F9614,Programme!G9614,Programme!H9614,Programme!I9614)</f>
        <v>&lt;/ValeurCellule&gt;</v>
      </c>
    </row>
    <row r="9614" spans="1:1" x14ac:dyDescent="0.2">
      <c r="A9614" s="1135" t="str">
        <f>CONCATENATE(Programme!C9615,Programme!D9615,Programme!E9615,Programme!F9615,Programme!G9615,Programme!H9615,Programme!I9615)</f>
        <v>&lt;ValeurCellule&gt;</v>
      </c>
    </row>
    <row r="9615" spans="1:1" x14ac:dyDescent="0.2">
      <c r="A9615" s="1135" t="str">
        <f>CONCATENATE(Programme!C9616,Programme!D9616,Programme!E9616,Programme!F9616,Programme!G9616,Programme!H9616,Programme!I9616)</f>
        <v>&lt;cellule&gt;</v>
      </c>
    </row>
    <row r="9616" spans="1:1" x14ac:dyDescent="0.2">
      <c r="A9616" s="1135" t="str">
        <f>CONCATENATE(Programme!C9617,Programme!D9617,Programme!E9617,Programme!F9617,Programme!G9617,Programme!H9617,Programme!I9617)</f>
        <v>&lt;codeEdi&gt;1189&lt;/codeEdi&gt;</v>
      </c>
    </row>
    <row r="9617" spans="1:1" x14ac:dyDescent="0.2">
      <c r="A9617" s="1135" t="str">
        <f>CONCATENATE(Programme!C9618,Programme!D9618,Programme!E9618,Programme!F9618,Programme!G9618,Programme!H9618,Programme!I9618)</f>
        <v>&lt;/cellule&gt;</v>
      </c>
    </row>
    <row r="9618" spans="1:1" x14ac:dyDescent="0.2">
      <c r="A9618" s="1135" t="str">
        <f>CONCATENATE(Programme!C9619,Programme!D9619,Programme!E9619,Programme!F9619,Programme!G9619,Programme!H9619,Programme!I9619)</f>
        <v>&lt;valeur&gt;&lt;/valeur&gt;</v>
      </c>
    </row>
    <row r="9619" spans="1:1" x14ac:dyDescent="0.2">
      <c r="A9619" s="1135" t="str">
        <f>CONCATENATE(Programme!C9620,Programme!D9620,Programme!E9620,Programme!F9620,Programme!G9620,Programme!H9620,Programme!I9620)</f>
        <v>&lt;/ValeurCellule&gt;</v>
      </c>
    </row>
    <row r="9620" spans="1:1" x14ac:dyDescent="0.2">
      <c r="A9620" s="1135" t="str">
        <f>CONCATENATE(Programme!C9621,Programme!D9621,Programme!E9621,Programme!F9621,Programme!G9621,Programme!H9621,Programme!I9621)</f>
        <v>&lt;ValeurCellule&gt;</v>
      </c>
    </row>
    <row r="9621" spans="1:1" x14ac:dyDescent="0.2">
      <c r="A9621" s="1135" t="str">
        <f>CONCATENATE(Programme!C9622,Programme!D9622,Programme!E9622,Programme!F9622,Programme!G9622,Programme!H9622,Programme!I9622)</f>
        <v>&lt;cellule&gt;</v>
      </c>
    </row>
    <row r="9622" spans="1:1" x14ac:dyDescent="0.2">
      <c r="A9622" s="1135" t="str">
        <f>CONCATENATE(Programme!C9623,Programme!D9623,Programme!E9623,Programme!F9623,Programme!G9623,Programme!H9623,Programme!I9623)</f>
        <v>&lt;codeEdi&gt;1198&lt;/codeEdi&gt;</v>
      </c>
    </row>
    <row r="9623" spans="1:1" x14ac:dyDescent="0.2">
      <c r="A9623" s="1135" t="str">
        <f>CONCATENATE(Programme!C9624,Programme!D9624,Programme!E9624,Programme!F9624,Programme!G9624,Programme!H9624,Programme!I9624)</f>
        <v>&lt;/cellule&gt;</v>
      </c>
    </row>
    <row r="9624" spans="1:1" x14ac:dyDescent="0.2">
      <c r="A9624" s="1135" t="str">
        <f>CONCATENATE(Programme!C9625,Programme!D9625,Programme!E9625,Programme!F9625,Programme!G9625,Programme!H9625,Programme!I9625)</f>
        <v>&lt;valeur&gt;&lt;/valeur&gt;</v>
      </c>
    </row>
    <row r="9625" spans="1:1" x14ac:dyDescent="0.2">
      <c r="A9625" s="1135" t="str">
        <f>CONCATENATE(Programme!C9626,Programme!D9626,Programme!E9626,Programme!F9626,Programme!G9626,Programme!H9626,Programme!I9626)</f>
        <v>&lt;/ValeurCellule&gt;</v>
      </c>
    </row>
    <row r="9626" spans="1:1" x14ac:dyDescent="0.2">
      <c r="A9626" s="1135" t="str">
        <f>CONCATENATE(Programme!C9627,Programme!D9627,Programme!E9627,Programme!F9627,Programme!G9627,Programme!H9627,Programme!I9627)</f>
        <v>&lt;ValeurCellule&gt;</v>
      </c>
    </row>
    <row r="9627" spans="1:1" x14ac:dyDescent="0.2">
      <c r="A9627" s="1135" t="str">
        <f>CONCATENATE(Programme!C9628,Programme!D9628,Programme!E9628,Programme!F9628,Programme!G9628,Programme!H9628,Programme!I9628)</f>
        <v>&lt;cellule&gt;</v>
      </c>
    </row>
    <row r="9628" spans="1:1" x14ac:dyDescent="0.2">
      <c r="A9628" s="1135" t="str">
        <f>CONCATENATE(Programme!C9629,Programme!D9629,Programme!E9629,Programme!F9629,Programme!G9629,Programme!H9629,Programme!I9629)</f>
        <v>&lt;codeEdi&gt;1207&lt;/codeEdi&gt;</v>
      </c>
    </row>
    <row r="9629" spans="1:1" x14ac:dyDescent="0.2">
      <c r="A9629" s="1135" t="str">
        <f>CONCATENATE(Programme!C9630,Programme!D9630,Programme!E9630,Programme!F9630,Programme!G9630,Programme!H9630,Programme!I9630)</f>
        <v>&lt;/cellule&gt;</v>
      </c>
    </row>
    <row r="9630" spans="1:1" x14ac:dyDescent="0.2">
      <c r="A9630" s="1135" t="str">
        <f>CONCATENATE(Programme!C9631,Programme!D9631,Programme!E9631,Programme!F9631,Programme!G9631,Programme!H9631,Programme!I9631)</f>
        <v>&lt;valeur&gt;&lt;/valeur&gt;</v>
      </c>
    </row>
    <row r="9631" spans="1:1" x14ac:dyDescent="0.2">
      <c r="A9631" s="1135" t="str">
        <f>CONCATENATE(Programme!C9632,Programme!D9632,Programme!E9632,Programme!F9632,Programme!G9632,Programme!H9632,Programme!I9632)</f>
        <v>&lt;/ValeurCellule&gt;</v>
      </c>
    </row>
    <row r="9632" spans="1:1" x14ac:dyDescent="0.2">
      <c r="A9632" s="1135" t="str">
        <f>CONCATENATE(Programme!C9633,Programme!D9633,Programme!E9633,Programme!F9633,Programme!G9633,Programme!H9633,Programme!I9633)</f>
        <v>&lt;/groupeValeurs&gt;</v>
      </c>
    </row>
    <row r="9633" spans="1:1" x14ac:dyDescent="0.2">
      <c r="A9633" s="1135" t="str">
        <f>CONCATENATE(Programme!C9634,Programme!D9634,Programme!E9634,Programme!F9634,Programme!G9634,Programme!H9634,Programme!I9634)</f>
        <v>&lt;extraFieldvaleurs&gt;</v>
      </c>
    </row>
    <row r="9634" spans="1:1" x14ac:dyDescent="0.2">
      <c r="A9634" s="1135" t="str">
        <f>CONCATENATE(Programme!C9635,Programme!D9635,Programme!E9635,Programme!F9635,Programme!G9635,Programme!H9635,Programme!I9635)</f>
        <v>&lt;ExtraFieldValeur&gt;</v>
      </c>
    </row>
    <row r="9635" spans="1:1" x14ac:dyDescent="0.2">
      <c r="A9635" s="1135" t="str">
        <f>CONCATENATE(Programme!C9636,Programme!D9636,Programme!E9636,Programme!F9636,Programme!G9636,Programme!H9636,Programme!I9636)</f>
        <v xml:space="preserve"> &lt;extraField&gt;</v>
      </c>
    </row>
    <row r="9636" spans="1:1" x14ac:dyDescent="0.2">
      <c r="A9636" s="1135" t="str">
        <f>CONCATENATE(Programme!C9637,Programme!D9637,Programme!E9637,Programme!F9637,Programme!G9637,Programme!H9637,Programme!I9637)</f>
        <v>&lt;code&gt;54&lt;/code&gt;</v>
      </c>
    </row>
    <row r="9637" spans="1:1" x14ac:dyDescent="0.2">
      <c r="A9637" s="1135" t="str">
        <f>CONCATENATE(Programme!C9638,Programme!D9638,Programme!E9638,Programme!F9638,Programme!G9638,Programme!H9638,Programme!I9638)</f>
        <v xml:space="preserve">&lt;/extraField&gt; </v>
      </c>
    </row>
    <row r="9638" spans="1:1" x14ac:dyDescent="0.2">
      <c r="A9638" s="1135" t="str">
        <f>CONCATENATE(Programme!C9639,Programme!D9639,Programme!E9639,Programme!F9639,Programme!G9639,Programme!H9639,Programme!I9639)</f>
        <v>&lt;valeur&gt;31/12/2022&lt;/valeur&gt;</v>
      </c>
    </row>
    <row r="9639" spans="1:1" x14ac:dyDescent="0.2">
      <c r="A9639" s="1135" t="str">
        <f>CONCATENATE(Programme!C9640,Programme!D9640,Programme!E9640,Programme!F9640,Programme!G9640,Programme!H9640,Programme!I9640)</f>
        <v>&lt;/ExtraFieldValeur&gt;</v>
      </c>
    </row>
    <row r="9640" spans="1:1" x14ac:dyDescent="0.2">
      <c r="A9640" s="1135" t="str">
        <f>CONCATENATE(Programme!C9641,Programme!D9641,Programme!E9641,Programme!F9641,Programme!G9641,Programme!H9641,Programme!I9641)</f>
        <v>&lt;/extraFieldvaleurs&gt;</v>
      </c>
    </row>
    <row r="9641" spans="1:1" x14ac:dyDescent="0.2">
      <c r="A9641" s="1135" t="str">
        <f>CONCATENATE(Programme!C9642,Programme!D9642,Programme!E9642,Programme!F9642,Programme!G9642,Programme!H9642,Programme!I9642)</f>
        <v>&lt;/ValeursTableau&gt;</v>
      </c>
    </row>
    <row r="9642" spans="1:1" x14ac:dyDescent="0.2">
      <c r="A9642" s="1135" t="str">
        <f>CONCATENATE(Programme!C9643,Programme!D9643,Programme!E9643,Programme!F9643,Programme!G9643,Programme!H9643,Programme!I9643)</f>
        <v>&lt;ValeursTableau&gt;</v>
      </c>
    </row>
    <row r="9643" spans="1:1" x14ac:dyDescent="0.2">
      <c r="A9643" s="1135" t="str">
        <f>CONCATENATE(Programme!C9644,Programme!D9644,Programme!E9644,Programme!F9644,Programme!G9644,Programme!H9644,Programme!I9644)</f>
        <v>&lt;tableau&gt;&lt;id&gt;27&lt;/id&gt;&lt;/tableau&gt;</v>
      </c>
    </row>
    <row r="9644" spans="1:1" x14ac:dyDescent="0.2">
      <c r="A9644" s="1135" t="str">
        <f>CONCATENATE(Programme!C9645,Programme!D9645,Programme!E9645,Programme!F9645,Programme!G9645,Programme!H9645,Programme!I9645)</f>
        <v>&lt;groupeValeurs&gt;</v>
      </c>
    </row>
    <row r="9645" spans="1:1" x14ac:dyDescent="0.2">
      <c r="A9645" s="1135" t="str">
        <f>CONCATENATE(Programme!C9646,Programme!D9646,Programme!E9646,Programme!F9646,Programme!G9646,Programme!H9646,Programme!I9646)</f>
        <v>&lt;ValeurCellule&gt;</v>
      </c>
    </row>
    <row r="9646" spans="1:1" x14ac:dyDescent="0.2">
      <c r="A9646" s="1135" t="str">
        <f>CONCATENATE(Programme!C9647,Programme!D9647,Programme!E9647,Programme!F9647,Programme!G9647,Programme!H9647,Programme!I9647)</f>
        <v>&lt;cellule&gt;&lt;codeEdi&gt;1208&lt;/codeEdi&gt;&lt;/cellule&gt;</v>
      </c>
    </row>
    <row r="9647" spans="1:1" x14ac:dyDescent="0.2">
      <c r="A9647" s="1135" t="str">
        <f>CONCATENATE(Programme!C9648,Programme!D9648,Programme!E9648,Programme!F9648,Programme!G9648,Programme!H9648,Programme!I9648)</f>
        <v>&lt;valeur&gt;&lt;/valeur&gt;</v>
      </c>
    </row>
    <row r="9648" spans="1:1" x14ac:dyDescent="0.2">
      <c r="A9648" s="1135" t="str">
        <f>CONCATENATE(Programme!C9649,Programme!D9649,Programme!E9649,Programme!F9649,Programme!G9649,Programme!H9649,Programme!I9649)</f>
        <v>&lt;numeroLigne&gt;1&lt;/numeroLigne&gt;</v>
      </c>
    </row>
    <row r="9649" spans="1:1" x14ac:dyDescent="0.2">
      <c r="A9649" s="1135" t="str">
        <f>CONCATENATE(Programme!C9650,Programme!D9650,Programme!E9650,Programme!F9650,Programme!G9650,Programme!H9650,Programme!I9650)</f>
        <v>&lt;/ValeurCellule&gt;</v>
      </c>
    </row>
    <row r="9650" spans="1:1" x14ac:dyDescent="0.2">
      <c r="A9650" s="1135" t="str">
        <f>CONCATENATE(Programme!C9651,Programme!D9651,Programme!E9651,Programme!F9651,Programme!G9651,Programme!H9651,Programme!I9651)</f>
        <v>&lt;ValeurCellule&gt;</v>
      </c>
    </row>
    <row r="9651" spans="1:1" x14ac:dyDescent="0.2">
      <c r="A9651" s="1135" t="str">
        <f>CONCATENATE(Programme!C9652,Programme!D9652,Programme!E9652,Programme!F9652,Programme!G9652,Programme!H9652,Programme!I9652)</f>
        <v>&lt;cellule&gt;&lt;codeEdi&gt;1209&lt;/codeEdi&gt;&lt;/cellule&gt;</v>
      </c>
    </row>
    <row r="9652" spans="1:1" x14ac:dyDescent="0.2">
      <c r="A9652" s="1135" t="str">
        <f>CONCATENATE(Programme!C9653,Programme!D9653,Programme!E9653,Programme!F9653,Programme!G9653,Programme!H9653,Programme!I9653)</f>
        <v>&lt;valeur&gt;&lt;/valeur&gt;</v>
      </c>
    </row>
    <row r="9653" spans="1:1" x14ac:dyDescent="0.2">
      <c r="A9653" s="1135" t="str">
        <f>CONCATENATE(Programme!C9654,Programme!D9654,Programme!E9654,Programme!F9654,Programme!G9654,Programme!H9654,Programme!I9654)</f>
        <v>&lt;numeroLigne&gt;1&lt;/numeroLigne&gt;</v>
      </c>
    </row>
    <row r="9654" spans="1:1" x14ac:dyDescent="0.2">
      <c r="A9654" s="1135" t="str">
        <f>CONCATENATE(Programme!C9655,Programme!D9655,Programme!E9655,Programme!F9655,Programme!G9655,Programme!H9655,Programme!I9655)</f>
        <v>&lt;/ValeurCellule&gt;</v>
      </c>
    </row>
    <row r="9655" spans="1:1" x14ac:dyDescent="0.2">
      <c r="A9655" s="1135" t="str">
        <f>CONCATENATE(Programme!C9656,Programme!D9656,Programme!E9656,Programme!F9656,Programme!G9656,Programme!H9656,Programme!I9656)</f>
        <v>&lt;ValeurCellule&gt;</v>
      </c>
    </row>
    <row r="9656" spans="1:1" x14ac:dyDescent="0.2">
      <c r="A9656" s="1135" t="str">
        <f>CONCATENATE(Programme!C9657,Programme!D9657,Programme!E9657,Programme!F9657,Programme!G9657,Programme!H9657,Programme!I9657)</f>
        <v>&lt;cellule&gt;&lt;codeEdi&gt;1210&lt;/codeEdi&gt;&lt;/cellule&gt;</v>
      </c>
    </row>
    <row r="9657" spans="1:1" x14ac:dyDescent="0.2">
      <c r="A9657" s="1135" t="str">
        <f>CONCATENATE(Programme!C9658,Programme!D9658,Programme!E9658,Programme!F9658,Programme!G9658,Programme!H9658,Programme!I9658)</f>
        <v>&lt;valeur&gt;&lt;/valeur&gt;</v>
      </c>
    </row>
    <row r="9658" spans="1:1" x14ac:dyDescent="0.2">
      <c r="A9658" s="1135" t="str">
        <f>CONCATENATE(Programme!C9659,Programme!D9659,Programme!E9659,Programme!F9659,Programme!G9659,Programme!H9659,Programme!I9659)</f>
        <v>&lt;numeroLigne&gt;1&lt;/numeroLigne&gt;</v>
      </c>
    </row>
    <row r="9659" spans="1:1" x14ac:dyDescent="0.2">
      <c r="A9659" s="1135" t="str">
        <f>CONCATENATE(Programme!C9660,Programme!D9660,Programme!E9660,Programme!F9660,Programme!G9660,Programme!H9660,Programme!I9660)</f>
        <v>&lt;/ValeurCellule&gt;</v>
      </c>
    </row>
    <row r="9660" spans="1:1" x14ac:dyDescent="0.2">
      <c r="A9660" s="1135" t="str">
        <f>CONCATENATE(Programme!C9661,Programme!D9661,Programme!E9661,Programme!F9661,Programme!G9661,Programme!H9661,Programme!I9661)</f>
        <v>&lt;ValeurCellule&gt;</v>
      </c>
    </row>
    <row r="9661" spans="1:1" x14ac:dyDescent="0.2">
      <c r="A9661" s="1135" t="str">
        <f>CONCATENATE(Programme!C9662,Programme!D9662,Programme!E9662,Programme!F9662,Programme!G9662,Programme!H9662,Programme!I9662)</f>
        <v>&lt;cellule&gt;&lt;codeEdi&gt;1211&lt;/codeEdi&gt;&lt;/cellule&gt;</v>
      </c>
    </row>
    <row r="9662" spans="1:1" x14ac:dyDescent="0.2">
      <c r="A9662" s="1135" t="str">
        <f>CONCATENATE(Programme!C9663,Programme!D9663,Programme!E9663,Programme!F9663,Programme!G9663,Programme!H9663,Programme!I9663)</f>
        <v>&lt;valeur&gt;&lt;/valeur&gt;</v>
      </c>
    </row>
    <row r="9663" spans="1:1" x14ac:dyDescent="0.2">
      <c r="A9663" s="1135" t="str">
        <f>CONCATENATE(Programme!C9664,Programme!D9664,Programme!E9664,Programme!F9664,Programme!G9664,Programme!H9664,Programme!I9664)</f>
        <v>&lt;numeroLigne&gt;1&lt;/numeroLigne&gt;</v>
      </c>
    </row>
    <row r="9664" spans="1:1" x14ac:dyDescent="0.2">
      <c r="A9664" s="1135" t="str">
        <f>CONCATENATE(Programme!C9665,Programme!D9665,Programme!E9665,Programme!F9665,Programme!G9665,Programme!H9665,Programme!I9665)</f>
        <v>&lt;/ValeurCellule&gt;</v>
      </c>
    </row>
    <row r="9665" spans="1:1" x14ac:dyDescent="0.2">
      <c r="A9665" s="1135" t="str">
        <f>CONCATENATE(Programme!C9666,Programme!D9666,Programme!E9666,Programme!F9666,Programme!G9666,Programme!H9666,Programme!I9666)</f>
        <v>&lt;ValeurCellule&gt;</v>
      </c>
    </row>
    <row r="9666" spans="1:1" x14ac:dyDescent="0.2">
      <c r="A9666" s="1135" t="str">
        <f>CONCATENATE(Programme!C9667,Programme!D9667,Programme!E9667,Programme!F9667,Programme!G9667,Programme!H9667,Programme!I9667)</f>
        <v>&lt;cellule&gt;&lt;codeEdi&gt;1212&lt;/codeEdi&gt;&lt;/cellule&gt;</v>
      </c>
    </row>
    <row r="9667" spans="1:1" x14ac:dyDescent="0.2">
      <c r="A9667" s="1135" t="str">
        <f>CONCATENATE(Programme!C9668,Programme!D9668,Programme!E9668,Programme!F9668,Programme!G9668,Programme!H9668,Programme!I9668)</f>
        <v>&lt;valeur&gt;&lt;/valeur&gt;</v>
      </c>
    </row>
    <row r="9668" spans="1:1" x14ac:dyDescent="0.2">
      <c r="A9668" s="1135" t="str">
        <f>CONCATENATE(Programme!C9669,Programme!D9669,Programme!E9669,Programme!F9669,Programme!G9669,Programme!H9669,Programme!I9669)</f>
        <v>&lt;numeroLigne&gt;1&lt;/numeroLigne&gt;</v>
      </c>
    </row>
    <row r="9669" spans="1:1" x14ac:dyDescent="0.2">
      <c r="A9669" s="1135" t="str">
        <f>CONCATENATE(Programme!C9670,Programme!D9670,Programme!E9670,Programme!F9670,Programme!G9670,Programme!H9670,Programme!I9670)</f>
        <v>&lt;/ValeurCellule&gt;</v>
      </c>
    </row>
    <row r="9670" spans="1:1" x14ac:dyDescent="0.2">
      <c r="A9670" s="1135" t="str">
        <f>CONCATENATE(Programme!C9671,Programme!D9671,Programme!E9671,Programme!F9671,Programme!G9671,Programme!H9671,Programme!I9671)</f>
        <v>&lt;ValeurCellule&gt;</v>
      </c>
    </row>
    <row r="9671" spans="1:1" x14ac:dyDescent="0.2">
      <c r="A9671" s="1135" t="str">
        <f>CONCATENATE(Programme!C9672,Programme!D9672,Programme!E9672,Programme!F9672,Programme!G9672,Programme!H9672,Programme!I9672)</f>
        <v>&lt;cellule&gt;&lt;codeEdi&gt;1213&lt;/codeEdi&gt;&lt;/cellule&gt;</v>
      </c>
    </row>
    <row r="9672" spans="1:1" x14ac:dyDescent="0.2">
      <c r="A9672" s="1135" t="str">
        <f>CONCATENATE(Programme!C9673,Programme!D9673,Programme!E9673,Programme!F9673,Programme!G9673,Programme!H9673,Programme!I9673)</f>
        <v>&lt;valeur&gt;&lt;/valeur&gt;</v>
      </c>
    </row>
    <row r="9673" spans="1:1" x14ac:dyDescent="0.2">
      <c r="A9673" s="1135" t="str">
        <f>CONCATENATE(Programme!C9674,Programme!D9674,Programme!E9674,Programme!F9674,Programme!G9674,Programme!H9674,Programme!I9674)</f>
        <v>&lt;numeroLigne&gt;1&lt;/numeroLigne&gt;</v>
      </c>
    </row>
    <row r="9674" spans="1:1" x14ac:dyDescent="0.2">
      <c r="A9674" s="1135" t="str">
        <f>CONCATENATE(Programme!C9675,Programme!D9675,Programme!E9675,Programme!F9675,Programme!G9675,Programme!H9675,Programme!I9675)</f>
        <v>&lt;/ValeurCellule&gt;</v>
      </c>
    </row>
    <row r="9675" spans="1:1" x14ac:dyDescent="0.2">
      <c r="A9675" s="1135" t="str">
        <f>CONCATENATE(Programme!C9676,Programme!D9676,Programme!E9676,Programme!F9676,Programme!G9676,Programme!H9676,Programme!I9676)</f>
        <v>&lt;ValeurCellule&gt;</v>
      </c>
    </row>
    <row r="9676" spans="1:1" x14ac:dyDescent="0.2">
      <c r="A9676" s="1135" t="str">
        <f>CONCATENATE(Programme!C9677,Programme!D9677,Programme!E9677,Programme!F9677,Programme!G9677,Programme!H9677,Programme!I9677)</f>
        <v>&lt;cellule&gt;&lt;codeEdi&gt;1214&lt;/codeEdi&gt;&lt;/cellule&gt;</v>
      </c>
    </row>
    <row r="9677" spans="1:1" x14ac:dyDescent="0.2">
      <c r="A9677" s="1135" t="str">
        <f>CONCATENATE(Programme!C9678,Programme!D9678,Programme!E9678,Programme!F9678,Programme!G9678,Programme!H9678,Programme!I9678)</f>
        <v>&lt;valeur&gt;&lt;/valeur&gt;</v>
      </c>
    </row>
    <row r="9678" spans="1:1" x14ac:dyDescent="0.2">
      <c r="A9678" s="1135" t="str">
        <f>CONCATENATE(Programme!C9679,Programme!D9679,Programme!E9679,Programme!F9679,Programme!G9679,Programme!H9679,Programme!I9679)</f>
        <v>&lt;numeroLigne&gt;1&lt;/numeroLigne&gt;</v>
      </c>
    </row>
    <row r="9679" spans="1:1" x14ac:dyDescent="0.2">
      <c r="A9679" s="1135" t="str">
        <f>CONCATENATE(Programme!C9680,Programme!D9680,Programme!E9680,Programme!F9680,Programme!G9680,Programme!H9680,Programme!I9680)</f>
        <v>&lt;/ValeurCellule&gt;</v>
      </c>
    </row>
    <row r="9680" spans="1:1" x14ac:dyDescent="0.2">
      <c r="A9680" s="1135" t="str">
        <f>CONCATENATE(Programme!C9681,Programme!D9681,Programme!E9681,Programme!F9681,Programme!G9681,Programme!H9681,Programme!I9681)</f>
        <v>&lt;ValeurCellule&gt;</v>
      </c>
    </row>
    <row r="9681" spans="1:1" x14ac:dyDescent="0.2">
      <c r="A9681" s="1135" t="str">
        <f>CONCATENATE(Programme!C9682,Programme!D9682,Programme!E9682,Programme!F9682,Programme!G9682,Programme!H9682,Programme!I9682)</f>
        <v>&lt;cellule&gt;&lt;codeEdi&gt;1215&lt;/codeEdi&gt;&lt;/cellule&gt;</v>
      </c>
    </row>
    <row r="9682" spans="1:1" x14ac:dyDescent="0.2">
      <c r="A9682" s="1135" t="str">
        <f>CONCATENATE(Programme!C9683,Programme!D9683,Programme!E9683,Programme!F9683,Programme!G9683,Programme!H9683,Programme!I9683)</f>
        <v>&lt;valeur&gt;&lt;/valeur&gt;</v>
      </c>
    </row>
    <row r="9683" spans="1:1" x14ac:dyDescent="0.2">
      <c r="A9683" s="1135" t="str">
        <f>CONCATENATE(Programme!C9684,Programme!D9684,Programme!E9684,Programme!F9684,Programme!G9684,Programme!H9684,Programme!I9684)</f>
        <v>&lt;numeroLigne&gt;1&lt;/numeroLigne&gt;</v>
      </c>
    </row>
    <row r="9684" spans="1:1" x14ac:dyDescent="0.2">
      <c r="A9684" s="1135" t="str">
        <f>CONCATENATE(Programme!C9685,Programme!D9685,Programme!E9685,Programme!F9685,Programme!G9685,Programme!H9685,Programme!I9685)</f>
        <v>&lt;/ValeurCellule&gt;</v>
      </c>
    </row>
    <row r="9685" spans="1:1" x14ac:dyDescent="0.2">
      <c r="A9685" s="1135" t="str">
        <f>CONCATENATE(Programme!C9686,Programme!D9686,Programme!E9686,Programme!F9686,Programme!G9686,Programme!H9686,Programme!I9686)</f>
        <v>&lt;ValeurCellule&gt;</v>
      </c>
    </row>
    <row r="9686" spans="1:1" x14ac:dyDescent="0.2">
      <c r="A9686" s="1135" t="str">
        <f>CONCATENATE(Programme!C9687,Programme!D9687,Programme!E9687,Programme!F9687,Programme!G9687,Programme!H9687,Programme!I9687)</f>
        <v>&lt;cellule&gt;&lt;codeEdi&gt;1216&lt;/codeEdi&gt;&lt;/cellule&gt;</v>
      </c>
    </row>
    <row r="9687" spans="1:1" x14ac:dyDescent="0.2">
      <c r="A9687" s="1135" t="str">
        <f>CONCATENATE(Programme!C9688,Programme!D9688,Programme!E9688,Programme!F9688,Programme!G9688,Programme!H9688,Programme!I9688)</f>
        <v>&lt;valeur&gt;&lt;/valeur&gt;</v>
      </c>
    </row>
    <row r="9688" spans="1:1" x14ac:dyDescent="0.2">
      <c r="A9688" s="1135" t="str">
        <f>CONCATENATE(Programme!C9689,Programme!D9689,Programme!E9689,Programme!F9689,Programme!G9689,Programme!H9689,Programme!I9689)</f>
        <v>&lt;numeroLigne&gt;1&lt;/numeroLigne&gt;</v>
      </c>
    </row>
    <row r="9689" spans="1:1" x14ac:dyDescent="0.2">
      <c r="A9689" s="1135" t="str">
        <f>CONCATENATE(Programme!C9690,Programme!D9690,Programme!E9690,Programme!F9690,Programme!G9690,Programme!H9690,Programme!I9690)</f>
        <v>&lt;/ValeurCellule&gt;</v>
      </c>
    </row>
    <row r="9690" spans="1:1" x14ac:dyDescent="0.2">
      <c r="A9690" s="1135" t="str">
        <f>CONCATENATE(Programme!C9691,Programme!D9691,Programme!E9691,Programme!F9691,Programme!G9691,Programme!H9691,Programme!I9691)</f>
        <v>&lt;ValeurCellule&gt;</v>
      </c>
    </row>
    <row r="9691" spans="1:1" x14ac:dyDescent="0.2">
      <c r="A9691" s="1135" t="str">
        <f>CONCATENATE(Programme!C9692,Programme!D9692,Programme!E9692,Programme!F9692,Programme!G9692,Programme!H9692,Programme!I9692)</f>
        <v>&lt;cellule&gt;&lt;codeEdi&gt;1217&lt;/codeEdi&gt;&lt;/cellule&gt;</v>
      </c>
    </row>
    <row r="9692" spans="1:1" x14ac:dyDescent="0.2">
      <c r="A9692" s="1135" t="str">
        <f>CONCATENATE(Programme!C9693,Programme!D9693,Programme!E9693,Programme!F9693,Programme!G9693,Programme!H9693,Programme!I9693)</f>
        <v>&lt;valeur&gt;&lt;/valeur&gt;</v>
      </c>
    </row>
    <row r="9693" spans="1:1" x14ac:dyDescent="0.2">
      <c r="A9693" s="1135" t="str">
        <f>CONCATENATE(Programme!C9694,Programme!D9694,Programme!E9694,Programme!F9694,Programme!G9694,Programme!H9694,Programme!I9694)</f>
        <v>&lt;numeroLigne&gt;1&lt;/numeroLigne&gt;</v>
      </c>
    </row>
    <row r="9694" spans="1:1" x14ac:dyDescent="0.2">
      <c r="A9694" s="1135" t="str">
        <f>CONCATENATE(Programme!C9695,Programme!D9695,Programme!E9695,Programme!F9695,Programme!G9695,Programme!H9695,Programme!I9695)</f>
        <v>&lt;/ValeurCellule&gt;</v>
      </c>
    </row>
    <row r="9695" spans="1:1" x14ac:dyDescent="0.2">
      <c r="A9695" s="1135" t="str">
        <f>CONCATENATE(Programme!C9696,Programme!D9696,Programme!E9696,Programme!F9696,Programme!G9696,Programme!H9696,Programme!I9696)</f>
        <v>&lt;ValeurCellule&gt;</v>
      </c>
    </row>
    <row r="9696" spans="1:1" x14ac:dyDescent="0.2">
      <c r="A9696" s="1135" t="str">
        <f>CONCATENATE(Programme!C9697,Programme!D9697,Programme!E9697,Programme!F9697,Programme!G9697,Programme!H9697,Programme!I9697)</f>
        <v>&lt;cellule&gt;&lt;codeEdi&gt;1218&lt;/codeEdi&gt;&lt;/cellule&gt;</v>
      </c>
    </row>
    <row r="9697" spans="1:1" x14ac:dyDescent="0.2">
      <c r="A9697" s="1135" t="str">
        <f>CONCATENATE(Programme!C9698,Programme!D9698,Programme!E9698,Programme!F9698,Programme!G9698,Programme!H9698,Programme!I9698)</f>
        <v>&lt;valeur&gt;&lt;/valeur&gt;</v>
      </c>
    </row>
    <row r="9698" spans="1:1" x14ac:dyDescent="0.2">
      <c r="A9698" s="1135" t="str">
        <f>CONCATENATE(Programme!C9699,Programme!D9699,Programme!E9699,Programme!F9699,Programme!G9699,Programme!H9699,Programme!I9699)</f>
        <v>&lt;numeroLigne&gt;1&lt;/numeroLigne&gt;</v>
      </c>
    </row>
    <row r="9699" spans="1:1" x14ac:dyDescent="0.2">
      <c r="A9699" s="1135" t="str">
        <f>CONCATENATE(Programme!C9700,Programme!D9700,Programme!E9700,Programme!F9700,Programme!G9700,Programme!H9700,Programme!I9700)</f>
        <v>&lt;/ValeurCellule&gt;</v>
      </c>
    </row>
    <row r="9700" spans="1:1" x14ac:dyDescent="0.2">
      <c r="A9700" s="1135" t="str">
        <f>CONCATENATE(Programme!C9701,Programme!D9701,Programme!E9701,Programme!F9701,Programme!G9701,Programme!H9701,Programme!I9701)</f>
        <v>&lt;ValeurCellule&gt;</v>
      </c>
    </row>
    <row r="9701" spans="1:1" x14ac:dyDescent="0.2">
      <c r="A9701" s="1135" t="str">
        <f>CONCATENATE(Programme!C9702,Programme!D9702,Programme!E9702,Programme!F9702,Programme!G9702,Programme!H9702,Programme!I9702)</f>
        <v>&lt;cellule&gt;&lt;codeEdi&gt;1219&lt;/codeEdi&gt;&lt;/cellule&gt;</v>
      </c>
    </row>
    <row r="9702" spans="1:1" x14ac:dyDescent="0.2">
      <c r="A9702" s="1135" t="str">
        <f>CONCATENATE(Programme!C9703,Programme!D9703,Programme!E9703,Programme!F9703,Programme!G9703,Programme!H9703,Programme!I9703)</f>
        <v>&lt;valeur&gt;&lt;/valeur&gt;</v>
      </c>
    </row>
    <row r="9703" spans="1:1" x14ac:dyDescent="0.2">
      <c r="A9703" s="1135" t="str">
        <f>CONCATENATE(Programme!C9704,Programme!D9704,Programme!E9704,Programme!F9704,Programme!G9704,Programme!H9704,Programme!I9704)</f>
        <v>&lt;numeroLigne&gt;1&lt;/numeroLigne&gt;</v>
      </c>
    </row>
    <row r="9704" spans="1:1" x14ac:dyDescent="0.2">
      <c r="A9704" s="1135" t="str">
        <f>CONCATENATE(Programme!C9705,Programme!D9705,Programme!E9705,Programme!F9705,Programme!G9705,Programme!H9705,Programme!I9705)</f>
        <v>&lt;/ValeurCellule&gt;</v>
      </c>
    </row>
    <row r="9705" spans="1:1" x14ac:dyDescent="0.2">
      <c r="A9705" s="1135" t="str">
        <f>CONCATENATE(Programme!C9706,Programme!D9706,Programme!E9706,Programme!F9706,Programme!G9706,Programme!H9706,Programme!I9706)</f>
        <v>&lt;ValeurCellule&gt;</v>
      </c>
    </row>
    <row r="9706" spans="1:1" x14ac:dyDescent="0.2">
      <c r="A9706" s="1135" t="str">
        <f>CONCATENATE(Programme!C9707,Programme!D9707,Programme!E9707,Programme!F9707,Programme!G9707,Programme!H9707,Programme!I9707)</f>
        <v>&lt;cellule&gt;&lt;codeEdi&gt;1220&lt;/codeEdi&gt;&lt;/cellule&gt;</v>
      </c>
    </row>
    <row r="9707" spans="1:1" x14ac:dyDescent="0.2">
      <c r="A9707" s="1135" t="str">
        <f>CONCATENATE(Programme!C9708,Programme!D9708,Programme!E9708,Programme!F9708,Programme!G9708,Programme!H9708,Programme!I9708)</f>
        <v>&lt;valeur&gt;&lt;/valeur&gt;</v>
      </c>
    </row>
    <row r="9708" spans="1:1" x14ac:dyDescent="0.2">
      <c r="A9708" s="1135" t="str">
        <f>CONCATENATE(Programme!C9709,Programme!D9709,Programme!E9709,Programme!F9709,Programme!G9709,Programme!H9709,Programme!I9709)</f>
        <v>&lt;numeroLigne&gt;1&lt;/numeroLigne&gt;</v>
      </c>
    </row>
    <row r="9709" spans="1:1" x14ac:dyDescent="0.2">
      <c r="A9709" s="1135" t="str">
        <f>CONCATENATE(Programme!C9710,Programme!D9710,Programme!E9710,Programme!F9710,Programme!G9710,Programme!H9710,Programme!I9710)</f>
        <v>&lt;/ValeurCellule&gt;</v>
      </c>
    </row>
    <row r="9710" spans="1:1" x14ac:dyDescent="0.2">
      <c r="A9710" s="1135" t="str">
        <f>CONCATENATE(Programme!C9711,Programme!D9711,Programme!E9711,Programme!F9711,Programme!G9711,Programme!H9711,Programme!I9711)</f>
        <v>&lt;ValeurCellule&gt;</v>
      </c>
    </row>
    <row r="9711" spans="1:1" x14ac:dyDescent="0.2">
      <c r="A9711" s="1135" t="str">
        <f>CONCATENATE(Programme!C9712,Programme!D9712,Programme!E9712,Programme!F9712,Programme!G9712,Programme!H9712,Programme!I9712)</f>
        <v>&lt;cellule&gt;&lt;codeEdi&gt;1208&lt;/codeEdi&gt;&lt;/cellule&gt;</v>
      </c>
    </row>
    <row r="9712" spans="1:1" x14ac:dyDescent="0.2">
      <c r="A9712" s="1135" t="str">
        <f>CONCATENATE(Programme!C9713,Programme!D9713,Programme!E9713,Programme!F9713,Programme!G9713,Programme!H9713,Programme!I9713)</f>
        <v>&lt;valeur&gt;&lt;/valeur&gt;</v>
      </c>
    </row>
    <row r="9713" spans="1:1" x14ac:dyDescent="0.2">
      <c r="A9713" s="1135" t="str">
        <f>CONCATENATE(Programme!C9714,Programme!D9714,Programme!E9714,Programme!F9714,Programme!G9714,Programme!H9714,Programme!I9714)</f>
        <v>&lt;numeroLigne&gt;2&lt;/numeroLigne&gt;</v>
      </c>
    </row>
    <row r="9714" spans="1:1" x14ac:dyDescent="0.2">
      <c r="A9714" s="1135" t="str">
        <f>CONCATENATE(Programme!C9715,Programme!D9715,Programme!E9715,Programme!F9715,Programme!G9715,Programme!H9715,Programme!I9715)</f>
        <v>&lt;/ValeurCellule&gt;</v>
      </c>
    </row>
    <row r="9715" spans="1:1" x14ac:dyDescent="0.2">
      <c r="A9715" s="1135" t="str">
        <f>CONCATENATE(Programme!C9716,Programme!D9716,Programme!E9716,Programme!F9716,Programme!G9716,Programme!H9716,Programme!I9716)</f>
        <v>&lt;ValeurCellule&gt;</v>
      </c>
    </row>
    <row r="9716" spans="1:1" x14ac:dyDescent="0.2">
      <c r="A9716" s="1135" t="str">
        <f>CONCATENATE(Programme!C9717,Programme!D9717,Programme!E9717,Programme!F9717,Programme!G9717,Programme!H9717,Programme!I9717)</f>
        <v>&lt;cellule&gt;&lt;codeEdi&gt;1209&lt;/codeEdi&gt;&lt;/cellule&gt;</v>
      </c>
    </row>
    <row r="9717" spans="1:1" x14ac:dyDescent="0.2">
      <c r="A9717" s="1135" t="str">
        <f>CONCATENATE(Programme!C9718,Programme!D9718,Programme!E9718,Programme!F9718,Programme!G9718,Programme!H9718,Programme!I9718)</f>
        <v>&lt;valeur&gt;&lt;/valeur&gt;</v>
      </c>
    </row>
    <row r="9718" spans="1:1" x14ac:dyDescent="0.2">
      <c r="A9718" s="1135" t="str">
        <f>CONCATENATE(Programme!C9719,Programme!D9719,Programme!E9719,Programme!F9719,Programme!G9719,Programme!H9719,Programme!I9719)</f>
        <v>&lt;numeroLigne&gt;2&lt;/numeroLigne&gt;</v>
      </c>
    </row>
    <row r="9719" spans="1:1" x14ac:dyDescent="0.2">
      <c r="A9719" s="1135" t="str">
        <f>CONCATENATE(Programme!C9720,Programme!D9720,Programme!E9720,Programme!F9720,Programme!G9720,Programme!H9720,Programme!I9720)</f>
        <v>&lt;/ValeurCellule&gt;</v>
      </c>
    </row>
    <row r="9720" spans="1:1" x14ac:dyDescent="0.2">
      <c r="A9720" s="1135" t="str">
        <f>CONCATENATE(Programme!C9721,Programme!D9721,Programme!E9721,Programme!F9721,Programme!G9721,Programme!H9721,Programme!I9721)</f>
        <v>&lt;ValeurCellule&gt;</v>
      </c>
    </row>
    <row r="9721" spans="1:1" x14ac:dyDescent="0.2">
      <c r="A9721" s="1135" t="str">
        <f>CONCATENATE(Programme!C9722,Programme!D9722,Programme!E9722,Programme!F9722,Programme!G9722,Programme!H9722,Programme!I9722)</f>
        <v>&lt;cellule&gt;&lt;codeEdi&gt;1210&lt;/codeEdi&gt;&lt;/cellule&gt;</v>
      </c>
    </row>
    <row r="9722" spans="1:1" x14ac:dyDescent="0.2">
      <c r="A9722" s="1135" t="str">
        <f>CONCATENATE(Programme!C9723,Programme!D9723,Programme!E9723,Programme!F9723,Programme!G9723,Programme!H9723,Programme!I9723)</f>
        <v>&lt;valeur&gt;&lt;/valeur&gt;</v>
      </c>
    </row>
    <row r="9723" spans="1:1" x14ac:dyDescent="0.2">
      <c r="A9723" s="1135" t="str">
        <f>CONCATENATE(Programme!C9724,Programme!D9724,Programme!E9724,Programme!F9724,Programme!G9724,Programme!H9724,Programme!I9724)</f>
        <v>&lt;numeroLigne&gt;2&lt;/numeroLigne&gt;</v>
      </c>
    </row>
    <row r="9724" spans="1:1" x14ac:dyDescent="0.2">
      <c r="A9724" s="1135" t="str">
        <f>CONCATENATE(Programme!C9725,Programme!D9725,Programme!E9725,Programme!F9725,Programme!G9725,Programme!H9725,Programme!I9725)</f>
        <v>&lt;/ValeurCellule&gt;</v>
      </c>
    </row>
    <row r="9725" spans="1:1" x14ac:dyDescent="0.2">
      <c r="A9725" s="1135" t="str">
        <f>CONCATENATE(Programme!C9726,Programme!D9726,Programme!E9726,Programme!F9726,Programme!G9726,Programme!H9726,Programme!I9726)</f>
        <v>&lt;ValeurCellule&gt;</v>
      </c>
    </row>
    <row r="9726" spans="1:1" x14ac:dyDescent="0.2">
      <c r="A9726" s="1135" t="str">
        <f>CONCATENATE(Programme!C9727,Programme!D9727,Programme!E9727,Programme!F9727,Programme!G9727,Programme!H9727,Programme!I9727)</f>
        <v>&lt;cellule&gt;&lt;codeEdi&gt;1211&lt;/codeEdi&gt;&lt;/cellule&gt;</v>
      </c>
    </row>
    <row r="9727" spans="1:1" x14ac:dyDescent="0.2">
      <c r="A9727" s="1135" t="str">
        <f>CONCATENATE(Programme!C9728,Programme!D9728,Programme!E9728,Programme!F9728,Programme!G9728,Programme!H9728,Programme!I9728)</f>
        <v>&lt;valeur&gt;&lt;/valeur&gt;</v>
      </c>
    </row>
    <row r="9728" spans="1:1" x14ac:dyDescent="0.2">
      <c r="A9728" s="1135" t="str">
        <f>CONCATENATE(Programme!C9729,Programme!D9729,Programme!E9729,Programme!F9729,Programme!G9729,Programme!H9729,Programme!I9729)</f>
        <v>&lt;numeroLigne&gt;2&lt;/numeroLigne&gt;</v>
      </c>
    </row>
    <row r="9729" spans="1:1" x14ac:dyDescent="0.2">
      <c r="A9729" s="1135" t="str">
        <f>CONCATENATE(Programme!C9730,Programme!D9730,Programme!E9730,Programme!F9730,Programme!G9730,Programme!H9730,Programme!I9730)</f>
        <v>&lt;/ValeurCellule&gt;</v>
      </c>
    </row>
    <row r="9730" spans="1:1" x14ac:dyDescent="0.2">
      <c r="A9730" s="1135" t="str">
        <f>CONCATENATE(Programme!C9731,Programme!D9731,Programme!E9731,Programme!F9731,Programme!G9731,Programme!H9731,Programme!I9731)</f>
        <v>&lt;ValeurCellule&gt;</v>
      </c>
    </row>
    <row r="9731" spans="1:1" x14ac:dyDescent="0.2">
      <c r="A9731" s="1135" t="str">
        <f>CONCATENATE(Programme!C9732,Programme!D9732,Programme!E9732,Programme!F9732,Programme!G9732,Programme!H9732,Programme!I9732)</f>
        <v>&lt;cellule&gt;&lt;codeEdi&gt;1212&lt;/codeEdi&gt;&lt;/cellule&gt;</v>
      </c>
    </row>
    <row r="9732" spans="1:1" x14ac:dyDescent="0.2">
      <c r="A9732" s="1135" t="str">
        <f>CONCATENATE(Programme!C9733,Programme!D9733,Programme!E9733,Programme!F9733,Programme!G9733,Programme!H9733,Programme!I9733)</f>
        <v>&lt;valeur&gt;&lt;/valeur&gt;</v>
      </c>
    </row>
    <row r="9733" spans="1:1" x14ac:dyDescent="0.2">
      <c r="A9733" s="1135" t="str">
        <f>CONCATENATE(Programme!C9734,Programme!D9734,Programme!E9734,Programme!F9734,Programme!G9734,Programme!H9734,Programme!I9734)</f>
        <v>&lt;numeroLigne&gt;2&lt;/numeroLigne&gt;</v>
      </c>
    </row>
    <row r="9734" spans="1:1" x14ac:dyDescent="0.2">
      <c r="A9734" s="1135" t="str">
        <f>CONCATENATE(Programme!C9735,Programme!D9735,Programme!E9735,Programme!F9735,Programme!G9735,Programme!H9735,Programme!I9735)</f>
        <v>&lt;/ValeurCellule&gt;</v>
      </c>
    </row>
    <row r="9735" spans="1:1" x14ac:dyDescent="0.2">
      <c r="A9735" s="1135" t="str">
        <f>CONCATENATE(Programme!C9736,Programme!D9736,Programme!E9736,Programme!F9736,Programme!G9736,Programme!H9736,Programme!I9736)</f>
        <v>&lt;ValeurCellule&gt;</v>
      </c>
    </row>
    <row r="9736" spans="1:1" x14ac:dyDescent="0.2">
      <c r="A9736" s="1135" t="str">
        <f>CONCATENATE(Programme!C9737,Programme!D9737,Programme!E9737,Programme!F9737,Programme!G9737,Programme!H9737,Programme!I9737)</f>
        <v>&lt;cellule&gt;&lt;codeEdi&gt;1213&lt;/codeEdi&gt;&lt;/cellule&gt;</v>
      </c>
    </row>
    <row r="9737" spans="1:1" x14ac:dyDescent="0.2">
      <c r="A9737" s="1135" t="str">
        <f>CONCATENATE(Programme!C9738,Programme!D9738,Programme!E9738,Programme!F9738,Programme!G9738,Programme!H9738,Programme!I9738)</f>
        <v>&lt;valeur&gt;&lt;/valeur&gt;</v>
      </c>
    </row>
    <row r="9738" spans="1:1" x14ac:dyDescent="0.2">
      <c r="A9738" s="1135" t="str">
        <f>CONCATENATE(Programme!C9739,Programme!D9739,Programme!E9739,Programme!F9739,Programme!G9739,Programme!H9739,Programme!I9739)</f>
        <v>&lt;numeroLigne&gt;2&lt;/numeroLigne&gt;</v>
      </c>
    </row>
    <row r="9739" spans="1:1" x14ac:dyDescent="0.2">
      <c r="A9739" s="1135" t="str">
        <f>CONCATENATE(Programme!C9740,Programme!D9740,Programme!E9740,Programme!F9740,Programme!G9740,Programme!H9740,Programme!I9740)</f>
        <v>&lt;/ValeurCellule&gt;</v>
      </c>
    </row>
    <row r="9740" spans="1:1" x14ac:dyDescent="0.2">
      <c r="A9740" s="1135" t="str">
        <f>CONCATENATE(Programme!C9741,Programme!D9741,Programme!E9741,Programme!F9741,Programme!G9741,Programme!H9741,Programme!I9741)</f>
        <v>&lt;ValeurCellule&gt;</v>
      </c>
    </row>
    <row r="9741" spans="1:1" x14ac:dyDescent="0.2">
      <c r="A9741" s="1135" t="str">
        <f>CONCATENATE(Programme!C9742,Programme!D9742,Programme!E9742,Programme!F9742,Programme!G9742,Programme!H9742,Programme!I9742)</f>
        <v>&lt;cellule&gt;&lt;codeEdi&gt;1214&lt;/codeEdi&gt;&lt;/cellule&gt;</v>
      </c>
    </row>
    <row r="9742" spans="1:1" x14ac:dyDescent="0.2">
      <c r="A9742" s="1135" t="str">
        <f>CONCATENATE(Programme!C9743,Programme!D9743,Programme!E9743,Programme!F9743,Programme!G9743,Programme!H9743,Programme!I9743)</f>
        <v>&lt;valeur&gt;&lt;/valeur&gt;</v>
      </c>
    </row>
    <row r="9743" spans="1:1" x14ac:dyDescent="0.2">
      <c r="A9743" s="1135" t="str">
        <f>CONCATENATE(Programme!C9744,Programme!D9744,Programme!E9744,Programme!F9744,Programme!G9744,Programme!H9744,Programme!I9744)</f>
        <v>&lt;numeroLigne&gt;2&lt;/numeroLigne&gt;</v>
      </c>
    </row>
    <row r="9744" spans="1:1" x14ac:dyDescent="0.2">
      <c r="A9744" s="1135" t="str">
        <f>CONCATENATE(Programme!C9745,Programme!D9745,Programme!E9745,Programme!F9745,Programme!G9745,Programme!H9745,Programme!I9745)</f>
        <v>&lt;/ValeurCellule&gt;</v>
      </c>
    </row>
    <row r="9745" spans="1:1" x14ac:dyDescent="0.2">
      <c r="A9745" s="1135" t="str">
        <f>CONCATENATE(Programme!C9746,Programme!D9746,Programme!E9746,Programme!F9746,Programme!G9746,Programme!H9746,Programme!I9746)</f>
        <v>&lt;ValeurCellule&gt;</v>
      </c>
    </row>
    <row r="9746" spans="1:1" x14ac:dyDescent="0.2">
      <c r="A9746" s="1135" t="str">
        <f>CONCATENATE(Programme!C9747,Programme!D9747,Programme!E9747,Programme!F9747,Programme!G9747,Programme!H9747,Programme!I9747)</f>
        <v>&lt;cellule&gt;&lt;codeEdi&gt;1215&lt;/codeEdi&gt;&lt;/cellule&gt;</v>
      </c>
    </row>
    <row r="9747" spans="1:1" x14ac:dyDescent="0.2">
      <c r="A9747" s="1135" t="str">
        <f>CONCATENATE(Programme!C9748,Programme!D9748,Programme!E9748,Programme!F9748,Programme!G9748,Programme!H9748,Programme!I9748)</f>
        <v>&lt;valeur&gt;&lt;/valeur&gt;</v>
      </c>
    </row>
    <row r="9748" spans="1:1" x14ac:dyDescent="0.2">
      <c r="A9748" s="1135" t="str">
        <f>CONCATENATE(Programme!C9749,Programme!D9749,Programme!E9749,Programme!F9749,Programme!G9749,Programme!H9749,Programme!I9749)</f>
        <v>&lt;numeroLigne&gt;2&lt;/numeroLigne&gt;</v>
      </c>
    </row>
    <row r="9749" spans="1:1" x14ac:dyDescent="0.2">
      <c r="A9749" s="1135" t="str">
        <f>CONCATENATE(Programme!C9750,Programme!D9750,Programme!E9750,Programme!F9750,Programme!G9750,Programme!H9750,Programme!I9750)</f>
        <v>&lt;/ValeurCellule&gt;</v>
      </c>
    </row>
    <row r="9750" spans="1:1" x14ac:dyDescent="0.2">
      <c r="A9750" s="1135" t="str">
        <f>CONCATENATE(Programme!C9751,Programme!D9751,Programme!E9751,Programme!F9751,Programme!G9751,Programme!H9751,Programme!I9751)</f>
        <v>&lt;ValeurCellule&gt;</v>
      </c>
    </row>
    <row r="9751" spans="1:1" x14ac:dyDescent="0.2">
      <c r="A9751" s="1135" t="str">
        <f>CONCATENATE(Programme!C9752,Programme!D9752,Programme!E9752,Programme!F9752,Programme!G9752,Programme!H9752,Programme!I9752)</f>
        <v>&lt;cellule&gt;&lt;codeEdi&gt;1216&lt;/codeEdi&gt;&lt;/cellule&gt;</v>
      </c>
    </row>
    <row r="9752" spans="1:1" x14ac:dyDescent="0.2">
      <c r="A9752" s="1135" t="str">
        <f>CONCATENATE(Programme!C9753,Programme!D9753,Programme!E9753,Programme!F9753,Programme!G9753,Programme!H9753,Programme!I9753)</f>
        <v>&lt;valeur&gt;&lt;/valeur&gt;</v>
      </c>
    </row>
    <row r="9753" spans="1:1" x14ac:dyDescent="0.2">
      <c r="A9753" s="1135" t="str">
        <f>CONCATENATE(Programme!C9754,Programme!D9754,Programme!E9754,Programme!F9754,Programme!G9754,Programme!H9754,Programme!I9754)</f>
        <v>&lt;numeroLigne&gt;2&lt;/numeroLigne&gt;</v>
      </c>
    </row>
    <row r="9754" spans="1:1" x14ac:dyDescent="0.2">
      <c r="A9754" s="1135" t="str">
        <f>CONCATENATE(Programme!C9755,Programme!D9755,Programme!E9755,Programme!F9755,Programme!G9755,Programme!H9755,Programme!I9755)</f>
        <v>&lt;/ValeurCellule&gt;</v>
      </c>
    </row>
    <row r="9755" spans="1:1" x14ac:dyDescent="0.2">
      <c r="A9755" s="1135" t="str">
        <f>CONCATENATE(Programme!C9756,Programme!D9756,Programme!E9756,Programme!F9756,Programme!G9756,Programme!H9756,Programme!I9756)</f>
        <v>&lt;ValeurCellule&gt;</v>
      </c>
    </row>
    <row r="9756" spans="1:1" x14ac:dyDescent="0.2">
      <c r="A9756" s="1135" t="str">
        <f>CONCATENATE(Programme!C9757,Programme!D9757,Programme!E9757,Programme!F9757,Programme!G9757,Programme!H9757,Programme!I9757)</f>
        <v>&lt;cellule&gt;&lt;codeEdi&gt;1217&lt;/codeEdi&gt;&lt;/cellule&gt;</v>
      </c>
    </row>
    <row r="9757" spans="1:1" x14ac:dyDescent="0.2">
      <c r="A9757" s="1135" t="str">
        <f>CONCATENATE(Programme!C9758,Programme!D9758,Programme!E9758,Programme!F9758,Programme!G9758,Programme!H9758,Programme!I9758)</f>
        <v>&lt;valeur&gt;&lt;/valeur&gt;</v>
      </c>
    </row>
    <row r="9758" spans="1:1" x14ac:dyDescent="0.2">
      <c r="A9758" s="1135" t="str">
        <f>CONCATENATE(Programme!C9759,Programme!D9759,Programme!E9759,Programme!F9759,Programme!G9759,Programme!H9759,Programme!I9759)</f>
        <v>&lt;numeroLigne&gt;2&lt;/numeroLigne&gt;</v>
      </c>
    </row>
    <row r="9759" spans="1:1" x14ac:dyDescent="0.2">
      <c r="A9759" s="1135" t="str">
        <f>CONCATENATE(Programme!C9760,Programme!D9760,Programme!E9760,Programme!F9760,Programme!G9760,Programme!H9760,Programme!I9760)</f>
        <v>&lt;/ValeurCellule&gt;</v>
      </c>
    </row>
    <row r="9760" spans="1:1" x14ac:dyDescent="0.2">
      <c r="A9760" s="1135" t="str">
        <f>CONCATENATE(Programme!C9761,Programme!D9761,Programme!E9761,Programme!F9761,Programme!G9761,Programme!H9761,Programme!I9761)</f>
        <v>&lt;ValeurCellule&gt;</v>
      </c>
    </row>
    <row r="9761" spans="1:1" x14ac:dyDescent="0.2">
      <c r="A9761" s="1135" t="str">
        <f>CONCATENATE(Programme!C9762,Programme!D9762,Programme!E9762,Programme!F9762,Programme!G9762,Programme!H9762,Programme!I9762)</f>
        <v>&lt;cellule&gt;&lt;codeEdi&gt;1218&lt;/codeEdi&gt;&lt;/cellule&gt;</v>
      </c>
    </row>
    <row r="9762" spans="1:1" x14ac:dyDescent="0.2">
      <c r="A9762" s="1135" t="str">
        <f>CONCATENATE(Programme!C9763,Programme!D9763,Programme!E9763,Programme!F9763,Programme!G9763,Programme!H9763,Programme!I9763)</f>
        <v>&lt;valeur&gt;&lt;/valeur&gt;</v>
      </c>
    </row>
    <row r="9763" spans="1:1" x14ac:dyDescent="0.2">
      <c r="A9763" s="1135" t="str">
        <f>CONCATENATE(Programme!C9764,Programme!D9764,Programme!E9764,Programme!F9764,Programme!G9764,Programme!H9764,Programme!I9764)</f>
        <v>&lt;numeroLigne&gt;2&lt;/numeroLigne&gt;</v>
      </c>
    </row>
    <row r="9764" spans="1:1" x14ac:dyDescent="0.2">
      <c r="A9764" s="1135" t="str">
        <f>CONCATENATE(Programme!C9765,Programme!D9765,Programme!E9765,Programme!F9765,Programme!G9765,Programme!H9765,Programme!I9765)</f>
        <v>&lt;/ValeurCellule&gt;</v>
      </c>
    </row>
    <row r="9765" spans="1:1" x14ac:dyDescent="0.2">
      <c r="A9765" s="1135" t="str">
        <f>CONCATENATE(Programme!C9766,Programme!D9766,Programme!E9766,Programme!F9766,Programme!G9766,Programme!H9766,Programme!I9766)</f>
        <v>&lt;ValeurCellule&gt;</v>
      </c>
    </row>
    <row r="9766" spans="1:1" x14ac:dyDescent="0.2">
      <c r="A9766" s="1135" t="str">
        <f>CONCATENATE(Programme!C9767,Programme!D9767,Programme!E9767,Programme!F9767,Programme!G9767,Programme!H9767,Programme!I9767)</f>
        <v>&lt;cellule&gt;&lt;codeEdi&gt;1219&lt;/codeEdi&gt;&lt;/cellule&gt;</v>
      </c>
    </row>
    <row r="9767" spans="1:1" x14ac:dyDescent="0.2">
      <c r="A9767" s="1135" t="str">
        <f>CONCATENATE(Programme!C9768,Programme!D9768,Programme!E9768,Programme!F9768,Programme!G9768,Programme!H9768,Programme!I9768)</f>
        <v>&lt;valeur&gt;&lt;/valeur&gt;</v>
      </c>
    </row>
    <row r="9768" spans="1:1" x14ac:dyDescent="0.2">
      <c r="A9768" s="1135" t="str">
        <f>CONCATENATE(Programme!C9769,Programme!D9769,Programme!E9769,Programme!F9769,Programme!G9769,Programme!H9769,Programme!I9769)</f>
        <v>&lt;numeroLigne&gt;2&lt;/numeroLigne&gt;</v>
      </c>
    </row>
    <row r="9769" spans="1:1" x14ac:dyDescent="0.2">
      <c r="A9769" s="1135" t="str">
        <f>CONCATENATE(Programme!C9770,Programme!D9770,Programme!E9770,Programme!F9770,Programme!G9770,Programme!H9770,Programme!I9770)</f>
        <v>&lt;/ValeurCellule&gt;</v>
      </c>
    </row>
    <row r="9770" spans="1:1" x14ac:dyDescent="0.2">
      <c r="A9770" s="1135" t="str">
        <f>CONCATENATE(Programme!C9771,Programme!D9771,Programme!E9771,Programme!F9771,Programme!G9771,Programme!H9771,Programme!I9771)</f>
        <v>&lt;ValeurCellule&gt;</v>
      </c>
    </row>
    <row r="9771" spans="1:1" x14ac:dyDescent="0.2">
      <c r="A9771" s="1135" t="str">
        <f>CONCATENATE(Programme!C9772,Programme!D9772,Programme!E9772,Programme!F9772,Programme!G9772,Programme!H9772,Programme!I9772)</f>
        <v>&lt;cellule&gt;&lt;codeEdi&gt;1220&lt;/codeEdi&gt;&lt;/cellule&gt;</v>
      </c>
    </row>
    <row r="9772" spans="1:1" x14ac:dyDescent="0.2">
      <c r="A9772" s="1135" t="str">
        <f>CONCATENATE(Programme!C9773,Programme!D9773,Programme!E9773,Programme!F9773,Programme!G9773,Programme!H9773,Programme!I9773)</f>
        <v>&lt;valeur&gt;&lt;/valeur&gt;</v>
      </c>
    </row>
    <row r="9773" spans="1:1" x14ac:dyDescent="0.2">
      <c r="A9773" s="1135" t="str">
        <f>CONCATENATE(Programme!C9774,Programme!D9774,Programme!E9774,Programme!F9774,Programme!G9774,Programme!H9774,Programme!I9774)</f>
        <v>&lt;numeroLigne&gt;2&lt;/numeroLigne&gt;</v>
      </c>
    </row>
    <row r="9774" spans="1:1" x14ac:dyDescent="0.2">
      <c r="A9774" s="1135" t="str">
        <f>CONCATENATE(Programme!C9775,Programme!D9775,Programme!E9775,Programme!F9775,Programme!G9775,Programme!H9775,Programme!I9775)</f>
        <v>&lt;/ValeurCellule&gt;</v>
      </c>
    </row>
    <row r="9775" spans="1:1" x14ac:dyDescent="0.2">
      <c r="A9775" s="1135" t="str">
        <f>CONCATENATE(Programme!C9776,Programme!D9776,Programme!E9776,Programme!F9776,Programme!G9776,Programme!H9776,Programme!I9776)</f>
        <v>&lt;ValeurCellule&gt;</v>
      </c>
    </row>
    <row r="9776" spans="1:1" x14ac:dyDescent="0.2">
      <c r="A9776" s="1135" t="str">
        <f>CONCATENATE(Programme!C9777,Programme!D9777,Programme!E9777,Programme!F9777,Programme!G9777,Programme!H9777,Programme!I9777)</f>
        <v>&lt;cellule&gt;&lt;codeEdi&gt;1208&lt;/codeEdi&gt;&lt;/cellule&gt;</v>
      </c>
    </row>
    <row r="9777" spans="1:1" x14ac:dyDescent="0.2">
      <c r="A9777" s="1135" t="str">
        <f>CONCATENATE(Programme!C9778,Programme!D9778,Programme!E9778,Programme!F9778,Programme!G9778,Programme!H9778,Programme!I9778)</f>
        <v>&lt;valeur&gt;&lt;/valeur&gt;</v>
      </c>
    </row>
    <row r="9778" spans="1:1" x14ac:dyDescent="0.2">
      <c r="A9778" s="1135" t="str">
        <f>CONCATENATE(Programme!C9779,Programme!D9779,Programme!E9779,Programme!F9779,Programme!G9779,Programme!H9779,Programme!I9779)</f>
        <v>&lt;numeroLigne&gt;3&lt;/numeroLigne&gt;</v>
      </c>
    </row>
    <row r="9779" spans="1:1" x14ac:dyDescent="0.2">
      <c r="A9779" s="1135" t="str">
        <f>CONCATENATE(Programme!C9780,Programme!D9780,Programme!E9780,Programme!F9780,Programme!G9780,Programme!H9780,Programme!I9780)</f>
        <v>&lt;/ValeurCellule&gt;</v>
      </c>
    </row>
    <row r="9780" spans="1:1" x14ac:dyDescent="0.2">
      <c r="A9780" s="1135" t="str">
        <f>CONCATENATE(Programme!C9781,Programme!D9781,Programme!E9781,Programme!F9781,Programme!G9781,Programme!H9781,Programme!I9781)</f>
        <v>&lt;ValeurCellule&gt;</v>
      </c>
    </row>
    <row r="9781" spans="1:1" x14ac:dyDescent="0.2">
      <c r="A9781" s="1135" t="str">
        <f>CONCATENATE(Programme!C9782,Programme!D9782,Programme!E9782,Programme!F9782,Programme!G9782,Programme!H9782,Programme!I9782)</f>
        <v>&lt;cellule&gt;&lt;codeEdi&gt;1209&lt;/codeEdi&gt;&lt;/cellule&gt;</v>
      </c>
    </row>
    <row r="9782" spans="1:1" x14ac:dyDescent="0.2">
      <c r="A9782" s="1135" t="str">
        <f>CONCATENATE(Programme!C9783,Programme!D9783,Programme!E9783,Programme!F9783,Programme!G9783,Programme!H9783,Programme!I9783)</f>
        <v>&lt;valeur&gt;&lt;/valeur&gt;</v>
      </c>
    </row>
    <row r="9783" spans="1:1" x14ac:dyDescent="0.2">
      <c r="A9783" s="1135" t="str">
        <f>CONCATENATE(Programme!C9784,Programme!D9784,Programme!E9784,Programme!F9784,Programme!G9784,Programme!H9784,Programme!I9784)</f>
        <v>&lt;numeroLigne&gt;3&lt;/numeroLigne&gt;</v>
      </c>
    </row>
    <row r="9784" spans="1:1" x14ac:dyDescent="0.2">
      <c r="A9784" s="1135" t="str">
        <f>CONCATENATE(Programme!C9785,Programme!D9785,Programme!E9785,Programme!F9785,Programme!G9785,Programme!H9785,Programme!I9785)</f>
        <v>&lt;/ValeurCellule&gt;</v>
      </c>
    </row>
    <row r="9785" spans="1:1" x14ac:dyDescent="0.2">
      <c r="A9785" s="1135" t="str">
        <f>CONCATENATE(Programme!C9786,Programme!D9786,Programme!E9786,Programme!F9786,Programme!G9786,Programme!H9786,Programme!I9786)</f>
        <v>&lt;ValeurCellule&gt;</v>
      </c>
    </row>
    <row r="9786" spans="1:1" x14ac:dyDescent="0.2">
      <c r="A9786" s="1135" t="str">
        <f>CONCATENATE(Programme!C9787,Programme!D9787,Programme!E9787,Programme!F9787,Programme!G9787,Programme!H9787,Programme!I9787)</f>
        <v>&lt;cellule&gt;&lt;codeEdi&gt;1210&lt;/codeEdi&gt;&lt;/cellule&gt;</v>
      </c>
    </row>
    <row r="9787" spans="1:1" x14ac:dyDescent="0.2">
      <c r="A9787" s="1135" t="str">
        <f>CONCATENATE(Programme!C9788,Programme!D9788,Programme!E9788,Programme!F9788,Programme!G9788,Programme!H9788,Programme!I9788)</f>
        <v>&lt;valeur&gt;&lt;/valeur&gt;</v>
      </c>
    </row>
    <row r="9788" spans="1:1" x14ac:dyDescent="0.2">
      <c r="A9788" s="1135" t="str">
        <f>CONCATENATE(Programme!C9789,Programme!D9789,Programme!E9789,Programme!F9789,Programme!G9789,Programme!H9789,Programme!I9789)</f>
        <v>&lt;numeroLigne&gt;3&lt;/numeroLigne&gt;</v>
      </c>
    </row>
    <row r="9789" spans="1:1" x14ac:dyDescent="0.2">
      <c r="A9789" s="1135" t="str">
        <f>CONCATENATE(Programme!C9790,Programme!D9790,Programme!E9790,Programme!F9790,Programme!G9790,Programme!H9790,Programme!I9790)</f>
        <v>&lt;/ValeurCellule&gt;</v>
      </c>
    </row>
    <row r="9790" spans="1:1" x14ac:dyDescent="0.2">
      <c r="A9790" s="1135" t="str">
        <f>CONCATENATE(Programme!C9791,Programme!D9791,Programme!E9791,Programme!F9791,Programme!G9791,Programme!H9791,Programme!I9791)</f>
        <v>&lt;ValeurCellule&gt;</v>
      </c>
    </row>
    <row r="9791" spans="1:1" x14ac:dyDescent="0.2">
      <c r="A9791" s="1135" t="str">
        <f>CONCATENATE(Programme!C9792,Programme!D9792,Programme!E9792,Programme!F9792,Programme!G9792,Programme!H9792,Programme!I9792)</f>
        <v>&lt;cellule&gt;&lt;codeEdi&gt;1211&lt;/codeEdi&gt;&lt;/cellule&gt;</v>
      </c>
    </row>
    <row r="9792" spans="1:1" x14ac:dyDescent="0.2">
      <c r="A9792" s="1135" t="str">
        <f>CONCATENATE(Programme!C9793,Programme!D9793,Programme!E9793,Programme!F9793,Programme!G9793,Programme!H9793,Programme!I9793)</f>
        <v>&lt;valeur&gt;&lt;/valeur&gt;</v>
      </c>
    </row>
    <row r="9793" spans="1:1" x14ac:dyDescent="0.2">
      <c r="A9793" s="1135" t="str">
        <f>CONCATENATE(Programme!C9794,Programme!D9794,Programme!E9794,Programme!F9794,Programme!G9794,Programme!H9794,Programme!I9794)</f>
        <v>&lt;numeroLigne&gt;3&lt;/numeroLigne&gt;</v>
      </c>
    </row>
    <row r="9794" spans="1:1" x14ac:dyDescent="0.2">
      <c r="A9794" s="1135" t="str">
        <f>CONCATENATE(Programme!C9795,Programme!D9795,Programme!E9795,Programme!F9795,Programme!G9795,Programme!H9795,Programme!I9795)</f>
        <v>&lt;/ValeurCellule&gt;</v>
      </c>
    </row>
    <row r="9795" spans="1:1" x14ac:dyDescent="0.2">
      <c r="A9795" s="1135" t="str">
        <f>CONCATENATE(Programme!C9796,Programme!D9796,Programme!E9796,Programme!F9796,Programme!G9796,Programme!H9796,Programme!I9796)</f>
        <v>&lt;ValeurCellule&gt;</v>
      </c>
    </row>
    <row r="9796" spans="1:1" x14ac:dyDescent="0.2">
      <c r="A9796" s="1135" t="str">
        <f>CONCATENATE(Programme!C9797,Programme!D9797,Programme!E9797,Programme!F9797,Programme!G9797,Programme!H9797,Programme!I9797)</f>
        <v>&lt;cellule&gt;&lt;codeEdi&gt;1212&lt;/codeEdi&gt;&lt;/cellule&gt;</v>
      </c>
    </row>
    <row r="9797" spans="1:1" x14ac:dyDescent="0.2">
      <c r="A9797" s="1135" t="str">
        <f>CONCATENATE(Programme!C9798,Programme!D9798,Programme!E9798,Programme!F9798,Programme!G9798,Programme!H9798,Programme!I9798)</f>
        <v>&lt;valeur&gt;&lt;/valeur&gt;</v>
      </c>
    </row>
    <row r="9798" spans="1:1" x14ac:dyDescent="0.2">
      <c r="A9798" s="1135" t="str">
        <f>CONCATENATE(Programme!C9799,Programme!D9799,Programme!E9799,Programme!F9799,Programme!G9799,Programme!H9799,Programme!I9799)</f>
        <v>&lt;numeroLigne&gt;3&lt;/numeroLigne&gt;</v>
      </c>
    </row>
    <row r="9799" spans="1:1" x14ac:dyDescent="0.2">
      <c r="A9799" s="1135" t="str">
        <f>CONCATENATE(Programme!C9800,Programme!D9800,Programme!E9800,Programme!F9800,Programme!G9800,Programme!H9800,Programme!I9800)</f>
        <v>&lt;/ValeurCellule&gt;</v>
      </c>
    </row>
    <row r="9800" spans="1:1" x14ac:dyDescent="0.2">
      <c r="A9800" s="1135" t="str">
        <f>CONCATENATE(Programme!C9801,Programme!D9801,Programme!E9801,Programme!F9801,Programme!G9801,Programme!H9801,Programme!I9801)</f>
        <v>&lt;ValeurCellule&gt;</v>
      </c>
    </row>
    <row r="9801" spans="1:1" x14ac:dyDescent="0.2">
      <c r="A9801" s="1135" t="str">
        <f>CONCATENATE(Programme!C9802,Programme!D9802,Programme!E9802,Programme!F9802,Programme!G9802,Programme!H9802,Programme!I9802)</f>
        <v>&lt;cellule&gt;&lt;codeEdi&gt;1213&lt;/codeEdi&gt;&lt;/cellule&gt;</v>
      </c>
    </row>
    <row r="9802" spans="1:1" x14ac:dyDescent="0.2">
      <c r="A9802" s="1135" t="str">
        <f>CONCATENATE(Programme!C9803,Programme!D9803,Programme!E9803,Programme!F9803,Programme!G9803,Programme!H9803,Programme!I9803)</f>
        <v>&lt;valeur&gt;&lt;/valeur&gt;</v>
      </c>
    </row>
    <row r="9803" spans="1:1" x14ac:dyDescent="0.2">
      <c r="A9803" s="1135" t="str">
        <f>CONCATENATE(Programme!C9804,Programme!D9804,Programme!E9804,Programme!F9804,Programme!G9804,Programme!H9804,Programme!I9804)</f>
        <v>&lt;numeroLigne&gt;3&lt;/numeroLigne&gt;</v>
      </c>
    </row>
    <row r="9804" spans="1:1" x14ac:dyDescent="0.2">
      <c r="A9804" s="1135" t="str">
        <f>CONCATENATE(Programme!C9805,Programme!D9805,Programme!E9805,Programme!F9805,Programme!G9805,Programme!H9805,Programme!I9805)</f>
        <v>&lt;/ValeurCellule&gt;</v>
      </c>
    </row>
    <row r="9805" spans="1:1" x14ac:dyDescent="0.2">
      <c r="A9805" s="1135" t="str">
        <f>CONCATENATE(Programme!C9806,Programme!D9806,Programme!E9806,Programme!F9806,Programme!G9806,Programme!H9806,Programme!I9806)</f>
        <v>&lt;ValeurCellule&gt;</v>
      </c>
    </row>
    <row r="9806" spans="1:1" x14ac:dyDescent="0.2">
      <c r="A9806" s="1135" t="str">
        <f>CONCATENATE(Programme!C9807,Programme!D9807,Programme!E9807,Programme!F9807,Programme!G9807,Programme!H9807,Programme!I9807)</f>
        <v>&lt;cellule&gt;&lt;codeEdi&gt;1214&lt;/codeEdi&gt;&lt;/cellule&gt;</v>
      </c>
    </row>
    <row r="9807" spans="1:1" x14ac:dyDescent="0.2">
      <c r="A9807" s="1135" t="str">
        <f>CONCATENATE(Programme!C9808,Programme!D9808,Programme!E9808,Programme!F9808,Programme!G9808,Programme!H9808,Programme!I9808)</f>
        <v>&lt;valeur&gt;&lt;/valeur&gt;</v>
      </c>
    </row>
    <row r="9808" spans="1:1" x14ac:dyDescent="0.2">
      <c r="A9808" s="1135" t="str">
        <f>CONCATENATE(Programme!C9809,Programme!D9809,Programme!E9809,Programme!F9809,Programme!G9809,Programme!H9809,Programme!I9809)</f>
        <v>&lt;numeroLigne&gt;3&lt;/numeroLigne&gt;</v>
      </c>
    </row>
    <row r="9809" spans="1:1" x14ac:dyDescent="0.2">
      <c r="A9809" s="1135" t="str">
        <f>CONCATENATE(Programme!C9810,Programme!D9810,Programme!E9810,Programme!F9810,Programme!G9810,Programme!H9810,Programme!I9810)</f>
        <v>&lt;/ValeurCellule&gt;</v>
      </c>
    </row>
    <row r="9810" spans="1:1" x14ac:dyDescent="0.2">
      <c r="A9810" s="1135" t="str">
        <f>CONCATENATE(Programme!C9811,Programme!D9811,Programme!E9811,Programme!F9811,Programme!G9811,Programme!H9811,Programme!I9811)</f>
        <v>&lt;ValeurCellule&gt;</v>
      </c>
    </row>
    <row r="9811" spans="1:1" x14ac:dyDescent="0.2">
      <c r="A9811" s="1135" t="str">
        <f>CONCATENATE(Programme!C9812,Programme!D9812,Programme!E9812,Programme!F9812,Programme!G9812,Programme!H9812,Programme!I9812)</f>
        <v>&lt;cellule&gt;&lt;codeEdi&gt;1215&lt;/codeEdi&gt;&lt;/cellule&gt;</v>
      </c>
    </row>
    <row r="9812" spans="1:1" x14ac:dyDescent="0.2">
      <c r="A9812" s="1135" t="str">
        <f>CONCATENATE(Programme!C9813,Programme!D9813,Programme!E9813,Programme!F9813,Programme!G9813,Programme!H9813,Programme!I9813)</f>
        <v>&lt;valeur&gt;&lt;/valeur&gt;</v>
      </c>
    </row>
    <row r="9813" spans="1:1" x14ac:dyDescent="0.2">
      <c r="A9813" s="1135" t="str">
        <f>CONCATENATE(Programme!C9814,Programme!D9814,Programme!E9814,Programme!F9814,Programme!G9814,Programme!H9814,Programme!I9814)</f>
        <v>&lt;numeroLigne&gt;3&lt;/numeroLigne&gt;</v>
      </c>
    </row>
    <row r="9814" spans="1:1" x14ac:dyDescent="0.2">
      <c r="A9814" s="1135" t="str">
        <f>CONCATENATE(Programme!C9815,Programme!D9815,Programme!E9815,Programme!F9815,Programme!G9815,Programme!H9815,Programme!I9815)</f>
        <v>&lt;/ValeurCellule&gt;</v>
      </c>
    </row>
    <row r="9815" spans="1:1" x14ac:dyDescent="0.2">
      <c r="A9815" s="1135" t="str">
        <f>CONCATENATE(Programme!C9816,Programme!D9816,Programme!E9816,Programme!F9816,Programme!G9816,Programme!H9816,Programme!I9816)</f>
        <v>&lt;ValeurCellule&gt;</v>
      </c>
    </row>
    <row r="9816" spans="1:1" x14ac:dyDescent="0.2">
      <c r="A9816" s="1135" t="str">
        <f>CONCATENATE(Programme!C9817,Programme!D9817,Programme!E9817,Programme!F9817,Programme!G9817,Programme!H9817,Programme!I9817)</f>
        <v>&lt;cellule&gt;&lt;codeEdi&gt;1216&lt;/codeEdi&gt;&lt;/cellule&gt;</v>
      </c>
    </row>
    <row r="9817" spans="1:1" x14ac:dyDescent="0.2">
      <c r="A9817" s="1135" t="str">
        <f>CONCATENATE(Programme!C9818,Programme!D9818,Programme!E9818,Programme!F9818,Programme!G9818,Programme!H9818,Programme!I9818)</f>
        <v>&lt;valeur&gt;&lt;/valeur&gt;</v>
      </c>
    </row>
    <row r="9818" spans="1:1" x14ac:dyDescent="0.2">
      <c r="A9818" s="1135" t="str">
        <f>CONCATENATE(Programme!C9819,Programme!D9819,Programme!E9819,Programme!F9819,Programme!G9819,Programme!H9819,Programme!I9819)</f>
        <v>&lt;numeroLigne&gt;3&lt;/numeroLigne&gt;</v>
      </c>
    </row>
    <row r="9819" spans="1:1" x14ac:dyDescent="0.2">
      <c r="A9819" s="1135" t="str">
        <f>CONCATENATE(Programme!C9820,Programme!D9820,Programme!E9820,Programme!F9820,Programme!G9820,Programme!H9820,Programme!I9820)</f>
        <v>&lt;/ValeurCellule&gt;</v>
      </c>
    </row>
    <row r="9820" spans="1:1" x14ac:dyDescent="0.2">
      <c r="A9820" s="1135" t="str">
        <f>CONCATENATE(Programme!C9821,Programme!D9821,Programme!E9821,Programme!F9821,Programme!G9821,Programme!H9821,Programme!I9821)</f>
        <v>&lt;ValeurCellule&gt;</v>
      </c>
    </row>
    <row r="9821" spans="1:1" x14ac:dyDescent="0.2">
      <c r="A9821" s="1135" t="str">
        <f>CONCATENATE(Programme!C9822,Programme!D9822,Programme!E9822,Programme!F9822,Programme!G9822,Programme!H9822,Programme!I9822)</f>
        <v>&lt;cellule&gt;&lt;codeEdi&gt;1217&lt;/codeEdi&gt;&lt;/cellule&gt;</v>
      </c>
    </row>
    <row r="9822" spans="1:1" x14ac:dyDescent="0.2">
      <c r="A9822" s="1135" t="str">
        <f>CONCATENATE(Programme!C9823,Programme!D9823,Programme!E9823,Programme!F9823,Programme!G9823,Programme!H9823,Programme!I9823)</f>
        <v>&lt;valeur&gt;&lt;/valeur&gt;</v>
      </c>
    </row>
    <row r="9823" spans="1:1" x14ac:dyDescent="0.2">
      <c r="A9823" s="1135" t="str">
        <f>CONCATENATE(Programme!C9824,Programme!D9824,Programme!E9824,Programme!F9824,Programme!G9824,Programme!H9824,Programme!I9824)</f>
        <v>&lt;numeroLigne&gt;3&lt;/numeroLigne&gt;</v>
      </c>
    </row>
    <row r="9824" spans="1:1" x14ac:dyDescent="0.2">
      <c r="A9824" s="1135" t="str">
        <f>CONCATENATE(Programme!C9825,Programme!D9825,Programme!E9825,Programme!F9825,Programme!G9825,Programme!H9825,Programme!I9825)</f>
        <v>&lt;/ValeurCellule&gt;</v>
      </c>
    </row>
    <row r="9825" spans="1:1" x14ac:dyDescent="0.2">
      <c r="A9825" s="1135" t="str">
        <f>CONCATENATE(Programme!C9826,Programme!D9826,Programme!E9826,Programme!F9826,Programme!G9826,Programme!H9826,Programme!I9826)</f>
        <v>&lt;ValeurCellule&gt;</v>
      </c>
    </row>
    <row r="9826" spans="1:1" x14ac:dyDescent="0.2">
      <c r="A9826" s="1135" t="str">
        <f>CONCATENATE(Programme!C9827,Programme!D9827,Programme!E9827,Programme!F9827,Programme!G9827,Programme!H9827,Programme!I9827)</f>
        <v>&lt;cellule&gt;&lt;codeEdi&gt;1218&lt;/codeEdi&gt;&lt;/cellule&gt;</v>
      </c>
    </row>
    <row r="9827" spans="1:1" x14ac:dyDescent="0.2">
      <c r="A9827" s="1135" t="str">
        <f>CONCATENATE(Programme!C9828,Programme!D9828,Programme!E9828,Programme!F9828,Programme!G9828,Programme!H9828,Programme!I9828)</f>
        <v>&lt;valeur&gt;&lt;/valeur&gt;</v>
      </c>
    </row>
    <row r="9828" spans="1:1" x14ac:dyDescent="0.2">
      <c r="A9828" s="1135" t="str">
        <f>CONCATENATE(Programme!C9829,Programme!D9829,Programme!E9829,Programme!F9829,Programme!G9829,Programme!H9829,Programme!I9829)</f>
        <v>&lt;numeroLigne&gt;3&lt;/numeroLigne&gt;</v>
      </c>
    </row>
    <row r="9829" spans="1:1" x14ac:dyDescent="0.2">
      <c r="A9829" s="1135" t="str">
        <f>CONCATENATE(Programme!C9830,Programme!D9830,Programme!E9830,Programme!F9830,Programme!G9830,Programme!H9830,Programme!I9830)</f>
        <v>&lt;/ValeurCellule&gt;</v>
      </c>
    </row>
    <row r="9830" spans="1:1" x14ac:dyDescent="0.2">
      <c r="A9830" s="1135" t="str">
        <f>CONCATENATE(Programme!C9831,Programme!D9831,Programme!E9831,Programme!F9831,Programme!G9831,Programme!H9831,Programme!I9831)</f>
        <v>&lt;ValeurCellule&gt;</v>
      </c>
    </row>
    <row r="9831" spans="1:1" x14ac:dyDescent="0.2">
      <c r="A9831" s="1135" t="str">
        <f>CONCATENATE(Programme!C9832,Programme!D9832,Programme!E9832,Programme!F9832,Programme!G9832,Programme!H9832,Programme!I9832)</f>
        <v>&lt;cellule&gt;&lt;codeEdi&gt;1219&lt;/codeEdi&gt;&lt;/cellule&gt;</v>
      </c>
    </row>
    <row r="9832" spans="1:1" x14ac:dyDescent="0.2">
      <c r="A9832" s="1135" t="str">
        <f>CONCATENATE(Programme!C9833,Programme!D9833,Programme!E9833,Programme!F9833,Programme!G9833,Programme!H9833,Programme!I9833)</f>
        <v>&lt;valeur&gt;&lt;/valeur&gt;</v>
      </c>
    </row>
    <row r="9833" spans="1:1" x14ac:dyDescent="0.2">
      <c r="A9833" s="1135" t="str">
        <f>CONCATENATE(Programme!C9834,Programme!D9834,Programme!E9834,Programme!F9834,Programme!G9834,Programme!H9834,Programme!I9834)</f>
        <v>&lt;numeroLigne&gt;3&lt;/numeroLigne&gt;</v>
      </c>
    </row>
    <row r="9834" spans="1:1" x14ac:dyDescent="0.2">
      <c r="A9834" s="1135" t="str">
        <f>CONCATENATE(Programme!C9835,Programme!D9835,Programme!E9835,Programme!F9835,Programme!G9835,Programme!H9835,Programme!I9835)</f>
        <v>&lt;/ValeurCellule&gt;</v>
      </c>
    </row>
    <row r="9835" spans="1:1" x14ac:dyDescent="0.2">
      <c r="A9835" s="1135" t="str">
        <f>CONCATENATE(Programme!C9836,Programme!D9836,Programme!E9836,Programme!F9836,Programme!G9836,Programme!H9836,Programme!I9836)</f>
        <v>&lt;ValeurCellule&gt;</v>
      </c>
    </row>
    <row r="9836" spans="1:1" x14ac:dyDescent="0.2">
      <c r="A9836" s="1135" t="str">
        <f>CONCATENATE(Programme!C9837,Programme!D9837,Programme!E9837,Programme!F9837,Programme!G9837,Programme!H9837,Programme!I9837)</f>
        <v>&lt;cellule&gt;&lt;codeEdi&gt;1220&lt;/codeEdi&gt;&lt;/cellule&gt;</v>
      </c>
    </row>
    <row r="9837" spans="1:1" x14ac:dyDescent="0.2">
      <c r="A9837" s="1135" t="str">
        <f>CONCATENATE(Programme!C9838,Programme!D9838,Programme!E9838,Programme!F9838,Programme!G9838,Programme!H9838,Programme!I9838)</f>
        <v>&lt;valeur&gt;&lt;/valeur&gt;</v>
      </c>
    </row>
    <row r="9838" spans="1:1" x14ac:dyDescent="0.2">
      <c r="A9838" s="1135" t="str">
        <f>CONCATENATE(Programme!C9839,Programme!D9839,Programme!E9839,Programme!F9839,Programme!G9839,Programme!H9839,Programme!I9839)</f>
        <v>&lt;numeroLigne&gt;3&lt;/numeroLigne&gt;</v>
      </c>
    </row>
    <row r="9839" spans="1:1" x14ac:dyDescent="0.2">
      <c r="A9839" s="1135" t="str">
        <f>CONCATENATE(Programme!C9840,Programme!D9840,Programme!E9840,Programme!F9840,Programme!G9840,Programme!H9840,Programme!I9840)</f>
        <v>&lt;/ValeurCellule&gt;</v>
      </c>
    </row>
    <row r="9840" spans="1:1" x14ac:dyDescent="0.2">
      <c r="A9840" s="1135" t="str">
        <f>CONCATENATE(Programme!C9841,Programme!D9841,Programme!E9841,Programme!F9841,Programme!G9841,Programme!H9841,Programme!I9841)</f>
        <v>&lt;ValeurCellule&gt;</v>
      </c>
    </row>
    <row r="9841" spans="1:1" x14ac:dyDescent="0.2">
      <c r="A9841" s="1135" t="str">
        <f>CONCATENATE(Programme!C9842,Programme!D9842,Programme!E9842,Programme!F9842,Programme!G9842,Programme!H9842,Programme!I9842)</f>
        <v>&lt;cellule&gt;&lt;codeEdi&gt;1208&lt;/codeEdi&gt;&lt;/cellule&gt;</v>
      </c>
    </row>
    <row r="9842" spans="1:1" x14ac:dyDescent="0.2">
      <c r="A9842" s="1135" t="str">
        <f>CONCATENATE(Programme!C9843,Programme!D9843,Programme!E9843,Programme!F9843,Programme!G9843,Programme!H9843,Programme!I9843)</f>
        <v>&lt;valeur&gt;&lt;/valeur&gt;</v>
      </c>
    </row>
    <row r="9843" spans="1:1" x14ac:dyDescent="0.2">
      <c r="A9843" s="1135" t="str">
        <f>CONCATENATE(Programme!C9844,Programme!D9844,Programme!E9844,Programme!F9844,Programme!G9844,Programme!H9844,Programme!I9844)</f>
        <v>&lt;numeroLigne&gt;4&lt;/numeroLigne&gt;</v>
      </c>
    </row>
    <row r="9844" spans="1:1" x14ac:dyDescent="0.2">
      <c r="A9844" s="1135" t="str">
        <f>CONCATENATE(Programme!C9845,Programme!D9845,Programme!E9845,Programme!F9845,Programme!G9845,Programme!H9845,Programme!I9845)</f>
        <v>&lt;/ValeurCellule&gt;</v>
      </c>
    </row>
    <row r="9845" spans="1:1" x14ac:dyDescent="0.2">
      <c r="A9845" s="1135" t="str">
        <f>CONCATENATE(Programme!C9846,Programme!D9846,Programme!E9846,Programme!F9846,Programme!G9846,Programme!H9846,Programme!I9846)</f>
        <v>&lt;ValeurCellule&gt;</v>
      </c>
    </row>
    <row r="9846" spans="1:1" x14ac:dyDescent="0.2">
      <c r="A9846" s="1135" t="str">
        <f>CONCATENATE(Programme!C9847,Programme!D9847,Programme!E9847,Programme!F9847,Programme!G9847,Programme!H9847,Programme!I9847)</f>
        <v>&lt;cellule&gt;&lt;codeEdi&gt;1209&lt;/codeEdi&gt;&lt;/cellule&gt;</v>
      </c>
    </row>
    <row r="9847" spans="1:1" x14ac:dyDescent="0.2">
      <c r="A9847" s="1135" t="str">
        <f>CONCATENATE(Programme!C9848,Programme!D9848,Programme!E9848,Programme!F9848,Programme!G9848,Programme!H9848,Programme!I9848)</f>
        <v>&lt;valeur&gt;&lt;/valeur&gt;</v>
      </c>
    </row>
    <row r="9848" spans="1:1" x14ac:dyDescent="0.2">
      <c r="A9848" s="1135" t="str">
        <f>CONCATENATE(Programme!C9849,Programme!D9849,Programme!E9849,Programme!F9849,Programme!G9849,Programme!H9849,Programme!I9849)</f>
        <v>&lt;numeroLigne&gt;4&lt;/numeroLigne&gt;</v>
      </c>
    </row>
    <row r="9849" spans="1:1" x14ac:dyDescent="0.2">
      <c r="A9849" s="1135" t="str">
        <f>CONCATENATE(Programme!C9850,Programme!D9850,Programme!E9850,Programme!F9850,Programme!G9850,Programme!H9850,Programme!I9850)</f>
        <v>&lt;/ValeurCellule&gt;</v>
      </c>
    </row>
    <row r="9850" spans="1:1" x14ac:dyDescent="0.2">
      <c r="A9850" s="1135" t="str">
        <f>CONCATENATE(Programme!C9851,Programme!D9851,Programme!E9851,Programme!F9851,Programme!G9851,Programme!H9851,Programme!I9851)</f>
        <v>&lt;ValeurCellule&gt;</v>
      </c>
    </row>
    <row r="9851" spans="1:1" x14ac:dyDescent="0.2">
      <c r="A9851" s="1135" t="str">
        <f>CONCATENATE(Programme!C9852,Programme!D9852,Programme!E9852,Programme!F9852,Programme!G9852,Programme!H9852,Programme!I9852)</f>
        <v>&lt;cellule&gt;&lt;codeEdi&gt;1210&lt;/codeEdi&gt;&lt;/cellule&gt;</v>
      </c>
    </row>
    <row r="9852" spans="1:1" x14ac:dyDescent="0.2">
      <c r="A9852" s="1135" t="str">
        <f>CONCATENATE(Programme!C9853,Programme!D9853,Programme!E9853,Programme!F9853,Programme!G9853,Programme!H9853,Programme!I9853)</f>
        <v>&lt;valeur&gt;&lt;/valeur&gt;</v>
      </c>
    </row>
    <row r="9853" spans="1:1" x14ac:dyDescent="0.2">
      <c r="A9853" s="1135" t="str">
        <f>CONCATENATE(Programme!C9854,Programme!D9854,Programme!E9854,Programme!F9854,Programme!G9854,Programme!H9854,Programme!I9854)</f>
        <v>&lt;numeroLigne&gt;4&lt;/numeroLigne&gt;</v>
      </c>
    </row>
    <row r="9854" spans="1:1" x14ac:dyDescent="0.2">
      <c r="A9854" s="1135" t="str">
        <f>CONCATENATE(Programme!C9855,Programme!D9855,Programme!E9855,Programme!F9855,Programme!G9855,Programme!H9855,Programme!I9855)</f>
        <v>&lt;/ValeurCellule&gt;</v>
      </c>
    </row>
    <row r="9855" spans="1:1" x14ac:dyDescent="0.2">
      <c r="A9855" s="1135" t="str">
        <f>CONCATENATE(Programme!C9856,Programme!D9856,Programme!E9856,Programme!F9856,Programme!G9856,Programme!H9856,Programme!I9856)</f>
        <v>&lt;ValeurCellule&gt;</v>
      </c>
    </row>
    <row r="9856" spans="1:1" x14ac:dyDescent="0.2">
      <c r="A9856" s="1135" t="str">
        <f>CONCATENATE(Programme!C9857,Programme!D9857,Programme!E9857,Programme!F9857,Programme!G9857,Programme!H9857,Programme!I9857)</f>
        <v>&lt;cellule&gt;&lt;codeEdi&gt;1211&lt;/codeEdi&gt;&lt;/cellule&gt;</v>
      </c>
    </row>
    <row r="9857" spans="1:1" x14ac:dyDescent="0.2">
      <c r="A9857" s="1135" t="str">
        <f>CONCATENATE(Programme!C9858,Programme!D9858,Programme!E9858,Programme!F9858,Programme!G9858,Programme!H9858,Programme!I9858)</f>
        <v>&lt;valeur&gt;&lt;/valeur&gt;</v>
      </c>
    </row>
    <row r="9858" spans="1:1" x14ac:dyDescent="0.2">
      <c r="A9858" s="1135" t="str">
        <f>CONCATENATE(Programme!C9859,Programme!D9859,Programme!E9859,Programme!F9859,Programme!G9859,Programme!H9859,Programme!I9859)</f>
        <v>&lt;numeroLigne&gt;4&lt;/numeroLigne&gt;</v>
      </c>
    </row>
    <row r="9859" spans="1:1" x14ac:dyDescent="0.2">
      <c r="A9859" s="1135" t="str">
        <f>CONCATENATE(Programme!C9860,Programme!D9860,Programme!E9860,Programme!F9860,Programme!G9860,Programme!H9860,Programme!I9860)</f>
        <v>&lt;/ValeurCellule&gt;</v>
      </c>
    </row>
    <row r="9860" spans="1:1" x14ac:dyDescent="0.2">
      <c r="A9860" s="1135" t="str">
        <f>CONCATENATE(Programme!C9861,Programme!D9861,Programme!E9861,Programme!F9861,Programme!G9861,Programme!H9861,Programme!I9861)</f>
        <v>&lt;ValeurCellule&gt;</v>
      </c>
    </row>
    <row r="9861" spans="1:1" x14ac:dyDescent="0.2">
      <c r="A9861" s="1135" t="str">
        <f>CONCATENATE(Programme!C9862,Programme!D9862,Programme!E9862,Programme!F9862,Programme!G9862,Programme!H9862,Programme!I9862)</f>
        <v>&lt;cellule&gt;&lt;codeEdi&gt;1212&lt;/codeEdi&gt;&lt;/cellule&gt;</v>
      </c>
    </row>
    <row r="9862" spans="1:1" x14ac:dyDescent="0.2">
      <c r="A9862" s="1135" t="str">
        <f>CONCATENATE(Programme!C9863,Programme!D9863,Programme!E9863,Programme!F9863,Programme!G9863,Programme!H9863,Programme!I9863)</f>
        <v>&lt;valeur&gt;&lt;/valeur&gt;</v>
      </c>
    </row>
    <row r="9863" spans="1:1" x14ac:dyDescent="0.2">
      <c r="A9863" s="1135" t="str">
        <f>CONCATENATE(Programme!C9864,Programme!D9864,Programme!E9864,Programme!F9864,Programme!G9864,Programme!H9864,Programme!I9864)</f>
        <v>&lt;numeroLigne&gt;4&lt;/numeroLigne&gt;</v>
      </c>
    </row>
    <row r="9864" spans="1:1" x14ac:dyDescent="0.2">
      <c r="A9864" s="1135" t="str">
        <f>CONCATENATE(Programme!C9865,Programme!D9865,Programme!E9865,Programme!F9865,Programme!G9865,Programme!H9865,Programme!I9865)</f>
        <v>&lt;/ValeurCellule&gt;</v>
      </c>
    </row>
    <row r="9865" spans="1:1" x14ac:dyDescent="0.2">
      <c r="A9865" s="1135" t="str">
        <f>CONCATENATE(Programme!C9866,Programme!D9866,Programme!E9866,Programme!F9866,Programme!G9866,Programme!H9866,Programme!I9866)</f>
        <v>&lt;ValeurCellule&gt;</v>
      </c>
    </row>
    <row r="9866" spans="1:1" x14ac:dyDescent="0.2">
      <c r="A9866" s="1135" t="str">
        <f>CONCATENATE(Programme!C9867,Programme!D9867,Programme!E9867,Programme!F9867,Programme!G9867,Programme!H9867,Programme!I9867)</f>
        <v>&lt;cellule&gt;&lt;codeEdi&gt;1213&lt;/codeEdi&gt;&lt;/cellule&gt;</v>
      </c>
    </row>
    <row r="9867" spans="1:1" x14ac:dyDescent="0.2">
      <c r="A9867" s="1135" t="str">
        <f>CONCATENATE(Programme!C9868,Programme!D9868,Programme!E9868,Programme!F9868,Programme!G9868,Programme!H9868,Programme!I9868)</f>
        <v>&lt;valeur&gt;&lt;/valeur&gt;</v>
      </c>
    </row>
    <row r="9868" spans="1:1" x14ac:dyDescent="0.2">
      <c r="A9868" s="1135" t="str">
        <f>CONCATENATE(Programme!C9869,Programme!D9869,Programme!E9869,Programme!F9869,Programme!G9869,Programme!H9869,Programme!I9869)</f>
        <v>&lt;numeroLigne&gt;4&lt;/numeroLigne&gt;</v>
      </c>
    </row>
    <row r="9869" spans="1:1" x14ac:dyDescent="0.2">
      <c r="A9869" s="1135" t="str">
        <f>CONCATENATE(Programme!C9870,Programme!D9870,Programme!E9870,Programme!F9870,Programme!G9870,Programme!H9870,Programme!I9870)</f>
        <v>&lt;/ValeurCellule&gt;</v>
      </c>
    </row>
    <row r="9870" spans="1:1" x14ac:dyDescent="0.2">
      <c r="A9870" s="1135" t="str">
        <f>CONCATENATE(Programme!C9871,Programme!D9871,Programme!E9871,Programme!F9871,Programme!G9871,Programme!H9871,Programme!I9871)</f>
        <v>&lt;ValeurCellule&gt;</v>
      </c>
    </row>
    <row r="9871" spans="1:1" x14ac:dyDescent="0.2">
      <c r="A9871" s="1135" t="str">
        <f>CONCATENATE(Programme!C9872,Programme!D9872,Programme!E9872,Programme!F9872,Programme!G9872,Programme!H9872,Programme!I9872)</f>
        <v>&lt;cellule&gt;&lt;codeEdi&gt;1214&lt;/codeEdi&gt;&lt;/cellule&gt;</v>
      </c>
    </row>
    <row r="9872" spans="1:1" x14ac:dyDescent="0.2">
      <c r="A9872" s="1135" t="str">
        <f>CONCATENATE(Programme!C9873,Programme!D9873,Programme!E9873,Programme!F9873,Programme!G9873,Programme!H9873,Programme!I9873)</f>
        <v>&lt;valeur&gt;&lt;/valeur&gt;</v>
      </c>
    </row>
    <row r="9873" spans="1:1" x14ac:dyDescent="0.2">
      <c r="A9873" s="1135" t="str">
        <f>CONCATENATE(Programme!C9874,Programme!D9874,Programme!E9874,Programme!F9874,Programme!G9874,Programme!H9874,Programme!I9874)</f>
        <v>&lt;numeroLigne&gt;4&lt;/numeroLigne&gt;</v>
      </c>
    </row>
    <row r="9874" spans="1:1" x14ac:dyDescent="0.2">
      <c r="A9874" s="1135" t="str">
        <f>CONCATENATE(Programme!C9875,Programme!D9875,Programme!E9875,Programme!F9875,Programme!G9875,Programme!H9875,Programme!I9875)</f>
        <v>&lt;/ValeurCellule&gt;</v>
      </c>
    </row>
    <row r="9875" spans="1:1" x14ac:dyDescent="0.2">
      <c r="A9875" s="1135" t="str">
        <f>CONCATENATE(Programme!C9876,Programme!D9876,Programme!E9876,Programme!F9876,Programme!G9876,Programme!H9876,Programme!I9876)</f>
        <v>&lt;ValeurCellule&gt;</v>
      </c>
    </row>
    <row r="9876" spans="1:1" x14ac:dyDescent="0.2">
      <c r="A9876" s="1135" t="str">
        <f>CONCATENATE(Programme!C9877,Programme!D9877,Programme!E9877,Programme!F9877,Programme!G9877,Programme!H9877,Programme!I9877)</f>
        <v>&lt;cellule&gt;&lt;codeEdi&gt;1215&lt;/codeEdi&gt;&lt;/cellule&gt;</v>
      </c>
    </row>
    <row r="9877" spans="1:1" x14ac:dyDescent="0.2">
      <c r="A9877" s="1135" t="str">
        <f>CONCATENATE(Programme!C9878,Programme!D9878,Programme!E9878,Programme!F9878,Programme!G9878,Programme!H9878,Programme!I9878)</f>
        <v>&lt;valeur&gt;&lt;/valeur&gt;</v>
      </c>
    </row>
    <row r="9878" spans="1:1" x14ac:dyDescent="0.2">
      <c r="A9878" s="1135" t="str">
        <f>CONCATENATE(Programme!C9879,Programme!D9879,Programme!E9879,Programme!F9879,Programme!G9879,Programme!H9879,Programme!I9879)</f>
        <v>&lt;numeroLigne&gt;4&lt;/numeroLigne&gt;</v>
      </c>
    </row>
    <row r="9879" spans="1:1" x14ac:dyDescent="0.2">
      <c r="A9879" s="1135" t="str">
        <f>CONCATENATE(Programme!C9880,Programme!D9880,Programme!E9880,Programme!F9880,Programme!G9880,Programme!H9880,Programme!I9880)</f>
        <v>&lt;/ValeurCellule&gt;</v>
      </c>
    </row>
    <row r="9880" spans="1:1" x14ac:dyDescent="0.2">
      <c r="A9880" s="1135" t="str">
        <f>CONCATENATE(Programme!C9881,Programme!D9881,Programme!E9881,Programme!F9881,Programme!G9881,Programme!H9881,Programme!I9881)</f>
        <v>&lt;ValeurCellule&gt;</v>
      </c>
    </row>
    <row r="9881" spans="1:1" x14ac:dyDescent="0.2">
      <c r="A9881" s="1135" t="str">
        <f>CONCATENATE(Programme!C9882,Programme!D9882,Programme!E9882,Programme!F9882,Programme!G9882,Programme!H9882,Programme!I9882)</f>
        <v>&lt;cellule&gt;&lt;codeEdi&gt;1216&lt;/codeEdi&gt;&lt;/cellule&gt;</v>
      </c>
    </row>
    <row r="9882" spans="1:1" x14ac:dyDescent="0.2">
      <c r="A9882" s="1135" t="str">
        <f>CONCATENATE(Programme!C9883,Programme!D9883,Programme!E9883,Programme!F9883,Programme!G9883,Programme!H9883,Programme!I9883)</f>
        <v>&lt;valeur&gt;&lt;/valeur&gt;</v>
      </c>
    </row>
    <row r="9883" spans="1:1" x14ac:dyDescent="0.2">
      <c r="A9883" s="1135" t="str">
        <f>CONCATENATE(Programme!C9884,Programme!D9884,Programme!E9884,Programme!F9884,Programme!G9884,Programme!H9884,Programme!I9884)</f>
        <v>&lt;numeroLigne&gt;4&lt;/numeroLigne&gt;</v>
      </c>
    </row>
    <row r="9884" spans="1:1" x14ac:dyDescent="0.2">
      <c r="A9884" s="1135" t="str">
        <f>CONCATENATE(Programme!C9885,Programme!D9885,Programme!E9885,Programme!F9885,Programme!G9885,Programme!H9885,Programme!I9885)</f>
        <v>&lt;/ValeurCellule&gt;</v>
      </c>
    </row>
    <row r="9885" spans="1:1" x14ac:dyDescent="0.2">
      <c r="A9885" s="1135" t="str">
        <f>CONCATENATE(Programme!C9886,Programme!D9886,Programme!E9886,Programme!F9886,Programme!G9886,Programme!H9886,Programme!I9886)</f>
        <v>&lt;ValeurCellule&gt;</v>
      </c>
    </row>
    <row r="9886" spans="1:1" x14ac:dyDescent="0.2">
      <c r="A9886" s="1135" t="str">
        <f>CONCATENATE(Programme!C9887,Programme!D9887,Programme!E9887,Programme!F9887,Programme!G9887,Programme!H9887,Programme!I9887)</f>
        <v>&lt;cellule&gt;&lt;codeEdi&gt;1217&lt;/codeEdi&gt;&lt;/cellule&gt;</v>
      </c>
    </row>
    <row r="9887" spans="1:1" x14ac:dyDescent="0.2">
      <c r="A9887" s="1135" t="str">
        <f>CONCATENATE(Programme!C9888,Programme!D9888,Programme!E9888,Programme!F9888,Programme!G9888,Programme!H9888,Programme!I9888)</f>
        <v>&lt;valeur&gt;&lt;/valeur&gt;</v>
      </c>
    </row>
    <row r="9888" spans="1:1" x14ac:dyDescent="0.2">
      <c r="A9888" s="1135" t="str">
        <f>CONCATENATE(Programme!C9889,Programme!D9889,Programme!E9889,Programme!F9889,Programme!G9889,Programme!H9889,Programme!I9889)</f>
        <v>&lt;numeroLigne&gt;4&lt;/numeroLigne&gt;</v>
      </c>
    </row>
    <row r="9889" spans="1:1" x14ac:dyDescent="0.2">
      <c r="A9889" s="1135" t="str">
        <f>CONCATENATE(Programme!C9890,Programme!D9890,Programme!E9890,Programme!F9890,Programme!G9890,Programme!H9890,Programme!I9890)</f>
        <v>&lt;/ValeurCellule&gt;</v>
      </c>
    </row>
    <row r="9890" spans="1:1" x14ac:dyDescent="0.2">
      <c r="A9890" s="1135" t="str">
        <f>CONCATENATE(Programme!C9891,Programme!D9891,Programme!E9891,Programme!F9891,Programme!G9891,Programme!H9891,Programme!I9891)</f>
        <v>&lt;ValeurCellule&gt;</v>
      </c>
    </row>
    <row r="9891" spans="1:1" x14ac:dyDescent="0.2">
      <c r="A9891" s="1135" t="str">
        <f>CONCATENATE(Programme!C9892,Programme!D9892,Programme!E9892,Programme!F9892,Programme!G9892,Programme!H9892,Programme!I9892)</f>
        <v>&lt;cellule&gt;&lt;codeEdi&gt;1218&lt;/codeEdi&gt;&lt;/cellule&gt;</v>
      </c>
    </row>
    <row r="9892" spans="1:1" x14ac:dyDescent="0.2">
      <c r="A9892" s="1135" t="str">
        <f>CONCATENATE(Programme!C9893,Programme!D9893,Programme!E9893,Programme!F9893,Programme!G9893,Programme!H9893,Programme!I9893)</f>
        <v>&lt;valeur&gt;&lt;/valeur&gt;</v>
      </c>
    </row>
    <row r="9893" spans="1:1" x14ac:dyDescent="0.2">
      <c r="A9893" s="1135" t="str">
        <f>CONCATENATE(Programme!C9894,Programme!D9894,Programme!E9894,Programme!F9894,Programme!G9894,Programme!H9894,Programme!I9894)</f>
        <v>&lt;numeroLigne&gt;4&lt;/numeroLigne&gt;</v>
      </c>
    </row>
    <row r="9894" spans="1:1" x14ac:dyDescent="0.2">
      <c r="A9894" s="1135" t="str">
        <f>CONCATENATE(Programme!C9895,Programme!D9895,Programme!E9895,Programme!F9895,Programme!G9895,Programme!H9895,Programme!I9895)</f>
        <v>&lt;/ValeurCellule&gt;</v>
      </c>
    </row>
    <row r="9895" spans="1:1" x14ac:dyDescent="0.2">
      <c r="A9895" s="1135" t="str">
        <f>CONCATENATE(Programme!C9896,Programme!D9896,Programme!E9896,Programme!F9896,Programme!G9896,Programme!H9896,Programme!I9896)</f>
        <v>&lt;ValeurCellule&gt;</v>
      </c>
    </row>
    <row r="9896" spans="1:1" x14ac:dyDescent="0.2">
      <c r="A9896" s="1135" t="str">
        <f>CONCATENATE(Programme!C9897,Programme!D9897,Programme!E9897,Programme!F9897,Programme!G9897,Programme!H9897,Programme!I9897)</f>
        <v>&lt;cellule&gt;&lt;codeEdi&gt;1219&lt;/codeEdi&gt;&lt;/cellule&gt;</v>
      </c>
    </row>
    <row r="9897" spans="1:1" x14ac:dyDescent="0.2">
      <c r="A9897" s="1135" t="str">
        <f>CONCATENATE(Programme!C9898,Programme!D9898,Programme!E9898,Programme!F9898,Programme!G9898,Programme!H9898,Programme!I9898)</f>
        <v>&lt;valeur&gt;&lt;/valeur&gt;</v>
      </c>
    </row>
    <row r="9898" spans="1:1" x14ac:dyDescent="0.2">
      <c r="A9898" s="1135" t="str">
        <f>CONCATENATE(Programme!C9899,Programme!D9899,Programme!E9899,Programme!F9899,Programme!G9899,Programme!H9899,Programme!I9899)</f>
        <v>&lt;numeroLigne&gt;4&lt;/numeroLigne&gt;</v>
      </c>
    </row>
    <row r="9899" spans="1:1" x14ac:dyDescent="0.2">
      <c r="A9899" s="1135" t="str">
        <f>CONCATENATE(Programme!C9900,Programme!D9900,Programme!E9900,Programme!F9900,Programme!G9900,Programme!H9900,Programme!I9900)</f>
        <v>&lt;/ValeurCellule&gt;</v>
      </c>
    </row>
    <row r="9900" spans="1:1" x14ac:dyDescent="0.2">
      <c r="A9900" s="1135" t="str">
        <f>CONCATENATE(Programme!C9901,Programme!D9901,Programme!E9901,Programme!F9901,Programme!G9901,Programme!H9901,Programme!I9901)</f>
        <v>&lt;ValeurCellule&gt;</v>
      </c>
    </row>
    <row r="9901" spans="1:1" x14ac:dyDescent="0.2">
      <c r="A9901" s="1135" t="str">
        <f>CONCATENATE(Programme!C9902,Programme!D9902,Programme!E9902,Programme!F9902,Programme!G9902,Programme!H9902,Programme!I9902)</f>
        <v>&lt;cellule&gt;&lt;codeEdi&gt;1220&lt;/codeEdi&gt;&lt;/cellule&gt;</v>
      </c>
    </row>
    <row r="9902" spans="1:1" x14ac:dyDescent="0.2">
      <c r="A9902" s="1135" t="str">
        <f>CONCATENATE(Programme!C9903,Programme!D9903,Programme!E9903,Programme!F9903,Programme!G9903,Programme!H9903,Programme!I9903)</f>
        <v>&lt;valeur&gt;&lt;/valeur&gt;</v>
      </c>
    </row>
    <row r="9903" spans="1:1" x14ac:dyDescent="0.2">
      <c r="A9903" s="1135" t="str">
        <f>CONCATENATE(Programme!C9904,Programme!D9904,Programme!E9904,Programme!F9904,Programme!G9904,Programme!H9904,Programme!I9904)</f>
        <v>&lt;numeroLigne&gt;4&lt;/numeroLigne&gt;</v>
      </c>
    </row>
    <row r="9904" spans="1:1" x14ac:dyDescent="0.2">
      <c r="A9904" s="1135" t="str">
        <f>CONCATENATE(Programme!C9905,Programme!D9905,Programme!E9905,Programme!F9905,Programme!G9905,Programme!H9905,Programme!I9905)</f>
        <v>&lt;/ValeurCellule&gt;</v>
      </c>
    </row>
    <row r="9905" spans="1:1" x14ac:dyDescent="0.2">
      <c r="A9905" s="1135" t="str">
        <f>CONCATENATE(Programme!C9906,Programme!D9906,Programme!E9906,Programme!F9906,Programme!G9906,Programme!H9906,Programme!I9906)</f>
        <v>&lt;ValeurCellule&gt;</v>
      </c>
    </row>
    <row r="9906" spans="1:1" x14ac:dyDescent="0.2">
      <c r="A9906" s="1135" t="str">
        <f>CONCATENATE(Programme!C9907,Programme!D9907,Programme!E9907,Programme!F9907,Programme!G9907,Programme!H9907,Programme!I9907)</f>
        <v>&lt;cellule&gt;&lt;codeEdi&gt;1221&lt;/codeEdi&gt;&lt;/cellule&gt;</v>
      </c>
    </row>
    <row r="9907" spans="1:1" x14ac:dyDescent="0.2">
      <c r="A9907" s="1135" t="str">
        <f>CONCATENATE(Programme!C9908,Programme!D9908,Programme!E9908,Programme!F9908,Programme!G9908,Programme!H9908,Programme!I9908)</f>
        <v>&lt;valeur&gt;&lt;/valeur&gt;</v>
      </c>
    </row>
    <row r="9908" spans="1:1" x14ac:dyDescent="0.2">
      <c r="A9908" s="1135" t="str">
        <f>CONCATENATE(Programme!C9909,Programme!D9909,Programme!E9909,Programme!F9909,Programme!G9909,Programme!H9909,Programme!I9909)</f>
        <v>&lt;numeroLigne&gt;1&lt;/numeroLigne&gt;</v>
      </c>
    </row>
    <row r="9909" spans="1:1" x14ac:dyDescent="0.2">
      <c r="A9909" s="1135" t="str">
        <f>CONCATENATE(Programme!C9910,Programme!D9910,Programme!E9910,Programme!F9910,Programme!G9910,Programme!H9910,Programme!I9910)</f>
        <v>&lt;/ValeurCellule&gt;</v>
      </c>
    </row>
    <row r="9910" spans="1:1" x14ac:dyDescent="0.2">
      <c r="A9910" s="1135" t="str">
        <f>CONCATENATE(Programme!C9911,Programme!D9911,Programme!E9911,Programme!F9911,Programme!G9911,Programme!H9911,Programme!I9911)</f>
        <v>&lt;ValeurCellule&gt;</v>
      </c>
    </row>
    <row r="9911" spans="1:1" x14ac:dyDescent="0.2">
      <c r="A9911" s="1135" t="str">
        <f>CONCATENATE(Programme!C9912,Programme!D9912,Programme!E9912,Programme!F9912,Programme!G9912,Programme!H9912,Programme!I9912)</f>
        <v>&lt;cellule&gt;&lt;codeEdi&gt;1222&lt;/codeEdi&gt;&lt;/cellule&gt;</v>
      </c>
    </row>
    <row r="9912" spans="1:1" x14ac:dyDescent="0.2">
      <c r="A9912" s="1135" t="str">
        <f>CONCATENATE(Programme!C9913,Programme!D9913,Programme!E9913,Programme!F9913,Programme!G9913,Programme!H9913,Programme!I9913)</f>
        <v>&lt;valeur&gt;&lt;/valeur&gt;</v>
      </c>
    </row>
    <row r="9913" spans="1:1" x14ac:dyDescent="0.2">
      <c r="A9913" s="1135" t="str">
        <f>CONCATENATE(Programme!C9914,Programme!D9914,Programme!E9914,Programme!F9914,Programme!G9914,Programme!H9914,Programme!I9914)</f>
        <v>&lt;numeroLigne&gt;1&lt;/numeroLigne&gt;</v>
      </c>
    </row>
    <row r="9914" spans="1:1" x14ac:dyDescent="0.2">
      <c r="A9914" s="1135" t="str">
        <f>CONCATENATE(Programme!C9915,Programme!D9915,Programme!E9915,Programme!F9915,Programme!G9915,Programme!H9915,Programme!I9915)</f>
        <v>&lt;/ValeurCellule&gt;</v>
      </c>
    </row>
    <row r="9915" spans="1:1" x14ac:dyDescent="0.2">
      <c r="A9915" s="1135" t="str">
        <f>CONCATENATE(Programme!C9916,Programme!D9916,Programme!E9916,Programme!F9916,Programme!G9916,Programme!H9916,Programme!I9916)</f>
        <v>&lt;ValeurCellule&gt;</v>
      </c>
    </row>
    <row r="9916" spans="1:1" x14ac:dyDescent="0.2">
      <c r="A9916" s="1135" t="str">
        <f>CONCATENATE(Programme!C9917,Programme!D9917,Programme!E9917,Programme!F9917,Programme!G9917,Programme!H9917,Programme!I9917)</f>
        <v>&lt;cellule&gt;&lt;codeEdi&gt;1223&lt;/codeEdi&gt;&lt;/cellule&gt;</v>
      </c>
    </row>
    <row r="9917" spans="1:1" x14ac:dyDescent="0.2">
      <c r="A9917" s="1135" t="str">
        <f>CONCATENATE(Programme!C9918,Programme!D9918,Programme!E9918,Programme!F9918,Programme!G9918,Programme!H9918,Programme!I9918)</f>
        <v>&lt;valeur&gt;&lt;/valeur&gt;</v>
      </c>
    </row>
    <row r="9918" spans="1:1" x14ac:dyDescent="0.2">
      <c r="A9918" s="1135" t="str">
        <f>CONCATENATE(Programme!C9919,Programme!D9919,Programme!E9919,Programme!F9919,Programme!G9919,Programme!H9919,Programme!I9919)</f>
        <v>&lt;numeroLigne&gt;1&lt;/numeroLigne&gt;</v>
      </c>
    </row>
    <row r="9919" spans="1:1" x14ac:dyDescent="0.2">
      <c r="A9919" s="1135" t="str">
        <f>CONCATENATE(Programme!C9920,Programme!D9920,Programme!E9920,Programme!F9920,Programme!G9920,Programme!H9920,Programme!I9920)</f>
        <v>&lt;/ValeurCellule&gt;</v>
      </c>
    </row>
    <row r="9920" spans="1:1" x14ac:dyDescent="0.2">
      <c r="A9920" s="1135" t="str">
        <f>CONCATENATE(Programme!C9921,Programme!D9921,Programme!E9921,Programme!F9921,Programme!G9921,Programme!H9921,Programme!I9921)</f>
        <v>&lt;ValeurCellule&gt;</v>
      </c>
    </row>
    <row r="9921" spans="1:1" x14ac:dyDescent="0.2">
      <c r="A9921" s="1135" t="str">
        <f>CONCATENATE(Programme!C9922,Programme!D9922,Programme!E9922,Programme!F9922,Programme!G9922,Programme!H9922,Programme!I9922)</f>
        <v>&lt;cellule&gt;&lt;codeEdi&gt;1224&lt;/codeEdi&gt;&lt;/cellule&gt;</v>
      </c>
    </row>
    <row r="9922" spans="1:1" x14ac:dyDescent="0.2">
      <c r="A9922" s="1135" t="str">
        <f>CONCATENATE(Programme!C9923,Programme!D9923,Programme!E9923,Programme!F9923,Programme!G9923,Programme!H9923,Programme!I9923)</f>
        <v>&lt;valeur&gt;&lt;/valeur&gt;</v>
      </c>
    </row>
    <row r="9923" spans="1:1" x14ac:dyDescent="0.2">
      <c r="A9923" s="1135" t="str">
        <f>CONCATENATE(Programme!C9924,Programme!D9924,Programme!E9924,Programme!F9924,Programme!G9924,Programme!H9924,Programme!I9924)</f>
        <v>&lt;numeroLigne&gt;1&lt;/numeroLigne&gt;</v>
      </c>
    </row>
    <row r="9924" spans="1:1" x14ac:dyDescent="0.2">
      <c r="A9924" s="1135" t="str">
        <f>CONCATENATE(Programme!C9925,Programme!D9925,Programme!E9925,Programme!F9925,Programme!G9925,Programme!H9925,Programme!I9925)</f>
        <v>&lt;/ValeurCellule&gt;</v>
      </c>
    </row>
    <row r="9925" spans="1:1" x14ac:dyDescent="0.2">
      <c r="A9925" s="1135" t="str">
        <f>CONCATENATE(Programme!C9926,Programme!D9926,Programme!E9926,Programme!F9926,Programme!G9926,Programme!H9926,Programme!I9926)</f>
        <v>&lt;ValeurCellule&gt;</v>
      </c>
    </row>
    <row r="9926" spans="1:1" x14ac:dyDescent="0.2">
      <c r="A9926" s="1135" t="str">
        <f>CONCATENATE(Programme!C9927,Programme!D9927,Programme!E9927,Programme!F9927,Programme!G9927,Programme!H9927,Programme!I9927)</f>
        <v>&lt;cellule&gt;&lt;codeEdi&gt;1225&lt;/codeEdi&gt;&lt;/cellule&gt;</v>
      </c>
    </row>
    <row r="9927" spans="1:1" x14ac:dyDescent="0.2">
      <c r="A9927" s="1135" t="str">
        <f>CONCATENATE(Programme!C9928,Programme!D9928,Programme!E9928,Programme!F9928,Programme!G9928,Programme!H9928,Programme!I9928)</f>
        <v>&lt;valeur&gt;&lt;/valeur&gt;</v>
      </c>
    </row>
    <row r="9928" spans="1:1" x14ac:dyDescent="0.2">
      <c r="A9928" s="1135" t="str">
        <f>CONCATENATE(Programme!C9929,Programme!D9929,Programme!E9929,Programme!F9929,Programme!G9929,Programme!H9929,Programme!I9929)</f>
        <v>&lt;numeroLigne&gt;1&lt;/numeroLigne&gt;</v>
      </c>
    </row>
    <row r="9929" spans="1:1" x14ac:dyDescent="0.2">
      <c r="A9929" s="1135" t="str">
        <f>CONCATENATE(Programme!C9930,Programme!D9930,Programme!E9930,Programme!F9930,Programme!G9930,Programme!H9930,Programme!I9930)</f>
        <v>&lt;/ValeurCellule&gt;</v>
      </c>
    </row>
    <row r="9930" spans="1:1" x14ac:dyDescent="0.2">
      <c r="A9930" s="1135" t="str">
        <f>CONCATENATE(Programme!C9931,Programme!D9931,Programme!E9931,Programme!F9931,Programme!G9931,Programme!H9931,Programme!I9931)</f>
        <v>&lt;ValeurCellule&gt;</v>
      </c>
    </row>
    <row r="9931" spans="1:1" x14ac:dyDescent="0.2">
      <c r="A9931" s="1135" t="str">
        <f>CONCATENATE(Programme!C9932,Programme!D9932,Programme!E9932,Programme!F9932,Programme!G9932,Programme!H9932,Programme!I9932)</f>
        <v>&lt;cellule&gt;&lt;codeEdi&gt;1226&lt;/codeEdi&gt;&lt;/cellule&gt;</v>
      </c>
    </row>
    <row r="9932" spans="1:1" x14ac:dyDescent="0.2">
      <c r="A9932" s="1135" t="str">
        <f>CONCATENATE(Programme!C9933,Programme!D9933,Programme!E9933,Programme!F9933,Programme!G9933,Programme!H9933,Programme!I9933)</f>
        <v>&lt;valeur&gt;&lt;/valeur&gt;</v>
      </c>
    </row>
    <row r="9933" spans="1:1" x14ac:dyDescent="0.2">
      <c r="A9933" s="1135" t="str">
        <f>CONCATENATE(Programme!C9934,Programme!D9934,Programme!E9934,Programme!F9934,Programme!G9934,Programme!H9934,Programme!I9934)</f>
        <v>&lt;numeroLigne&gt;1&lt;/numeroLigne&gt;</v>
      </c>
    </row>
    <row r="9934" spans="1:1" x14ac:dyDescent="0.2">
      <c r="A9934" s="1135" t="str">
        <f>CONCATENATE(Programme!C9935,Programme!D9935,Programme!E9935,Programme!F9935,Programme!G9935,Programme!H9935,Programme!I9935)</f>
        <v>&lt;/ValeurCellule&gt;</v>
      </c>
    </row>
    <row r="9935" spans="1:1" x14ac:dyDescent="0.2">
      <c r="A9935" s="1135" t="str">
        <f>CONCATENATE(Programme!C9936,Programme!D9936,Programme!E9936,Programme!F9936,Programme!G9936,Programme!H9936,Programme!I9936)</f>
        <v>&lt;ValeurCellule&gt;</v>
      </c>
    </row>
    <row r="9936" spans="1:1" x14ac:dyDescent="0.2">
      <c r="A9936" s="1135" t="str">
        <f>CONCATENATE(Programme!C9937,Programme!D9937,Programme!E9937,Programme!F9937,Programme!G9937,Programme!H9937,Programme!I9937)</f>
        <v>&lt;cellule&gt;&lt;codeEdi&gt;1227&lt;/codeEdi&gt;&lt;/cellule&gt;</v>
      </c>
    </row>
    <row r="9937" spans="1:1" x14ac:dyDescent="0.2">
      <c r="A9937" s="1135" t="str">
        <f>CONCATENATE(Programme!C9938,Programme!D9938,Programme!E9938,Programme!F9938,Programme!G9938,Programme!H9938,Programme!I9938)</f>
        <v>&lt;valeur&gt;&lt;/valeur&gt;</v>
      </c>
    </row>
    <row r="9938" spans="1:1" x14ac:dyDescent="0.2">
      <c r="A9938" s="1135" t="str">
        <f>CONCATENATE(Programme!C9939,Programme!D9939,Programme!E9939,Programme!F9939,Programme!G9939,Programme!H9939,Programme!I9939)</f>
        <v>&lt;numeroLigne&gt;1&lt;/numeroLigne&gt;</v>
      </c>
    </row>
    <row r="9939" spans="1:1" x14ac:dyDescent="0.2">
      <c r="A9939" s="1135" t="str">
        <f>CONCATENATE(Programme!C9940,Programme!D9940,Programme!E9940,Programme!F9940,Programme!G9940,Programme!H9940,Programme!I9940)</f>
        <v>&lt;/ValeurCellule&gt;</v>
      </c>
    </row>
    <row r="9940" spans="1:1" x14ac:dyDescent="0.2">
      <c r="A9940" s="1135" t="str">
        <f>CONCATENATE(Programme!C9941,Programme!D9941,Programme!E9941,Programme!F9941,Programme!G9941,Programme!H9941,Programme!I9941)</f>
        <v>&lt;ValeurCellule&gt;</v>
      </c>
    </row>
    <row r="9941" spans="1:1" x14ac:dyDescent="0.2">
      <c r="A9941" s="1135" t="str">
        <f>CONCATENATE(Programme!C9942,Programme!D9942,Programme!E9942,Programme!F9942,Programme!G9942,Programme!H9942,Programme!I9942)</f>
        <v>&lt;cellule&gt;&lt;codeEdi&gt;1228&lt;/codeEdi&gt;&lt;/cellule&gt;</v>
      </c>
    </row>
    <row r="9942" spans="1:1" x14ac:dyDescent="0.2">
      <c r="A9942" s="1135" t="str">
        <f>CONCATENATE(Programme!C9943,Programme!D9943,Programme!E9943,Programme!F9943,Programme!G9943,Programme!H9943,Programme!I9943)</f>
        <v>&lt;valeur&gt;&lt;/valeur&gt;</v>
      </c>
    </row>
    <row r="9943" spans="1:1" x14ac:dyDescent="0.2">
      <c r="A9943" s="1135" t="str">
        <f>CONCATENATE(Programme!C9944,Programme!D9944,Programme!E9944,Programme!F9944,Programme!G9944,Programme!H9944,Programme!I9944)</f>
        <v>&lt;numeroLigne&gt;1&lt;/numeroLigne&gt;</v>
      </c>
    </row>
    <row r="9944" spans="1:1" x14ac:dyDescent="0.2">
      <c r="A9944" s="1135" t="str">
        <f>CONCATENATE(Programme!C9945,Programme!D9945,Programme!E9945,Programme!F9945,Programme!G9945,Programme!H9945,Programme!I9945)</f>
        <v>&lt;/ValeurCellule&gt;</v>
      </c>
    </row>
    <row r="9945" spans="1:1" x14ac:dyDescent="0.2">
      <c r="A9945" s="1135" t="str">
        <f>CONCATENATE(Programme!C9946,Programme!D9946,Programme!E9946,Programme!F9946,Programme!G9946,Programme!H9946,Programme!I9946)</f>
        <v>&lt;ValeurCellule&gt;</v>
      </c>
    </row>
    <row r="9946" spans="1:1" x14ac:dyDescent="0.2">
      <c r="A9946" s="1135" t="str">
        <f>CONCATENATE(Programme!C9947,Programme!D9947,Programme!E9947,Programme!F9947,Programme!G9947,Programme!H9947,Programme!I9947)</f>
        <v>&lt;cellule&gt;&lt;codeEdi&gt;1229&lt;/codeEdi&gt;&lt;/cellule&gt;</v>
      </c>
    </row>
    <row r="9947" spans="1:1" x14ac:dyDescent="0.2">
      <c r="A9947" s="1135" t="str">
        <f>CONCATENATE(Programme!C9948,Programme!D9948,Programme!E9948,Programme!F9948,Programme!G9948,Programme!H9948,Programme!I9948)</f>
        <v>&lt;valeur&gt;&lt;/valeur&gt;</v>
      </c>
    </row>
    <row r="9948" spans="1:1" x14ac:dyDescent="0.2">
      <c r="A9948" s="1135" t="str">
        <f>CONCATENATE(Programme!C9949,Programme!D9949,Programme!E9949,Programme!F9949,Programme!G9949,Programme!H9949,Programme!I9949)</f>
        <v>&lt;numeroLigne&gt;1&lt;/numeroLigne&gt;</v>
      </c>
    </row>
    <row r="9949" spans="1:1" x14ac:dyDescent="0.2">
      <c r="A9949" s="1135" t="str">
        <f>CONCATENATE(Programme!C9950,Programme!D9950,Programme!E9950,Programme!F9950,Programme!G9950,Programme!H9950,Programme!I9950)</f>
        <v>&lt;/ValeurCellule&gt;</v>
      </c>
    </row>
    <row r="9950" spans="1:1" x14ac:dyDescent="0.2">
      <c r="A9950" s="1135" t="str">
        <f>CONCATENATE(Programme!C9951,Programme!D9951,Programme!E9951,Programme!F9951,Programme!G9951,Programme!H9951,Programme!I9951)</f>
        <v>&lt;ValeurCellule&gt;</v>
      </c>
    </row>
    <row r="9951" spans="1:1" x14ac:dyDescent="0.2">
      <c r="A9951" s="1135" t="str">
        <f>CONCATENATE(Programme!C9952,Programme!D9952,Programme!E9952,Programme!F9952,Programme!G9952,Programme!H9952,Programme!I9952)</f>
        <v>&lt;cellule&gt;&lt;codeEdi&gt;1250&lt;/codeEdi&gt;&lt;/cellule&gt;</v>
      </c>
    </row>
    <row r="9952" spans="1:1" x14ac:dyDescent="0.2">
      <c r="A9952" s="1135" t="str">
        <f>CONCATENATE(Programme!C9953,Programme!D9953,Programme!E9953,Programme!F9953,Programme!G9953,Programme!H9953,Programme!I9953)</f>
        <v>&lt;valeur&gt;&lt;/valeur&gt;</v>
      </c>
    </row>
    <row r="9953" spans="1:1" x14ac:dyDescent="0.2">
      <c r="A9953" s="1135" t="str">
        <f>CONCATENATE(Programme!C9954,Programme!D9954,Programme!E9954,Programme!F9954,Programme!G9954,Programme!H9954,Programme!I9954)</f>
        <v>&lt;numeroLigne&gt;1&lt;/numeroLigne&gt;</v>
      </c>
    </row>
    <row r="9954" spans="1:1" x14ac:dyDescent="0.2">
      <c r="A9954" s="1135" t="str">
        <f>CONCATENATE(Programme!C9955,Programme!D9955,Programme!E9955,Programme!F9955,Programme!G9955,Programme!H9955,Programme!I9955)</f>
        <v>&lt;/ValeurCellule&gt;</v>
      </c>
    </row>
    <row r="9955" spans="1:1" x14ac:dyDescent="0.2">
      <c r="A9955" s="1135" t="str">
        <f>CONCATENATE(Programme!C9956,Programme!D9956,Programme!E9956,Programme!F9956,Programme!G9956,Programme!H9956,Programme!I9956)</f>
        <v>&lt;ValeurCellule&gt;</v>
      </c>
    </row>
    <row r="9956" spans="1:1" x14ac:dyDescent="0.2">
      <c r="A9956" s="1135" t="str">
        <f>CONCATENATE(Programme!C9957,Programme!D9957,Programme!E9957,Programme!F9957,Programme!G9957,Programme!H9957,Programme!I9957)</f>
        <v>&lt;cellule&gt;&lt;codeEdi&gt;1251&lt;/codeEdi&gt;&lt;/cellule&gt;</v>
      </c>
    </row>
    <row r="9957" spans="1:1" x14ac:dyDescent="0.2">
      <c r="A9957" s="1135" t="str">
        <f>CONCATENATE(Programme!C9958,Programme!D9958,Programme!E9958,Programme!F9958,Programme!G9958,Programme!H9958,Programme!I9958)</f>
        <v>&lt;valeur&gt;&lt;/valeur&gt;</v>
      </c>
    </row>
    <row r="9958" spans="1:1" x14ac:dyDescent="0.2">
      <c r="A9958" s="1135" t="str">
        <f>CONCATENATE(Programme!C9959,Programme!D9959,Programme!E9959,Programme!F9959,Programme!G9959,Programme!H9959,Programme!I9959)</f>
        <v>&lt;numeroLigne&gt;1&lt;/numeroLigne&gt;</v>
      </c>
    </row>
    <row r="9959" spans="1:1" x14ac:dyDescent="0.2">
      <c r="A9959" s="1135" t="str">
        <f>CONCATENATE(Programme!C9960,Programme!D9960,Programme!E9960,Programme!F9960,Programme!G9960,Programme!H9960,Programme!I9960)</f>
        <v>&lt;/ValeurCellule&gt;</v>
      </c>
    </row>
    <row r="9960" spans="1:1" x14ac:dyDescent="0.2">
      <c r="A9960" s="1135" t="str">
        <f>CONCATENATE(Programme!C9961,Programme!D9961,Programme!E9961,Programme!F9961,Programme!G9961,Programme!H9961,Programme!I9961)</f>
        <v>&lt;ValeurCellule&gt;</v>
      </c>
    </row>
    <row r="9961" spans="1:1" x14ac:dyDescent="0.2">
      <c r="A9961" s="1135" t="str">
        <f>CONCATENATE(Programme!C9962,Programme!D9962,Programme!E9962,Programme!F9962,Programme!G9962,Programme!H9962,Programme!I9962)</f>
        <v>&lt;cellule&gt;&lt;codeEdi&gt;1252&lt;/codeEdi&gt;&lt;/cellule&gt;</v>
      </c>
    </row>
    <row r="9962" spans="1:1" x14ac:dyDescent="0.2">
      <c r="A9962" s="1135" t="str">
        <f>CONCATENATE(Programme!C9963,Programme!D9963,Programme!E9963,Programme!F9963,Programme!G9963,Programme!H9963,Programme!I9963)</f>
        <v>&lt;valeur&gt;&lt;/valeur&gt;</v>
      </c>
    </row>
    <row r="9963" spans="1:1" x14ac:dyDescent="0.2">
      <c r="A9963" s="1135" t="str">
        <f>CONCATENATE(Programme!C9964,Programme!D9964,Programme!E9964,Programme!F9964,Programme!G9964,Programme!H9964,Programme!I9964)</f>
        <v>&lt;numeroLigne&gt;1&lt;/numeroLigne&gt;</v>
      </c>
    </row>
    <row r="9964" spans="1:1" x14ac:dyDescent="0.2">
      <c r="A9964" s="1135" t="str">
        <f>CONCATENATE(Programme!C9965,Programme!D9965,Programme!E9965,Programme!F9965,Programme!G9965,Programme!H9965,Programme!I9965)</f>
        <v>&lt;/ValeurCellule&gt;</v>
      </c>
    </row>
    <row r="9965" spans="1:1" x14ac:dyDescent="0.2">
      <c r="A9965" s="1135" t="str">
        <f>CONCATENATE(Programme!C9966,Programme!D9966,Programme!E9966,Programme!F9966,Programme!G9966,Programme!H9966,Programme!I9966)</f>
        <v>&lt;ValeurCellule&gt;</v>
      </c>
    </row>
    <row r="9966" spans="1:1" x14ac:dyDescent="0.2">
      <c r="A9966" s="1135" t="str">
        <f>CONCATENATE(Programme!C9967,Programme!D9967,Programme!E9967,Programme!F9967,Programme!G9967,Programme!H9967,Programme!I9967)</f>
        <v>&lt;cellule&gt;&lt;codeEdi&gt;1253&lt;/codeEdi&gt;&lt;/cellule&gt;</v>
      </c>
    </row>
    <row r="9967" spans="1:1" x14ac:dyDescent="0.2">
      <c r="A9967" s="1135" t="str">
        <f>CONCATENATE(Programme!C9968,Programme!D9968,Programme!E9968,Programme!F9968,Programme!G9968,Programme!H9968,Programme!I9968)</f>
        <v>&lt;valeur&gt;&lt;/valeur&gt;</v>
      </c>
    </row>
    <row r="9968" spans="1:1" x14ac:dyDescent="0.2">
      <c r="A9968" s="1135" t="str">
        <f>CONCATENATE(Programme!C9969,Programme!D9969,Programme!E9969,Programme!F9969,Programme!G9969,Programme!H9969,Programme!I9969)</f>
        <v>&lt;numeroLigne&gt;1&lt;/numeroLigne&gt;</v>
      </c>
    </row>
    <row r="9969" spans="1:1" x14ac:dyDescent="0.2">
      <c r="A9969" s="1135" t="str">
        <f>CONCATENATE(Programme!C9970,Programme!D9970,Programme!E9970,Programme!F9970,Programme!G9970,Programme!H9970,Programme!I9970)</f>
        <v>&lt;/ValeurCellule&gt;</v>
      </c>
    </row>
    <row r="9970" spans="1:1" x14ac:dyDescent="0.2">
      <c r="A9970" s="1135" t="str">
        <f>CONCATENATE(Programme!C9971,Programme!D9971,Programme!E9971,Programme!F9971,Programme!G9971,Programme!H9971,Programme!I9971)</f>
        <v>&lt;ValeurCellule&gt;</v>
      </c>
    </row>
    <row r="9971" spans="1:1" x14ac:dyDescent="0.2">
      <c r="A9971" s="1135" t="str">
        <f>CONCATENATE(Programme!C9972,Programme!D9972,Programme!E9972,Programme!F9972,Programme!G9972,Programme!H9972,Programme!I9972)</f>
        <v>&lt;cellule&gt;&lt;codeEdi&gt;1221&lt;/codeEdi&gt;&lt;/cellule&gt;</v>
      </c>
    </row>
    <row r="9972" spans="1:1" x14ac:dyDescent="0.2">
      <c r="A9972" s="1135" t="str">
        <f>CONCATENATE(Programme!C9973,Programme!D9973,Programme!E9973,Programme!F9973,Programme!G9973,Programme!H9973,Programme!I9973)</f>
        <v>&lt;valeur&gt;&lt;/valeur&gt;</v>
      </c>
    </row>
    <row r="9973" spans="1:1" x14ac:dyDescent="0.2">
      <c r="A9973" s="1135" t="str">
        <f>CONCATENATE(Programme!C9974,Programme!D9974,Programme!E9974,Programme!F9974,Programme!G9974,Programme!H9974,Programme!I9974)</f>
        <v>&lt;numeroLigne&gt;2&lt;/numeroLigne&gt;</v>
      </c>
    </row>
    <row r="9974" spans="1:1" x14ac:dyDescent="0.2">
      <c r="A9974" s="1135" t="str">
        <f>CONCATENATE(Programme!C9975,Programme!D9975,Programme!E9975,Programme!F9975,Programme!G9975,Programme!H9975,Programme!I9975)</f>
        <v>&lt;/ValeurCellule&gt;</v>
      </c>
    </row>
    <row r="9975" spans="1:1" x14ac:dyDescent="0.2">
      <c r="A9975" s="1135" t="str">
        <f>CONCATENATE(Programme!C9976,Programme!D9976,Programme!E9976,Programme!F9976,Programme!G9976,Programme!H9976,Programme!I9976)</f>
        <v>&lt;ValeurCellule&gt;</v>
      </c>
    </row>
    <row r="9976" spans="1:1" x14ac:dyDescent="0.2">
      <c r="A9976" s="1135" t="str">
        <f>CONCATENATE(Programme!C9977,Programme!D9977,Programme!E9977,Programme!F9977,Programme!G9977,Programme!H9977,Programme!I9977)</f>
        <v>&lt;cellule&gt;&lt;codeEdi&gt;1222&lt;/codeEdi&gt;&lt;/cellule&gt;</v>
      </c>
    </row>
    <row r="9977" spans="1:1" x14ac:dyDescent="0.2">
      <c r="A9977" s="1135" t="str">
        <f>CONCATENATE(Programme!C9978,Programme!D9978,Programme!E9978,Programme!F9978,Programme!G9978,Programme!H9978,Programme!I9978)</f>
        <v>&lt;valeur&gt;&lt;/valeur&gt;</v>
      </c>
    </row>
    <row r="9978" spans="1:1" x14ac:dyDescent="0.2">
      <c r="A9978" s="1135" t="str">
        <f>CONCATENATE(Programme!C9979,Programme!D9979,Programme!E9979,Programme!F9979,Programme!G9979,Programme!H9979,Programme!I9979)</f>
        <v>&lt;numeroLigne&gt;2&lt;/numeroLigne&gt;</v>
      </c>
    </row>
    <row r="9979" spans="1:1" x14ac:dyDescent="0.2">
      <c r="A9979" s="1135" t="str">
        <f>CONCATENATE(Programme!C9980,Programme!D9980,Programme!E9980,Programme!F9980,Programme!G9980,Programme!H9980,Programme!I9980)</f>
        <v>&lt;/ValeurCellule&gt;</v>
      </c>
    </row>
    <row r="9980" spans="1:1" x14ac:dyDescent="0.2">
      <c r="A9980" s="1135" t="str">
        <f>CONCATENATE(Programme!C9981,Programme!D9981,Programme!E9981,Programme!F9981,Programme!G9981,Programme!H9981,Programme!I9981)</f>
        <v>&lt;ValeurCellule&gt;</v>
      </c>
    </row>
    <row r="9981" spans="1:1" x14ac:dyDescent="0.2">
      <c r="A9981" s="1135" t="str">
        <f>CONCATENATE(Programme!C9982,Programme!D9982,Programme!E9982,Programme!F9982,Programme!G9982,Programme!H9982,Programme!I9982)</f>
        <v>&lt;cellule&gt;&lt;codeEdi&gt;1223&lt;/codeEdi&gt;&lt;/cellule&gt;</v>
      </c>
    </row>
    <row r="9982" spans="1:1" x14ac:dyDescent="0.2">
      <c r="A9982" s="1135" t="str">
        <f>CONCATENATE(Programme!C9983,Programme!D9983,Programme!E9983,Programme!F9983,Programme!G9983,Programme!H9983,Programme!I9983)</f>
        <v>&lt;valeur&gt;&lt;/valeur&gt;</v>
      </c>
    </row>
    <row r="9983" spans="1:1" x14ac:dyDescent="0.2">
      <c r="A9983" s="1135" t="str">
        <f>CONCATENATE(Programme!C9984,Programme!D9984,Programme!E9984,Programme!F9984,Programme!G9984,Programme!H9984,Programme!I9984)</f>
        <v>&lt;numeroLigne&gt;2&lt;/numeroLigne&gt;</v>
      </c>
    </row>
    <row r="9984" spans="1:1" x14ac:dyDescent="0.2">
      <c r="A9984" s="1135" t="str">
        <f>CONCATENATE(Programme!C9985,Programme!D9985,Programme!E9985,Programme!F9985,Programme!G9985,Programme!H9985,Programme!I9985)</f>
        <v>&lt;/ValeurCellule&gt;</v>
      </c>
    </row>
    <row r="9985" spans="1:1" x14ac:dyDescent="0.2">
      <c r="A9985" s="1135" t="str">
        <f>CONCATENATE(Programme!C9986,Programme!D9986,Programme!E9986,Programme!F9986,Programme!G9986,Programme!H9986,Programme!I9986)</f>
        <v>&lt;ValeurCellule&gt;</v>
      </c>
    </row>
    <row r="9986" spans="1:1" x14ac:dyDescent="0.2">
      <c r="A9986" s="1135" t="str">
        <f>CONCATENATE(Programme!C9987,Programme!D9987,Programme!E9987,Programme!F9987,Programme!G9987,Programme!H9987,Programme!I9987)</f>
        <v>&lt;cellule&gt;&lt;codeEdi&gt;1224&lt;/codeEdi&gt;&lt;/cellule&gt;</v>
      </c>
    </row>
    <row r="9987" spans="1:1" x14ac:dyDescent="0.2">
      <c r="A9987" s="1135" t="str">
        <f>CONCATENATE(Programme!C9988,Programme!D9988,Programme!E9988,Programme!F9988,Programme!G9988,Programme!H9988,Programme!I9988)</f>
        <v>&lt;valeur&gt;&lt;/valeur&gt;</v>
      </c>
    </row>
    <row r="9988" spans="1:1" x14ac:dyDescent="0.2">
      <c r="A9988" s="1135" t="str">
        <f>CONCATENATE(Programme!C9989,Programme!D9989,Programme!E9989,Programme!F9989,Programme!G9989,Programme!H9989,Programme!I9989)</f>
        <v>&lt;numeroLigne&gt;2&lt;/numeroLigne&gt;</v>
      </c>
    </row>
    <row r="9989" spans="1:1" x14ac:dyDescent="0.2">
      <c r="A9989" s="1135" t="str">
        <f>CONCATENATE(Programme!C9990,Programme!D9990,Programme!E9990,Programme!F9990,Programme!G9990,Programme!H9990,Programme!I9990)</f>
        <v>&lt;/ValeurCellule&gt;</v>
      </c>
    </row>
    <row r="9990" spans="1:1" x14ac:dyDescent="0.2">
      <c r="A9990" s="1135" t="str">
        <f>CONCATENATE(Programme!C9991,Programme!D9991,Programme!E9991,Programme!F9991,Programme!G9991,Programme!H9991,Programme!I9991)</f>
        <v>&lt;ValeurCellule&gt;</v>
      </c>
    </row>
    <row r="9991" spans="1:1" x14ac:dyDescent="0.2">
      <c r="A9991" s="1135" t="str">
        <f>CONCATENATE(Programme!C9992,Programme!D9992,Programme!E9992,Programme!F9992,Programme!G9992,Programme!H9992,Programme!I9992)</f>
        <v>&lt;cellule&gt;&lt;codeEdi&gt;1225&lt;/codeEdi&gt;&lt;/cellule&gt;</v>
      </c>
    </row>
    <row r="9992" spans="1:1" x14ac:dyDescent="0.2">
      <c r="A9992" s="1135" t="str">
        <f>CONCATENATE(Programme!C9993,Programme!D9993,Programme!E9993,Programme!F9993,Programme!G9993,Programme!H9993,Programme!I9993)</f>
        <v>&lt;valeur&gt;&lt;/valeur&gt;</v>
      </c>
    </row>
    <row r="9993" spans="1:1" x14ac:dyDescent="0.2">
      <c r="A9993" s="1135" t="str">
        <f>CONCATENATE(Programme!C9994,Programme!D9994,Programme!E9994,Programme!F9994,Programme!G9994,Programme!H9994,Programme!I9994)</f>
        <v>&lt;numeroLigne&gt;2&lt;/numeroLigne&gt;</v>
      </c>
    </row>
    <row r="9994" spans="1:1" x14ac:dyDescent="0.2">
      <c r="A9994" s="1135" t="str">
        <f>CONCATENATE(Programme!C9995,Programme!D9995,Programme!E9995,Programme!F9995,Programme!G9995,Programme!H9995,Programme!I9995)</f>
        <v>&lt;/ValeurCellule&gt;</v>
      </c>
    </row>
    <row r="9995" spans="1:1" x14ac:dyDescent="0.2">
      <c r="A9995" s="1135" t="str">
        <f>CONCATENATE(Programme!C9996,Programme!D9996,Programme!E9996,Programme!F9996,Programme!G9996,Programme!H9996,Programme!I9996)</f>
        <v>&lt;ValeurCellule&gt;</v>
      </c>
    </row>
    <row r="9996" spans="1:1" x14ac:dyDescent="0.2">
      <c r="A9996" s="1135" t="str">
        <f>CONCATENATE(Programme!C9997,Programme!D9997,Programme!E9997,Programme!F9997,Programme!G9997,Programme!H9997,Programme!I9997)</f>
        <v>&lt;cellule&gt;&lt;codeEdi&gt;1226&lt;/codeEdi&gt;&lt;/cellule&gt;</v>
      </c>
    </row>
    <row r="9997" spans="1:1" x14ac:dyDescent="0.2">
      <c r="A9997" s="1135" t="str">
        <f>CONCATENATE(Programme!C9998,Programme!D9998,Programme!E9998,Programme!F9998,Programme!G9998,Programme!H9998,Programme!I9998)</f>
        <v>&lt;valeur&gt;&lt;/valeur&gt;</v>
      </c>
    </row>
    <row r="9998" spans="1:1" x14ac:dyDescent="0.2">
      <c r="A9998" s="1135" t="str">
        <f>CONCATENATE(Programme!C9999,Programme!D9999,Programme!E9999,Programme!F9999,Programme!G9999,Programme!H9999,Programme!I9999)</f>
        <v>&lt;numeroLigne&gt;2&lt;/numeroLigne&gt;</v>
      </c>
    </row>
    <row r="9999" spans="1:1" x14ac:dyDescent="0.2">
      <c r="A9999" s="1135" t="str">
        <f>CONCATENATE(Programme!C10000,Programme!D10000,Programme!E10000,Programme!F10000,Programme!G10000,Programme!H10000,Programme!I10000)</f>
        <v>&lt;/ValeurCellule&gt;</v>
      </c>
    </row>
    <row r="10000" spans="1:1" x14ac:dyDescent="0.2">
      <c r="A10000" s="1135" t="str">
        <f>CONCATENATE(Programme!C10001,Programme!D10001,Programme!E10001,Programme!F10001,Programme!G10001,Programme!H10001,Programme!I10001)</f>
        <v>&lt;ValeurCellule&gt;</v>
      </c>
    </row>
    <row r="10001" spans="1:1" x14ac:dyDescent="0.2">
      <c r="A10001" s="1135" t="str">
        <f>CONCATENATE(Programme!C10002,Programme!D10002,Programme!E10002,Programme!F10002,Programme!G10002,Programme!H10002,Programme!I10002)</f>
        <v>&lt;cellule&gt;&lt;codeEdi&gt;1227&lt;/codeEdi&gt;&lt;/cellule&gt;</v>
      </c>
    </row>
    <row r="10002" spans="1:1" x14ac:dyDescent="0.2">
      <c r="A10002" s="1135" t="str">
        <f>CONCATENATE(Programme!C10003,Programme!D10003,Programme!E10003,Programme!F10003,Programme!G10003,Programme!H10003,Programme!I10003)</f>
        <v>&lt;valeur&gt;&lt;/valeur&gt;</v>
      </c>
    </row>
    <row r="10003" spans="1:1" x14ac:dyDescent="0.2">
      <c r="A10003" s="1135" t="str">
        <f>CONCATENATE(Programme!C10004,Programme!D10004,Programme!E10004,Programme!F10004,Programme!G10004,Programme!H10004,Programme!I10004)</f>
        <v>&lt;numeroLigne&gt;2&lt;/numeroLigne&gt;</v>
      </c>
    </row>
    <row r="10004" spans="1:1" x14ac:dyDescent="0.2">
      <c r="A10004" s="1135" t="str">
        <f>CONCATENATE(Programme!C10005,Programme!D10005,Programme!E10005,Programme!F10005,Programme!G10005,Programme!H10005,Programme!I10005)</f>
        <v>&lt;/ValeurCellule&gt;</v>
      </c>
    </row>
    <row r="10005" spans="1:1" x14ac:dyDescent="0.2">
      <c r="A10005" s="1135" t="str">
        <f>CONCATENATE(Programme!C10006,Programme!D10006,Programme!E10006,Programme!F10006,Programme!G10006,Programme!H10006,Programme!I10006)</f>
        <v>&lt;ValeurCellule&gt;</v>
      </c>
    </row>
    <row r="10006" spans="1:1" x14ac:dyDescent="0.2">
      <c r="A10006" s="1135" t="str">
        <f>CONCATENATE(Programme!C10007,Programme!D10007,Programme!E10007,Programme!F10007,Programme!G10007,Programme!H10007,Programme!I10007)</f>
        <v>&lt;cellule&gt;&lt;codeEdi&gt;1228&lt;/codeEdi&gt;&lt;/cellule&gt;</v>
      </c>
    </row>
    <row r="10007" spans="1:1" x14ac:dyDescent="0.2">
      <c r="A10007" s="1135" t="str">
        <f>CONCATENATE(Programme!C10008,Programme!D10008,Programme!E10008,Programme!F10008,Programme!G10008,Programme!H10008,Programme!I10008)</f>
        <v>&lt;valeur&gt;&lt;/valeur&gt;</v>
      </c>
    </row>
    <row r="10008" spans="1:1" x14ac:dyDescent="0.2">
      <c r="A10008" s="1135" t="str">
        <f>CONCATENATE(Programme!C10009,Programme!D10009,Programme!E10009,Programme!F10009,Programme!G10009,Programme!H10009,Programme!I10009)</f>
        <v>&lt;numeroLigne&gt;2&lt;/numeroLigne&gt;</v>
      </c>
    </row>
    <row r="10009" spans="1:1" x14ac:dyDescent="0.2">
      <c r="A10009" s="1135" t="str">
        <f>CONCATENATE(Programme!C10010,Programme!D10010,Programme!E10010,Programme!F10010,Programme!G10010,Programme!H10010,Programme!I10010)</f>
        <v>&lt;/ValeurCellule&gt;</v>
      </c>
    </row>
    <row r="10010" spans="1:1" x14ac:dyDescent="0.2">
      <c r="A10010" s="1135" t="str">
        <f>CONCATENATE(Programme!C10011,Programme!D10011,Programme!E10011,Programme!F10011,Programme!G10011,Programme!H10011,Programme!I10011)</f>
        <v>&lt;ValeurCellule&gt;</v>
      </c>
    </row>
    <row r="10011" spans="1:1" x14ac:dyDescent="0.2">
      <c r="A10011" s="1135" t="str">
        <f>CONCATENATE(Programme!C10012,Programme!D10012,Programme!E10012,Programme!F10012,Programme!G10012,Programme!H10012,Programme!I10012)</f>
        <v>&lt;cellule&gt;&lt;codeEdi&gt;1229&lt;/codeEdi&gt;&lt;/cellule&gt;</v>
      </c>
    </row>
    <row r="10012" spans="1:1" x14ac:dyDescent="0.2">
      <c r="A10012" s="1135" t="str">
        <f>CONCATENATE(Programme!C10013,Programme!D10013,Programme!E10013,Programme!F10013,Programme!G10013,Programme!H10013,Programme!I10013)</f>
        <v>&lt;valeur&gt;&lt;/valeur&gt;</v>
      </c>
    </row>
    <row r="10013" spans="1:1" x14ac:dyDescent="0.2">
      <c r="A10013" s="1135" t="str">
        <f>CONCATENATE(Programme!C10014,Programme!D10014,Programme!E10014,Programme!F10014,Programme!G10014,Programme!H10014,Programme!I10014)</f>
        <v>&lt;numeroLigne&gt;2&lt;/numeroLigne&gt;</v>
      </c>
    </row>
    <row r="10014" spans="1:1" x14ac:dyDescent="0.2">
      <c r="A10014" s="1135" t="str">
        <f>CONCATENATE(Programme!C10015,Programme!D10015,Programme!E10015,Programme!F10015,Programme!G10015,Programme!H10015,Programme!I10015)</f>
        <v>&lt;/ValeurCellule&gt;</v>
      </c>
    </row>
    <row r="10015" spans="1:1" x14ac:dyDescent="0.2">
      <c r="A10015" s="1135" t="str">
        <f>CONCATENATE(Programme!C10016,Programme!D10016,Programme!E10016,Programme!F10016,Programme!G10016,Programme!H10016,Programme!I10016)</f>
        <v>&lt;ValeurCellule&gt;</v>
      </c>
    </row>
    <row r="10016" spans="1:1" x14ac:dyDescent="0.2">
      <c r="A10016" s="1135" t="str">
        <f>CONCATENATE(Programme!C10017,Programme!D10017,Programme!E10017,Programme!F10017,Programme!G10017,Programme!H10017,Programme!I10017)</f>
        <v>&lt;cellule&gt;&lt;codeEdi&gt;1250&lt;/codeEdi&gt;&lt;/cellule&gt;</v>
      </c>
    </row>
    <row r="10017" spans="1:1" x14ac:dyDescent="0.2">
      <c r="A10017" s="1135" t="str">
        <f>CONCATENATE(Programme!C10018,Programme!D10018,Programme!E10018,Programme!F10018,Programme!G10018,Programme!H10018,Programme!I10018)</f>
        <v>&lt;valeur&gt;&lt;/valeur&gt;</v>
      </c>
    </row>
    <row r="10018" spans="1:1" x14ac:dyDescent="0.2">
      <c r="A10018" s="1135" t="str">
        <f>CONCATENATE(Programme!C10019,Programme!D10019,Programme!E10019,Programme!F10019,Programme!G10019,Programme!H10019,Programme!I10019)</f>
        <v>&lt;numeroLigne&gt;2&lt;/numeroLigne&gt;</v>
      </c>
    </row>
    <row r="10019" spans="1:1" x14ac:dyDescent="0.2">
      <c r="A10019" s="1135" t="str">
        <f>CONCATENATE(Programme!C10020,Programme!D10020,Programme!E10020,Programme!F10020,Programme!G10020,Programme!H10020,Programme!I10020)</f>
        <v>&lt;/ValeurCellule&gt;</v>
      </c>
    </row>
    <row r="10020" spans="1:1" x14ac:dyDescent="0.2">
      <c r="A10020" s="1135" t="str">
        <f>CONCATENATE(Programme!C10021,Programme!D10021,Programme!E10021,Programme!F10021,Programme!G10021,Programme!H10021,Programme!I10021)</f>
        <v>&lt;ValeurCellule&gt;</v>
      </c>
    </row>
    <row r="10021" spans="1:1" x14ac:dyDescent="0.2">
      <c r="A10021" s="1135" t="str">
        <f>CONCATENATE(Programme!C10022,Programme!D10022,Programme!E10022,Programme!F10022,Programme!G10022,Programme!H10022,Programme!I10022)</f>
        <v>&lt;cellule&gt;&lt;codeEdi&gt;1251&lt;/codeEdi&gt;&lt;/cellule&gt;</v>
      </c>
    </row>
    <row r="10022" spans="1:1" x14ac:dyDescent="0.2">
      <c r="A10022" s="1135" t="str">
        <f>CONCATENATE(Programme!C10023,Programme!D10023,Programme!E10023,Programme!F10023,Programme!G10023,Programme!H10023,Programme!I10023)</f>
        <v>&lt;valeur&gt;&lt;/valeur&gt;</v>
      </c>
    </row>
    <row r="10023" spans="1:1" x14ac:dyDescent="0.2">
      <c r="A10023" s="1135" t="str">
        <f>CONCATENATE(Programme!C10024,Programme!D10024,Programme!E10024,Programme!F10024,Programme!G10024,Programme!H10024,Programme!I10024)</f>
        <v>&lt;numeroLigne&gt;2&lt;/numeroLigne&gt;</v>
      </c>
    </row>
    <row r="10024" spans="1:1" x14ac:dyDescent="0.2">
      <c r="A10024" s="1135" t="str">
        <f>CONCATENATE(Programme!C10025,Programme!D10025,Programme!E10025,Programme!F10025,Programme!G10025,Programme!H10025,Programme!I10025)</f>
        <v>&lt;/ValeurCellule&gt;</v>
      </c>
    </row>
    <row r="10025" spans="1:1" x14ac:dyDescent="0.2">
      <c r="A10025" s="1135" t="str">
        <f>CONCATENATE(Programme!C10026,Programme!D10026,Programme!E10026,Programme!F10026,Programme!G10026,Programme!H10026,Programme!I10026)</f>
        <v>&lt;ValeurCellule&gt;</v>
      </c>
    </row>
    <row r="10026" spans="1:1" x14ac:dyDescent="0.2">
      <c r="A10026" s="1135" t="str">
        <f>CONCATENATE(Programme!C10027,Programme!D10027,Programme!E10027,Programme!F10027,Programme!G10027,Programme!H10027,Programme!I10027)</f>
        <v>&lt;cellule&gt;&lt;codeEdi&gt;1252&lt;/codeEdi&gt;&lt;/cellule&gt;</v>
      </c>
    </row>
    <row r="10027" spans="1:1" x14ac:dyDescent="0.2">
      <c r="A10027" s="1135" t="str">
        <f>CONCATENATE(Programme!C10028,Programme!D10028,Programme!E10028,Programme!F10028,Programme!G10028,Programme!H10028,Programme!I10028)</f>
        <v>&lt;valeur&gt;&lt;/valeur&gt;</v>
      </c>
    </row>
    <row r="10028" spans="1:1" x14ac:dyDescent="0.2">
      <c r="A10028" s="1135" t="str">
        <f>CONCATENATE(Programme!C10029,Programme!D10029,Programme!E10029,Programme!F10029,Programme!G10029,Programme!H10029,Programme!I10029)</f>
        <v>&lt;numeroLigne&gt;2&lt;/numeroLigne&gt;</v>
      </c>
    </row>
    <row r="10029" spans="1:1" x14ac:dyDescent="0.2">
      <c r="A10029" s="1135" t="str">
        <f>CONCATENATE(Programme!C10030,Programme!D10030,Programme!E10030,Programme!F10030,Programme!G10030,Programme!H10030,Programme!I10030)</f>
        <v>&lt;/ValeurCellule&gt;</v>
      </c>
    </row>
    <row r="10030" spans="1:1" x14ac:dyDescent="0.2">
      <c r="A10030" s="1135" t="str">
        <f>CONCATENATE(Programme!C10031,Programme!D10031,Programme!E10031,Programme!F10031,Programme!G10031,Programme!H10031,Programme!I10031)</f>
        <v>&lt;ValeurCellule&gt;</v>
      </c>
    </row>
    <row r="10031" spans="1:1" x14ac:dyDescent="0.2">
      <c r="A10031" s="1135" t="str">
        <f>CONCATENATE(Programme!C10032,Programme!D10032,Programme!E10032,Programme!F10032,Programme!G10032,Programme!H10032,Programme!I10032)</f>
        <v>&lt;cellule&gt;&lt;codeEdi&gt;1253&lt;/codeEdi&gt;&lt;/cellule&gt;</v>
      </c>
    </row>
    <row r="10032" spans="1:1" x14ac:dyDescent="0.2">
      <c r="A10032" s="1135" t="str">
        <f>CONCATENATE(Programme!C10033,Programme!D10033,Programme!E10033,Programme!F10033,Programme!G10033,Programme!H10033,Programme!I10033)</f>
        <v>&lt;valeur&gt;&lt;/valeur&gt;</v>
      </c>
    </row>
    <row r="10033" spans="1:1" x14ac:dyDescent="0.2">
      <c r="A10033" s="1135" t="str">
        <f>CONCATENATE(Programme!C10034,Programme!D10034,Programme!E10034,Programme!F10034,Programme!G10034,Programme!H10034,Programme!I10034)</f>
        <v>&lt;numeroLigne&gt;2&lt;/numeroLigne&gt;</v>
      </c>
    </row>
    <row r="10034" spans="1:1" x14ac:dyDescent="0.2">
      <c r="A10034" s="1135" t="str">
        <f>CONCATENATE(Programme!C10035,Programme!D10035,Programme!E10035,Programme!F10035,Programme!G10035,Programme!H10035,Programme!I10035)</f>
        <v>&lt;/ValeurCellule&gt;</v>
      </c>
    </row>
    <row r="10035" spans="1:1" x14ac:dyDescent="0.2">
      <c r="A10035" s="1135" t="str">
        <f>CONCATENATE(Programme!C10036,Programme!D10036,Programme!E10036,Programme!F10036,Programme!G10036,Programme!H10036,Programme!I10036)</f>
        <v>&lt;ValeurCellule&gt;</v>
      </c>
    </row>
    <row r="10036" spans="1:1" x14ac:dyDescent="0.2">
      <c r="A10036" s="1135" t="str">
        <f>CONCATENATE(Programme!C10037,Programme!D10037,Programme!E10037,Programme!F10037,Programme!G10037,Programme!H10037,Programme!I10037)</f>
        <v>&lt;cellule&gt;&lt;codeEdi&gt;1221&lt;/codeEdi&gt;&lt;/cellule&gt;</v>
      </c>
    </row>
    <row r="10037" spans="1:1" x14ac:dyDescent="0.2">
      <c r="A10037" s="1135" t="str">
        <f>CONCATENATE(Programme!C10038,Programme!D10038,Programme!E10038,Programme!F10038,Programme!G10038,Programme!H10038,Programme!I10038)</f>
        <v>&lt;valeur&gt;&lt;/valeur&gt;</v>
      </c>
    </row>
    <row r="10038" spans="1:1" x14ac:dyDescent="0.2">
      <c r="A10038" s="1135" t="str">
        <f>CONCATENATE(Programme!C10039,Programme!D10039,Programme!E10039,Programme!F10039,Programme!G10039,Programme!H10039,Programme!I10039)</f>
        <v>&lt;numeroLigne&gt;3&lt;/numeroLigne&gt;</v>
      </c>
    </row>
    <row r="10039" spans="1:1" x14ac:dyDescent="0.2">
      <c r="A10039" s="1135" t="str">
        <f>CONCATENATE(Programme!C10040,Programme!D10040,Programme!E10040,Programme!F10040,Programme!G10040,Programme!H10040,Programme!I10040)</f>
        <v>&lt;/ValeurCellule&gt;</v>
      </c>
    </row>
    <row r="10040" spans="1:1" x14ac:dyDescent="0.2">
      <c r="A10040" s="1135" t="str">
        <f>CONCATENATE(Programme!C10041,Programme!D10041,Programme!E10041,Programme!F10041,Programme!G10041,Programme!H10041,Programme!I10041)</f>
        <v>&lt;ValeurCellule&gt;</v>
      </c>
    </row>
    <row r="10041" spans="1:1" x14ac:dyDescent="0.2">
      <c r="A10041" s="1135" t="str">
        <f>CONCATENATE(Programme!C10042,Programme!D10042,Programme!E10042,Programme!F10042,Programme!G10042,Programme!H10042,Programme!I10042)</f>
        <v>&lt;cellule&gt;&lt;codeEdi&gt;1222&lt;/codeEdi&gt;&lt;/cellule&gt;</v>
      </c>
    </row>
    <row r="10042" spans="1:1" x14ac:dyDescent="0.2">
      <c r="A10042" s="1135" t="str">
        <f>CONCATENATE(Programme!C10043,Programme!D10043,Programme!E10043,Programme!F10043,Programme!G10043,Programme!H10043,Programme!I10043)</f>
        <v>&lt;valeur&gt;&lt;/valeur&gt;</v>
      </c>
    </row>
    <row r="10043" spans="1:1" x14ac:dyDescent="0.2">
      <c r="A10043" s="1135" t="str">
        <f>CONCATENATE(Programme!C10044,Programme!D10044,Programme!E10044,Programme!F10044,Programme!G10044,Programme!H10044,Programme!I10044)</f>
        <v>&lt;numeroLigne&gt;3&lt;/numeroLigne&gt;</v>
      </c>
    </row>
    <row r="10044" spans="1:1" x14ac:dyDescent="0.2">
      <c r="A10044" s="1135" t="str">
        <f>CONCATENATE(Programme!C10045,Programme!D10045,Programme!E10045,Programme!F10045,Programme!G10045,Programme!H10045,Programme!I10045)</f>
        <v>&lt;/ValeurCellule&gt;</v>
      </c>
    </row>
    <row r="10045" spans="1:1" x14ac:dyDescent="0.2">
      <c r="A10045" s="1135" t="str">
        <f>CONCATENATE(Programme!C10046,Programme!D10046,Programme!E10046,Programme!F10046,Programme!G10046,Programme!H10046,Programme!I10046)</f>
        <v>&lt;ValeurCellule&gt;</v>
      </c>
    </row>
    <row r="10046" spans="1:1" x14ac:dyDescent="0.2">
      <c r="A10046" s="1135" t="str">
        <f>CONCATENATE(Programme!C10047,Programme!D10047,Programme!E10047,Programme!F10047,Programme!G10047,Programme!H10047,Programme!I10047)</f>
        <v>&lt;cellule&gt;&lt;codeEdi&gt;1223&lt;/codeEdi&gt;&lt;/cellule&gt;</v>
      </c>
    </row>
    <row r="10047" spans="1:1" x14ac:dyDescent="0.2">
      <c r="A10047" s="1135" t="str">
        <f>CONCATENATE(Programme!C10048,Programme!D10048,Programme!E10048,Programme!F10048,Programme!G10048,Programme!H10048,Programme!I10048)</f>
        <v>&lt;valeur&gt;&lt;/valeur&gt;</v>
      </c>
    </row>
    <row r="10048" spans="1:1" x14ac:dyDescent="0.2">
      <c r="A10048" s="1135" t="str">
        <f>CONCATENATE(Programme!C10049,Programme!D10049,Programme!E10049,Programme!F10049,Programme!G10049,Programme!H10049,Programme!I10049)</f>
        <v>&lt;numeroLigne&gt;3&lt;/numeroLigne&gt;</v>
      </c>
    </row>
    <row r="10049" spans="1:1" x14ac:dyDescent="0.2">
      <c r="A10049" s="1135" t="str">
        <f>CONCATENATE(Programme!C10050,Programme!D10050,Programme!E10050,Programme!F10050,Programme!G10050,Programme!H10050,Programme!I10050)</f>
        <v>&lt;/ValeurCellule&gt;</v>
      </c>
    </row>
    <row r="10050" spans="1:1" x14ac:dyDescent="0.2">
      <c r="A10050" s="1135" t="str">
        <f>CONCATENATE(Programme!C10051,Programme!D10051,Programme!E10051,Programme!F10051,Programme!G10051,Programme!H10051,Programme!I10051)</f>
        <v>&lt;ValeurCellule&gt;</v>
      </c>
    </row>
    <row r="10051" spans="1:1" x14ac:dyDescent="0.2">
      <c r="A10051" s="1135" t="str">
        <f>CONCATENATE(Programme!C10052,Programme!D10052,Programme!E10052,Programme!F10052,Programme!G10052,Programme!H10052,Programme!I10052)</f>
        <v>&lt;cellule&gt;&lt;codeEdi&gt;1224&lt;/codeEdi&gt;&lt;/cellule&gt;</v>
      </c>
    </row>
    <row r="10052" spans="1:1" x14ac:dyDescent="0.2">
      <c r="A10052" s="1135" t="str">
        <f>CONCATENATE(Programme!C10053,Programme!D10053,Programme!E10053,Programme!F10053,Programme!G10053,Programme!H10053,Programme!I10053)</f>
        <v>&lt;valeur&gt;&lt;/valeur&gt;</v>
      </c>
    </row>
    <row r="10053" spans="1:1" x14ac:dyDescent="0.2">
      <c r="A10053" s="1135" t="str">
        <f>CONCATENATE(Programme!C10054,Programme!D10054,Programme!E10054,Programme!F10054,Programme!G10054,Programme!H10054,Programme!I10054)</f>
        <v>&lt;numeroLigne&gt;3&lt;/numeroLigne&gt;</v>
      </c>
    </row>
    <row r="10054" spans="1:1" x14ac:dyDescent="0.2">
      <c r="A10054" s="1135" t="str">
        <f>CONCATENATE(Programme!C10055,Programme!D10055,Programme!E10055,Programme!F10055,Programme!G10055,Programme!H10055,Programme!I10055)</f>
        <v>&lt;/ValeurCellule&gt;</v>
      </c>
    </row>
    <row r="10055" spans="1:1" x14ac:dyDescent="0.2">
      <c r="A10055" s="1135" t="str">
        <f>CONCATENATE(Programme!C10056,Programme!D10056,Programme!E10056,Programme!F10056,Programme!G10056,Programme!H10056,Programme!I10056)</f>
        <v>&lt;ValeurCellule&gt;</v>
      </c>
    </row>
    <row r="10056" spans="1:1" x14ac:dyDescent="0.2">
      <c r="A10056" s="1135" t="str">
        <f>CONCATENATE(Programme!C10057,Programme!D10057,Programme!E10057,Programme!F10057,Programme!G10057,Programme!H10057,Programme!I10057)</f>
        <v>&lt;cellule&gt;&lt;codeEdi&gt;1225&lt;/codeEdi&gt;&lt;/cellule&gt;</v>
      </c>
    </row>
    <row r="10057" spans="1:1" x14ac:dyDescent="0.2">
      <c r="A10057" s="1135" t="str">
        <f>CONCATENATE(Programme!C10058,Programme!D10058,Programme!E10058,Programme!F10058,Programme!G10058,Programme!H10058,Programme!I10058)</f>
        <v>&lt;valeur&gt;&lt;/valeur&gt;</v>
      </c>
    </row>
    <row r="10058" spans="1:1" x14ac:dyDescent="0.2">
      <c r="A10058" s="1135" t="str">
        <f>CONCATENATE(Programme!C10059,Programme!D10059,Programme!E10059,Programme!F10059,Programme!G10059,Programme!H10059,Programme!I10059)</f>
        <v>&lt;numeroLigne&gt;3&lt;/numeroLigne&gt;</v>
      </c>
    </row>
    <row r="10059" spans="1:1" x14ac:dyDescent="0.2">
      <c r="A10059" s="1135" t="str">
        <f>CONCATENATE(Programme!C10060,Programme!D10060,Programme!E10060,Programme!F10060,Programme!G10060,Programme!H10060,Programme!I10060)</f>
        <v>&lt;/ValeurCellule&gt;</v>
      </c>
    </row>
    <row r="10060" spans="1:1" x14ac:dyDescent="0.2">
      <c r="A10060" s="1135" t="str">
        <f>CONCATENATE(Programme!C10061,Programme!D10061,Programme!E10061,Programme!F10061,Programme!G10061,Programme!H10061,Programme!I10061)</f>
        <v>&lt;ValeurCellule&gt;</v>
      </c>
    </row>
    <row r="10061" spans="1:1" x14ac:dyDescent="0.2">
      <c r="A10061" s="1135" t="str">
        <f>CONCATENATE(Programme!C10062,Programme!D10062,Programme!E10062,Programme!F10062,Programme!G10062,Programme!H10062,Programme!I10062)</f>
        <v>&lt;cellule&gt;&lt;codeEdi&gt;1226&lt;/codeEdi&gt;&lt;/cellule&gt;</v>
      </c>
    </row>
    <row r="10062" spans="1:1" x14ac:dyDescent="0.2">
      <c r="A10062" s="1135" t="str">
        <f>CONCATENATE(Programme!C10063,Programme!D10063,Programme!E10063,Programme!F10063,Programme!G10063,Programme!H10063,Programme!I10063)</f>
        <v>&lt;valeur&gt;&lt;/valeur&gt;</v>
      </c>
    </row>
    <row r="10063" spans="1:1" x14ac:dyDescent="0.2">
      <c r="A10063" s="1135" t="str">
        <f>CONCATENATE(Programme!C10064,Programme!D10064,Programme!E10064,Programme!F10064,Programme!G10064,Programme!H10064,Programme!I10064)</f>
        <v>&lt;numeroLigne&gt;3&lt;/numeroLigne&gt;</v>
      </c>
    </row>
    <row r="10064" spans="1:1" x14ac:dyDescent="0.2">
      <c r="A10064" s="1135" t="str">
        <f>CONCATENATE(Programme!C10065,Programme!D10065,Programme!E10065,Programme!F10065,Programme!G10065,Programme!H10065,Programme!I10065)</f>
        <v>&lt;/ValeurCellule&gt;</v>
      </c>
    </row>
    <row r="10065" spans="1:1" x14ac:dyDescent="0.2">
      <c r="A10065" s="1135" t="str">
        <f>CONCATENATE(Programme!C10066,Programme!D10066,Programme!E10066,Programme!F10066,Programme!G10066,Programme!H10066,Programme!I10066)</f>
        <v>&lt;ValeurCellule&gt;</v>
      </c>
    </row>
    <row r="10066" spans="1:1" x14ac:dyDescent="0.2">
      <c r="A10066" s="1135" t="str">
        <f>CONCATENATE(Programme!C10067,Programme!D10067,Programme!E10067,Programme!F10067,Programme!G10067,Programme!H10067,Programme!I10067)</f>
        <v>&lt;cellule&gt;&lt;codeEdi&gt;1227&lt;/codeEdi&gt;&lt;/cellule&gt;</v>
      </c>
    </row>
    <row r="10067" spans="1:1" x14ac:dyDescent="0.2">
      <c r="A10067" s="1135" t="str">
        <f>CONCATENATE(Programme!C10068,Programme!D10068,Programme!E10068,Programme!F10068,Programme!G10068,Programme!H10068,Programme!I10068)</f>
        <v>&lt;valeur&gt;&lt;/valeur&gt;</v>
      </c>
    </row>
    <row r="10068" spans="1:1" x14ac:dyDescent="0.2">
      <c r="A10068" s="1135" t="str">
        <f>CONCATENATE(Programme!C10069,Programme!D10069,Programme!E10069,Programme!F10069,Programme!G10069,Programme!H10069,Programme!I10069)</f>
        <v>&lt;numeroLigne&gt;3&lt;/numeroLigne&gt;</v>
      </c>
    </row>
    <row r="10069" spans="1:1" x14ac:dyDescent="0.2">
      <c r="A10069" s="1135" t="str">
        <f>CONCATENATE(Programme!C10070,Programme!D10070,Programme!E10070,Programme!F10070,Programme!G10070,Programme!H10070,Programme!I10070)</f>
        <v>&lt;/ValeurCellule&gt;</v>
      </c>
    </row>
    <row r="10070" spans="1:1" x14ac:dyDescent="0.2">
      <c r="A10070" s="1135" t="str">
        <f>CONCATENATE(Programme!C10071,Programme!D10071,Programme!E10071,Programme!F10071,Programme!G10071,Programme!H10071,Programme!I10071)</f>
        <v>&lt;ValeurCellule&gt;</v>
      </c>
    </row>
    <row r="10071" spans="1:1" x14ac:dyDescent="0.2">
      <c r="A10071" s="1135" t="str">
        <f>CONCATENATE(Programme!C10072,Programme!D10072,Programme!E10072,Programme!F10072,Programme!G10072,Programme!H10072,Programme!I10072)</f>
        <v>&lt;cellule&gt;&lt;codeEdi&gt;1228&lt;/codeEdi&gt;&lt;/cellule&gt;</v>
      </c>
    </row>
    <row r="10072" spans="1:1" x14ac:dyDescent="0.2">
      <c r="A10072" s="1135" t="str">
        <f>CONCATENATE(Programme!C10073,Programme!D10073,Programme!E10073,Programme!F10073,Programme!G10073,Programme!H10073,Programme!I10073)</f>
        <v>&lt;valeur&gt;&lt;/valeur&gt;</v>
      </c>
    </row>
    <row r="10073" spans="1:1" x14ac:dyDescent="0.2">
      <c r="A10073" s="1135" t="str">
        <f>CONCATENATE(Programme!C10074,Programme!D10074,Programme!E10074,Programme!F10074,Programme!G10074,Programme!H10074,Programme!I10074)</f>
        <v>&lt;numeroLigne&gt;3&lt;/numeroLigne&gt;</v>
      </c>
    </row>
    <row r="10074" spans="1:1" x14ac:dyDescent="0.2">
      <c r="A10074" s="1135" t="str">
        <f>CONCATENATE(Programme!C10075,Programme!D10075,Programme!E10075,Programme!F10075,Programme!G10075,Programme!H10075,Programme!I10075)</f>
        <v>&lt;/ValeurCellule&gt;</v>
      </c>
    </row>
    <row r="10075" spans="1:1" x14ac:dyDescent="0.2">
      <c r="A10075" s="1135" t="str">
        <f>CONCATENATE(Programme!C10076,Programme!D10076,Programme!E10076,Programme!F10076,Programme!G10076,Programme!H10076,Programme!I10076)</f>
        <v>&lt;ValeurCellule&gt;</v>
      </c>
    </row>
    <row r="10076" spans="1:1" x14ac:dyDescent="0.2">
      <c r="A10076" s="1135" t="str">
        <f>CONCATENATE(Programme!C10077,Programme!D10077,Programme!E10077,Programme!F10077,Programme!G10077,Programme!H10077,Programme!I10077)</f>
        <v>&lt;cellule&gt;&lt;codeEdi&gt;1229&lt;/codeEdi&gt;&lt;/cellule&gt;</v>
      </c>
    </row>
    <row r="10077" spans="1:1" x14ac:dyDescent="0.2">
      <c r="A10077" s="1135" t="str">
        <f>CONCATENATE(Programme!C10078,Programme!D10078,Programme!E10078,Programme!F10078,Programme!G10078,Programme!H10078,Programme!I10078)</f>
        <v>&lt;valeur&gt;&lt;/valeur&gt;</v>
      </c>
    </row>
    <row r="10078" spans="1:1" x14ac:dyDescent="0.2">
      <c r="A10078" s="1135" t="str">
        <f>CONCATENATE(Programme!C10079,Programme!D10079,Programme!E10079,Programme!F10079,Programme!G10079,Programme!H10079,Programme!I10079)</f>
        <v>&lt;numeroLigne&gt;3&lt;/numeroLigne&gt;</v>
      </c>
    </row>
    <row r="10079" spans="1:1" x14ac:dyDescent="0.2">
      <c r="A10079" s="1135" t="str">
        <f>CONCATENATE(Programme!C10080,Programme!D10080,Programme!E10080,Programme!F10080,Programme!G10080,Programme!H10080,Programme!I10080)</f>
        <v>&lt;/ValeurCellule&gt;</v>
      </c>
    </row>
    <row r="10080" spans="1:1" x14ac:dyDescent="0.2">
      <c r="A10080" s="1135" t="str">
        <f>CONCATENATE(Programme!C10081,Programme!D10081,Programme!E10081,Programme!F10081,Programme!G10081,Programme!H10081,Programme!I10081)</f>
        <v>&lt;ValeurCellule&gt;</v>
      </c>
    </row>
    <row r="10081" spans="1:1" x14ac:dyDescent="0.2">
      <c r="A10081" s="1135" t="str">
        <f>CONCATENATE(Programme!C10082,Programme!D10082,Programme!E10082,Programme!F10082,Programme!G10082,Programme!H10082,Programme!I10082)</f>
        <v>&lt;cellule&gt;&lt;codeEdi&gt;1250&lt;/codeEdi&gt;&lt;/cellule&gt;</v>
      </c>
    </row>
    <row r="10082" spans="1:1" x14ac:dyDescent="0.2">
      <c r="A10082" s="1135" t="str">
        <f>CONCATENATE(Programme!C10083,Programme!D10083,Programme!E10083,Programme!F10083,Programme!G10083,Programme!H10083,Programme!I10083)</f>
        <v>&lt;valeur&gt;&lt;/valeur&gt;</v>
      </c>
    </row>
    <row r="10083" spans="1:1" x14ac:dyDescent="0.2">
      <c r="A10083" s="1135" t="str">
        <f>CONCATENATE(Programme!C10084,Programme!D10084,Programme!E10084,Programme!F10084,Programme!G10084,Programme!H10084,Programme!I10084)</f>
        <v>&lt;numeroLigne&gt;3&lt;/numeroLigne&gt;</v>
      </c>
    </row>
    <row r="10084" spans="1:1" x14ac:dyDescent="0.2">
      <c r="A10084" s="1135" t="str">
        <f>CONCATENATE(Programme!C10085,Programme!D10085,Programme!E10085,Programme!F10085,Programme!G10085,Programme!H10085,Programme!I10085)</f>
        <v>&lt;/ValeurCellule&gt;</v>
      </c>
    </row>
    <row r="10085" spans="1:1" x14ac:dyDescent="0.2">
      <c r="A10085" s="1135" t="str">
        <f>CONCATENATE(Programme!C10086,Programme!D10086,Programme!E10086,Programme!F10086,Programme!G10086,Programme!H10086,Programme!I10086)</f>
        <v>&lt;ValeurCellule&gt;</v>
      </c>
    </row>
    <row r="10086" spans="1:1" x14ac:dyDescent="0.2">
      <c r="A10086" s="1135" t="str">
        <f>CONCATENATE(Programme!C10087,Programme!D10087,Programme!E10087,Programme!F10087,Programme!G10087,Programme!H10087,Programme!I10087)</f>
        <v>&lt;cellule&gt;&lt;codeEdi&gt;1251&lt;/codeEdi&gt;&lt;/cellule&gt;</v>
      </c>
    </row>
    <row r="10087" spans="1:1" x14ac:dyDescent="0.2">
      <c r="A10087" s="1135" t="str">
        <f>CONCATENATE(Programme!C10088,Programme!D10088,Programme!E10088,Programme!F10088,Programme!G10088,Programme!H10088,Programme!I10088)</f>
        <v>&lt;valeur&gt;&lt;/valeur&gt;</v>
      </c>
    </row>
    <row r="10088" spans="1:1" x14ac:dyDescent="0.2">
      <c r="A10088" s="1135" t="str">
        <f>CONCATENATE(Programme!C10089,Programme!D10089,Programme!E10089,Programme!F10089,Programme!G10089,Programme!H10089,Programme!I10089)</f>
        <v>&lt;numeroLigne&gt;3&lt;/numeroLigne&gt;</v>
      </c>
    </row>
    <row r="10089" spans="1:1" x14ac:dyDescent="0.2">
      <c r="A10089" s="1135" t="str">
        <f>CONCATENATE(Programme!C10090,Programme!D10090,Programme!E10090,Programme!F10090,Programme!G10090,Programme!H10090,Programme!I10090)</f>
        <v>&lt;/ValeurCellule&gt;</v>
      </c>
    </row>
    <row r="10090" spans="1:1" x14ac:dyDescent="0.2">
      <c r="A10090" s="1135" t="str">
        <f>CONCATENATE(Programme!C10091,Programme!D10091,Programme!E10091,Programme!F10091,Programme!G10091,Programme!H10091,Programme!I10091)</f>
        <v>&lt;ValeurCellule&gt;</v>
      </c>
    </row>
    <row r="10091" spans="1:1" x14ac:dyDescent="0.2">
      <c r="A10091" s="1135" t="str">
        <f>CONCATENATE(Programme!C10092,Programme!D10092,Programme!E10092,Programme!F10092,Programme!G10092,Programme!H10092,Programme!I10092)</f>
        <v>&lt;cellule&gt;&lt;codeEdi&gt;1252&lt;/codeEdi&gt;&lt;/cellule&gt;</v>
      </c>
    </row>
    <row r="10092" spans="1:1" x14ac:dyDescent="0.2">
      <c r="A10092" s="1135" t="str">
        <f>CONCATENATE(Programme!C10093,Programme!D10093,Programme!E10093,Programme!F10093,Programme!G10093,Programme!H10093,Programme!I10093)</f>
        <v>&lt;valeur&gt;&lt;/valeur&gt;</v>
      </c>
    </row>
    <row r="10093" spans="1:1" x14ac:dyDescent="0.2">
      <c r="A10093" s="1135" t="str">
        <f>CONCATENATE(Programme!C10094,Programme!D10094,Programme!E10094,Programme!F10094,Programme!G10094,Programme!H10094,Programme!I10094)</f>
        <v>&lt;numeroLigne&gt;3&lt;/numeroLigne&gt;</v>
      </c>
    </row>
    <row r="10094" spans="1:1" x14ac:dyDescent="0.2">
      <c r="A10094" s="1135" t="str">
        <f>CONCATENATE(Programme!C10095,Programme!D10095,Programme!E10095,Programme!F10095,Programme!G10095,Programme!H10095,Programme!I10095)</f>
        <v>&lt;/ValeurCellule&gt;</v>
      </c>
    </row>
    <row r="10095" spans="1:1" x14ac:dyDescent="0.2">
      <c r="A10095" s="1135" t="str">
        <f>CONCATENATE(Programme!C10096,Programme!D10096,Programme!E10096,Programme!F10096,Programme!G10096,Programme!H10096,Programme!I10096)</f>
        <v>&lt;ValeurCellule&gt;</v>
      </c>
    </row>
    <row r="10096" spans="1:1" x14ac:dyDescent="0.2">
      <c r="A10096" s="1135" t="str">
        <f>CONCATENATE(Programme!C10097,Programme!D10097,Programme!E10097,Programme!F10097,Programme!G10097,Programme!H10097,Programme!I10097)</f>
        <v>&lt;cellule&gt;&lt;codeEdi&gt;1253&lt;/codeEdi&gt;&lt;/cellule&gt;</v>
      </c>
    </row>
    <row r="10097" spans="1:1" x14ac:dyDescent="0.2">
      <c r="A10097" s="1135" t="str">
        <f>CONCATENATE(Programme!C10098,Programme!D10098,Programme!E10098,Programme!F10098,Programme!G10098,Programme!H10098,Programme!I10098)</f>
        <v>&lt;valeur&gt;&lt;/valeur&gt;</v>
      </c>
    </row>
    <row r="10098" spans="1:1" x14ac:dyDescent="0.2">
      <c r="A10098" s="1135" t="str">
        <f>CONCATENATE(Programme!C10099,Programme!D10099,Programme!E10099,Programme!F10099,Programme!G10099,Programme!H10099,Programme!I10099)</f>
        <v>&lt;numeroLigne&gt;3&lt;/numeroLigne&gt;</v>
      </c>
    </row>
    <row r="10099" spans="1:1" x14ac:dyDescent="0.2">
      <c r="A10099" s="1135" t="str">
        <f>CONCATENATE(Programme!C10100,Programme!D10100,Programme!E10100,Programme!F10100,Programme!G10100,Programme!H10100,Programme!I10100)</f>
        <v>&lt;/ValeurCellule&gt;</v>
      </c>
    </row>
    <row r="10100" spans="1:1" x14ac:dyDescent="0.2">
      <c r="A10100" s="1135" t="str">
        <f>CONCATENATE(Programme!C10101,Programme!D10101,Programme!E10101,Programme!F10101,Programme!G10101,Programme!H10101,Programme!I10101)</f>
        <v>&lt;ValeurCellule&gt;</v>
      </c>
    </row>
    <row r="10101" spans="1:1" x14ac:dyDescent="0.2">
      <c r="A10101" s="1135" t="str">
        <f>CONCATENATE(Programme!C10102,Programme!D10102,Programme!E10102,Programme!F10102,Programme!G10102,Programme!H10102,Programme!I10102)</f>
        <v>&lt;cellule&gt;&lt;codeEdi&gt;1221&lt;/codeEdi&gt;&lt;/cellule&gt;</v>
      </c>
    </row>
    <row r="10102" spans="1:1" x14ac:dyDescent="0.2">
      <c r="A10102" s="1135" t="str">
        <f>CONCATENATE(Programme!C10103,Programme!D10103,Programme!E10103,Programme!F10103,Programme!G10103,Programme!H10103,Programme!I10103)</f>
        <v>&lt;valeur&gt;&lt;/valeur&gt;</v>
      </c>
    </row>
    <row r="10103" spans="1:1" x14ac:dyDescent="0.2">
      <c r="A10103" s="1135" t="str">
        <f>CONCATENATE(Programme!C10104,Programme!D10104,Programme!E10104,Programme!F10104,Programme!G10104,Programme!H10104,Programme!I10104)</f>
        <v>&lt;numeroLigne&gt;4&lt;/numeroLigne&gt;</v>
      </c>
    </row>
    <row r="10104" spans="1:1" x14ac:dyDescent="0.2">
      <c r="A10104" s="1135" t="str">
        <f>CONCATENATE(Programme!C10105,Programme!D10105,Programme!E10105,Programme!F10105,Programme!G10105,Programme!H10105,Programme!I10105)</f>
        <v>&lt;/ValeurCellule&gt;</v>
      </c>
    </row>
    <row r="10105" spans="1:1" x14ac:dyDescent="0.2">
      <c r="A10105" s="1135" t="str">
        <f>CONCATENATE(Programme!C10106,Programme!D10106,Programme!E10106,Programme!F10106,Programme!G10106,Programme!H10106,Programme!I10106)</f>
        <v>&lt;ValeurCellule&gt;</v>
      </c>
    </row>
    <row r="10106" spans="1:1" x14ac:dyDescent="0.2">
      <c r="A10106" s="1135" t="str">
        <f>CONCATENATE(Programme!C10107,Programme!D10107,Programme!E10107,Programme!F10107,Programme!G10107,Programme!H10107,Programme!I10107)</f>
        <v>&lt;cellule&gt;&lt;codeEdi&gt;1222&lt;/codeEdi&gt;&lt;/cellule&gt;</v>
      </c>
    </row>
    <row r="10107" spans="1:1" x14ac:dyDescent="0.2">
      <c r="A10107" s="1135" t="str">
        <f>CONCATENATE(Programme!C10108,Programme!D10108,Programme!E10108,Programme!F10108,Programme!G10108,Programme!H10108,Programme!I10108)</f>
        <v>&lt;valeur&gt;&lt;/valeur&gt;</v>
      </c>
    </row>
    <row r="10108" spans="1:1" x14ac:dyDescent="0.2">
      <c r="A10108" s="1135" t="str">
        <f>CONCATENATE(Programme!C10109,Programme!D10109,Programme!E10109,Programme!F10109,Programme!G10109,Programme!H10109,Programme!I10109)</f>
        <v>&lt;numeroLigne&gt;4&lt;/numeroLigne&gt;</v>
      </c>
    </row>
    <row r="10109" spans="1:1" x14ac:dyDescent="0.2">
      <c r="A10109" s="1135" t="str">
        <f>CONCATENATE(Programme!C10110,Programme!D10110,Programme!E10110,Programme!F10110,Programme!G10110,Programme!H10110,Programme!I10110)</f>
        <v>&lt;/ValeurCellule&gt;</v>
      </c>
    </row>
    <row r="10110" spans="1:1" x14ac:dyDescent="0.2">
      <c r="A10110" s="1135" t="str">
        <f>CONCATENATE(Programme!C10111,Programme!D10111,Programme!E10111,Programme!F10111,Programme!G10111,Programme!H10111,Programme!I10111)</f>
        <v>&lt;ValeurCellule&gt;</v>
      </c>
    </row>
    <row r="10111" spans="1:1" x14ac:dyDescent="0.2">
      <c r="A10111" s="1135" t="str">
        <f>CONCATENATE(Programme!C10112,Programme!D10112,Programme!E10112,Programme!F10112,Programme!G10112,Programme!H10112,Programme!I10112)</f>
        <v>&lt;cellule&gt;&lt;codeEdi&gt;1223&lt;/codeEdi&gt;&lt;/cellule&gt;</v>
      </c>
    </row>
    <row r="10112" spans="1:1" x14ac:dyDescent="0.2">
      <c r="A10112" s="1135" t="str">
        <f>CONCATENATE(Programme!C10113,Programme!D10113,Programme!E10113,Programme!F10113,Programme!G10113,Programme!H10113,Programme!I10113)</f>
        <v>&lt;valeur&gt;&lt;/valeur&gt;</v>
      </c>
    </row>
    <row r="10113" spans="1:1" x14ac:dyDescent="0.2">
      <c r="A10113" s="1135" t="str">
        <f>CONCATENATE(Programme!C10114,Programme!D10114,Programme!E10114,Programme!F10114,Programme!G10114,Programme!H10114,Programme!I10114)</f>
        <v>&lt;numeroLigne&gt;4&lt;/numeroLigne&gt;</v>
      </c>
    </row>
    <row r="10114" spans="1:1" x14ac:dyDescent="0.2">
      <c r="A10114" s="1135" t="str">
        <f>CONCATENATE(Programme!C10115,Programme!D10115,Programme!E10115,Programme!F10115,Programme!G10115,Programme!H10115,Programme!I10115)</f>
        <v>&lt;/ValeurCellule&gt;</v>
      </c>
    </row>
    <row r="10115" spans="1:1" x14ac:dyDescent="0.2">
      <c r="A10115" s="1135" t="str">
        <f>CONCATENATE(Programme!C10116,Programme!D10116,Programme!E10116,Programme!F10116,Programme!G10116,Programme!H10116,Programme!I10116)</f>
        <v>&lt;ValeurCellule&gt;</v>
      </c>
    </row>
    <row r="10116" spans="1:1" x14ac:dyDescent="0.2">
      <c r="A10116" s="1135" t="str">
        <f>CONCATENATE(Programme!C10117,Programme!D10117,Programme!E10117,Programme!F10117,Programme!G10117,Programme!H10117,Programme!I10117)</f>
        <v>&lt;cellule&gt;&lt;codeEdi&gt;1224&lt;/codeEdi&gt;&lt;/cellule&gt;</v>
      </c>
    </row>
    <row r="10117" spans="1:1" x14ac:dyDescent="0.2">
      <c r="A10117" s="1135" t="str">
        <f>CONCATENATE(Programme!C10118,Programme!D10118,Programme!E10118,Programme!F10118,Programme!G10118,Programme!H10118,Programme!I10118)</f>
        <v>&lt;valeur&gt;&lt;/valeur&gt;</v>
      </c>
    </row>
    <row r="10118" spans="1:1" x14ac:dyDescent="0.2">
      <c r="A10118" s="1135" t="str">
        <f>CONCATENATE(Programme!C10119,Programme!D10119,Programme!E10119,Programme!F10119,Programme!G10119,Programme!H10119,Programme!I10119)</f>
        <v>&lt;numeroLigne&gt;4&lt;/numeroLigne&gt;</v>
      </c>
    </row>
    <row r="10119" spans="1:1" x14ac:dyDescent="0.2">
      <c r="A10119" s="1135" t="str">
        <f>CONCATENATE(Programme!C10120,Programme!D10120,Programme!E10120,Programme!F10120,Programme!G10120,Programme!H10120,Programme!I10120)</f>
        <v>&lt;/ValeurCellule&gt;</v>
      </c>
    </row>
    <row r="10120" spans="1:1" x14ac:dyDescent="0.2">
      <c r="A10120" s="1135" t="str">
        <f>CONCATENATE(Programme!C10121,Programme!D10121,Programme!E10121,Programme!F10121,Programme!G10121,Programme!H10121,Programme!I10121)</f>
        <v>&lt;ValeurCellule&gt;</v>
      </c>
    </row>
    <row r="10121" spans="1:1" x14ac:dyDescent="0.2">
      <c r="A10121" s="1135" t="str">
        <f>CONCATENATE(Programme!C10122,Programme!D10122,Programme!E10122,Programme!F10122,Programme!G10122,Programme!H10122,Programme!I10122)</f>
        <v>&lt;cellule&gt;&lt;codeEdi&gt;1225&lt;/codeEdi&gt;&lt;/cellule&gt;</v>
      </c>
    </row>
    <row r="10122" spans="1:1" x14ac:dyDescent="0.2">
      <c r="A10122" s="1135" t="str">
        <f>CONCATENATE(Programme!C10123,Programme!D10123,Programme!E10123,Programme!F10123,Programme!G10123,Programme!H10123,Programme!I10123)</f>
        <v>&lt;valeur&gt;&lt;/valeur&gt;</v>
      </c>
    </row>
    <row r="10123" spans="1:1" x14ac:dyDescent="0.2">
      <c r="A10123" s="1135" t="str">
        <f>CONCATENATE(Programme!C10124,Programme!D10124,Programme!E10124,Programme!F10124,Programme!G10124,Programme!H10124,Programme!I10124)</f>
        <v>&lt;numeroLigne&gt;4&lt;/numeroLigne&gt;</v>
      </c>
    </row>
    <row r="10124" spans="1:1" x14ac:dyDescent="0.2">
      <c r="A10124" s="1135" t="str">
        <f>CONCATENATE(Programme!C10125,Programme!D10125,Programme!E10125,Programme!F10125,Programme!G10125,Programme!H10125,Programme!I10125)</f>
        <v>&lt;/ValeurCellule&gt;</v>
      </c>
    </row>
    <row r="10125" spans="1:1" x14ac:dyDescent="0.2">
      <c r="A10125" s="1135" t="str">
        <f>CONCATENATE(Programme!C10126,Programme!D10126,Programme!E10126,Programme!F10126,Programme!G10126,Programme!H10126,Programme!I10126)</f>
        <v>&lt;ValeurCellule&gt;</v>
      </c>
    </row>
    <row r="10126" spans="1:1" x14ac:dyDescent="0.2">
      <c r="A10126" s="1135" t="str">
        <f>CONCATENATE(Programme!C10127,Programme!D10127,Programme!E10127,Programme!F10127,Programme!G10127,Programme!H10127,Programme!I10127)</f>
        <v>&lt;cellule&gt;&lt;codeEdi&gt;1226&lt;/codeEdi&gt;&lt;/cellule&gt;</v>
      </c>
    </row>
    <row r="10127" spans="1:1" x14ac:dyDescent="0.2">
      <c r="A10127" s="1135" t="str">
        <f>CONCATENATE(Programme!C10128,Programme!D10128,Programme!E10128,Programme!F10128,Programme!G10128,Programme!H10128,Programme!I10128)</f>
        <v>&lt;valeur&gt;&lt;/valeur&gt;</v>
      </c>
    </row>
    <row r="10128" spans="1:1" x14ac:dyDescent="0.2">
      <c r="A10128" s="1135" t="str">
        <f>CONCATENATE(Programme!C10129,Programme!D10129,Programme!E10129,Programme!F10129,Programme!G10129,Programme!H10129,Programme!I10129)</f>
        <v>&lt;numeroLigne&gt;4&lt;/numeroLigne&gt;</v>
      </c>
    </row>
    <row r="10129" spans="1:1" x14ac:dyDescent="0.2">
      <c r="A10129" s="1135" t="str">
        <f>CONCATENATE(Programme!C10130,Programme!D10130,Programme!E10130,Programme!F10130,Programme!G10130,Programme!H10130,Programme!I10130)</f>
        <v>&lt;/ValeurCellule&gt;</v>
      </c>
    </row>
    <row r="10130" spans="1:1" x14ac:dyDescent="0.2">
      <c r="A10130" s="1135" t="str">
        <f>CONCATENATE(Programme!C10131,Programme!D10131,Programme!E10131,Programme!F10131,Programme!G10131,Programme!H10131,Programme!I10131)</f>
        <v>&lt;ValeurCellule&gt;</v>
      </c>
    </row>
    <row r="10131" spans="1:1" x14ac:dyDescent="0.2">
      <c r="A10131" s="1135" t="str">
        <f>CONCATENATE(Programme!C10132,Programme!D10132,Programme!E10132,Programme!F10132,Programme!G10132,Programme!H10132,Programme!I10132)</f>
        <v>&lt;cellule&gt;&lt;codeEdi&gt;1227&lt;/codeEdi&gt;&lt;/cellule&gt;</v>
      </c>
    </row>
    <row r="10132" spans="1:1" x14ac:dyDescent="0.2">
      <c r="A10132" s="1135" t="str">
        <f>CONCATENATE(Programme!C10133,Programme!D10133,Programme!E10133,Programme!F10133,Programme!G10133,Programme!H10133,Programme!I10133)</f>
        <v>&lt;valeur&gt;&lt;/valeur&gt;</v>
      </c>
    </row>
    <row r="10133" spans="1:1" x14ac:dyDescent="0.2">
      <c r="A10133" s="1135" t="str">
        <f>CONCATENATE(Programme!C10134,Programme!D10134,Programme!E10134,Programme!F10134,Programme!G10134,Programme!H10134,Programme!I10134)</f>
        <v>&lt;numeroLigne&gt;4&lt;/numeroLigne&gt;</v>
      </c>
    </row>
    <row r="10134" spans="1:1" x14ac:dyDescent="0.2">
      <c r="A10134" s="1135" t="str">
        <f>CONCATENATE(Programme!C10135,Programme!D10135,Programme!E10135,Programme!F10135,Programme!G10135,Programme!H10135,Programme!I10135)</f>
        <v>&lt;/ValeurCellule&gt;</v>
      </c>
    </row>
    <row r="10135" spans="1:1" x14ac:dyDescent="0.2">
      <c r="A10135" s="1135" t="str">
        <f>CONCATENATE(Programme!C10136,Programme!D10136,Programme!E10136,Programme!F10136,Programme!G10136,Programme!H10136,Programme!I10136)</f>
        <v>&lt;ValeurCellule&gt;</v>
      </c>
    </row>
    <row r="10136" spans="1:1" x14ac:dyDescent="0.2">
      <c r="A10136" s="1135" t="str">
        <f>CONCATENATE(Programme!C10137,Programme!D10137,Programme!E10137,Programme!F10137,Programme!G10137,Programme!H10137,Programme!I10137)</f>
        <v>&lt;cellule&gt;&lt;codeEdi&gt;1228&lt;/codeEdi&gt;&lt;/cellule&gt;</v>
      </c>
    </row>
    <row r="10137" spans="1:1" x14ac:dyDescent="0.2">
      <c r="A10137" s="1135" t="str">
        <f>CONCATENATE(Programme!C10138,Programme!D10138,Programme!E10138,Programme!F10138,Programme!G10138,Programme!H10138,Programme!I10138)</f>
        <v>&lt;valeur&gt;&lt;/valeur&gt;</v>
      </c>
    </row>
    <row r="10138" spans="1:1" x14ac:dyDescent="0.2">
      <c r="A10138" s="1135" t="str">
        <f>CONCATENATE(Programme!C10139,Programme!D10139,Programme!E10139,Programme!F10139,Programme!G10139,Programme!H10139,Programme!I10139)</f>
        <v>&lt;numeroLigne&gt;4&lt;/numeroLigne&gt;</v>
      </c>
    </row>
    <row r="10139" spans="1:1" x14ac:dyDescent="0.2">
      <c r="A10139" s="1135" t="str">
        <f>CONCATENATE(Programme!C10140,Programme!D10140,Programme!E10140,Programme!F10140,Programme!G10140,Programme!H10140,Programme!I10140)</f>
        <v>&lt;/ValeurCellule&gt;</v>
      </c>
    </row>
    <row r="10140" spans="1:1" x14ac:dyDescent="0.2">
      <c r="A10140" s="1135" t="str">
        <f>CONCATENATE(Programme!C10141,Programme!D10141,Programme!E10141,Programme!F10141,Programme!G10141,Programme!H10141,Programme!I10141)</f>
        <v>&lt;ValeurCellule&gt;</v>
      </c>
    </row>
    <row r="10141" spans="1:1" x14ac:dyDescent="0.2">
      <c r="A10141" s="1135" t="str">
        <f>CONCATENATE(Programme!C10142,Programme!D10142,Programme!E10142,Programme!F10142,Programme!G10142,Programme!H10142,Programme!I10142)</f>
        <v>&lt;cellule&gt;&lt;codeEdi&gt;1229&lt;/codeEdi&gt;&lt;/cellule&gt;</v>
      </c>
    </row>
    <row r="10142" spans="1:1" x14ac:dyDescent="0.2">
      <c r="A10142" s="1135" t="str">
        <f>CONCATENATE(Programme!C10143,Programme!D10143,Programme!E10143,Programme!F10143,Programme!G10143,Programme!H10143,Programme!I10143)</f>
        <v>&lt;valeur&gt;&lt;/valeur&gt;</v>
      </c>
    </row>
    <row r="10143" spans="1:1" x14ac:dyDescent="0.2">
      <c r="A10143" s="1135" t="str">
        <f>CONCATENATE(Programme!C10144,Programme!D10144,Programme!E10144,Programme!F10144,Programme!G10144,Programme!H10144,Programme!I10144)</f>
        <v>&lt;numeroLigne&gt;4&lt;/numeroLigne&gt;</v>
      </c>
    </row>
    <row r="10144" spans="1:1" x14ac:dyDescent="0.2">
      <c r="A10144" s="1135" t="str">
        <f>CONCATENATE(Programme!C10145,Programme!D10145,Programme!E10145,Programme!F10145,Programme!G10145,Programme!H10145,Programme!I10145)</f>
        <v>&lt;/ValeurCellule&gt;</v>
      </c>
    </row>
    <row r="10145" spans="1:1" x14ac:dyDescent="0.2">
      <c r="A10145" s="1135" t="str">
        <f>CONCATENATE(Programme!C10146,Programme!D10146,Programme!E10146,Programme!F10146,Programme!G10146,Programme!H10146,Programme!I10146)</f>
        <v>&lt;ValeurCellule&gt;</v>
      </c>
    </row>
    <row r="10146" spans="1:1" x14ac:dyDescent="0.2">
      <c r="A10146" s="1135" t="str">
        <f>CONCATENATE(Programme!C10147,Programme!D10147,Programme!E10147,Programme!F10147,Programme!G10147,Programme!H10147,Programme!I10147)</f>
        <v>&lt;cellule&gt;&lt;codeEdi&gt;1250&lt;/codeEdi&gt;&lt;/cellule&gt;</v>
      </c>
    </row>
    <row r="10147" spans="1:1" x14ac:dyDescent="0.2">
      <c r="A10147" s="1135" t="str">
        <f>CONCATENATE(Programme!C10148,Programme!D10148,Programme!E10148,Programme!F10148,Programme!G10148,Programme!H10148,Programme!I10148)</f>
        <v>&lt;valeur&gt;&lt;/valeur&gt;</v>
      </c>
    </row>
    <row r="10148" spans="1:1" x14ac:dyDescent="0.2">
      <c r="A10148" s="1135" t="str">
        <f>CONCATENATE(Programme!C10149,Programme!D10149,Programme!E10149,Programme!F10149,Programme!G10149,Programme!H10149,Programme!I10149)</f>
        <v>&lt;numeroLigne&gt;4&lt;/numeroLigne&gt;</v>
      </c>
    </row>
    <row r="10149" spans="1:1" x14ac:dyDescent="0.2">
      <c r="A10149" s="1135" t="str">
        <f>CONCATENATE(Programme!C10150,Programme!D10150,Programme!E10150,Programme!F10150,Programme!G10150,Programme!H10150,Programme!I10150)</f>
        <v>&lt;/ValeurCellule&gt;</v>
      </c>
    </row>
    <row r="10150" spans="1:1" x14ac:dyDescent="0.2">
      <c r="A10150" s="1135" t="str">
        <f>CONCATENATE(Programme!C10151,Programme!D10151,Programme!E10151,Programme!F10151,Programme!G10151,Programme!H10151,Programme!I10151)</f>
        <v>&lt;ValeurCellule&gt;</v>
      </c>
    </row>
    <row r="10151" spans="1:1" x14ac:dyDescent="0.2">
      <c r="A10151" s="1135" t="str">
        <f>CONCATENATE(Programme!C10152,Programme!D10152,Programme!E10152,Programme!F10152,Programme!G10152,Programme!H10152,Programme!I10152)</f>
        <v>&lt;cellule&gt;&lt;codeEdi&gt;1251&lt;/codeEdi&gt;&lt;/cellule&gt;</v>
      </c>
    </row>
    <row r="10152" spans="1:1" x14ac:dyDescent="0.2">
      <c r="A10152" s="1135" t="str">
        <f>CONCATENATE(Programme!C10153,Programme!D10153,Programme!E10153,Programme!F10153,Programme!G10153,Programme!H10153,Programme!I10153)</f>
        <v>&lt;valeur&gt;&lt;/valeur&gt;</v>
      </c>
    </row>
    <row r="10153" spans="1:1" x14ac:dyDescent="0.2">
      <c r="A10153" s="1135" t="str">
        <f>CONCATENATE(Programme!C10154,Programme!D10154,Programme!E10154,Programme!F10154,Programme!G10154,Programme!H10154,Programme!I10154)</f>
        <v>&lt;numeroLigne&gt;4&lt;/numeroLigne&gt;</v>
      </c>
    </row>
    <row r="10154" spans="1:1" x14ac:dyDescent="0.2">
      <c r="A10154" s="1135" t="str">
        <f>CONCATENATE(Programme!C10155,Programme!D10155,Programme!E10155,Programme!F10155,Programme!G10155,Programme!H10155,Programme!I10155)</f>
        <v>&lt;/ValeurCellule&gt;</v>
      </c>
    </row>
    <row r="10155" spans="1:1" x14ac:dyDescent="0.2">
      <c r="A10155" s="1135" t="str">
        <f>CONCATENATE(Programme!C10156,Programme!D10156,Programme!E10156,Programme!F10156,Programme!G10156,Programme!H10156,Programme!I10156)</f>
        <v>&lt;ValeurCellule&gt;</v>
      </c>
    </row>
    <row r="10156" spans="1:1" x14ac:dyDescent="0.2">
      <c r="A10156" s="1135" t="str">
        <f>CONCATENATE(Programme!C10157,Programme!D10157,Programme!E10157,Programme!F10157,Programme!G10157,Programme!H10157,Programme!I10157)</f>
        <v>&lt;cellule&gt;&lt;codeEdi&gt;1252&lt;/codeEdi&gt;&lt;/cellule&gt;</v>
      </c>
    </row>
    <row r="10157" spans="1:1" x14ac:dyDescent="0.2">
      <c r="A10157" s="1135" t="str">
        <f>CONCATENATE(Programme!C10158,Programme!D10158,Programme!E10158,Programme!F10158,Programme!G10158,Programme!H10158,Programme!I10158)</f>
        <v>&lt;valeur&gt;&lt;/valeur&gt;</v>
      </c>
    </row>
    <row r="10158" spans="1:1" x14ac:dyDescent="0.2">
      <c r="A10158" s="1135" t="str">
        <f>CONCATENATE(Programme!C10159,Programme!D10159,Programme!E10159,Programme!F10159,Programme!G10159,Programme!H10159,Programme!I10159)</f>
        <v>&lt;numeroLigne&gt;4&lt;/numeroLigne&gt;</v>
      </c>
    </row>
    <row r="10159" spans="1:1" x14ac:dyDescent="0.2">
      <c r="A10159" s="1135" t="str">
        <f>CONCATENATE(Programme!C10160,Programme!D10160,Programme!E10160,Programme!F10160,Programme!G10160,Programme!H10160,Programme!I10160)</f>
        <v>&lt;/ValeurCellule&gt;</v>
      </c>
    </row>
    <row r="10160" spans="1:1" x14ac:dyDescent="0.2">
      <c r="A10160" s="1135" t="str">
        <f>CONCATENATE(Programme!C10161,Programme!D10161,Programme!E10161,Programme!F10161,Programme!G10161,Programme!H10161,Programme!I10161)</f>
        <v>&lt;ValeurCellule&gt;</v>
      </c>
    </row>
    <row r="10161" spans="1:1" x14ac:dyDescent="0.2">
      <c r="A10161" s="1135" t="str">
        <f>CONCATENATE(Programme!C10162,Programme!D10162,Programme!E10162,Programme!F10162,Programme!G10162,Programme!H10162,Programme!I10162)</f>
        <v>&lt;cellule&gt;&lt;codeEdi&gt;1253&lt;/codeEdi&gt;&lt;/cellule&gt;</v>
      </c>
    </row>
    <row r="10162" spans="1:1" x14ac:dyDescent="0.2">
      <c r="A10162" s="1135" t="str">
        <f>CONCATENATE(Programme!C10163,Programme!D10163,Programme!E10163,Programme!F10163,Programme!G10163,Programme!H10163,Programme!I10163)</f>
        <v>&lt;valeur&gt;&lt;/valeur&gt;</v>
      </c>
    </row>
    <row r="10163" spans="1:1" x14ac:dyDescent="0.2">
      <c r="A10163" s="1135" t="str">
        <f>CONCATENATE(Programme!C10164,Programme!D10164,Programme!E10164,Programme!F10164,Programme!G10164,Programme!H10164,Programme!I10164)</f>
        <v>&lt;numeroLigne&gt;4&lt;/numeroLigne&gt;</v>
      </c>
    </row>
    <row r="10164" spans="1:1" x14ac:dyDescent="0.2">
      <c r="A10164" s="1135" t="str">
        <f>CONCATENATE(Programme!C10165,Programme!D10165,Programme!E10165,Programme!F10165,Programme!G10165,Programme!H10165,Programme!I10165)</f>
        <v>&lt;/ValeurCellule&gt;</v>
      </c>
    </row>
    <row r="10165" spans="1:1" x14ac:dyDescent="0.2">
      <c r="A10165" s="1135" t="str">
        <f>CONCATENATE(Programme!C10166,Programme!D10166,Programme!E10166,Programme!F10166,Programme!G10166,Programme!H10166,Programme!I10166)</f>
        <v>&lt;ValeurCellule&gt;</v>
      </c>
    </row>
    <row r="10166" spans="1:1" x14ac:dyDescent="0.2">
      <c r="A10166" s="1135" t="str">
        <f>CONCATENATE(Programme!C10167,Programme!D10167,Programme!E10167,Programme!F10167,Programme!G10167,Programme!H10167,Programme!I10167)</f>
        <v>&lt;cellule&gt;</v>
      </c>
    </row>
    <row r="10167" spans="1:1" x14ac:dyDescent="0.2">
      <c r="A10167" s="1135" t="str">
        <f>CONCATENATE(Programme!C10168,Programme!D10168,Programme!E10168,Programme!F10168,Programme!G10168,Programme!H10168,Programme!I10168)</f>
        <v>&lt;codeEdi&gt;1257&lt;/codeEdi&gt;</v>
      </c>
    </row>
    <row r="10168" spans="1:1" x14ac:dyDescent="0.2">
      <c r="A10168" s="1135" t="str">
        <f>CONCATENATE(Programme!C10169,Programme!D10169,Programme!E10169,Programme!F10169,Programme!G10169,Programme!H10169,Programme!I10169)</f>
        <v>&lt;/cellule&gt;</v>
      </c>
    </row>
    <row r="10169" spans="1:1" x14ac:dyDescent="0.2">
      <c r="A10169" s="1135" t="str">
        <f>CONCATENATE(Programme!C10170,Programme!D10170,Programme!E10170,Programme!F10170,Programme!G10170,Programme!H10170,Programme!I10170)</f>
        <v>&lt;valeur&gt;0&lt;/valeur&gt;</v>
      </c>
    </row>
    <row r="10170" spans="1:1" x14ac:dyDescent="0.2">
      <c r="A10170" s="1135" t="str">
        <f>CONCATENATE(Programme!C10171,Programme!D10171,Programme!E10171,Programme!F10171,Programme!G10171,Programme!H10171,Programme!I10171)</f>
        <v>&lt;/ValeurCellule&gt;</v>
      </c>
    </row>
    <row r="10171" spans="1:1" x14ac:dyDescent="0.2">
      <c r="A10171" s="1135" t="str">
        <f>CONCATENATE(Programme!C10172,Programme!D10172,Programme!E10172,Programme!F10172,Programme!G10172,Programme!H10172,Programme!I10172)</f>
        <v>&lt;ValeurCellule&gt;</v>
      </c>
    </row>
    <row r="10172" spans="1:1" x14ac:dyDescent="0.2">
      <c r="A10172" s="1135" t="str">
        <f>CONCATENATE(Programme!C10173,Programme!D10173,Programme!E10173,Programme!F10173,Programme!G10173,Programme!H10173,Programme!I10173)</f>
        <v>&lt;cellule&gt;</v>
      </c>
    </row>
    <row r="10173" spans="1:1" x14ac:dyDescent="0.2">
      <c r="A10173" s="1135" t="str">
        <f>CONCATENATE(Programme!C10174,Programme!D10174,Programme!E10174,Programme!F10174,Programme!G10174,Programme!H10174,Programme!I10174)</f>
        <v>&lt;codeEdi&gt;1261&lt;/codeEdi&gt;</v>
      </c>
    </row>
    <row r="10174" spans="1:1" x14ac:dyDescent="0.2">
      <c r="A10174" s="1135" t="str">
        <f>CONCATENATE(Programme!C10175,Programme!D10175,Programme!E10175,Programme!F10175,Programme!G10175,Programme!H10175,Programme!I10175)</f>
        <v>&lt;/cellule&gt;</v>
      </c>
    </row>
    <row r="10175" spans="1:1" x14ac:dyDescent="0.2">
      <c r="A10175" s="1135" t="str">
        <f>CONCATENATE(Programme!C10176,Programme!D10176,Programme!E10176,Programme!F10176,Programme!G10176,Programme!H10176,Programme!I10176)</f>
        <v>&lt;valeur&gt;0&lt;/valeur&gt;</v>
      </c>
    </row>
    <row r="10176" spans="1:1" x14ac:dyDescent="0.2">
      <c r="A10176" s="1135" t="str">
        <f>CONCATENATE(Programme!C10177,Programme!D10177,Programme!E10177,Programme!F10177,Programme!G10177,Programme!H10177,Programme!I10177)</f>
        <v>&lt;/ValeurCellule&gt;</v>
      </c>
    </row>
    <row r="10177" spans="1:1" x14ac:dyDescent="0.2">
      <c r="A10177" s="1135" t="str">
        <f>CONCATENATE(Programme!C10178,Programme!D10178,Programme!E10178,Programme!F10178,Programme!G10178,Programme!H10178,Programme!I10178)</f>
        <v>&lt;ValeurCellule&gt;</v>
      </c>
    </row>
    <row r="10178" spans="1:1" x14ac:dyDescent="0.2">
      <c r="A10178" s="1135" t="str">
        <f>CONCATENATE(Programme!C10179,Programme!D10179,Programme!E10179,Programme!F10179,Programme!G10179,Programme!H10179,Programme!I10179)</f>
        <v>&lt;cellule&gt;</v>
      </c>
    </row>
    <row r="10179" spans="1:1" x14ac:dyDescent="0.2">
      <c r="A10179" s="1135" t="str">
        <f>CONCATENATE(Programme!C10180,Programme!D10180,Programme!E10180,Programme!F10180,Programme!G10180,Programme!H10180,Programme!I10180)</f>
        <v>&lt;codeEdi&gt;1262&lt;/codeEdi&gt;</v>
      </c>
    </row>
    <row r="10180" spans="1:1" x14ac:dyDescent="0.2">
      <c r="A10180" s="1135" t="str">
        <f>CONCATENATE(Programme!C10181,Programme!D10181,Programme!E10181,Programme!F10181,Programme!G10181,Programme!H10181,Programme!I10181)</f>
        <v>&lt;/cellule&gt;</v>
      </c>
    </row>
    <row r="10181" spans="1:1" x14ac:dyDescent="0.2">
      <c r="A10181" s="1135" t="str">
        <f>CONCATENATE(Programme!C10182,Programme!D10182,Programme!E10182,Programme!F10182,Programme!G10182,Programme!H10182,Programme!I10182)</f>
        <v>&lt;valeur&gt;0&lt;/valeur&gt;</v>
      </c>
    </row>
    <row r="10182" spans="1:1" x14ac:dyDescent="0.2">
      <c r="A10182" s="1135" t="str">
        <f>CONCATENATE(Programme!C10183,Programme!D10183,Programme!E10183,Programme!F10183,Programme!G10183,Programme!H10183,Programme!I10183)</f>
        <v>&lt;/ValeurCellule&gt;</v>
      </c>
    </row>
    <row r="10183" spans="1:1" x14ac:dyDescent="0.2">
      <c r="A10183" s="1135" t="str">
        <f>CONCATENATE(Programme!C10184,Programme!D10184,Programme!E10184,Programme!F10184,Programme!G10184,Programme!H10184,Programme!I10184)</f>
        <v>&lt;ValeurCellule&gt;</v>
      </c>
    </row>
    <row r="10184" spans="1:1" x14ac:dyDescent="0.2">
      <c r="A10184" s="1135" t="str">
        <f>CONCATENATE(Programme!C10185,Programme!D10185,Programme!E10185,Programme!F10185,Programme!G10185,Programme!H10185,Programme!I10185)</f>
        <v>&lt;cellule&gt;</v>
      </c>
    </row>
    <row r="10185" spans="1:1" x14ac:dyDescent="0.2">
      <c r="A10185" s="1135" t="str">
        <f>CONCATENATE(Programme!C10186,Programme!D10186,Programme!E10186,Programme!F10186,Programme!G10186,Programme!H10186,Programme!I10186)</f>
        <v>&lt;codeEdi&gt;1263&lt;/codeEdi&gt;</v>
      </c>
    </row>
    <row r="10186" spans="1:1" x14ac:dyDescent="0.2">
      <c r="A10186" s="1135" t="str">
        <f>CONCATENATE(Programme!C10187,Programme!D10187,Programme!E10187,Programme!F10187,Programme!G10187,Programme!H10187,Programme!I10187)</f>
        <v>&lt;/cellule&gt;</v>
      </c>
    </row>
    <row r="10187" spans="1:1" x14ac:dyDescent="0.2">
      <c r="A10187" s="1135" t="str">
        <f>CONCATENATE(Programme!C10188,Programme!D10188,Programme!E10188,Programme!F10188,Programme!G10188,Programme!H10188,Programme!I10188)</f>
        <v>&lt;valeur&gt;0&lt;/valeur&gt;</v>
      </c>
    </row>
    <row r="10188" spans="1:1" x14ac:dyDescent="0.2">
      <c r="A10188" s="1135" t="str">
        <f>CONCATENATE(Programme!C10189,Programme!D10189,Programme!E10189,Programme!F10189,Programme!G10189,Programme!H10189,Programme!I10189)</f>
        <v>&lt;/ValeurCellule&gt;</v>
      </c>
    </row>
    <row r="10189" spans="1:1" x14ac:dyDescent="0.2">
      <c r="A10189" s="1135" t="str">
        <f>CONCATENATE(Programme!C10190,Programme!D10190,Programme!E10190,Programme!F10190,Programme!G10190,Programme!H10190,Programme!I10190)</f>
        <v>&lt;ValeurCellule&gt;</v>
      </c>
    </row>
    <row r="10190" spans="1:1" x14ac:dyDescent="0.2">
      <c r="A10190" s="1135" t="str">
        <f>CONCATENATE(Programme!C10191,Programme!D10191,Programme!E10191,Programme!F10191,Programme!G10191,Programme!H10191,Programme!I10191)</f>
        <v>&lt;cellule&gt;</v>
      </c>
    </row>
    <row r="10191" spans="1:1" x14ac:dyDescent="0.2">
      <c r="A10191" s="1135" t="str">
        <f>CONCATENATE(Programme!C10192,Programme!D10192,Programme!E10192,Programme!F10192,Programme!G10192,Programme!H10192,Programme!I10192)</f>
        <v>&lt;codeEdi&gt;1264&lt;/codeEdi&gt;</v>
      </c>
    </row>
    <row r="10192" spans="1:1" x14ac:dyDescent="0.2">
      <c r="A10192" s="1135" t="str">
        <f>CONCATENATE(Programme!C10193,Programme!D10193,Programme!E10193,Programme!F10193,Programme!G10193,Programme!H10193,Programme!I10193)</f>
        <v>&lt;/cellule&gt;</v>
      </c>
    </row>
    <row r="10193" spans="1:1" x14ac:dyDescent="0.2">
      <c r="A10193" s="1135" t="str">
        <f>CONCATENATE(Programme!C10194,Programme!D10194,Programme!E10194,Programme!F10194,Programme!G10194,Programme!H10194,Programme!I10194)</f>
        <v>&lt;valeur&gt;0&lt;/valeur&gt;</v>
      </c>
    </row>
    <row r="10194" spans="1:1" x14ac:dyDescent="0.2">
      <c r="A10194" s="1135" t="str">
        <f>CONCATENATE(Programme!C10195,Programme!D10195,Programme!E10195,Programme!F10195,Programme!G10195,Programme!H10195,Programme!I10195)</f>
        <v>&lt;/ValeurCellule&gt;</v>
      </c>
    </row>
    <row r="10195" spans="1:1" x14ac:dyDescent="0.2">
      <c r="A10195" s="1135" t="str">
        <f>CONCATENATE(Programme!C10196,Programme!D10196,Programme!E10196,Programme!F10196,Programme!G10196,Programme!H10196,Programme!I10196)</f>
        <v>&lt;ValeurCellule&gt;</v>
      </c>
    </row>
    <row r="10196" spans="1:1" x14ac:dyDescent="0.2">
      <c r="A10196" s="1135" t="str">
        <f>CONCATENATE(Programme!C10197,Programme!D10197,Programme!E10197,Programme!F10197,Programme!G10197,Programme!H10197,Programme!I10197)</f>
        <v>&lt;cellule&gt;</v>
      </c>
    </row>
    <row r="10197" spans="1:1" x14ac:dyDescent="0.2">
      <c r="A10197" s="1135" t="str">
        <f>CONCATENATE(Programme!C10198,Programme!D10198,Programme!E10198,Programme!F10198,Programme!G10198,Programme!H10198,Programme!I10198)</f>
        <v>&lt;codeEdi&gt;1265&lt;/codeEdi&gt;</v>
      </c>
    </row>
    <row r="10198" spans="1:1" x14ac:dyDescent="0.2">
      <c r="A10198" s="1135" t="str">
        <f>CONCATENATE(Programme!C10199,Programme!D10199,Programme!E10199,Programme!F10199,Programme!G10199,Programme!H10199,Programme!I10199)</f>
        <v>&lt;/cellule&gt;</v>
      </c>
    </row>
    <row r="10199" spans="1:1" x14ac:dyDescent="0.2">
      <c r="A10199" s="1135" t="str">
        <f>CONCATENATE(Programme!C10200,Programme!D10200,Programme!E10200,Programme!F10200,Programme!G10200,Programme!H10200,Programme!I10200)</f>
        <v>&lt;valeur&gt;0&lt;/valeur&gt;</v>
      </c>
    </row>
    <row r="10200" spans="1:1" x14ac:dyDescent="0.2">
      <c r="A10200" s="1135" t="str">
        <f>CONCATENATE(Programme!C10201,Programme!D10201,Programme!E10201,Programme!F10201,Programme!G10201,Programme!H10201,Programme!I10201)</f>
        <v>&lt;/ValeurCellule&gt;</v>
      </c>
    </row>
    <row r="10201" spans="1:1" x14ac:dyDescent="0.2">
      <c r="A10201" s="1135" t="str">
        <f>CONCATENATE(Programme!C10202,Programme!D10202,Programme!E10202,Programme!F10202,Programme!G10202,Programme!H10202,Programme!I10202)</f>
        <v>&lt;/groupeValeurs&gt;</v>
      </c>
    </row>
    <row r="10202" spans="1:1" x14ac:dyDescent="0.2">
      <c r="A10202" s="1135" t="str">
        <f>CONCATENATE(Programme!C10203,Programme!D10203,Programme!E10203,Programme!F10203,Programme!G10203,Programme!H10203,Programme!I10203)</f>
        <v>&lt;extraFieldvaleurs&gt;</v>
      </c>
    </row>
    <row r="10203" spans="1:1" x14ac:dyDescent="0.2">
      <c r="A10203" s="1135" t="str">
        <f>CONCATENATE(Programme!C10204,Programme!D10204,Programme!E10204,Programme!F10204,Programme!G10204,Programme!H10204,Programme!I10204)</f>
        <v>&lt;ExtraFieldValeur&gt;</v>
      </c>
    </row>
    <row r="10204" spans="1:1" x14ac:dyDescent="0.2">
      <c r="A10204" s="1135" t="str">
        <f>CONCATENATE(Programme!C10205,Programme!D10205,Programme!E10205,Programme!F10205,Programme!G10205,Programme!H10205,Programme!I10205)</f>
        <v xml:space="preserve"> &lt;extraField&gt;</v>
      </c>
    </row>
    <row r="10205" spans="1:1" x14ac:dyDescent="0.2">
      <c r="A10205" s="1135" t="str">
        <f>CONCATENATE(Programme!C10206,Programme!D10206,Programme!E10206,Programme!F10206,Programme!G10206,Programme!H10206,Programme!I10206)</f>
        <v>&lt;code&gt;55&lt;/code&gt;</v>
      </c>
    </row>
    <row r="10206" spans="1:1" x14ac:dyDescent="0.2">
      <c r="A10206" s="1135" t="str">
        <f>CONCATENATE(Programme!C10207,Programme!D10207,Programme!E10207,Programme!F10207,Programme!G10207,Programme!H10207,Programme!I10207)</f>
        <v xml:space="preserve">&lt;/extraField&gt; </v>
      </c>
    </row>
    <row r="10207" spans="1:1" x14ac:dyDescent="0.2">
      <c r="A10207" s="1135" t="str">
        <f>CONCATENATE(Programme!C10208,Programme!D10208,Programme!E10208,Programme!F10208,Programme!G10208,Programme!H10208,Programme!I10208)</f>
        <v>&lt;valeur&gt;31/12/2022&lt;/valeur&gt;</v>
      </c>
    </row>
    <row r="10208" spans="1:1" x14ac:dyDescent="0.2">
      <c r="A10208" s="1135" t="str">
        <f>CONCATENATE(Programme!C10209,Programme!D10209,Programme!E10209,Programme!F10209,Programme!G10209,Programme!H10209,Programme!I10209)</f>
        <v>&lt;/ExtraFieldValeur&gt;</v>
      </c>
    </row>
    <row r="10209" spans="1:1" x14ac:dyDescent="0.2">
      <c r="A10209" s="1135" t="str">
        <f>CONCATENATE(Programme!C10210,Programme!D10210,Programme!E10210,Programme!F10210,Programme!G10210,Programme!H10210,Programme!I10210)</f>
        <v>&lt;/extraFieldvaleurs&gt;</v>
      </c>
    </row>
    <row r="10210" spans="1:1" x14ac:dyDescent="0.2">
      <c r="A10210" s="1135" t="str">
        <f>CONCATENATE(Programme!C10211,Programme!D10211,Programme!E10211,Programme!F10211,Programme!G10211,Programme!H10211,Programme!I10211)</f>
        <v>&lt;/ValeursTableau&gt;</v>
      </c>
    </row>
    <row r="10211" spans="1:1" x14ac:dyDescent="0.2">
      <c r="A10211" s="1135" t="str">
        <f>CONCATENATE(Programme!C10212,Programme!D10212,Programme!E10212,Programme!F10212,Programme!G10212,Programme!H10212,Programme!I10212)</f>
        <v>&lt;ValeursTableau&gt;</v>
      </c>
    </row>
    <row r="10212" spans="1:1" x14ac:dyDescent="0.2">
      <c r="A10212" s="1135" t="str">
        <f>CONCATENATE(Programme!C10213,Programme!D10213,Programme!E10213,Programme!F10213,Programme!G10213,Programme!H10213,Programme!I10213)</f>
        <v>&lt;tableau&gt;&lt;id&gt;28&lt;/id&gt;&lt;/tableau&gt;</v>
      </c>
    </row>
    <row r="10213" spans="1:1" x14ac:dyDescent="0.2">
      <c r="A10213" s="1135" t="str">
        <f>CONCATENATE(Programme!C10214,Programme!D10214,Programme!E10214,Programme!F10214,Programme!G10214,Programme!H10214,Programme!I10214)</f>
        <v>&lt;groupeValeurs&gt;</v>
      </c>
    </row>
    <row r="10214" spans="1:1" x14ac:dyDescent="0.2">
      <c r="A10214" s="1135" t="str">
        <f>CONCATENATE(Programme!C10215,Programme!D10215,Programme!E10215,Programme!F10215,Programme!G10215,Programme!H10215,Programme!I10215)</f>
        <v>&lt;ValeurCellule&gt;</v>
      </c>
    </row>
    <row r="10215" spans="1:1" x14ac:dyDescent="0.2">
      <c r="A10215" s="1135" t="str">
        <f>CONCATENATE(Programme!C10216,Programme!D10216,Programme!E10216,Programme!F10216,Programme!G10216,Programme!H10216,Programme!I10216)</f>
        <v>&lt;cellule&gt;&lt;codeEdi&gt;1267&lt;/codeEdi&gt;&lt;/cellule&gt;</v>
      </c>
    </row>
    <row r="10216" spans="1:1" x14ac:dyDescent="0.2">
      <c r="A10216" s="1135" t="str">
        <f>CONCATENATE(Programme!C10217,Programme!D10217,Programme!E10217,Programme!F10217,Programme!G10217,Programme!H10217,Programme!I10217)</f>
        <v>&lt;valeur&gt;dfdfd &lt;/valeur&gt;</v>
      </c>
    </row>
    <row r="10217" spans="1:1" x14ac:dyDescent="0.2">
      <c r="A10217" s="1135" t="str">
        <f>CONCATENATE(Programme!C10218,Programme!D10218,Programme!E10218,Programme!F10218,Programme!G10218,Programme!H10218,Programme!I10218)</f>
        <v>&lt;numeroLigne&gt;1&lt;/numeroLigne&gt;</v>
      </c>
    </row>
    <row r="10218" spans="1:1" x14ac:dyDescent="0.2">
      <c r="A10218" s="1135" t="str">
        <f>CONCATENATE(Programme!C10219,Programme!D10219,Programme!E10219,Programme!F10219,Programme!G10219,Programme!H10219,Programme!I10219)</f>
        <v>&lt;/ValeurCellule&gt;</v>
      </c>
    </row>
    <row r="10219" spans="1:1" x14ac:dyDescent="0.2">
      <c r="A10219" s="1135" t="str">
        <f>CONCATENATE(Programme!C10220,Programme!D10220,Programme!E10220,Programme!F10220,Programme!G10220,Programme!H10220,Programme!I10220)</f>
        <v>&lt;ValeurCellule&gt;</v>
      </c>
    </row>
    <row r="10220" spans="1:1" x14ac:dyDescent="0.2">
      <c r="A10220" s="1135" t="str">
        <f>CONCATENATE(Programme!C10221,Programme!D10221,Programme!E10221,Programme!F10221,Programme!G10221,Programme!H10221,Programme!I10221)</f>
        <v>&lt;cellule&gt;&lt;codeEdi&gt;1268&lt;/codeEdi&gt;&lt;/cellule&gt;</v>
      </c>
    </row>
    <row r="10221" spans="1:1" x14ac:dyDescent="0.2">
      <c r="A10221" s="1135" t="str">
        <f>CONCATENATE(Programme!C10222,Programme!D10222,Programme!E10222,Programme!F10222,Programme!G10222,Programme!H10222,Programme!I10222)</f>
        <v>&lt;valeur&gt;ffsfsfs&lt;/valeur&gt;</v>
      </c>
    </row>
    <row r="10222" spans="1:1" x14ac:dyDescent="0.2">
      <c r="A10222" s="1135" t="str">
        <f>CONCATENATE(Programme!C10223,Programme!D10223,Programme!E10223,Programme!F10223,Programme!G10223,Programme!H10223,Programme!I10223)</f>
        <v>&lt;numeroLigne&gt;1&lt;/numeroLigne&gt;</v>
      </c>
    </row>
    <row r="10223" spans="1:1" x14ac:dyDescent="0.2">
      <c r="A10223" s="1135" t="str">
        <f>CONCATENATE(Programme!C10224,Programme!D10224,Programme!E10224,Programme!F10224,Programme!G10224,Programme!H10224,Programme!I10224)</f>
        <v>&lt;/ValeurCellule&gt;</v>
      </c>
    </row>
    <row r="10224" spans="1:1" x14ac:dyDescent="0.2">
      <c r="A10224" s="1135" t="str">
        <f>CONCATENATE(Programme!C10225,Programme!D10225,Programme!E10225,Programme!F10225,Programme!G10225,Programme!H10225,Programme!I10225)</f>
        <v>&lt;ValeurCellule&gt;</v>
      </c>
    </row>
    <row r="10225" spans="1:1" x14ac:dyDescent="0.2">
      <c r="A10225" s="1135" t="str">
        <f>CONCATENATE(Programme!C10226,Programme!D10226,Programme!E10226,Programme!F10226,Programme!G10226,Programme!H10226,Programme!I10226)</f>
        <v>&lt;cellule&gt;&lt;codeEdi&gt;1269&lt;/codeEdi&gt;&lt;/cellule&gt;</v>
      </c>
    </row>
    <row r="10226" spans="1:1" x14ac:dyDescent="0.2">
      <c r="A10226" s="1135" t="str">
        <f>CONCATENATE(Programme!C10227,Programme!D10227,Programme!E10227,Programme!F10227,Programme!G10227,Programme!H10227,Programme!I10227)</f>
        <v>&lt;valeur&gt;sfsfsffsfs&lt;/valeur&gt;</v>
      </c>
    </row>
    <row r="10227" spans="1:1" x14ac:dyDescent="0.2">
      <c r="A10227" s="1135" t="str">
        <f>CONCATENATE(Programme!C10228,Programme!D10228,Programme!E10228,Programme!F10228,Programme!G10228,Programme!H10228,Programme!I10228)</f>
        <v>&lt;numeroLigne&gt;1&lt;/numeroLigne&gt;</v>
      </c>
    </row>
    <row r="10228" spans="1:1" x14ac:dyDescent="0.2">
      <c r="A10228" s="1135" t="str">
        <f>CONCATENATE(Programme!C10229,Programme!D10229,Programme!E10229,Programme!F10229,Programme!G10229,Programme!H10229,Programme!I10229)</f>
        <v>&lt;/ValeurCellule&gt;</v>
      </c>
    </row>
    <row r="10229" spans="1:1" x14ac:dyDescent="0.2">
      <c r="A10229" s="1135" t="str">
        <f>CONCATENATE(Programme!C10230,Programme!D10230,Programme!E10230,Programme!F10230,Programme!G10230,Programme!H10230,Programme!I10230)</f>
        <v>&lt;ValeurCellule&gt;</v>
      </c>
    </row>
    <row r="10230" spans="1:1" x14ac:dyDescent="0.2">
      <c r="A10230" s="1135" t="str">
        <f>CONCATENATE(Programme!C10231,Programme!D10231,Programme!E10231,Programme!F10231,Programme!G10231,Programme!H10231,Programme!I10231)</f>
        <v>&lt;cellule&gt;&lt;codeEdi&gt;1270&lt;/codeEdi&gt;&lt;/cellule&gt;</v>
      </c>
    </row>
    <row r="10231" spans="1:1" x14ac:dyDescent="0.2">
      <c r="A10231" s="1135" t="str">
        <f>CONCATENATE(Programme!C10232,Programme!D10232,Programme!E10232,Programme!F10232,Programme!G10232,Programme!H10232,Programme!I10232)</f>
        <v>&lt;valeur&gt;42594&lt;/valeur&gt;</v>
      </c>
    </row>
    <row r="10232" spans="1:1" x14ac:dyDescent="0.2">
      <c r="A10232" s="1135" t="str">
        <f>CONCATENATE(Programme!C10233,Programme!D10233,Programme!E10233,Programme!F10233,Programme!G10233,Programme!H10233,Programme!I10233)</f>
        <v>&lt;numeroLigne&gt;1&lt;/numeroLigne&gt;</v>
      </c>
    </row>
    <row r="10233" spans="1:1" x14ac:dyDescent="0.2">
      <c r="A10233" s="1135" t="str">
        <f>CONCATENATE(Programme!C10234,Programme!D10234,Programme!E10234,Programme!F10234,Programme!G10234,Programme!H10234,Programme!I10234)</f>
        <v>&lt;/ValeurCellule&gt;</v>
      </c>
    </row>
    <row r="10234" spans="1:1" x14ac:dyDescent="0.2">
      <c r="A10234" s="1135" t="str">
        <f>CONCATENATE(Programme!C10235,Programme!D10235,Programme!E10235,Programme!F10235,Programme!G10235,Programme!H10235,Programme!I10235)</f>
        <v>&lt;ValeurCellule&gt;</v>
      </c>
    </row>
    <row r="10235" spans="1:1" x14ac:dyDescent="0.2">
      <c r="A10235" s="1135" t="str">
        <f>CONCATENATE(Programme!C10236,Programme!D10236,Programme!E10236,Programme!F10236,Programme!G10236,Programme!H10236,Programme!I10236)</f>
        <v>&lt;cellule&gt;&lt;codeEdi&gt;1271&lt;/codeEdi&gt;&lt;/cellule&gt;</v>
      </c>
    </row>
    <row r="10236" spans="1:1" x14ac:dyDescent="0.2">
      <c r="A10236" s="1135" t="str">
        <f>CONCATENATE(Programme!C10237,Programme!D10237,Programme!E10237,Programme!F10237,Programme!G10237,Programme!H10237,Programme!I10237)</f>
        <v>&lt;valeur&gt;12000&lt;/valeur&gt;</v>
      </c>
    </row>
    <row r="10237" spans="1:1" x14ac:dyDescent="0.2">
      <c r="A10237" s="1135" t="str">
        <f>CONCATENATE(Programme!C10238,Programme!D10238,Programme!E10238,Programme!F10238,Programme!G10238,Programme!H10238,Programme!I10238)</f>
        <v>&lt;numeroLigne&gt;1&lt;/numeroLigne&gt;</v>
      </c>
    </row>
    <row r="10238" spans="1:1" x14ac:dyDescent="0.2">
      <c r="A10238" s="1135" t="str">
        <f>CONCATENATE(Programme!C10239,Programme!D10239,Programme!E10239,Programme!F10239,Programme!G10239,Programme!H10239,Programme!I10239)</f>
        <v>&lt;/ValeurCellule&gt;</v>
      </c>
    </row>
    <row r="10239" spans="1:1" x14ac:dyDescent="0.2">
      <c r="A10239" s="1135" t="str">
        <f>CONCATENATE(Programme!C10240,Programme!D10240,Programme!E10240,Programme!F10240,Programme!G10240,Programme!H10240,Programme!I10240)</f>
        <v>&lt;ValeurCellule&gt;</v>
      </c>
    </row>
    <row r="10240" spans="1:1" x14ac:dyDescent="0.2">
      <c r="A10240" s="1135" t="str">
        <f>CONCATENATE(Programme!C10241,Programme!D10241,Programme!E10241,Programme!F10241,Programme!G10241,Programme!H10241,Programme!I10241)</f>
        <v>&lt;cellule&gt;&lt;codeEdi&gt;1272&lt;/codeEdi&gt;&lt;/cellule&gt;</v>
      </c>
    </row>
    <row r="10241" spans="1:1" x14ac:dyDescent="0.2">
      <c r="A10241" s="1135" t="str">
        <f>CONCATENATE(Programme!C10242,Programme!D10242,Programme!E10242,Programme!F10242,Programme!G10242,Programme!H10242,Programme!I10242)</f>
        <v>&lt;valeur&gt;12000&lt;/valeur&gt;</v>
      </c>
    </row>
    <row r="10242" spans="1:1" x14ac:dyDescent="0.2">
      <c r="A10242" s="1135" t="str">
        <f>CONCATENATE(Programme!C10243,Programme!D10243,Programme!E10243,Programme!F10243,Programme!G10243,Programme!H10243,Programme!I10243)</f>
        <v>&lt;numeroLigne&gt;1&lt;/numeroLigne&gt;</v>
      </c>
    </row>
    <row r="10243" spans="1:1" x14ac:dyDescent="0.2">
      <c r="A10243" s="1135" t="str">
        <f>CONCATENATE(Programme!C10244,Programme!D10244,Programme!E10244,Programme!F10244,Programme!G10244,Programme!H10244,Programme!I10244)</f>
        <v>&lt;/ValeurCellule&gt;</v>
      </c>
    </row>
    <row r="10244" spans="1:1" x14ac:dyDescent="0.2">
      <c r="A10244" s="1135" t="str">
        <f>CONCATENATE(Programme!C10245,Programme!D10245,Programme!E10245,Programme!F10245,Programme!G10245,Programme!H10245,Programme!I10245)</f>
        <v>&lt;ValeurCellule&gt;</v>
      </c>
    </row>
    <row r="10245" spans="1:1" x14ac:dyDescent="0.2">
      <c r="A10245" s="1135" t="str">
        <f>CONCATENATE(Programme!C10246,Programme!D10246,Programme!E10246,Programme!F10246,Programme!G10246,Programme!H10246,Programme!I10246)</f>
        <v>&lt;cellule&gt;&lt;codeEdi&gt;1273&lt;/codeEdi&gt;&lt;/cellule&gt;</v>
      </c>
    </row>
    <row r="10246" spans="1:1" x14ac:dyDescent="0.2">
      <c r="A10246" s="1135" t="str">
        <f>CONCATENATE(Programme!C10247,Programme!D10247,Programme!E10247,Programme!F10247,Programme!G10247,Programme!H10247,Programme!I10247)</f>
        <v>&lt;valeur&gt;Bail-ordinaire&lt;/valeur&gt;</v>
      </c>
    </row>
    <row r="10247" spans="1:1" x14ac:dyDescent="0.2">
      <c r="A10247" s="1135" t="str">
        <f>CONCATENATE(Programme!C10248,Programme!D10248,Programme!E10248,Programme!F10248,Programme!G10248,Programme!H10248,Programme!I10248)</f>
        <v>&lt;numeroLigne&gt;1&lt;/numeroLigne&gt;</v>
      </c>
    </row>
    <row r="10248" spans="1:1" x14ac:dyDescent="0.2">
      <c r="A10248" s="1135" t="str">
        <f>CONCATENATE(Programme!C10249,Programme!D10249,Programme!E10249,Programme!F10249,Programme!G10249,Programme!H10249,Programme!I10249)</f>
        <v>&lt;/ValeurCellule&gt;</v>
      </c>
    </row>
    <row r="10249" spans="1:1" x14ac:dyDescent="0.2">
      <c r="A10249" s="1135" t="str">
        <f>CONCATENATE(Programme!C10250,Programme!D10250,Programme!E10250,Programme!F10250,Programme!G10250,Programme!H10250,Programme!I10250)</f>
        <v>&lt;ValeurCellule&gt;</v>
      </c>
    </row>
    <row r="10250" spans="1:1" x14ac:dyDescent="0.2">
      <c r="A10250" s="1135" t="str">
        <f>CONCATENATE(Programme!C10251,Programme!D10251,Programme!E10251,Programme!F10251,Programme!G10251,Programme!H10251,Programme!I10251)</f>
        <v>&lt;cellule&gt;&lt;codeEdi&gt;1274&lt;/codeEdi&gt;&lt;/cellule&gt;</v>
      </c>
    </row>
    <row r="10251" spans="1:1" x14ac:dyDescent="0.2">
      <c r="A10251" s="1135" t="str">
        <f>CONCATENATE(Programme!C10252,Programme!D10252,Programme!E10252,Programme!F10252,Programme!G10252,Programme!H10252,Programme!I10252)</f>
        <v>&lt;valeur&gt;&lt;/valeur&gt;</v>
      </c>
    </row>
    <row r="10252" spans="1:1" x14ac:dyDescent="0.2">
      <c r="A10252" s="1135" t="str">
        <f>CONCATENATE(Programme!C10253,Programme!D10253,Programme!E10253,Programme!F10253,Programme!G10253,Programme!H10253,Programme!I10253)</f>
        <v>&lt;numeroLigne&gt;1&lt;/numeroLigne&gt;</v>
      </c>
    </row>
    <row r="10253" spans="1:1" x14ac:dyDescent="0.2">
      <c r="A10253" s="1135" t="str">
        <f>CONCATENATE(Programme!C10254,Programme!D10254,Programme!E10254,Programme!F10254,Programme!G10254,Programme!H10254,Programme!I10254)</f>
        <v>&lt;/ValeurCellule&gt;</v>
      </c>
    </row>
    <row r="10254" spans="1:1" x14ac:dyDescent="0.2">
      <c r="A10254" s="1135" t="str">
        <f>CONCATENATE(Programme!C10255,Programme!D10255,Programme!E10255,Programme!F10255,Programme!G10255,Programme!H10255,Programme!I10255)</f>
        <v>&lt;ValeurCellule&gt;</v>
      </c>
    </row>
    <row r="10255" spans="1:1" x14ac:dyDescent="0.2">
      <c r="A10255" s="1135" t="str">
        <f>CONCATENATE(Programme!C10256,Programme!D10256,Programme!E10256,Programme!F10256,Programme!G10256,Programme!H10256,Programme!I10256)</f>
        <v>&lt;cellule&gt;&lt;codeEdi&gt;1267&lt;/codeEdi&gt;&lt;/cellule&gt;</v>
      </c>
    </row>
    <row r="10256" spans="1:1" x14ac:dyDescent="0.2">
      <c r="A10256" s="1135" t="str">
        <f>CONCATENATE(Programme!C10257,Programme!D10257,Programme!E10257,Programme!F10257,Programme!G10257,Programme!H10257,Programme!I10257)</f>
        <v>&lt;valeur&gt;fdfdfdfd de location&lt;/valeur&gt;</v>
      </c>
    </row>
    <row r="10257" spans="1:1" x14ac:dyDescent="0.2">
      <c r="A10257" s="1135" t="str">
        <f>CONCATENATE(Programme!C10258,Programme!D10258,Programme!E10258,Programme!F10258,Programme!G10258,Programme!H10258,Programme!I10258)</f>
        <v>&lt;numeroLigne&gt;2&lt;/numeroLigne&gt;</v>
      </c>
    </row>
    <row r="10258" spans="1:1" x14ac:dyDescent="0.2">
      <c r="A10258" s="1135" t="str">
        <f>CONCATENATE(Programme!C10259,Programme!D10259,Programme!E10259,Programme!F10259,Programme!G10259,Programme!H10259,Programme!I10259)</f>
        <v>&lt;/ValeurCellule&gt;</v>
      </c>
    </row>
    <row r="10259" spans="1:1" x14ac:dyDescent="0.2">
      <c r="A10259" s="1135" t="str">
        <f>CONCATENATE(Programme!C10260,Programme!D10260,Programme!E10260,Programme!F10260,Programme!G10260,Programme!H10260,Programme!I10260)</f>
        <v>&lt;ValeurCellule&gt;</v>
      </c>
    </row>
    <row r="10260" spans="1:1" x14ac:dyDescent="0.2">
      <c r="A10260" s="1135" t="str">
        <f>CONCATENATE(Programme!C10261,Programme!D10261,Programme!E10261,Programme!F10261,Programme!G10261,Programme!H10261,Programme!I10261)</f>
        <v>&lt;cellule&gt;&lt;codeEdi&gt;1268&lt;/codeEdi&gt;&lt;/cellule&gt;</v>
      </c>
    </row>
    <row r="10261" spans="1:1" x14ac:dyDescent="0.2">
      <c r="A10261" s="1135" t="str">
        <f>CONCATENATE(Programme!C10262,Programme!D10262,Programme!E10262,Programme!F10262,Programme!G10262,Programme!H10262,Programme!I10262)</f>
        <v>&lt;valeur&gt;fsfsff&lt;/valeur&gt;</v>
      </c>
    </row>
    <row r="10262" spans="1:1" x14ac:dyDescent="0.2">
      <c r="A10262" s="1135" t="str">
        <f>CONCATENATE(Programme!C10263,Programme!D10263,Programme!E10263,Programme!F10263,Programme!G10263,Programme!H10263,Programme!I10263)</f>
        <v>&lt;numeroLigne&gt;2&lt;/numeroLigne&gt;</v>
      </c>
    </row>
    <row r="10263" spans="1:1" x14ac:dyDescent="0.2">
      <c r="A10263" s="1135" t="str">
        <f>CONCATENATE(Programme!C10264,Programme!D10264,Programme!E10264,Programme!F10264,Programme!G10264,Programme!H10264,Programme!I10264)</f>
        <v>&lt;/ValeurCellule&gt;</v>
      </c>
    </row>
    <row r="10264" spans="1:1" x14ac:dyDescent="0.2">
      <c r="A10264" s="1135" t="str">
        <f>CONCATENATE(Programme!C10265,Programme!D10265,Programme!E10265,Programme!F10265,Programme!G10265,Programme!H10265,Programme!I10265)</f>
        <v>&lt;ValeurCellule&gt;</v>
      </c>
    </row>
    <row r="10265" spans="1:1" x14ac:dyDescent="0.2">
      <c r="A10265" s="1135" t="str">
        <f>CONCATENATE(Programme!C10266,Programme!D10266,Programme!E10266,Programme!F10266,Programme!G10266,Programme!H10266,Programme!I10266)</f>
        <v>&lt;cellule&gt;&lt;codeEdi&gt;1269&lt;/codeEdi&gt;&lt;/cellule&gt;</v>
      </c>
    </row>
    <row r="10266" spans="1:1" x14ac:dyDescent="0.2">
      <c r="A10266" s="1135" t="str">
        <f>CONCATENATE(Programme!C10267,Programme!D10267,Programme!E10267,Programme!F10267,Programme!G10267,Programme!H10267,Programme!I10267)</f>
        <v>&lt;valeur&gt;ssfsfsfs&lt;/valeur&gt;</v>
      </c>
    </row>
    <row r="10267" spans="1:1" x14ac:dyDescent="0.2">
      <c r="A10267" s="1135" t="str">
        <f>CONCATENATE(Programme!C10268,Programme!D10268,Programme!E10268,Programme!F10268,Programme!G10268,Programme!H10268,Programme!I10268)</f>
        <v>&lt;numeroLigne&gt;2&lt;/numeroLigne&gt;</v>
      </c>
    </row>
    <row r="10268" spans="1:1" x14ac:dyDescent="0.2">
      <c r="A10268" s="1135" t="str">
        <f>CONCATENATE(Programme!C10269,Programme!D10269,Programme!E10269,Programme!F10269,Programme!G10269,Programme!H10269,Programme!I10269)</f>
        <v>&lt;/ValeurCellule&gt;</v>
      </c>
    </row>
    <row r="10269" spans="1:1" x14ac:dyDescent="0.2">
      <c r="A10269" s="1135" t="str">
        <f>CONCATENATE(Programme!C10270,Programme!D10270,Programme!E10270,Programme!F10270,Programme!G10270,Programme!H10270,Programme!I10270)</f>
        <v>&lt;ValeurCellule&gt;</v>
      </c>
    </row>
    <row r="10270" spans="1:1" x14ac:dyDescent="0.2">
      <c r="A10270" s="1135" t="str">
        <f>CONCATENATE(Programme!C10271,Programme!D10271,Programme!E10271,Programme!F10271,Programme!G10271,Programme!H10271,Programme!I10271)</f>
        <v>&lt;cellule&gt;&lt;codeEdi&gt;1270&lt;/codeEdi&gt;&lt;/cellule&gt;</v>
      </c>
    </row>
    <row r="10271" spans="1:1" x14ac:dyDescent="0.2">
      <c r="A10271" s="1135" t="str">
        <f>CONCATENATE(Programme!C10272,Programme!D10272,Programme!E10272,Programme!F10272,Programme!G10272,Programme!H10272,Programme!I10272)</f>
        <v>&lt;valeur&gt;&lt;/valeur&gt;</v>
      </c>
    </row>
    <row r="10272" spans="1:1" x14ac:dyDescent="0.2">
      <c r="A10272" s="1135" t="str">
        <f>CONCATENATE(Programme!C10273,Programme!D10273,Programme!E10273,Programme!F10273,Programme!G10273,Programme!H10273,Programme!I10273)</f>
        <v>&lt;numeroLigne&gt;2&lt;/numeroLigne&gt;</v>
      </c>
    </row>
    <row r="10273" spans="1:1" x14ac:dyDescent="0.2">
      <c r="A10273" s="1135" t="str">
        <f>CONCATENATE(Programme!C10274,Programme!D10274,Programme!E10274,Programme!F10274,Programme!G10274,Programme!H10274,Programme!I10274)</f>
        <v>&lt;/ValeurCellule&gt;</v>
      </c>
    </row>
    <row r="10274" spans="1:1" x14ac:dyDescent="0.2">
      <c r="A10274" s="1135" t="str">
        <f>CONCATENATE(Programme!C10275,Programme!D10275,Programme!E10275,Programme!F10275,Programme!G10275,Programme!H10275,Programme!I10275)</f>
        <v>&lt;ValeurCellule&gt;</v>
      </c>
    </row>
    <row r="10275" spans="1:1" x14ac:dyDescent="0.2">
      <c r="A10275" s="1135" t="str">
        <f>CONCATENATE(Programme!C10276,Programme!D10276,Programme!E10276,Programme!F10276,Programme!G10276,Programme!H10276,Programme!I10276)</f>
        <v>&lt;cellule&gt;&lt;codeEdi&gt;1271&lt;/codeEdi&gt;&lt;/cellule&gt;</v>
      </c>
    </row>
    <row r="10276" spans="1:1" x14ac:dyDescent="0.2">
      <c r="A10276" s="1135" t="str">
        <f>CONCATENATE(Programme!C10277,Programme!D10277,Programme!E10277,Programme!F10277,Programme!G10277,Programme!H10277,Programme!I10277)</f>
        <v>&lt;valeur&gt;&lt;/valeur&gt;</v>
      </c>
    </row>
    <row r="10277" spans="1:1" x14ac:dyDescent="0.2">
      <c r="A10277" s="1135" t="str">
        <f>CONCATENATE(Programme!C10278,Programme!D10278,Programme!E10278,Programme!F10278,Programme!G10278,Programme!H10278,Programme!I10278)</f>
        <v>&lt;numeroLigne&gt;2&lt;/numeroLigne&gt;</v>
      </c>
    </row>
    <row r="10278" spans="1:1" x14ac:dyDescent="0.2">
      <c r="A10278" s="1135" t="str">
        <f>CONCATENATE(Programme!C10279,Programme!D10279,Programme!E10279,Programme!F10279,Programme!G10279,Programme!H10279,Programme!I10279)</f>
        <v>&lt;/ValeurCellule&gt;</v>
      </c>
    </row>
    <row r="10279" spans="1:1" x14ac:dyDescent="0.2">
      <c r="A10279" s="1135" t="str">
        <f>CONCATENATE(Programme!C10280,Programme!D10280,Programme!E10280,Programme!F10280,Programme!G10280,Programme!H10280,Programme!I10280)</f>
        <v>&lt;ValeurCellule&gt;</v>
      </c>
    </row>
    <row r="10280" spans="1:1" x14ac:dyDescent="0.2">
      <c r="A10280" s="1135" t="str">
        <f>CONCATENATE(Programme!C10281,Programme!D10281,Programme!E10281,Programme!F10281,Programme!G10281,Programme!H10281,Programme!I10281)</f>
        <v>&lt;cellule&gt;&lt;codeEdi&gt;1272&lt;/codeEdi&gt;&lt;/cellule&gt;</v>
      </c>
    </row>
    <row r="10281" spans="1:1" x14ac:dyDescent="0.2">
      <c r="A10281" s="1135" t="str">
        <f>CONCATENATE(Programme!C10282,Programme!D10282,Programme!E10282,Programme!F10282,Programme!G10282,Programme!H10282,Programme!I10282)</f>
        <v>&lt;valeur&gt;&lt;/valeur&gt;</v>
      </c>
    </row>
    <row r="10282" spans="1:1" x14ac:dyDescent="0.2">
      <c r="A10282" s="1135" t="str">
        <f>CONCATENATE(Programme!C10283,Programme!D10283,Programme!E10283,Programme!F10283,Programme!G10283,Programme!H10283,Programme!I10283)</f>
        <v>&lt;numeroLigne&gt;2&lt;/numeroLigne&gt;</v>
      </c>
    </row>
    <row r="10283" spans="1:1" x14ac:dyDescent="0.2">
      <c r="A10283" s="1135" t="str">
        <f>CONCATENATE(Programme!C10284,Programme!D10284,Programme!E10284,Programme!F10284,Programme!G10284,Programme!H10284,Programme!I10284)</f>
        <v>&lt;/ValeurCellule&gt;</v>
      </c>
    </row>
    <row r="10284" spans="1:1" x14ac:dyDescent="0.2">
      <c r="A10284" s="1135" t="str">
        <f>CONCATENATE(Programme!C10285,Programme!D10285,Programme!E10285,Programme!F10285,Programme!G10285,Programme!H10285,Programme!I10285)</f>
        <v>&lt;ValeurCellule&gt;</v>
      </c>
    </row>
    <row r="10285" spans="1:1" x14ac:dyDescent="0.2">
      <c r="A10285" s="1135" t="str">
        <f>CONCATENATE(Programme!C10286,Programme!D10286,Programme!E10286,Programme!F10286,Programme!G10286,Programme!H10286,Programme!I10286)</f>
        <v>&lt;cellule&gt;&lt;codeEdi&gt;1273&lt;/codeEdi&gt;&lt;/cellule&gt;</v>
      </c>
    </row>
    <row r="10286" spans="1:1" x14ac:dyDescent="0.2">
      <c r="A10286" s="1135" t="str">
        <f>CONCATENATE(Programme!C10287,Programme!D10287,Programme!E10287,Programme!F10287,Programme!G10287,Programme!H10287,Programme!I10287)</f>
        <v>&lt;valeur&gt;&lt;/valeur&gt;</v>
      </c>
    </row>
    <row r="10287" spans="1:1" x14ac:dyDescent="0.2">
      <c r="A10287" s="1135" t="str">
        <f>CONCATENATE(Programme!C10288,Programme!D10288,Programme!E10288,Programme!F10288,Programme!G10288,Programme!H10288,Programme!I10288)</f>
        <v>&lt;numeroLigne&gt;2&lt;/numeroLigne&gt;</v>
      </c>
    </row>
    <row r="10288" spans="1:1" x14ac:dyDescent="0.2">
      <c r="A10288" s="1135" t="str">
        <f>CONCATENATE(Programme!C10289,Programme!D10289,Programme!E10289,Programme!F10289,Programme!G10289,Programme!H10289,Programme!I10289)</f>
        <v>&lt;/ValeurCellule&gt;</v>
      </c>
    </row>
    <row r="10289" spans="1:1" x14ac:dyDescent="0.2">
      <c r="A10289" s="1135" t="str">
        <f>CONCATENATE(Programme!C10290,Programme!D10290,Programme!E10290,Programme!F10290,Programme!G10290,Programme!H10290,Programme!I10290)</f>
        <v>&lt;ValeurCellule&gt;</v>
      </c>
    </row>
    <row r="10290" spans="1:1" x14ac:dyDescent="0.2">
      <c r="A10290" s="1135" t="str">
        <f>CONCATENATE(Programme!C10291,Programme!D10291,Programme!E10291,Programme!F10291,Programme!G10291,Programme!H10291,Programme!I10291)</f>
        <v>&lt;cellule&gt;&lt;codeEdi&gt;1274&lt;/codeEdi&gt;&lt;/cellule&gt;</v>
      </c>
    </row>
    <row r="10291" spans="1:1" x14ac:dyDescent="0.2">
      <c r="A10291" s="1135" t="str">
        <f>CONCATENATE(Programme!C10292,Programme!D10292,Programme!E10292,Programme!F10292,Programme!G10292,Programme!H10292,Programme!I10292)</f>
        <v>&lt;valeur&gt;&lt;/valeur&gt;</v>
      </c>
    </row>
    <row r="10292" spans="1:1" x14ac:dyDescent="0.2">
      <c r="A10292" s="1135" t="str">
        <f>CONCATENATE(Programme!C10293,Programme!D10293,Programme!E10293,Programme!F10293,Programme!G10293,Programme!H10293,Programme!I10293)</f>
        <v>&lt;numeroLigne&gt;2&lt;/numeroLigne&gt;</v>
      </c>
    </row>
    <row r="10293" spans="1:1" x14ac:dyDescent="0.2">
      <c r="A10293" s="1135" t="str">
        <f>CONCATENATE(Programme!C10294,Programme!D10294,Programme!E10294,Programme!F10294,Programme!G10294,Programme!H10294,Programme!I10294)</f>
        <v>&lt;/ValeurCellule&gt;</v>
      </c>
    </row>
    <row r="10294" spans="1:1" x14ac:dyDescent="0.2">
      <c r="A10294" s="1135" t="str">
        <f>CONCATENATE(Programme!C10295,Programme!D10295,Programme!E10295,Programme!F10295,Programme!G10295,Programme!H10295,Programme!I10295)</f>
        <v>&lt;ValeurCellule&gt;</v>
      </c>
    </row>
    <row r="10295" spans="1:1" x14ac:dyDescent="0.2">
      <c r="A10295" s="1135" t="str">
        <f>CONCATENATE(Programme!C10296,Programme!D10296,Programme!E10296,Programme!F10296,Programme!G10296,Programme!H10296,Programme!I10296)</f>
        <v>&lt;cellule&gt;&lt;codeEdi&gt;1267&lt;/codeEdi&gt;&lt;/cellule&gt;</v>
      </c>
    </row>
    <row r="10296" spans="1:1" x14ac:dyDescent="0.2">
      <c r="A10296" s="1135" t="str">
        <f>CONCATENATE(Programme!C10297,Programme!D10297,Programme!E10297,Programme!F10297,Programme!G10297,Programme!H10297,Programme!I10297)</f>
        <v>&lt;valeur&gt;&lt;/valeur&gt;</v>
      </c>
    </row>
    <row r="10297" spans="1:1" x14ac:dyDescent="0.2">
      <c r="A10297" s="1135" t="str">
        <f>CONCATENATE(Programme!C10298,Programme!D10298,Programme!E10298,Programme!F10298,Programme!G10298,Programme!H10298,Programme!I10298)</f>
        <v>&lt;numeroLigne&gt;3&lt;/numeroLigne&gt;</v>
      </c>
    </row>
    <row r="10298" spans="1:1" x14ac:dyDescent="0.2">
      <c r="A10298" s="1135" t="str">
        <f>CONCATENATE(Programme!C10299,Programme!D10299,Programme!E10299,Programme!F10299,Programme!G10299,Programme!H10299,Programme!I10299)</f>
        <v>&lt;/ValeurCellule&gt;</v>
      </c>
    </row>
    <row r="10299" spans="1:1" x14ac:dyDescent="0.2">
      <c r="A10299" s="1135" t="str">
        <f>CONCATENATE(Programme!C10300,Programme!D10300,Programme!E10300,Programme!F10300,Programme!G10300,Programme!H10300,Programme!I10300)</f>
        <v>&lt;ValeurCellule&gt;</v>
      </c>
    </row>
    <row r="10300" spans="1:1" x14ac:dyDescent="0.2">
      <c r="A10300" s="1135" t="str">
        <f>CONCATENATE(Programme!C10301,Programme!D10301,Programme!E10301,Programme!F10301,Programme!G10301,Programme!H10301,Programme!I10301)</f>
        <v>&lt;cellule&gt;&lt;codeEdi&gt;1268&lt;/codeEdi&gt;&lt;/cellule&gt;</v>
      </c>
    </row>
    <row r="10301" spans="1:1" x14ac:dyDescent="0.2">
      <c r="A10301" s="1135" t="str">
        <f>CONCATENATE(Programme!C10302,Programme!D10302,Programme!E10302,Programme!F10302,Programme!G10302,Programme!H10302,Programme!I10302)</f>
        <v>&lt;valeur&gt;&lt;/valeur&gt;</v>
      </c>
    </row>
    <row r="10302" spans="1:1" x14ac:dyDescent="0.2">
      <c r="A10302" s="1135" t="str">
        <f>CONCATENATE(Programme!C10303,Programme!D10303,Programme!E10303,Programme!F10303,Programme!G10303,Programme!H10303,Programme!I10303)</f>
        <v>&lt;numeroLigne&gt;3&lt;/numeroLigne&gt;</v>
      </c>
    </row>
    <row r="10303" spans="1:1" x14ac:dyDescent="0.2">
      <c r="A10303" s="1135" t="str">
        <f>CONCATENATE(Programme!C10304,Programme!D10304,Programme!E10304,Programme!F10304,Programme!G10304,Programme!H10304,Programme!I10304)</f>
        <v>&lt;/ValeurCellule&gt;</v>
      </c>
    </row>
    <row r="10304" spans="1:1" x14ac:dyDescent="0.2">
      <c r="A10304" s="1135" t="str">
        <f>CONCATENATE(Programme!C10305,Programme!D10305,Programme!E10305,Programme!F10305,Programme!G10305,Programme!H10305,Programme!I10305)</f>
        <v>&lt;ValeurCellule&gt;</v>
      </c>
    </row>
    <row r="10305" spans="1:1" x14ac:dyDescent="0.2">
      <c r="A10305" s="1135" t="str">
        <f>CONCATENATE(Programme!C10306,Programme!D10306,Programme!E10306,Programme!F10306,Programme!G10306,Programme!H10306,Programme!I10306)</f>
        <v>&lt;cellule&gt;&lt;codeEdi&gt;1269&lt;/codeEdi&gt;&lt;/cellule&gt;</v>
      </c>
    </row>
    <row r="10306" spans="1:1" x14ac:dyDescent="0.2">
      <c r="A10306" s="1135" t="str">
        <f>CONCATENATE(Programme!C10307,Programme!D10307,Programme!E10307,Programme!F10307,Programme!G10307,Programme!H10307,Programme!I10307)</f>
        <v>&lt;valeur&gt;CINN°PB4536&lt;/valeur&gt;</v>
      </c>
    </row>
    <row r="10307" spans="1:1" x14ac:dyDescent="0.2">
      <c r="A10307" s="1135" t="str">
        <f>CONCATENATE(Programme!C10308,Programme!D10308,Programme!E10308,Programme!F10308,Programme!G10308,Programme!H10308,Programme!I10308)</f>
        <v>&lt;numeroLigne&gt;3&lt;/numeroLigne&gt;</v>
      </c>
    </row>
    <row r="10308" spans="1:1" x14ac:dyDescent="0.2">
      <c r="A10308" s="1135" t="str">
        <f>CONCATENATE(Programme!C10309,Programme!D10309,Programme!E10309,Programme!F10309,Programme!G10309,Programme!H10309,Programme!I10309)</f>
        <v>&lt;/ValeurCellule&gt;</v>
      </c>
    </row>
    <row r="10309" spans="1:1" x14ac:dyDescent="0.2">
      <c r="A10309" s="1135" t="str">
        <f>CONCATENATE(Programme!C10310,Programme!D10310,Programme!E10310,Programme!F10310,Programme!G10310,Programme!H10310,Programme!I10310)</f>
        <v>&lt;ValeurCellule&gt;</v>
      </c>
    </row>
    <row r="10310" spans="1:1" x14ac:dyDescent="0.2">
      <c r="A10310" s="1135" t="str">
        <f>CONCATENATE(Programme!C10311,Programme!D10311,Programme!E10311,Programme!F10311,Programme!G10311,Programme!H10311,Programme!I10311)</f>
        <v>&lt;cellule&gt;&lt;codeEdi&gt;1270&lt;/codeEdi&gt;&lt;/cellule&gt;</v>
      </c>
    </row>
    <row r="10311" spans="1:1" x14ac:dyDescent="0.2">
      <c r="A10311" s="1135" t="str">
        <f>CONCATENATE(Programme!C10312,Programme!D10312,Programme!E10312,Programme!F10312,Programme!G10312,Programme!H10312,Programme!I10312)</f>
        <v>&lt;valeur&gt;&lt;/valeur&gt;</v>
      </c>
    </row>
    <row r="10312" spans="1:1" x14ac:dyDescent="0.2">
      <c r="A10312" s="1135" t="str">
        <f>CONCATENATE(Programme!C10313,Programme!D10313,Programme!E10313,Programme!F10313,Programme!G10313,Programme!H10313,Programme!I10313)</f>
        <v>&lt;numeroLigne&gt;3&lt;/numeroLigne&gt;</v>
      </c>
    </row>
    <row r="10313" spans="1:1" x14ac:dyDescent="0.2">
      <c r="A10313" s="1135" t="str">
        <f>CONCATENATE(Programme!C10314,Programme!D10314,Programme!E10314,Programme!F10314,Programme!G10314,Programme!H10314,Programme!I10314)</f>
        <v>&lt;/ValeurCellule&gt;</v>
      </c>
    </row>
    <row r="10314" spans="1:1" x14ac:dyDescent="0.2">
      <c r="A10314" s="1135" t="str">
        <f>CONCATENATE(Programme!C10315,Programme!D10315,Programme!E10315,Programme!F10315,Programme!G10315,Programme!H10315,Programme!I10315)</f>
        <v>&lt;ValeurCellule&gt;</v>
      </c>
    </row>
    <row r="10315" spans="1:1" x14ac:dyDescent="0.2">
      <c r="A10315" s="1135" t="str">
        <f>CONCATENATE(Programme!C10316,Programme!D10316,Programme!E10316,Programme!F10316,Programme!G10316,Programme!H10316,Programme!I10316)</f>
        <v>&lt;cellule&gt;&lt;codeEdi&gt;1271&lt;/codeEdi&gt;&lt;/cellule&gt;</v>
      </c>
    </row>
    <row r="10316" spans="1:1" x14ac:dyDescent="0.2">
      <c r="A10316" s="1135" t="str">
        <f>CONCATENATE(Programme!C10317,Programme!D10317,Programme!E10317,Programme!F10317,Programme!G10317,Programme!H10317,Programme!I10317)</f>
        <v>&lt;valeur&gt;&lt;/valeur&gt;</v>
      </c>
    </row>
    <row r="10317" spans="1:1" x14ac:dyDescent="0.2">
      <c r="A10317" s="1135" t="str">
        <f>CONCATENATE(Programme!C10318,Programme!D10318,Programme!E10318,Programme!F10318,Programme!G10318,Programme!H10318,Programme!I10318)</f>
        <v>&lt;numeroLigne&gt;3&lt;/numeroLigne&gt;</v>
      </c>
    </row>
    <row r="10318" spans="1:1" x14ac:dyDescent="0.2">
      <c r="A10318" s="1135" t="str">
        <f>CONCATENATE(Programme!C10319,Programme!D10319,Programme!E10319,Programme!F10319,Programme!G10319,Programme!H10319,Programme!I10319)</f>
        <v>&lt;/ValeurCellule&gt;</v>
      </c>
    </row>
    <row r="10319" spans="1:1" x14ac:dyDescent="0.2">
      <c r="A10319" s="1135" t="str">
        <f>CONCATENATE(Programme!C10320,Programme!D10320,Programme!E10320,Programme!F10320,Programme!G10320,Programme!H10320,Programme!I10320)</f>
        <v>&lt;ValeurCellule&gt;</v>
      </c>
    </row>
    <row r="10320" spans="1:1" x14ac:dyDescent="0.2">
      <c r="A10320" s="1135" t="str">
        <f>CONCATENATE(Programme!C10321,Programme!D10321,Programme!E10321,Programme!F10321,Programme!G10321,Programme!H10321,Programme!I10321)</f>
        <v>&lt;cellule&gt;&lt;codeEdi&gt;1272&lt;/codeEdi&gt;&lt;/cellule&gt;</v>
      </c>
    </row>
    <row r="10321" spans="1:1" x14ac:dyDescent="0.2">
      <c r="A10321" s="1135" t="str">
        <f>CONCATENATE(Programme!C10322,Programme!D10322,Programme!E10322,Programme!F10322,Programme!G10322,Programme!H10322,Programme!I10322)</f>
        <v>&lt;valeur&gt;&lt;/valeur&gt;</v>
      </c>
    </row>
    <row r="10322" spans="1:1" x14ac:dyDescent="0.2">
      <c r="A10322" s="1135" t="str">
        <f>CONCATENATE(Programme!C10323,Programme!D10323,Programme!E10323,Programme!F10323,Programme!G10323,Programme!H10323,Programme!I10323)</f>
        <v>&lt;numeroLigne&gt;3&lt;/numeroLigne&gt;</v>
      </c>
    </row>
    <row r="10323" spans="1:1" x14ac:dyDescent="0.2">
      <c r="A10323" s="1135" t="str">
        <f>CONCATENATE(Programme!C10324,Programme!D10324,Programme!E10324,Programme!F10324,Programme!G10324,Programme!H10324,Programme!I10324)</f>
        <v>&lt;/ValeurCellule&gt;</v>
      </c>
    </row>
    <row r="10324" spans="1:1" x14ac:dyDescent="0.2">
      <c r="A10324" s="1135" t="str">
        <f>CONCATENATE(Programme!C10325,Programme!D10325,Programme!E10325,Programme!F10325,Programme!G10325,Programme!H10325,Programme!I10325)</f>
        <v>&lt;ValeurCellule&gt;</v>
      </c>
    </row>
    <row r="10325" spans="1:1" x14ac:dyDescent="0.2">
      <c r="A10325" s="1135" t="str">
        <f>CONCATENATE(Programme!C10326,Programme!D10326,Programme!E10326,Programme!F10326,Programme!G10326,Programme!H10326,Programme!I10326)</f>
        <v>&lt;cellule&gt;&lt;codeEdi&gt;1273&lt;/codeEdi&gt;&lt;/cellule&gt;</v>
      </c>
    </row>
    <row r="10326" spans="1:1" x14ac:dyDescent="0.2">
      <c r="A10326" s="1135" t="str">
        <f>CONCATENATE(Programme!C10327,Programme!D10327,Programme!E10327,Programme!F10327,Programme!G10327,Programme!H10327,Programme!I10327)</f>
        <v>&lt;valeur&gt;&lt;/valeur&gt;</v>
      </c>
    </row>
    <row r="10327" spans="1:1" x14ac:dyDescent="0.2">
      <c r="A10327" s="1135" t="str">
        <f>CONCATENATE(Programme!C10328,Programme!D10328,Programme!E10328,Programme!F10328,Programme!G10328,Programme!H10328,Programme!I10328)</f>
        <v>&lt;numeroLigne&gt;3&lt;/numeroLigne&gt;</v>
      </c>
    </row>
    <row r="10328" spans="1:1" x14ac:dyDescent="0.2">
      <c r="A10328" s="1135" t="str">
        <f>CONCATENATE(Programme!C10329,Programme!D10329,Programme!E10329,Programme!F10329,Programme!G10329,Programme!H10329,Programme!I10329)</f>
        <v>&lt;/ValeurCellule&gt;</v>
      </c>
    </row>
    <row r="10329" spans="1:1" x14ac:dyDescent="0.2">
      <c r="A10329" s="1135" t="str">
        <f>CONCATENATE(Programme!C10330,Programme!D10330,Programme!E10330,Programme!F10330,Programme!G10330,Programme!H10330,Programme!I10330)</f>
        <v>&lt;ValeurCellule&gt;</v>
      </c>
    </row>
    <row r="10330" spans="1:1" x14ac:dyDescent="0.2">
      <c r="A10330" s="1135" t="str">
        <f>CONCATENATE(Programme!C10331,Programme!D10331,Programme!E10331,Programme!F10331,Programme!G10331,Programme!H10331,Programme!I10331)</f>
        <v>&lt;cellule&gt;&lt;codeEdi&gt;1274&lt;/codeEdi&gt;&lt;/cellule&gt;</v>
      </c>
    </row>
    <row r="10331" spans="1:1" x14ac:dyDescent="0.2">
      <c r="A10331" s="1135" t="str">
        <f>CONCATENATE(Programme!C10332,Programme!D10332,Programme!E10332,Programme!F10332,Programme!G10332,Programme!H10332,Programme!I10332)</f>
        <v>&lt;valeur&gt;&lt;/valeur&gt;</v>
      </c>
    </row>
    <row r="10332" spans="1:1" x14ac:dyDescent="0.2">
      <c r="A10332" s="1135" t="str">
        <f>CONCATENATE(Programme!C10333,Programme!D10333,Programme!E10333,Programme!F10333,Programme!G10333,Programme!H10333,Programme!I10333)</f>
        <v>&lt;numeroLigne&gt;3&lt;/numeroLigne&gt;</v>
      </c>
    </row>
    <row r="10333" spans="1:1" x14ac:dyDescent="0.2">
      <c r="A10333" s="1135" t="str">
        <f>CONCATENATE(Programme!C10334,Programme!D10334,Programme!E10334,Programme!F10334,Programme!G10334,Programme!H10334,Programme!I10334)</f>
        <v>&lt;/ValeurCellule&gt;</v>
      </c>
    </row>
    <row r="10334" spans="1:1" x14ac:dyDescent="0.2">
      <c r="A10334" s="1135" t="str">
        <f>CONCATENATE(Programme!C10335,Programme!D10335,Programme!E10335,Programme!F10335,Programme!G10335,Programme!H10335,Programme!I10335)</f>
        <v>&lt;ValeurCellule&gt;</v>
      </c>
    </row>
    <row r="10335" spans="1:1" x14ac:dyDescent="0.2">
      <c r="A10335" s="1135" t="str">
        <f>CONCATENATE(Programme!C10336,Programme!D10336,Programme!E10336,Programme!F10336,Programme!G10336,Programme!H10336,Programme!I10336)</f>
        <v>&lt;cellule&gt;&lt;codeEdi&gt;1267&lt;/codeEdi&gt;&lt;/cellule&gt;</v>
      </c>
    </row>
    <row r="10336" spans="1:1" x14ac:dyDescent="0.2">
      <c r="A10336" s="1135" t="str">
        <f>CONCATENATE(Programme!C10337,Programme!D10337,Programme!E10337,Programme!F10337,Programme!G10337,Programme!H10337,Programme!I10337)</f>
        <v>&lt;valeur&gt;&lt;/valeur&gt;</v>
      </c>
    </row>
    <row r="10337" spans="1:1" x14ac:dyDescent="0.2">
      <c r="A10337" s="1135" t="str">
        <f>CONCATENATE(Programme!C10338,Programme!D10338,Programme!E10338,Programme!F10338,Programme!G10338,Programme!H10338,Programme!I10338)</f>
        <v>&lt;numeroLigne&gt;4&lt;/numeroLigne&gt;</v>
      </c>
    </row>
    <row r="10338" spans="1:1" x14ac:dyDescent="0.2">
      <c r="A10338" s="1135" t="str">
        <f>CONCATENATE(Programme!C10339,Programme!D10339,Programme!E10339,Programme!F10339,Programme!G10339,Programme!H10339,Programme!I10339)</f>
        <v>&lt;/ValeurCellule&gt;</v>
      </c>
    </row>
    <row r="10339" spans="1:1" x14ac:dyDescent="0.2">
      <c r="A10339" s="1135" t="str">
        <f>CONCATENATE(Programme!C10340,Programme!D10340,Programme!E10340,Programme!F10340,Programme!G10340,Programme!H10340,Programme!I10340)</f>
        <v>&lt;ValeurCellule&gt;</v>
      </c>
    </row>
    <row r="10340" spans="1:1" x14ac:dyDescent="0.2">
      <c r="A10340" s="1135" t="str">
        <f>CONCATENATE(Programme!C10341,Programme!D10341,Programme!E10341,Programme!F10341,Programme!G10341,Programme!H10341,Programme!I10341)</f>
        <v>&lt;cellule&gt;&lt;codeEdi&gt;1268&lt;/codeEdi&gt;&lt;/cellule&gt;</v>
      </c>
    </row>
    <row r="10341" spans="1:1" x14ac:dyDescent="0.2">
      <c r="A10341" s="1135" t="str">
        <f>CONCATENATE(Programme!C10342,Programme!D10342,Programme!E10342,Programme!F10342,Programme!G10342,Programme!H10342,Programme!I10342)</f>
        <v>&lt;valeur&gt;&lt;/valeur&gt;</v>
      </c>
    </row>
    <row r="10342" spans="1:1" x14ac:dyDescent="0.2">
      <c r="A10342" s="1135" t="str">
        <f>CONCATENATE(Programme!C10343,Programme!D10343,Programme!E10343,Programme!F10343,Programme!G10343,Programme!H10343,Programme!I10343)</f>
        <v>&lt;numeroLigne&gt;4&lt;/numeroLigne&gt;</v>
      </c>
    </row>
    <row r="10343" spans="1:1" x14ac:dyDescent="0.2">
      <c r="A10343" s="1135" t="str">
        <f>CONCATENATE(Programme!C10344,Programme!D10344,Programme!E10344,Programme!F10344,Programme!G10344,Programme!H10344,Programme!I10344)</f>
        <v>&lt;/ValeurCellule&gt;</v>
      </c>
    </row>
    <row r="10344" spans="1:1" x14ac:dyDescent="0.2">
      <c r="A10344" s="1135" t="str">
        <f>CONCATENATE(Programme!C10345,Programme!D10345,Programme!E10345,Programme!F10345,Programme!G10345,Programme!H10345,Programme!I10345)</f>
        <v>&lt;ValeurCellule&gt;</v>
      </c>
    </row>
    <row r="10345" spans="1:1" x14ac:dyDescent="0.2">
      <c r="A10345" s="1135" t="str">
        <f>CONCATENATE(Programme!C10346,Programme!D10346,Programme!E10346,Programme!F10346,Programme!G10346,Programme!H10346,Programme!I10346)</f>
        <v>&lt;cellule&gt;&lt;codeEdi&gt;1269&lt;/codeEdi&gt;&lt;/cellule&gt;</v>
      </c>
    </row>
    <row r="10346" spans="1:1" x14ac:dyDescent="0.2">
      <c r="A10346" s="1135" t="str">
        <f>CONCATENATE(Programme!C10347,Programme!D10347,Programme!E10347,Programme!F10347,Programme!G10347,Programme!H10347,Programme!I10347)</f>
        <v>&lt;valeur&gt;&lt;/valeur&gt;</v>
      </c>
    </row>
    <row r="10347" spans="1:1" x14ac:dyDescent="0.2">
      <c r="A10347" s="1135" t="str">
        <f>CONCATENATE(Programme!C10348,Programme!D10348,Programme!E10348,Programme!F10348,Programme!G10348,Programme!H10348,Programme!I10348)</f>
        <v>&lt;numeroLigne&gt;4&lt;/numeroLigne&gt;</v>
      </c>
    </row>
    <row r="10348" spans="1:1" x14ac:dyDescent="0.2">
      <c r="A10348" s="1135" t="str">
        <f>CONCATENATE(Programme!C10349,Programme!D10349,Programme!E10349,Programme!F10349,Programme!G10349,Programme!H10349,Programme!I10349)</f>
        <v>&lt;/ValeurCellule&gt;</v>
      </c>
    </row>
    <row r="10349" spans="1:1" x14ac:dyDescent="0.2">
      <c r="A10349" s="1135" t="str">
        <f>CONCATENATE(Programme!C10350,Programme!D10350,Programme!E10350,Programme!F10350,Programme!G10350,Programme!H10350,Programme!I10350)</f>
        <v>&lt;ValeurCellule&gt;</v>
      </c>
    </row>
    <row r="10350" spans="1:1" x14ac:dyDescent="0.2">
      <c r="A10350" s="1135" t="str">
        <f>CONCATENATE(Programme!C10351,Programme!D10351,Programme!E10351,Programme!F10351,Programme!G10351,Programme!H10351,Programme!I10351)</f>
        <v>&lt;cellule&gt;&lt;codeEdi&gt;1270&lt;/codeEdi&gt;&lt;/cellule&gt;</v>
      </c>
    </row>
    <row r="10351" spans="1:1" x14ac:dyDescent="0.2">
      <c r="A10351" s="1135" t="str">
        <f>CONCATENATE(Programme!C10352,Programme!D10352,Programme!E10352,Programme!F10352,Programme!G10352,Programme!H10352,Programme!I10352)</f>
        <v>&lt;valeur&gt;&lt;/valeur&gt;</v>
      </c>
    </row>
    <row r="10352" spans="1:1" x14ac:dyDescent="0.2">
      <c r="A10352" s="1135" t="str">
        <f>CONCATENATE(Programme!C10353,Programme!D10353,Programme!E10353,Programme!F10353,Programme!G10353,Programme!H10353,Programme!I10353)</f>
        <v>&lt;numeroLigne&gt;4&lt;/numeroLigne&gt;</v>
      </c>
    </row>
    <row r="10353" spans="1:1" x14ac:dyDescent="0.2">
      <c r="A10353" s="1135" t="str">
        <f>CONCATENATE(Programme!C10354,Programme!D10354,Programme!E10354,Programme!F10354,Programme!G10354,Programme!H10354,Programme!I10354)</f>
        <v>&lt;/ValeurCellule&gt;</v>
      </c>
    </row>
    <row r="10354" spans="1:1" x14ac:dyDescent="0.2">
      <c r="A10354" s="1135" t="str">
        <f>CONCATENATE(Programme!C10355,Programme!D10355,Programme!E10355,Programme!F10355,Programme!G10355,Programme!H10355,Programme!I10355)</f>
        <v>&lt;ValeurCellule&gt;</v>
      </c>
    </row>
    <row r="10355" spans="1:1" x14ac:dyDescent="0.2">
      <c r="A10355" s="1135" t="str">
        <f>CONCATENATE(Programme!C10356,Programme!D10356,Programme!E10356,Programme!F10356,Programme!G10356,Programme!H10356,Programme!I10356)</f>
        <v>&lt;cellule&gt;&lt;codeEdi&gt;1271&lt;/codeEdi&gt;&lt;/cellule&gt;</v>
      </c>
    </row>
    <row r="10356" spans="1:1" x14ac:dyDescent="0.2">
      <c r="A10356" s="1135" t="str">
        <f>CONCATENATE(Programme!C10357,Programme!D10357,Programme!E10357,Programme!F10357,Programme!G10357,Programme!H10357,Programme!I10357)</f>
        <v>&lt;valeur&gt;&lt;/valeur&gt;</v>
      </c>
    </row>
    <row r="10357" spans="1:1" x14ac:dyDescent="0.2">
      <c r="A10357" s="1135" t="str">
        <f>CONCATENATE(Programme!C10358,Programme!D10358,Programme!E10358,Programme!F10358,Programme!G10358,Programme!H10358,Programme!I10358)</f>
        <v>&lt;numeroLigne&gt;4&lt;/numeroLigne&gt;</v>
      </c>
    </row>
    <row r="10358" spans="1:1" x14ac:dyDescent="0.2">
      <c r="A10358" s="1135" t="str">
        <f>CONCATENATE(Programme!C10359,Programme!D10359,Programme!E10359,Programme!F10359,Programme!G10359,Programme!H10359,Programme!I10359)</f>
        <v>&lt;/ValeurCellule&gt;</v>
      </c>
    </row>
    <row r="10359" spans="1:1" x14ac:dyDescent="0.2">
      <c r="A10359" s="1135" t="str">
        <f>CONCATENATE(Programme!C10360,Programme!D10360,Programme!E10360,Programme!F10360,Programme!G10360,Programme!H10360,Programme!I10360)</f>
        <v>&lt;ValeurCellule&gt;</v>
      </c>
    </row>
    <row r="10360" spans="1:1" x14ac:dyDescent="0.2">
      <c r="A10360" s="1135" t="str">
        <f>CONCATENATE(Programme!C10361,Programme!D10361,Programme!E10361,Programme!F10361,Programme!G10361,Programme!H10361,Programme!I10361)</f>
        <v>&lt;cellule&gt;&lt;codeEdi&gt;1272&lt;/codeEdi&gt;&lt;/cellule&gt;</v>
      </c>
    </row>
    <row r="10361" spans="1:1" x14ac:dyDescent="0.2">
      <c r="A10361" s="1135" t="str">
        <f>CONCATENATE(Programme!C10362,Programme!D10362,Programme!E10362,Programme!F10362,Programme!G10362,Programme!H10362,Programme!I10362)</f>
        <v>&lt;valeur&gt;&lt;/valeur&gt;</v>
      </c>
    </row>
    <row r="10362" spans="1:1" x14ac:dyDescent="0.2">
      <c r="A10362" s="1135" t="str">
        <f>CONCATENATE(Programme!C10363,Programme!D10363,Programme!E10363,Programme!F10363,Programme!G10363,Programme!H10363,Programme!I10363)</f>
        <v>&lt;numeroLigne&gt;4&lt;/numeroLigne&gt;</v>
      </c>
    </row>
    <row r="10363" spans="1:1" x14ac:dyDescent="0.2">
      <c r="A10363" s="1135" t="str">
        <f>CONCATENATE(Programme!C10364,Programme!D10364,Programme!E10364,Programme!F10364,Programme!G10364,Programme!H10364,Programme!I10364)</f>
        <v>&lt;/ValeurCellule&gt;</v>
      </c>
    </row>
    <row r="10364" spans="1:1" x14ac:dyDescent="0.2">
      <c r="A10364" s="1135" t="str">
        <f>CONCATENATE(Programme!C10365,Programme!D10365,Programme!E10365,Programme!F10365,Programme!G10365,Programme!H10365,Programme!I10365)</f>
        <v>&lt;ValeurCellule&gt;</v>
      </c>
    </row>
    <row r="10365" spans="1:1" x14ac:dyDescent="0.2">
      <c r="A10365" s="1135" t="str">
        <f>CONCATENATE(Programme!C10366,Programme!D10366,Programme!E10366,Programme!F10366,Programme!G10366,Programme!H10366,Programme!I10366)</f>
        <v>&lt;cellule&gt;&lt;codeEdi&gt;1273&lt;/codeEdi&gt;&lt;/cellule&gt;</v>
      </c>
    </row>
    <row r="10366" spans="1:1" x14ac:dyDescent="0.2">
      <c r="A10366" s="1135" t="str">
        <f>CONCATENATE(Programme!C10367,Programme!D10367,Programme!E10367,Programme!F10367,Programme!G10367,Programme!H10367,Programme!I10367)</f>
        <v>&lt;valeur&gt;&lt;/valeur&gt;</v>
      </c>
    </row>
    <row r="10367" spans="1:1" x14ac:dyDescent="0.2">
      <c r="A10367" s="1135" t="str">
        <f>CONCATENATE(Programme!C10368,Programme!D10368,Programme!E10368,Programme!F10368,Programme!G10368,Programme!H10368,Programme!I10368)</f>
        <v>&lt;numeroLigne&gt;4&lt;/numeroLigne&gt;</v>
      </c>
    </row>
    <row r="10368" spans="1:1" x14ac:dyDescent="0.2">
      <c r="A10368" s="1135" t="str">
        <f>CONCATENATE(Programme!C10369,Programme!D10369,Programme!E10369,Programme!F10369,Programme!G10369,Programme!H10369,Programme!I10369)</f>
        <v>&lt;/ValeurCellule&gt;</v>
      </c>
    </row>
    <row r="10369" spans="1:1" x14ac:dyDescent="0.2">
      <c r="A10369" s="1135" t="str">
        <f>CONCATENATE(Programme!C10370,Programme!D10370,Programme!E10370,Programme!F10370,Programme!G10370,Programme!H10370,Programme!I10370)</f>
        <v>&lt;ValeurCellule&gt;</v>
      </c>
    </row>
    <row r="10370" spans="1:1" x14ac:dyDescent="0.2">
      <c r="A10370" s="1135" t="str">
        <f>CONCATENATE(Programme!C10371,Programme!D10371,Programme!E10371,Programme!F10371,Programme!G10371,Programme!H10371,Programme!I10371)</f>
        <v>&lt;cellule&gt;&lt;codeEdi&gt;1274&lt;/codeEdi&gt;&lt;/cellule&gt;</v>
      </c>
    </row>
    <row r="10371" spans="1:1" x14ac:dyDescent="0.2">
      <c r="A10371" s="1135" t="str">
        <f>CONCATENATE(Programme!C10372,Programme!D10372,Programme!E10372,Programme!F10372,Programme!G10372,Programme!H10372,Programme!I10372)</f>
        <v>&lt;valeur&gt;&lt;/valeur&gt;</v>
      </c>
    </row>
    <row r="10372" spans="1:1" x14ac:dyDescent="0.2">
      <c r="A10372" s="1135" t="str">
        <f>CONCATENATE(Programme!C10373,Programme!D10373,Programme!E10373,Programme!F10373,Programme!G10373,Programme!H10373,Programme!I10373)</f>
        <v>&lt;numeroLigne&gt;4&lt;/numeroLigne&gt;</v>
      </c>
    </row>
    <row r="10373" spans="1:1" x14ac:dyDescent="0.2">
      <c r="A10373" s="1135" t="str">
        <f>CONCATENATE(Programme!C10374,Programme!D10374,Programme!E10374,Programme!F10374,Programme!G10374,Programme!H10374,Programme!I10374)</f>
        <v>&lt;/ValeurCellule&gt;</v>
      </c>
    </row>
    <row r="10374" spans="1:1" x14ac:dyDescent="0.2">
      <c r="A10374" s="1135" t="str">
        <f>CONCATENATE(Programme!C10375,Programme!D10375,Programme!E10375,Programme!F10375,Programme!G10375,Programme!H10375,Programme!I10375)</f>
        <v>&lt;ValeurCellule&gt;</v>
      </c>
    </row>
    <row r="10375" spans="1:1" x14ac:dyDescent="0.2">
      <c r="A10375" s="1135" t="str">
        <f>CONCATENATE(Programme!C10376,Programme!D10376,Programme!E10376,Programme!F10376,Programme!G10376,Programme!H10376,Programme!I10376)</f>
        <v>&lt;cellule&gt;&lt;codeEdi&gt;1267&lt;/codeEdi&gt;&lt;/cellule&gt;</v>
      </c>
    </row>
    <row r="10376" spans="1:1" x14ac:dyDescent="0.2">
      <c r="A10376" s="1135" t="str">
        <f>CONCATENATE(Programme!C10377,Programme!D10377,Programme!E10377,Programme!F10377,Programme!G10377,Programme!H10377,Programme!I10377)</f>
        <v>&lt;valeur&gt;&lt;/valeur&gt;</v>
      </c>
    </row>
    <row r="10377" spans="1:1" x14ac:dyDescent="0.2">
      <c r="A10377" s="1135" t="str">
        <f>CONCATENATE(Programme!C10378,Programme!D10378,Programme!E10378,Programme!F10378,Programme!G10378,Programme!H10378,Programme!I10378)</f>
        <v>&lt;numeroLigne&gt;5&lt;/numeroLigne&gt;</v>
      </c>
    </row>
    <row r="10378" spans="1:1" x14ac:dyDescent="0.2">
      <c r="A10378" s="1135" t="str">
        <f>CONCATENATE(Programme!C10379,Programme!D10379,Programme!E10379,Programme!F10379,Programme!G10379,Programme!H10379,Programme!I10379)</f>
        <v>&lt;/ValeurCellule&gt;</v>
      </c>
    </row>
    <row r="10379" spans="1:1" x14ac:dyDescent="0.2">
      <c r="A10379" s="1135" t="str">
        <f>CONCATENATE(Programme!C10380,Programme!D10380,Programme!E10380,Programme!F10380,Programme!G10380,Programme!H10380,Programme!I10380)</f>
        <v>&lt;ValeurCellule&gt;</v>
      </c>
    </row>
    <row r="10380" spans="1:1" x14ac:dyDescent="0.2">
      <c r="A10380" s="1135" t="str">
        <f>CONCATENATE(Programme!C10381,Programme!D10381,Programme!E10381,Programme!F10381,Programme!G10381,Programme!H10381,Programme!I10381)</f>
        <v>&lt;cellule&gt;&lt;codeEdi&gt;1268&lt;/codeEdi&gt;&lt;/cellule&gt;</v>
      </c>
    </row>
    <row r="10381" spans="1:1" x14ac:dyDescent="0.2">
      <c r="A10381" s="1135" t="str">
        <f>CONCATENATE(Programme!C10382,Programme!D10382,Programme!E10382,Programme!F10382,Programme!G10382,Programme!H10382,Programme!I10382)</f>
        <v>&lt;valeur&gt;&lt;/valeur&gt;</v>
      </c>
    </row>
    <row r="10382" spans="1:1" x14ac:dyDescent="0.2">
      <c r="A10382" s="1135" t="str">
        <f>CONCATENATE(Programme!C10383,Programme!D10383,Programme!E10383,Programme!F10383,Programme!G10383,Programme!H10383,Programme!I10383)</f>
        <v>&lt;numeroLigne&gt;5&lt;/numeroLigne&gt;</v>
      </c>
    </row>
    <row r="10383" spans="1:1" x14ac:dyDescent="0.2">
      <c r="A10383" s="1135" t="str">
        <f>CONCATENATE(Programme!C10384,Programme!D10384,Programme!E10384,Programme!F10384,Programme!G10384,Programme!H10384,Programme!I10384)</f>
        <v>&lt;/ValeurCellule&gt;</v>
      </c>
    </row>
    <row r="10384" spans="1:1" x14ac:dyDescent="0.2">
      <c r="A10384" s="1135" t="str">
        <f>CONCATENATE(Programme!C10385,Programme!D10385,Programme!E10385,Programme!F10385,Programme!G10385,Programme!H10385,Programme!I10385)</f>
        <v>&lt;ValeurCellule&gt;</v>
      </c>
    </row>
    <row r="10385" spans="1:1" x14ac:dyDescent="0.2">
      <c r="A10385" s="1135" t="str">
        <f>CONCATENATE(Programme!C10386,Programme!D10386,Programme!E10386,Programme!F10386,Programme!G10386,Programme!H10386,Programme!I10386)</f>
        <v>&lt;cellule&gt;&lt;codeEdi&gt;1269&lt;/codeEdi&gt;&lt;/cellule&gt;</v>
      </c>
    </row>
    <row r="10386" spans="1:1" x14ac:dyDescent="0.2">
      <c r="A10386" s="1135" t="str">
        <f>CONCATENATE(Programme!C10387,Programme!D10387,Programme!E10387,Programme!F10387,Programme!G10387,Programme!H10387,Programme!I10387)</f>
        <v>&lt;valeur&gt;&lt;/valeur&gt;</v>
      </c>
    </row>
    <row r="10387" spans="1:1" x14ac:dyDescent="0.2">
      <c r="A10387" s="1135" t="str">
        <f>CONCATENATE(Programme!C10388,Programme!D10388,Programme!E10388,Programme!F10388,Programme!G10388,Programme!H10388,Programme!I10388)</f>
        <v>&lt;numeroLigne&gt;5&lt;/numeroLigne&gt;</v>
      </c>
    </row>
    <row r="10388" spans="1:1" x14ac:dyDescent="0.2">
      <c r="A10388" s="1135" t="str">
        <f>CONCATENATE(Programme!C10389,Programme!D10389,Programme!E10389,Programme!F10389,Programme!G10389,Programme!H10389,Programme!I10389)</f>
        <v>&lt;/ValeurCellule&gt;</v>
      </c>
    </row>
    <row r="10389" spans="1:1" x14ac:dyDescent="0.2">
      <c r="A10389" s="1135" t="str">
        <f>CONCATENATE(Programme!C10390,Programme!D10390,Programme!E10390,Programme!F10390,Programme!G10390,Programme!H10390,Programme!I10390)</f>
        <v>&lt;ValeurCellule&gt;</v>
      </c>
    </row>
    <row r="10390" spans="1:1" x14ac:dyDescent="0.2">
      <c r="A10390" s="1135" t="str">
        <f>CONCATENATE(Programme!C10391,Programme!D10391,Programme!E10391,Programme!F10391,Programme!G10391,Programme!H10391,Programme!I10391)</f>
        <v>&lt;cellule&gt;&lt;codeEdi&gt;1270&lt;/codeEdi&gt;&lt;/cellule&gt;</v>
      </c>
    </row>
    <row r="10391" spans="1:1" x14ac:dyDescent="0.2">
      <c r="A10391" s="1135" t="str">
        <f>CONCATENATE(Programme!C10392,Programme!D10392,Programme!E10392,Programme!F10392,Programme!G10392,Programme!H10392,Programme!I10392)</f>
        <v>&lt;valeur&gt;&lt;/valeur&gt;</v>
      </c>
    </row>
    <row r="10392" spans="1:1" x14ac:dyDescent="0.2">
      <c r="A10392" s="1135" t="str">
        <f>CONCATENATE(Programme!C10393,Programme!D10393,Programme!E10393,Programme!F10393,Programme!G10393,Programme!H10393,Programme!I10393)</f>
        <v>&lt;numeroLigne&gt;5&lt;/numeroLigne&gt;</v>
      </c>
    </row>
    <row r="10393" spans="1:1" x14ac:dyDescent="0.2">
      <c r="A10393" s="1135" t="str">
        <f>CONCATENATE(Programme!C10394,Programme!D10394,Programme!E10394,Programme!F10394,Programme!G10394,Programme!H10394,Programme!I10394)</f>
        <v>&lt;/ValeurCellule&gt;</v>
      </c>
    </row>
    <row r="10394" spans="1:1" x14ac:dyDescent="0.2">
      <c r="A10394" s="1135" t="str">
        <f>CONCATENATE(Programme!C10395,Programme!D10395,Programme!E10395,Programme!F10395,Programme!G10395,Programme!H10395,Programme!I10395)</f>
        <v>&lt;ValeurCellule&gt;</v>
      </c>
    </row>
    <row r="10395" spans="1:1" x14ac:dyDescent="0.2">
      <c r="A10395" s="1135" t="str">
        <f>CONCATENATE(Programme!C10396,Programme!D10396,Programme!E10396,Programme!F10396,Programme!G10396,Programme!H10396,Programme!I10396)</f>
        <v>&lt;cellule&gt;&lt;codeEdi&gt;1271&lt;/codeEdi&gt;&lt;/cellule&gt;</v>
      </c>
    </row>
    <row r="10396" spans="1:1" x14ac:dyDescent="0.2">
      <c r="A10396" s="1135" t="str">
        <f>CONCATENATE(Programme!C10397,Programme!D10397,Programme!E10397,Programme!F10397,Programme!G10397,Programme!H10397,Programme!I10397)</f>
        <v>&lt;valeur&gt;&lt;/valeur&gt;</v>
      </c>
    </row>
    <row r="10397" spans="1:1" x14ac:dyDescent="0.2">
      <c r="A10397" s="1135" t="str">
        <f>CONCATENATE(Programme!C10398,Programme!D10398,Programme!E10398,Programme!F10398,Programme!G10398,Programme!H10398,Programme!I10398)</f>
        <v>&lt;numeroLigne&gt;5&lt;/numeroLigne&gt;</v>
      </c>
    </row>
    <row r="10398" spans="1:1" x14ac:dyDescent="0.2">
      <c r="A10398" s="1135" t="str">
        <f>CONCATENATE(Programme!C10399,Programme!D10399,Programme!E10399,Programme!F10399,Programme!G10399,Programme!H10399,Programme!I10399)</f>
        <v>&lt;/ValeurCellule&gt;</v>
      </c>
    </row>
    <row r="10399" spans="1:1" x14ac:dyDescent="0.2">
      <c r="A10399" s="1135" t="str">
        <f>CONCATENATE(Programme!C10400,Programme!D10400,Programme!E10400,Programme!F10400,Programme!G10400,Programme!H10400,Programme!I10400)</f>
        <v>&lt;ValeurCellule&gt;</v>
      </c>
    </row>
    <row r="10400" spans="1:1" x14ac:dyDescent="0.2">
      <c r="A10400" s="1135" t="str">
        <f>CONCATENATE(Programme!C10401,Programme!D10401,Programme!E10401,Programme!F10401,Programme!G10401,Programme!H10401,Programme!I10401)</f>
        <v>&lt;cellule&gt;&lt;codeEdi&gt;1272&lt;/codeEdi&gt;&lt;/cellule&gt;</v>
      </c>
    </row>
    <row r="10401" spans="1:1" x14ac:dyDescent="0.2">
      <c r="A10401" s="1135" t="str">
        <f>CONCATENATE(Programme!C10402,Programme!D10402,Programme!E10402,Programme!F10402,Programme!G10402,Programme!H10402,Programme!I10402)</f>
        <v>&lt;valeur&gt;&lt;/valeur&gt;</v>
      </c>
    </row>
    <row r="10402" spans="1:1" x14ac:dyDescent="0.2">
      <c r="A10402" s="1135" t="str">
        <f>CONCATENATE(Programme!C10403,Programme!D10403,Programme!E10403,Programme!F10403,Programme!G10403,Programme!H10403,Programme!I10403)</f>
        <v>&lt;numeroLigne&gt;5&lt;/numeroLigne&gt;</v>
      </c>
    </row>
    <row r="10403" spans="1:1" x14ac:dyDescent="0.2">
      <c r="A10403" s="1135" t="str">
        <f>CONCATENATE(Programme!C10404,Programme!D10404,Programme!E10404,Programme!F10404,Programme!G10404,Programme!H10404,Programme!I10404)</f>
        <v>&lt;/ValeurCellule&gt;</v>
      </c>
    </row>
    <row r="10404" spans="1:1" x14ac:dyDescent="0.2">
      <c r="A10404" s="1135" t="str">
        <f>CONCATENATE(Programme!C10405,Programme!D10405,Programme!E10405,Programme!F10405,Programme!G10405,Programme!H10405,Programme!I10405)</f>
        <v>&lt;ValeurCellule&gt;</v>
      </c>
    </row>
    <row r="10405" spans="1:1" x14ac:dyDescent="0.2">
      <c r="A10405" s="1135" t="str">
        <f>CONCATENATE(Programme!C10406,Programme!D10406,Programme!E10406,Programme!F10406,Programme!G10406,Programme!H10406,Programme!I10406)</f>
        <v>&lt;cellule&gt;&lt;codeEdi&gt;1273&lt;/codeEdi&gt;&lt;/cellule&gt;</v>
      </c>
    </row>
    <row r="10406" spans="1:1" x14ac:dyDescent="0.2">
      <c r="A10406" s="1135" t="str">
        <f>CONCATENATE(Programme!C10407,Programme!D10407,Programme!E10407,Programme!F10407,Programme!G10407,Programme!H10407,Programme!I10407)</f>
        <v>&lt;valeur&gt;&lt;/valeur&gt;</v>
      </c>
    </row>
    <row r="10407" spans="1:1" x14ac:dyDescent="0.2">
      <c r="A10407" s="1135" t="str">
        <f>CONCATENATE(Programme!C10408,Programme!D10408,Programme!E10408,Programme!F10408,Programme!G10408,Programme!H10408,Programme!I10408)</f>
        <v>&lt;numeroLigne&gt;5&lt;/numeroLigne&gt;</v>
      </c>
    </row>
    <row r="10408" spans="1:1" x14ac:dyDescent="0.2">
      <c r="A10408" s="1135" t="str">
        <f>CONCATENATE(Programme!C10409,Programme!D10409,Programme!E10409,Programme!F10409,Programme!G10409,Programme!H10409,Programme!I10409)</f>
        <v>&lt;/ValeurCellule&gt;</v>
      </c>
    </row>
    <row r="10409" spans="1:1" x14ac:dyDescent="0.2">
      <c r="A10409" s="1135" t="str">
        <f>CONCATENATE(Programme!C10410,Programme!D10410,Programme!E10410,Programme!F10410,Programme!G10410,Programme!H10410,Programme!I10410)</f>
        <v>&lt;ValeurCellule&gt;</v>
      </c>
    </row>
    <row r="10410" spans="1:1" x14ac:dyDescent="0.2">
      <c r="A10410" s="1135" t="str">
        <f>CONCATENATE(Programme!C10411,Programme!D10411,Programme!E10411,Programme!F10411,Programme!G10411,Programme!H10411,Programme!I10411)</f>
        <v>&lt;cellule&gt;&lt;codeEdi&gt;1274&lt;/codeEdi&gt;&lt;/cellule&gt;</v>
      </c>
    </row>
    <row r="10411" spans="1:1" x14ac:dyDescent="0.2">
      <c r="A10411" s="1135" t="str">
        <f>CONCATENATE(Programme!C10412,Programme!D10412,Programme!E10412,Programme!F10412,Programme!G10412,Programme!H10412,Programme!I10412)</f>
        <v>&lt;valeur&gt;&lt;/valeur&gt;</v>
      </c>
    </row>
    <row r="10412" spans="1:1" x14ac:dyDescent="0.2">
      <c r="A10412" s="1135" t="str">
        <f>CONCATENATE(Programme!C10413,Programme!D10413,Programme!E10413,Programme!F10413,Programme!G10413,Programme!H10413,Programme!I10413)</f>
        <v>&lt;numeroLigne&gt;5&lt;/numeroLigne&gt;</v>
      </c>
    </row>
    <row r="10413" spans="1:1" x14ac:dyDescent="0.2">
      <c r="A10413" s="1135" t="str">
        <f>CONCATENATE(Programme!C10414,Programme!D10414,Programme!E10414,Programme!F10414,Programme!G10414,Programme!H10414,Programme!I10414)</f>
        <v>&lt;/ValeurCellule&gt;</v>
      </c>
    </row>
    <row r="10414" spans="1:1" x14ac:dyDescent="0.2">
      <c r="A10414" s="1135" t="str">
        <f>CONCATENATE(Programme!C10415,Programme!D10415,Programme!E10415,Programme!F10415,Programme!G10415,Programme!H10415,Programme!I10415)</f>
        <v>&lt;ValeurCellule&gt;</v>
      </c>
    </row>
    <row r="10415" spans="1:1" x14ac:dyDescent="0.2">
      <c r="A10415" s="1135" t="str">
        <f>CONCATENATE(Programme!C10416,Programme!D10416,Programme!E10416,Programme!F10416,Programme!G10416,Programme!H10416,Programme!I10416)</f>
        <v>&lt;cellule&gt;&lt;codeEdi&gt;1267&lt;/codeEdi&gt;&lt;/cellule&gt;</v>
      </c>
    </row>
    <row r="10416" spans="1:1" x14ac:dyDescent="0.2">
      <c r="A10416" s="1135" t="str">
        <f>CONCATENATE(Programme!C10417,Programme!D10417,Programme!E10417,Programme!F10417,Programme!G10417,Programme!H10417,Programme!I10417)</f>
        <v>&lt;valeur&gt;&lt;/valeur&gt;</v>
      </c>
    </row>
    <row r="10417" spans="1:1" x14ac:dyDescent="0.2">
      <c r="A10417" s="1135" t="str">
        <f>CONCATENATE(Programme!C10418,Programme!D10418,Programme!E10418,Programme!F10418,Programme!G10418,Programme!H10418,Programme!I10418)</f>
        <v>&lt;numeroLigne&gt;6&lt;/numeroLigne&gt;</v>
      </c>
    </row>
    <row r="10418" spans="1:1" x14ac:dyDescent="0.2">
      <c r="A10418" s="1135" t="str">
        <f>CONCATENATE(Programme!C10419,Programme!D10419,Programme!E10419,Programme!F10419,Programme!G10419,Programme!H10419,Programme!I10419)</f>
        <v>&lt;/ValeurCellule&gt;</v>
      </c>
    </row>
    <row r="10419" spans="1:1" x14ac:dyDescent="0.2">
      <c r="A10419" s="1135" t="str">
        <f>CONCATENATE(Programme!C10420,Programme!D10420,Programme!E10420,Programme!F10420,Programme!G10420,Programme!H10420,Programme!I10420)</f>
        <v>&lt;ValeurCellule&gt;</v>
      </c>
    </row>
    <row r="10420" spans="1:1" x14ac:dyDescent="0.2">
      <c r="A10420" s="1135" t="str">
        <f>CONCATENATE(Programme!C10421,Programme!D10421,Programme!E10421,Programme!F10421,Programme!G10421,Programme!H10421,Programme!I10421)</f>
        <v>&lt;cellule&gt;&lt;codeEdi&gt;1268&lt;/codeEdi&gt;&lt;/cellule&gt;</v>
      </c>
    </row>
    <row r="10421" spans="1:1" x14ac:dyDescent="0.2">
      <c r="A10421" s="1135" t="str">
        <f>CONCATENATE(Programme!C10422,Programme!D10422,Programme!E10422,Programme!F10422,Programme!G10422,Programme!H10422,Programme!I10422)</f>
        <v>&lt;valeur&gt;&lt;/valeur&gt;</v>
      </c>
    </row>
    <row r="10422" spans="1:1" x14ac:dyDescent="0.2">
      <c r="A10422" s="1135" t="str">
        <f>CONCATENATE(Programme!C10423,Programme!D10423,Programme!E10423,Programme!F10423,Programme!G10423,Programme!H10423,Programme!I10423)</f>
        <v>&lt;numeroLigne&gt;6&lt;/numeroLigne&gt;</v>
      </c>
    </row>
    <row r="10423" spans="1:1" x14ac:dyDescent="0.2">
      <c r="A10423" s="1135" t="str">
        <f>CONCATENATE(Programme!C10424,Programme!D10424,Programme!E10424,Programme!F10424,Programme!G10424,Programme!H10424,Programme!I10424)</f>
        <v>&lt;/ValeurCellule&gt;</v>
      </c>
    </row>
    <row r="10424" spans="1:1" x14ac:dyDescent="0.2">
      <c r="A10424" s="1135" t="str">
        <f>CONCATENATE(Programme!C10425,Programme!D10425,Programme!E10425,Programme!F10425,Programme!G10425,Programme!H10425,Programme!I10425)</f>
        <v>&lt;ValeurCellule&gt;</v>
      </c>
    </row>
    <row r="10425" spans="1:1" x14ac:dyDescent="0.2">
      <c r="A10425" s="1135" t="str">
        <f>CONCATENATE(Programme!C10426,Programme!D10426,Programme!E10426,Programme!F10426,Programme!G10426,Programme!H10426,Programme!I10426)</f>
        <v>&lt;cellule&gt;&lt;codeEdi&gt;1269&lt;/codeEdi&gt;&lt;/cellule&gt;</v>
      </c>
    </row>
    <row r="10426" spans="1:1" x14ac:dyDescent="0.2">
      <c r="A10426" s="1135" t="str">
        <f>CONCATENATE(Programme!C10427,Programme!D10427,Programme!E10427,Programme!F10427,Programme!G10427,Programme!H10427,Programme!I10427)</f>
        <v>&lt;valeur&gt;&lt;/valeur&gt;</v>
      </c>
    </row>
    <row r="10427" spans="1:1" x14ac:dyDescent="0.2">
      <c r="A10427" s="1135" t="str">
        <f>CONCATENATE(Programme!C10428,Programme!D10428,Programme!E10428,Programme!F10428,Programme!G10428,Programme!H10428,Programme!I10428)</f>
        <v>&lt;numeroLigne&gt;6&lt;/numeroLigne&gt;</v>
      </c>
    </row>
    <row r="10428" spans="1:1" x14ac:dyDescent="0.2">
      <c r="A10428" s="1135" t="str">
        <f>CONCATENATE(Programme!C10429,Programme!D10429,Programme!E10429,Programme!F10429,Programme!G10429,Programme!H10429,Programme!I10429)</f>
        <v>&lt;/ValeurCellule&gt;</v>
      </c>
    </row>
    <row r="10429" spans="1:1" x14ac:dyDescent="0.2">
      <c r="A10429" s="1135" t="str">
        <f>CONCATENATE(Programme!C10430,Programme!D10430,Programme!E10430,Programme!F10430,Programme!G10430,Programme!H10430,Programme!I10430)</f>
        <v>&lt;ValeurCellule&gt;</v>
      </c>
    </row>
    <row r="10430" spans="1:1" x14ac:dyDescent="0.2">
      <c r="A10430" s="1135" t="str">
        <f>CONCATENATE(Programme!C10431,Programme!D10431,Programme!E10431,Programme!F10431,Programme!G10431,Programme!H10431,Programme!I10431)</f>
        <v>&lt;cellule&gt;&lt;codeEdi&gt;1270&lt;/codeEdi&gt;&lt;/cellule&gt;</v>
      </c>
    </row>
    <row r="10431" spans="1:1" x14ac:dyDescent="0.2">
      <c r="A10431" s="1135" t="str">
        <f>CONCATENATE(Programme!C10432,Programme!D10432,Programme!E10432,Programme!F10432,Programme!G10432,Programme!H10432,Programme!I10432)</f>
        <v>&lt;valeur&gt;&lt;/valeur&gt;</v>
      </c>
    </row>
    <row r="10432" spans="1:1" x14ac:dyDescent="0.2">
      <c r="A10432" s="1135" t="str">
        <f>CONCATENATE(Programme!C10433,Programme!D10433,Programme!E10433,Programme!F10433,Programme!G10433,Programme!H10433,Programme!I10433)</f>
        <v>&lt;numeroLigne&gt;6&lt;/numeroLigne&gt;</v>
      </c>
    </row>
    <row r="10433" spans="1:1" x14ac:dyDescent="0.2">
      <c r="A10433" s="1135" t="str">
        <f>CONCATENATE(Programme!C10434,Programme!D10434,Programme!E10434,Programme!F10434,Programme!G10434,Programme!H10434,Programme!I10434)</f>
        <v>&lt;/ValeurCellule&gt;</v>
      </c>
    </row>
    <row r="10434" spans="1:1" x14ac:dyDescent="0.2">
      <c r="A10434" s="1135" t="str">
        <f>CONCATENATE(Programme!C10435,Programme!D10435,Programme!E10435,Programme!F10435,Programme!G10435,Programme!H10435,Programme!I10435)</f>
        <v>&lt;ValeurCellule&gt;</v>
      </c>
    </row>
    <row r="10435" spans="1:1" x14ac:dyDescent="0.2">
      <c r="A10435" s="1135" t="str">
        <f>CONCATENATE(Programme!C10436,Programme!D10436,Programme!E10436,Programme!F10436,Programme!G10436,Programme!H10436,Programme!I10436)</f>
        <v>&lt;cellule&gt;&lt;codeEdi&gt;1271&lt;/codeEdi&gt;&lt;/cellule&gt;</v>
      </c>
    </row>
    <row r="10436" spans="1:1" x14ac:dyDescent="0.2">
      <c r="A10436" s="1135" t="str">
        <f>CONCATENATE(Programme!C10437,Programme!D10437,Programme!E10437,Programme!F10437,Programme!G10437,Programme!H10437,Programme!I10437)</f>
        <v>&lt;valeur&gt;&lt;/valeur&gt;</v>
      </c>
    </row>
    <row r="10437" spans="1:1" x14ac:dyDescent="0.2">
      <c r="A10437" s="1135" t="str">
        <f>CONCATENATE(Programme!C10438,Programme!D10438,Programme!E10438,Programme!F10438,Programme!G10438,Programme!H10438,Programme!I10438)</f>
        <v>&lt;numeroLigne&gt;6&lt;/numeroLigne&gt;</v>
      </c>
    </row>
    <row r="10438" spans="1:1" x14ac:dyDescent="0.2">
      <c r="A10438" s="1135" t="str">
        <f>CONCATENATE(Programme!C10439,Programme!D10439,Programme!E10439,Programme!F10439,Programme!G10439,Programme!H10439,Programme!I10439)</f>
        <v>&lt;/ValeurCellule&gt;</v>
      </c>
    </row>
    <row r="10439" spans="1:1" x14ac:dyDescent="0.2">
      <c r="A10439" s="1135" t="str">
        <f>CONCATENATE(Programme!C10440,Programme!D10440,Programme!E10440,Programme!F10440,Programme!G10440,Programme!H10440,Programme!I10440)</f>
        <v>&lt;ValeurCellule&gt;</v>
      </c>
    </row>
    <row r="10440" spans="1:1" x14ac:dyDescent="0.2">
      <c r="A10440" s="1135" t="str">
        <f>CONCATENATE(Programme!C10441,Programme!D10441,Programme!E10441,Programme!F10441,Programme!G10441,Programme!H10441,Programme!I10441)</f>
        <v>&lt;cellule&gt;&lt;codeEdi&gt;1272&lt;/codeEdi&gt;&lt;/cellule&gt;</v>
      </c>
    </row>
    <row r="10441" spans="1:1" x14ac:dyDescent="0.2">
      <c r="A10441" s="1135" t="str">
        <f>CONCATENATE(Programme!C10442,Programme!D10442,Programme!E10442,Programme!F10442,Programme!G10442,Programme!H10442,Programme!I10442)</f>
        <v>&lt;valeur&gt;&lt;/valeur&gt;</v>
      </c>
    </row>
    <row r="10442" spans="1:1" x14ac:dyDescent="0.2">
      <c r="A10442" s="1135" t="str">
        <f>CONCATENATE(Programme!C10443,Programme!D10443,Programme!E10443,Programme!F10443,Programme!G10443,Programme!H10443,Programme!I10443)</f>
        <v>&lt;numeroLigne&gt;6&lt;/numeroLigne&gt;</v>
      </c>
    </row>
    <row r="10443" spans="1:1" x14ac:dyDescent="0.2">
      <c r="A10443" s="1135" t="str">
        <f>CONCATENATE(Programme!C10444,Programme!D10444,Programme!E10444,Programme!F10444,Programme!G10444,Programme!H10444,Programme!I10444)</f>
        <v>&lt;/ValeurCellule&gt;</v>
      </c>
    </row>
    <row r="10444" spans="1:1" x14ac:dyDescent="0.2">
      <c r="A10444" s="1135" t="str">
        <f>CONCATENATE(Programme!C10445,Programme!D10445,Programme!E10445,Programme!F10445,Programme!G10445,Programme!H10445,Programme!I10445)</f>
        <v>&lt;ValeurCellule&gt;</v>
      </c>
    </row>
    <row r="10445" spans="1:1" x14ac:dyDescent="0.2">
      <c r="A10445" s="1135" t="str">
        <f>CONCATENATE(Programme!C10446,Programme!D10446,Programme!E10446,Programme!F10446,Programme!G10446,Programme!H10446,Programme!I10446)</f>
        <v>&lt;cellule&gt;&lt;codeEdi&gt;1273&lt;/codeEdi&gt;&lt;/cellule&gt;</v>
      </c>
    </row>
    <row r="10446" spans="1:1" x14ac:dyDescent="0.2">
      <c r="A10446" s="1135" t="str">
        <f>CONCATENATE(Programme!C10447,Programme!D10447,Programme!E10447,Programme!F10447,Programme!G10447,Programme!H10447,Programme!I10447)</f>
        <v>&lt;valeur&gt;&lt;/valeur&gt;</v>
      </c>
    </row>
    <row r="10447" spans="1:1" x14ac:dyDescent="0.2">
      <c r="A10447" s="1135" t="str">
        <f>CONCATENATE(Programme!C10448,Programme!D10448,Programme!E10448,Programme!F10448,Programme!G10448,Programme!H10448,Programme!I10448)</f>
        <v>&lt;numeroLigne&gt;6&lt;/numeroLigne&gt;</v>
      </c>
    </row>
    <row r="10448" spans="1:1" x14ac:dyDescent="0.2">
      <c r="A10448" s="1135" t="str">
        <f>CONCATENATE(Programme!C10449,Programme!D10449,Programme!E10449,Programme!F10449,Programme!G10449,Programme!H10449,Programme!I10449)</f>
        <v>&lt;/ValeurCellule&gt;</v>
      </c>
    </row>
    <row r="10449" spans="1:1" x14ac:dyDescent="0.2">
      <c r="A10449" s="1135" t="str">
        <f>CONCATENATE(Programme!C10450,Programme!D10450,Programme!E10450,Programme!F10450,Programme!G10450,Programme!H10450,Programme!I10450)</f>
        <v>&lt;ValeurCellule&gt;</v>
      </c>
    </row>
    <row r="10450" spans="1:1" x14ac:dyDescent="0.2">
      <c r="A10450" s="1135" t="str">
        <f>CONCATENATE(Programme!C10451,Programme!D10451,Programme!E10451,Programme!F10451,Programme!G10451,Programme!H10451,Programme!I10451)</f>
        <v>&lt;cellule&gt;&lt;codeEdi&gt;1274&lt;/codeEdi&gt;&lt;/cellule&gt;</v>
      </c>
    </row>
    <row r="10451" spans="1:1" x14ac:dyDescent="0.2">
      <c r="A10451" s="1135" t="str">
        <f>CONCATENATE(Programme!C10452,Programme!D10452,Programme!E10452,Programme!F10452,Programme!G10452,Programme!H10452,Programme!I10452)</f>
        <v>&lt;valeur&gt;&lt;/valeur&gt;</v>
      </c>
    </row>
    <row r="10452" spans="1:1" x14ac:dyDescent="0.2">
      <c r="A10452" s="1135" t="str">
        <f>CONCATENATE(Programme!C10453,Programme!D10453,Programme!E10453,Programme!F10453,Programme!G10453,Programme!H10453,Programme!I10453)</f>
        <v>&lt;numeroLigne&gt;6&lt;/numeroLigne&gt;</v>
      </c>
    </row>
    <row r="10453" spans="1:1" x14ac:dyDescent="0.2">
      <c r="A10453" s="1135" t="str">
        <f>CONCATENATE(Programme!C10454,Programme!D10454,Programme!E10454,Programme!F10454,Programme!G10454,Programme!H10454,Programme!I10454)</f>
        <v>&lt;/ValeurCellule&gt;</v>
      </c>
    </row>
    <row r="10454" spans="1:1" x14ac:dyDescent="0.2">
      <c r="A10454" s="1135" t="str">
        <f>CONCATENATE(Programme!C10455,Programme!D10455,Programme!E10455,Programme!F10455,Programme!G10455,Programme!H10455,Programme!I10455)</f>
        <v>&lt;ValeurCellule&gt;</v>
      </c>
    </row>
    <row r="10455" spans="1:1" x14ac:dyDescent="0.2">
      <c r="A10455" s="1135" t="str">
        <f>CONCATENATE(Programme!C10456,Programme!D10456,Programme!E10456,Programme!F10456,Programme!G10456,Programme!H10456,Programme!I10456)</f>
        <v>&lt;cellule&gt;</v>
      </c>
    </row>
    <row r="10456" spans="1:1" x14ac:dyDescent="0.2">
      <c r="A10456" s="1135" t="str">
        <f>CONCATENATE(Programme!C10457,Programme!D10457,Programme!E10457,Programme!F10457,Programme!G10457,Programme!H10457,Programme!I10457)</f>
        <v>&lt;codeEdi&gt;1279&lt;/codeEdi&gt;</v>
      </c>
    </row>
    <row r="10457" spans="1:1" x14ac:dyDescent="0.2">
      <c r="A10457" s="1135" t="str">
        <f>CONCATENATE(Programme!C10458,Programme!D10458,Programme!E10458,Programme!F10458,Programme!G10458,Programme!H10458,Programme!I10458)</f>
        <v>&lt;/cellule&gt;</v>
      </c>
    </row>
    <row r="10458" spans="1:1" x14ac:dyDescent="0.2">
      <c r="A10458" s="1135" t="str">
        <f>CONCATENATE(Programme!C10459,Programme!D10459,Programme!E10459,Programme!F10459,Programme!G10459,Programme!H10459,Programme!I10459)</f>
        <v>&lt;valeur&gt;12000&lt;/valeur&gt;</v>
      </c>
    </row>
    <row r="10459" spans="1:1" x14ac:dyDescent="0.2">
      <c r="A10459" s="1135" t="str">
        <f>CONCATENATE(Programme!C10460,Programme!D10460,Programme!E10460,Programme!F10460,Programme!G10460,Programme!H10460,Programme!I10460)</f>
        <v>&lt;/ValeurCellule&gt;</v>
      </c>
    </row>
    <row r="10460" spans="1:1" x14ac:dyDescent="0.2">
      <c r="A10460" s="1135" t="str">
        <f>CONCATENATE(Programme!C10461,Programme!D10461,Programme!E10461,Programme!F10461,Programme!G10461,Programme!H10461,Programme!I10461)</f>
        <v>&lt;ValeurCellule&gt;</v>
      </c>
    </row>
    <row r="10461" spans="1:1" x14ac:dyDescent="0.2">
      <c r="A10461" s="1135" t="str">
        <f>CONCATENATE(Programme!C10462,Programme!D10462,Programme!E10462,Programme!F10462,Programme!G10462,Programme!H10462,Programme!I10462)</f>
        <v>&lt;cellule&gt;</v>
      </c>
    </row>
    <row r="10462" spans="1:1" x14ac:dyDescent="0.2">
      <c r="A10462" s="1135" t="str">
        <f>CONCATENATE(Programme!C10463,Programme!D10463,Programme!E10463,Programme!F10463,Programme!G10463,Programme!H10463,Programme!I10463)</f>
        <v>&lt;codeEdi&gt;1280&lt;/codeEdi&gt;</v>
      </c>
    </row>
    <row r="10463" spans="1:1" x14ac:dyDescent="0.2">
      <c r="A10463" s="1135" t="str">
        <f>CONCATENATE(Programme!C10464,Programme!D10464,Programme!E10464,Programme!F10464,Programme!G10464,Programme!H10464,Programme!I10464)</f>
        <v>&lt;/cellule&gt;</v>
      </c>
    </row>
    <row r="10464" spans="1:1" x14ac:dyDescent="0.2">
      <c r="A10464" s="1135" t="str">
        <f>CONCATENATE(Programme!C10465,Programme!D10465,Programme!E10465,Programme!F10465,Programme!G10465,Programme!H10465,Programme!I10465)</f>
        <v>&lt;valeur&gt;12000&lt;/valeur&gt;</v>
      </c>
    </row>
    <row r="10465" spans="1:1" x14ac:dyDescent="0.2">
      <c r="A10465" s="1135" t="str">
        <f>CONCATENATE(Programme!C10466,Programme!D10466,Programme!E10466,Programme!F10466,Programme!G10466,Programme!H10466,Programme!I10466)</f>
        <v>&lt;/ValeurCellule&gt;</v>
      </c>
    </row>
    <row r="10466" spans="1:1" x14ac:dyDescent="0.2">
      <c r="A10466" s="1135" t="str">
        <f>CONCATENATE(Programme!C10467,Programme!D10467,Programme!E10467,Programme!F10467,Programme!G10467,Programme!H10467,Programme!I10467)</f>
        <v>&lt;/groupeValeurs&gt;</v>
      </c>
    </row>
    <row r="10467" spans="1:1" x14ac:dyDescent="0.2">
      <c r="A10467" s="1135" t="str">
        <f>CONCATENATE(Programme!C10468,Programme!D10468,Programme!E10468,Programme!F10468,Programme!G10468,Programme!H10468,Programme!I10468)</f>
        <v>&lt;extraFieldvaleurs&gt;</v>
      </c>
    </row>
    <row r="10468" spans="1:1" x14ac:dyDescent="0.2">
      <c r="A10468" s="1135" t="str">
        <f>CONCATENATE(Programme!C10469,Programme!D10469,Programme!E10469,Programme!F10469,Programme!G10469,Programme!H10469,Programme!I10469)</f>
        <v>&lt;/extraFieldvaleurs&gt;</v>
      </c>
    </row>
    <row r="10469" spans="1:1" x14ac:dyDescent="0.2">
      <c r="A10469" s="1135" t="str">
        <f>CONCATENATE(Programme!C10470,Programme!D10470,Programme!E10470,Programme!F10470,Programme!G10470,Programme!H10470,Programme!I10470)</f>
        <v>&lt;/ValeursTableau&gt;</v>
      </c>
    </row>
    <row r="10470" spans="1:1" x14ac:dyDescent="0.2">
      <c r="A10470" s="1135" t="str">
        <f>CONCATENATE(Programme!C10471,Programme!D10471,Programme!E10471,Programme!F10471,Programme!G10471,Programme!H10471,Programme!I10471)</f>
        <v>&lt;ValeursTableau&gt;</v>
      </c>
    </row>
    <row r="10471" spans="1:1" x14ac:dyDescent="0.2">
      <c r="A10471" s="1135" t="str">
        <f>CONCATENATE(Programme!C10472,Programme!D10472,Programme!E10472,Programme!F10472,Programme!G10472,Programme!H10472,Programme!I10472)</f>
        <v>&lt;tableau&gt;&lt;id&gt;36&lt;/id&gt;&lt;/tableau&gt;</v>
      </c>
    </row>
    <row r="10472" spans="1:1" x14ac:dyDescent="0.2">
      <c r="A10472" s="1135" t="str">
        <f>CONCATENATE(Programme!C10473,Programme!D10473,Programme!E10473,Programme!F10473,Programme!G10473,Programme!H10473,Programme!I10473)</f>
        <v>&lt;groupeValeurs&gt;</v>
      </c>
    </row>
    <row r="10473" spans="1:1" x14ac:dyDescent="0.2">
      <c r="A10473" s="1135" t="str">
        <f>CONCATENATE(Programme!C10474,Programme!D10474,Programme!E10474,Programme!F10474,Programme!G10474,Programme!H10474,Programme!I10474)</f>
        <v>&lt;ValeurCellule&gt;</v>
      </c>
    </row>
    <row r="10474" spans="1:1" x14ac:dyDescent="0.2">
      <c r="A10474" s="1135" t="str">
        <f>CONCATENATE(Programme!C10475,Programme!D10475,Programme!E10475,Programme!F10475,Programme!G10475,Programme!H10475,Programme!I10475)</f>
        <v>&lt;cellule&gt;</v>
      </c>
    </row>
    <row r="10475" spans="1:1" x14ac:dyDescent="0.2">
      <c r="A10475" s="1135" t="str">
        <f>CONCATENATE(Programme!C10476,Programme!D10476,Programme!E10476,Programme!F10476,Programme!G10476,Programme!H10476,Programme!I10476)</f>
        <v>&lt;codeEdi&gt;1401&lt;/codeEdi&gt;</v>
      </c>
    </row>
    <row r="10476" spans="1:1" x14ac:dyDescent="0.2">
      <c r="A10476" s="1135" t="str">
        <f>CONCATENATE(Programme!C10477,Programme!D10477,Programme!E10477,Programme!F10477,Programme!G10477,Programme!H10477,Programme!I10477)</f>
        <v>&lt;/cellule&gt;</v>
      </c>
    </row>
    <row r="10477" spans="1:1" x14ac:dyDescent="0.2">
      <c r="A10477" s="1135" t="str">
        <f>CONCATENATE(Programme!C10478,Programme!D10478,Programme!E10478,Programme!F10478,Programme!G10478,Programme!H10478,Programme!I10478)</f>
        <v>&lt;valeur&gt;&lt;/valeur&gt;</v>
      </c>
    </row>
    <row r="10478" spans="1:1" x14ac:dyDescent="0.2">
      <c r="A10478" s="1135" t="str">
        <f>CONCATENATE(Programme!C10479,Programme!D10479,Programme!E10479,Programme!F10479,Programme!G10479,Programme!H10479,Programme!I10479)</f>
        <v>&lt;/ValeurCellule&gt;</v>
      </c>
    </row>
    <row r="10479" spans="1:1" x14ac:dyDescent="0.2">
      <c r="A10479" s="1135" t="str">
        <f>CONCATENATE(Programme!C10480,Programme!D10480,Programme!E10480,Programme!F10480,Programme!G10480,Programme!H10480,Programme!I10480)</f>
        <v>&lt;ValeurCellule&gt;</v>
      </c>
    </row>
    <row r="10480" spans="1:1" x14ac:dyDescent="0.2">
      <c r="A10480" s="1135" t="str">
        <f>CONCATENATE(Programme!C10481,Programme!D10481,Programme!E10481,Programme!F10481,Programme!G10481,Programme!H10481,Programme!I10481)</f>
        <v>&lt;cellule&gt;</v>
      </c>
    </row>
    <row r="10481" spans="1:1" x14ac:dyDescent="0.2">
      <c r="A10481" s="1135" t="str">
        <f>CONCATENATE(Programme!C10482,Programme!D10482,Programme!E10482,Programme!F10482,Programme!G10482,Programme!H10482,Programme!I10482)</f>
        <v>&lt;codeEdi&gt;1409&lt;/codeEdi&gt;</v>
      </c>
    </row>
    <row r="10482" spans="1:1" x14ac:dyDescent="0.2">
      <c r="A10482" s="1135" t="str">
        <f>CONCATENATE(Programme!C10483,Programme!D10483,Programme!E10483,Programme!F10483,Programme!G10483,Programme!H10483,Programme!I10483)</f>
        <v>&lt;/cellule&gt;</v>
      </c>
    </row>
    <row r="10483" spans="1:1" x14ac:dyDescent="0.2">
      <c r="A10483" s="1135" t="str">
        <f>CONCATENATE(Programme!C10484,Programme!D10484,Programme!E10484,Programme!F10484,Programme!G10484,Programme!H10484,Programme!I10484)</f>
        <v>&lt;valeur&gt;&lt;/valeur&gt;</v>
      </c>
    </row>
    <row r="10484" spans="1:1" x14ac:dyDescent="0.2">
      <c r="A10484" s="1135" t="str">
        <f>CONCATENATE(Programme!C10485,Programme!D10485,Programme!E10485,Programme!F10485,Programme!G10485,Programme!H10485,Programme!I10485)</f>
        <v>&lt;/ValeurCellule&gt;</v>
      </c>
    </row>
    <row r="10485" spans="1:1" x14ac:dyDescent="0.2">
      <c r="A10485" s="1135" t="str">
        <f>CONCATENATE(Programme!C10486,Programme!D10486,Programme!E10486,Programme!F10486,Programme!G10486,Programme!H10486,Programme!I10486)</f>
        <v>&lt;ValeurCellule&gt;</v>
      </c>
    </row>
    <row r="10486" spans="1:1" x14ac:dyDescent="0.2">
      <c r="A10486" s="1135" t="str">
        <f>CONCATENATE(Programme!C10487,Programme!D10487,Programme!E10487,Programme!F10487,Programme!G10487,Programme!H10487,Programme!I10487)</f>
        <v>&lt;cellule&gt;</v>
      </c>
    </row>
    <row r="10487" spans="1:1" x14ac:dyDescent="0.2">
      <c r="A10487" s="1135" t="str">
        <f>CONCATENATE(Programme!C10488,Programme!D10488,Programme!E10488,Programme!F10488,Programme!G10488,Programme!H10488,Programme!I10488)</f>
        <v>&lt;codeEdi&gt;1417&lt;/codeEdi&gt;</v>
      </c>
    </row>
    <row r="10488" spans="1:1" x14ac:dyDescent="0.2">
      <c r="A10488" s="1135" t="str">
        <f>CONCATENATE(Programme!C10489,Programme!D10489,Programme!E10489,Programme!F10489,Programme!G10489,Programme!H10489,Programme!I10489)</f>
        <v>&lt;/cellule&gt;</v>
      </c>
    </row>
    <row r="10489" spans="1:1" x14ac:dyDescent="0.2">
      <c r="A10489" s="1135" t="str">
        <f>CONCATENATE(Programme!C10490,Programme!D10490,Programme!E10490,Programme!F10490,Programme!G10490,Programme!H10490,Programme!I10490)</f>
        <v>&lt;valeur&gt;&lt;/valeur&gt;</v>
      </c>
    </row>
    <row r="10490" spans="1:1" x14ac:dyDescent="0.2">
      <c r="A10490" s="1135" t="str">
        <f>CONCATENATE(Programme!C10491,Programme!D10491,Programme!E10491,Programme!F10491,Programme!G10491,Programme!H10491,Programme!I10491)</f>
        <v>&lt;/ValeurCellule&gt;</v>
      </c>
    </row>
    <row r="10491" spans="1:1" x14ac:dyDescent="0.2">
      <c r="A10491" s="1135" t="str">
        <f>CONCATENATE(Programme!C10492,Programme!D10492,Programme!E10492,Programme!F10492,Programme!G10492,Programme!H10492,Programme!I10492)</f>
        <v>&lt;ValeurCellule&gt;</v>
      </c>
    </row>
    <row r="10492" spans="1:1" x14ac:dyDescent="0.2">
      <c r="A10492" s="1135" t="str">
        <f>CONCATENATE(Programme!C10493,Programme!D10493,Programme!E10493,Programme!F10493,Programme!G10493,Programme!H10493,Programme!I10493)</f>
        <v>&lt;cellule&gt;</v>
      </c>
    </row>
    <row r="10493" spans="1:1" x14ac:dyDescent="0.2">
      <c r="A10493" s="1135" t="str">
        <f>CONCATENATE(Programme!C10494,Programme!D10494,Programme!E10494,Programme!F10494,Programme!G10494,Programme!H10494,Programme!I10494)</f>
        <v>&lt;codeEdi&gt;1425&lt;/codeEdi&gt;</v>
      </c>
    </row>
    <row r="10494" spans="1:1" x14ac:dyDescent="0.2">
      <c r="A10494" s="1135" t="str">
        <f>CONCATENATE(Programme!C10495,Programme!D10495,Programme!E10495,Programme!F10495,Programme!G10495,Programme!H10495,Programme!I10495)</f>
        <v>&lt;/cellule&gt;</v>
      </c>
    </row>
    <row r="10495" spans="1:1" x14ac:dyDescent="0.2">
      <c r="A10495" s="1135" t="str">
        <f>CONCATENATE(Programme!C10496,Programme!D10496,Programme!E10496,Programme!F10496,Programme!G10496,Programme!H10496,Programme!I10496)</f>
        <v>&lt;valeur&gt;0&lt;/valeur&gt;</v>
      </c>
    </row>
    <row r="10496" spans="1:1" x14ac:dyDescent="0.2">
      <c r="A10496" s="1135" t="str">
        <f>CONCATENATE(Programme!C10497,Programme!D10497,Programme!E10497,Programme!F10497,Programme!G10497,Programme!H10497,Programme!I10497)</f>
        <v>&lt;/ValeurCellule&gt;</v>
      </c>
    </row>
    <row r="10497" spans="1:1" x14ac:dyDescent="0.2">
      <c r="A10497" s="1135" t="str">
        <f>CONCATENATE(Programme!C10498,Programme!D10498,Programme!E10498,Programme!F10498,Programme!G10498,Programme!H10498,Programme!I10498)</f>
        <v>&lt;ValeurCellule&gt;</v>
      </c>
    </row>
    <row r="10498" spans="1:1" x14ac:dyDescent="0.2">
      <c r="A10498" s="1135" t="str">
        <f>CONCATENATE(Programme!C10499,Programme!D10499,Programme!E10499,Programme!F10499,Programme!G10499,Programme!H10499,Programme!I10499)</f>
        <v>&lt;cellule&gt;</v>
      </c>
    </row>
    <row r="10499" spans="1:1" x14ac:dyDescent="0.2">
      <c r="A10499" s="1135" t="str">
        <f>CONCATENATE(Programme!C10500,Programme!D10500,Programme!E10500,Programme!F10500,Programme!G10500,Programme!H10500,Programme!I10500)</f>
        <v>&lt;codeEdi&gt;1433&lt;/codeEdi&gt;</v>
      </c>
    </row>
    <row r="10500" spans="1:1" x14ac:dyDescent="0.2">
      <c r="A10500" s="1135" t="str">
        <f>CONCATENATE(Programme!C10501,Programme!D10501,Programme!E10501,Programme!F10501,Programme!G10501,Programme!H10501,Programme!I10501)</f>
        <v>&lt;/cellule&gt;</v>
      </c>
    </row>
    <row r="10501" spans="1:1" x14ac:dyDescent="0.2">
      <c r="A10501" s="1135" t="str">
        <f>CONCATENATE(Programme!C10502,Programme!D10502,Programme!E10502,Programme!F10502,Programme!G10502,Programme!H10502,Programme!I10502)</f>
        <v>&lt;valeur&gt;0&lt;/valeur&gt;</v>
      </c>
    </row>
    <row r="10502" spans="1:1" x14ac:dyDescent="0.2">
      <c r="A10502" s="1135" t="str">
        <f>CONCATENATE(Programme!C10503,Programme!D10503,Programme!E10503,Programme!F10503,Programme!G10503,Programme!H10503,Programme!I10503)</f>
        <v>&lt;/ValeurCellule&gt;</v>
      </c>
    </row>
    <row r="10503" spans="1:1" x14ac:dyDescent="0.2">
      <c r="A10503" s="1135" t="str">
        <f>CONCATENATE(Programme!C10504,Programme!D10504,Programme!E10504,Programme!F10504,Programme!G10504,Programme!H10504,Programme!I10504)</f>
        <v>&lt;ValeurCellule&gt;</v>
      </c>
    </row>
    <row r="10504" spans="1:1" x14ac:dyDescent="0.2">
      <c r="A10504" s="1135" t="str">
        <f>CONCATENATE(Programme!C10505,Programme!D10505,Programme!E10505,Programme!F10505,Programme!G10505,Programme!H10505,Programme!I10505)</f>
        <v>&lt;cellule&gt;</v>
      </c>
    </row>
    <row r="10505" spans="1:1" x14ac:dyDescent="0.2">
      <c r="A10505" s="1135" t="str">
        <f>CONCATENATE(Programme!C10506,Programme!D10506,Programme!E10506,Programme!F10506,Programme!G10506,Programme!H10506,Programme!I10506)</f>
        <v>&lt;codeEdi&gt;1449&lt;/codeEdi&gt;</v>
      </c>
    </row>
    <row r="10506" spans="1:1" x14ac:dyDescent="0.2">
      <c r="A10506" s="1135" t="str">
        <f>CONCATENATE(Programme!C10507,Programme!D10507,Programme!E10507,Programme!F10507,Programme!G10507,Programme!H10507,Programme!I10507)</f>
        <v>&lt;/cellule&gt;</v>
      </c>
    </row>
    <row r="10507" spans="1:1" x14ac:dyDescent="0.2">
      <c r="A10507" s="1135" t="str">
        <f>CONCATENATE(Programme!C10508,Programme!D10508,Programme!E10508,Programme!F10508,Programme!G10508,Programme!H10508,Programme!I10508)</f>
        <v>&lt;valeur&gt;&lt;/valeur&gt;</v>
      </c>
    </row>
    <row r="10508" spans="1:1" x14ac:dyDescent="0.2">
      <c r="A10508" s="1135" t="str">
        <f>CONCATENATE(Programme!C10509,Programme!D10509,Programme!E10509,Programme!F10509,Programme!G10509,Programme!H10509,Programme!I10509)</f>
        <v>&lt;/ValeurCellule&gt;</v>
      </c>
    </row>
    <row r="10509" spans="1:1" x14ac:dyDescent="0.2">
      <c r="A10509" s="1135" t="str">
        <f>CONCATENATE(Programme!C10510,Programme!D10510,Programme!E10510,Programme!F10510,Programme!G10510,Programme!H10510,Programme!I10510)</f>
        <v>&lt;ValeurCellule&gt;</v>
      </c>
    </row>
    <row r="10510" spans="1:1" x14ac:dyDescent="0.2">
      <c r="A10510" s="1135" t="str">
        <f>CONCATENATE(Programme!C10511,Programme!D10511,Programme!E10511,Programme!F10511,Programme!G10511,Programme!H10511,Programme!I10511)</f>
        <v>&lt;cellule&gt;</v>
      </c>
    </row>
    <row r="10511" spans="1:1" x14ac:dyDescent="0.2">
      <c r="A10511" s="1135" t="str">
        <f>CONCATENATE(Programme!C10512,Programme!D10512,Programme!E10512,Programme!F10512,Programme!G10512,Programme!H10512,Programme!I10512)</f>
        <v>&lt;codeEdi&gt;1457&lt;/codeEdi&gt;</v>
      </c>
    </row>
    <row r="10512" spans="1:1" x14ac:dyDescent="0.2">
      <c r="A10512" s="1135" t="str">
        <f>CONCATENATE(Programme!C10513,Programme!D10513,Programme!E10513,Programme!F10513,Programme!G10513,Programme!H10513,Programme!I10513)</f>
        <v>&lt;/cellule&gt;</v>
      </c>
    </row>
    <row r="10513" spans="1:1" x14ac:dyDescent="0.2">
      <c r="A10513" s="1135" t="str">
        <f>CONCATENATE(Programme!C10514,Programme!D10514,Programme!E10514,Programme!F10514,Programme!G10514,Programme!H10514,Programme!I10514)</f>
        <v>&lt;valeur&gt;0&lt;/valeur&gt;</v>
      </c>
    </row>
    <row r="10514" spans="1:1" x14ac:dyDescent="0.2">
      <c r="A10514" s="1135" t="str">
        <f>CONCATENATE(Programme!C10515,Programme!D10515,Programme!E10515,Programme!F10515,Programme!G10515,Programme!H10515,Programme!I10515)</f>
        <v>&lt;/ValeurCellule&gt;</v>
      </c>
    </row>
    <row r="10515" spans="1:1" x14ac:dyDescent="0.2">
      <c r="A10515" s="1135" t="str">
        <f>CONCATENATE(Programme!C10516,Programme!D10516,Programme!E10516,Programme!F10516,Programme!G10516,Programme!H10516,Programme!I10516)</f>
        <v>&lt;ValeurCellule&gt;</v>
      </c>
    </row>
    <row r="10516" spans="1:1" x14ac:dyDescent="0.2">
      <c r="A10516" s="1135" t="str">
        <f>CONCATENATE(Programme!C10517,Programme!D10517,Programme!E10517,Programme!F10517,Programme!G10517,Programme!H10517,Programme!I10517)</f>
        <v>&lt;cellule&gt;</v>
      </c>
    </row>
    <row r="10517" spans="1:1" x14ac:dyDescent="0.2">
      <c r="A10517" s="1135" t="str">
        <f>CONCATENATE(Programme!C10518,Programme!D10518,Programme!E10518,Programme!F10518,Programme!G10518,Programme!H10518,Programme!I10518)</f>
        <v>&lt;codeEdi&gt;1465&lt;/codeEdi&gt;</v>
      </c>
    </row>
    <row r="10518" spans="1:1" x14ac:dyDescent="0.2">
      <c r="A10518" s="1135" t="str">
        <f>CONCATENATE(Programme!C10519,Programme!D10519,Programme!E10519,Programme!F10519,Programme!G10519,Programme!H10519,Programme!I10519)</f>
        <v>&lt;/cellule&gt;</v>
      </c>
    </row>
    <row r="10519" spans="1:1" x14ac:dyDescent="0.2">
      <c r="A10519" s="1135" t="str">
        <f>CONCATENATE(Programme!C10520,Programme!D10520,Programme!E10520,Programme!F10520,Programme!G10520,Programme!H10520,Programme!I10520)</f>
        <v>&lt;valeur&gt;0&lt;/valeur&gt;</v>
      </c>
    </row>
    <row r="10520" spans="1:1" x14ac:dyDescent="0.2">
      <c r="A10520" s="1135" t="str">
        <f>CONCATENATE(Programme!C10521,Programme!D10521,Programme!E10521,Programme!F10521,Programme!G10521,Programme!H10521,Programme!I10521)</f>
        <v>&lt;/ValeurCellule&gt;</v>
      </c>
    </row>
    <row r="10521" spans="1:1" x14ac:dyDescent="0.2">
      <c r="A10521" s="1135" t="str">
        <f>CONCATENATE(Programme!C10522,Programme!D10522,Programme!E10522,Programme!F10522,Programme!G10522,Programme!H10522,Programme!I10522)</f>
        <v>&lt;ValeurCellule&gt;</v>
      </c>
    </row>
    <row r="10522" spans="1:1" x14ac:dyDescent="0.2">
      <c r="A10522" s="1135" t="str">
        <f>CONCATENATE(Programme!C10523,Programme!D10523,Programme!E10523,Programme!F10523,Programme!G10523,Programme!H10523,Programme!I10523)</f>
        <v>&lt;cellule&gt;</v>
      </c>
    </row>
    <row r="10523" spans="1:1" x14ac:dyDescent="0.2">
      <c r="A10523" s="1135" t="str">
        <f>CONCATENATE(Programme!C10524,Programme!D10524,Programme!E10524,Programme!F10524,Programme!G10524,Programme!H10524,Programme!I10524)</f>
        <v>&lt;codeEdi&gt;1473&lt;/codeEdi&gt;</v>
      </c>
    </row>
    <row r="10524" spans="1:1" x14ac:dyDescent="0.2">
      <c r="A10524" s="1135" t="str">
        <f>CONCATENATE(Programme!C10525,Programme!D10525,Programme!E10525,Programme!F10525,Programme!G10525,Programme!H10525,Programme!I10525)</f>
        <v>&lt;/cellule&gt;</v>
      </c>
    </row>
    <row r="10525" spans="1:1" x14ac:dyDescent="0.2">
      <c r="A10525" s="1135" t="str">
        <f>CONCATENATE(Programme!C10526,Programme!D10526,Programme!E10526,Programme!F10526,Programme!G10526,Programme!H10526,Programme!I10526)</f>
        <v>&lt;valeur&gt;&lt;/valeur&gt;</v>
      </c>
    </row>
    <row r="10526" spans="1:1" x14ac:dyDescent="0.2">
      <c r="A10526" s="1135" t="str">
        <f>CONCATENATE(Programme!C10527,Programme!D10527,Programme!E10527,Programme!F10527,Programme!G10527,Programme!H10527,Programme!I10527)</f>
        <v>&lt;/ValeurCellule&gt;</v>
      </c>
    </row>
    <row r="10527" spans="1:1" x14ac:dyDescent="0.2">
      <c r="A10527" s="1135" t="str">
        <f>CONCATENATE(Programme!C10528,Programme!D10528,Programme!E10528,Programme!F10528,Programme!G10528,Programme!H10528,Programme!I10528)</f>
        <v>&lt;ValeurCellule&gt;</v>
      </c>
    </row>
    <row r="10528" spans="1:1" x14ac:dyDescent="0.2">
      <c r="A10528" s="1135" t="str">
        <f>CONCATENATE(Programme!C10529,Programme!D10529,Programme!E10529,Programme!F10529,Programme!G10529,Programme!H10529,Programme!I10529)</f>
        <v>&lt;cellule&gt;</v>
      </c>
    </row>
    <row r="10529" spans="1:1" x14ac:dyDescent="0.2">
      <c r="A10529" s="1135" t="str">
        <f>CONCATENATE(Programme!C10530,Programme!D10530,Programme!E10530,Programme!F10530,Programme!G10530,Programme!H10530,Programme!I10530)</f>
        <v>&lt;codeEdi&gt;1481&lt;/codeEdi&gt;</v>
      </c>
    </row>
    <row r="10530" spans="1:1" x14ac:dyDescent="0.2">
      <c r="A10530" s="1135" t="str">
        <f>CONCATENATE(Programme!C10531,Programme!D10531,Programme!E10531,Programme!F10531,Programme!G10531,Programme!H10531,Programme!I10531)</f>
        <v>&lt;/cellule&gt;</v>
      </c>
    </row>
    <row r="10531" spans="1:1" x14ac:dyDescent="0.2">
      <c r="A10531" s="1135" t="str">
        <f>CONCATENATE(Programme!C10532,Programme!D10532,Programme!E10532,Programme!F10532,Programme!G10532,Programme!H10532,Programme!I10532)</f>
        <v>&lt;valeur&gt;&lt;/valeur&gt;</v>
      </c>
    </row>
    <row r="10532" spans="1:1" x14ac:dyDescent="0.2">
      <c r="A10532" s="1135" t="str">
        <f>CONCATENATE(Programme!C10533,Programme!D10533,Programme!E10533,Programme!F10533,Programme!G10533,Programme!H10533,Programme!I10533)</f>
        <v>&lt;/ValeurCellule&gt;</v>
      </c>
    </row>
    <row r="10533" spans="1:1" x14ac:dyDescent="0.2">
      <c r="A10533" s="1135" t="str">
        <f>CONCATENATE(Programme!C10534,Programme!D10534,Programme!E10534,Programme!F10534,Programme!G10534,Programme!H10534,Programme!I10534)</f>
        <v>&lt;ValeurCellule&gt;</v>
      </c>
    </row>
    <row r="10534" spans="1:1" x14ac:dyDescent="0.2">
      <c r="A10534" s="1135" t="str">
        <f>CONCATENATE(Programme!C10535,Programme!D10535,Programme!E10535,Programme!F10535,Programme!G10535,Programme!H10535,Programme!I10535)</f>
        <v>&lt;cellule&gt;</v>
      </c>
    </row>
    <row r="10535" spans="1:1" x14ac:dyDescent="0.2">
      <c r="A10535" s="1135" t="str">
        <f>CONCATENATE(Programme!C10536,Programme!D10536,Programme!E10536,Programme!F10536,Programme!G10536,Programme!H10536,Programme!I10536)</f>
        <v>&lt;codeEdi&gt;1555&lt;/codeEdi&gt;</v>
      </c>
    </row>
    <row r="10536" spans="1:1" x14ac:dyDescent="0.2">
      <c r="A10536" s="1135" t="str">
        <f>CONCATENATE(Programme!C10537,Programme!D10537,Programme!E10537,Programme!F10537,Programme!G10537,Programme!H10537,Programme!I10537)</f>
        <v>&lt;/cellule&gt;</v>
      </c>
    </row>
    <row r="10537" spans="1:1" x14ac:dyDescent="0.2">
      <c r="A10537" s="1135" t="str">
        <f>CONCATENATE(Programme!C10538,Programme!D10538,Programme!E10538,Programme!F10538,Programme!G10538,Programme!H10538,Programme!I10538)</f>
        <v>&lt;valeur&gt;0&lt;/valeur&gt;</v>
      </c>
    </row>
    <row r="10538" spans="1:1" x14ac:dyDescent="0.2">
      <c r="A10538" s="1135" t="str">
        <f>CONCATENATE(Programme!C10539,Programme!D10539,Programme!E10539,Programme!F10539,Programme!G10539,Programme!H10539,Programme!I10539)</f>
        <v>&lt;/ValeurCellule&gt;</v>
      </c>
    </row>
    <row r="10539" spans="1:1" x14ac:dyDescent="0.2">
      <c r="A10539" s="1135" t="str">
        <f>CONCATENATE(Programme!C10540,Programme!D10540,Programme!E10540,Programme!F10540,Programme!G10540,Programme!H10540,Programme!I10540)</f>
        <v>&lt;ValeurCellule&gt;</v>
      </c>
    </row>
    <row r="10540" spans="1:1" x14ac:dyDescent="0.2">
      <c r="A10540" s="1135" t="str">
        <f>CONCATENATE(Programme!C10541,Programme!D10541,Programme!E10541,Programme!F10541,Programme!G10541,Programme!H10541,Programme!I10541)</f>
        <v>&lt;cellule&gt;</v>
      </c>
    </row>
    <row r="10541" spans="1:1" x14ac:dyDescent="0.2">
      <c r="A10541" s="1135" t="str">
        <f>CONCATENATE(Programme!C10542,Programme!D10542,Programme!E10542,Programme!F10542,Programme!G10542,Programme!H10542,Programme!I10542)</f>
        <v>&lt;codeEdi&gt;1596&lt;/codeEdi&gt;</v>
      </c>
    </row>
    <row r="10542" spans="1:1" x14ac:dyDescent="0.2">
      <c r="A10542" s="1135" t="str">
        <f>CONCATENATE(Programme!C10543,Programme!D10543,Programme!E10543,Programme!F10543,Programme!G10543,Programme!H10543,Programme!I10543)</f>
        <v>&lt;/cellule&gt;</v>
      </c>
    </row>
    <row r="10543" spans="1:1" x14ac:dyDescent="0.2">
      <c r="A10543" s="1135" t="str">
        <f>CONCATENATE(Programme!C10544,Programme!D10544,Programme!E10544,Programme!F10544,Programme!G10544,Programme!H10544,Programme!I10544)</f>
        <v>&lt;valeur&gt;&lt;/valeur&gt;</v>
      </c>
    </row>
    <row r="10544" spans="1:1" x14ac:dyDescent="0.2">
      <c r="A10544" s="1135" t="str">
        <f>CONCATENATE(Programme!C10545,Programme!D10545,Programme!E10545,Programme!F10545,Programme!G10545,Programme!H10545,Programme!I10545)</f>
        <v>&lt;/ValeurCellule&gt;</v>
      </c>
    </row>
    <row r="10545" spans="1:1" x14ac:dyDescent="0.2">
      <c r="A10545" s="1135" t="str">
        <f>CONCATENATE(Programme!C10546,Programme!D10546,Programme!E10546,Programme!F10546,Programme!G10546,Programme!H10546,Programme!I10546)</f>
        <v>&lt;ValeurCellule&gt;</v>
      </c>
    </row>
    <row r="10546" spans="1:1" x14ac:dyDescent="0.2">
      <c r="A10546" s="1135" t="str">
        <f>CONCATENATE(Programme!C10547,Programme!D10547,Programme!E10547,Programme!F10547,Programme!G10547,Programme!H10547,Programme!I10547)</f>
        <v>&lt;cellule&gt;</v>
      </c>
    </row>
    <row r="10547" spans="1:1" x14ac:dyDescent="0.2">
      <c r="A10547" s="1135" t="str">
        <f>CONCATENATE(Programme!C10548,Programme!D10548,Programme!E10548,Programme!F10548,Programme!G10548,Programme!H10548,Programme!I10548)</f>
        <v>&lt;codeEdi&gt;1604&lt;/codeEdi&gt;</v>
      </c>
    </row>
    <row r="10548" spans="1:1" x14ac:dyDescent="0.2">
      <c r="A10548" s="1135" t="str">
        <f>CONCATENATE(Programme!C10549,Programme!D10549,Programme!E10549,Programme!F10549,Programme!G10549,Programme!H10549,Programme!I10549)</f>
        <v>&lt;/cellule&gt;</v>
      </c>
    </row>
    <row r="10549" spans="1:1" x14ac:dyDescent="0.2">
      <c r="A10549" s="1135" t="str">
        <f>CONCATENATE(Programme!C10550,Programme!D10550,Programme!E10550,Programme!F10550,Programme!G10550,Programme!H10550,Programme!I10550)</f>
        <v>&lt;valeur&gt;0&lt;/valeur&gt;</v>
      </c>
    </row>
    <row r="10550" spans="1:1" x14ac:dyDescent="0.2">
      <c r="A10550" s="1135" t="str">
        <f>CONCATENATE(Programme!C10551,Programme!D10551,Programme!E10551,Programme!F10551,Programme!G10551,Programme!H10551,Programme!I10551)</f>
        <v>&lt;/ValeurCellule&gt;</v>
      </c>
    </row>
    <row r="10551" spans="1:1" x14ac:dyDescent="0.2">
      <c r="A10551" s="1135" t="str">
        <f>CONCATENATE(Programme!C10552,Programme!D10552,Programme!E10552,Programme!F10552,Programme!G10552,Programme!H10552,Programme!I10552)</f>
        <v>&lt;ValeurCellule&gt;</v>
      </c>
    </row>
    <row r="10552" spans="1:1" x14ac:dyDescent="0.2">
      <c r="A10552" s="1135" t="str">
        <f>CONCATENATE(Programme!C10553,Programme!D10553,Programme!E10553,Programme!F10553,Programme!G10553,Programme!H10553,Programme!I10553)</f>
        <v>&lt;cellule&gt;</v>
      </c>
    </row>
    <row r="10553" spans="1:1" x14ac:dyDescent="0.2">
      <c r="A10553" s="1135" t="str">
        <f>CONCATENATE(Programme!C10554,Programme!D10554,Programme!E10554,Programme!F10554,Programme!G10554,Programme!H10554,Programme!I10554)</f>
        <v>&lt;codeEdi&gt;1635&lt;/codeEdi&gt;</v>
      </c>
    </row>
    <row r="10554" spans="1:1" x14ac:dyDescent="0.2">
      <c r="A10554" s="1135" t="str">
        <f>CONCATENATE(Programme!C10555,Programme!D10555,Programme!E10555,Programme!F10555,Programme!G10555,Programme!H10555,Programme!I10555)</f>
        <v>&lt;/cellule&gt;</v>
      </c>
    </row>
    <row r="10555" spans="1:1" x14ac:dyDescent="0.2">
      <c r="A10555" s="1135" t="str">
        <f>CONCATENATE(Programme!C10556,Programme!D10556,Programme!E10556,Programme!F10556,Programme!G10556,Programme!H10556,Programme!I10556)</f>
        <v>&lt;valeur&gt;&lt;/valeur&gt;</v>
      </c>
    </row>
    <row r="10556" spans="1:1" x14ac:dyDescent="0.2">
      <c r="A10556" s="1135" t="str">
        <f>CONCATENATE(Programme!C10557,Programme!D10557,Programme!E10557,Programme!F10557,Programme!G10557,Programme!H10557,Programme!I10557)</f>
        <v>&lt;/ValeurCellule&gt;</v>
      </c>
    </row>
    <row r="10557" spans="1:1" x14ac:dyDescent="0.2">
      <c r="A10557" s="1135" t="str">
        <f>CONCATENATE(Programme!C10558,Programme!D10558,Programme!E10558,Programme!F10558,Programme!G10558,Programme!H10558,Programme!I10558)</f>
        <v>&lt;ValeurCellule&gt;</v>
      </c>
    </row>
    <row r="10558" spans="1:1" x14ac:dyDescent="0.2">
      <c r="A10558" s="1135" t="str">
        <f>CONCATENATE(Programme!C10559,Programme!D10559,Programme!E10559,Programme!F10559,Programme!G10559,Programme!H10559,Programme!I10559)</f>
        <v>&lt;cellule&gt;</v>
      </c>
    </row>
    <row r="10559" spans="1:1" x14ac:dyDescent="0.2">
      <c r="A10559" s="1135" t="str">
        <f>CONCATENATE(Programme!C10560,Programme!D10560,Programme!E10560,Programme!F10560,Programme!G10560,Programme!H10560,Programme!I10560)</f>
        <v>&lt;codeEdi&gt;1643&lt;/codeEdi&gt;</v>
      </c>
    </row>
    <row r="10560" spans="1:1" x14ac:dyDescent="0.2">
      <c r="A10560" s="1135" t="str">
        <f>CONCATENATE(Programme!C10561,Programme!D10561,Programme!E10561,Programme!F10561,Programme!G10561,Programme!H10561,Programme!I10561)</f>
        <v>&lt;/cellule&gt;</v>
      </c>
    </row>
    <row r="10561" spans="1:1" x14ac:dyDescent="0.2">
      <c r="A10561" s="1135" t="str">
        <f>CONCATENATE(Programme!C10562,Programme!D10562,Programme!E10562,Programme!F10562,Programme!G10562,Programme!H10562,Programme!I10562)</f>
        <v>&lt;valeur&gt;0&lt;/valeur&gt;</v>
      </c>
    </row>
    <row r="10562" spans="1:1" x14ac:dyDescent="0.2">
      <c r="A10562" s="1135" t="str">
        <f>CONCATENATE(Programme!C10563,Programme!D10563,Programme!E10563,Programme!F10563,Programme!G10563,Programme!H10563,Programme!I10563)</f>
        <v>&lt;/ValeurCellule&gt;</v>
      </c>
    </row>
    <row r="10563" spans="1:1" x14ac:dyDescent="0.2">
      <c r="A10563" s="1135" t="str">
        <f>CONCATENATE(Programme!C10564,Programme!D10564,Programme!E10564,Programme!F10564,Programme!G10564,Programme!H10564,Programme!I10564)</f>
        <v>&lt;ValeurCellule&gt;</v>
      </c>
    </row>
    <row r="10564" spans="1:1" x14ac:dyDescent="0.2">
      <c r="A10564" s="1135" t="str">
        <f>CONCATENATE(Programme!C10565,Programme!D10565,Programme!E10565,Programme!F10565,Programme!G10565,Programme!H10565,Programme!I10565)</f>
        <v>&lt;cellule&gt;</v>
      </c>
    </row>
    <row r="10565" spans="1:1" x14ac:dyDescent="0.2">
      <c r="A10565" s="1135" t="str">
        <f>CONCATENATE(Programme!C10566,Programme!D10566,Programme!E10566,Programme!F10566,Programme!G10566,Programme!H10566,Programme!I10566)</f>
        <v>&lt;codeEdi&gt;1656&lt;/codeEdi&gt;</v>
      </c>
    </row>
    <row r="10566" spans="1:1" x14ac:dyDescent="0.2">
      <c r="A10566" s="1135" t="str">
        <f>CONCATENATE(Programme!C10567,Programme!D10567,Programme!E10567,Programme!F10567,Programme!G10567,Programme!H10567,Programme!I10567)</f>
        <v>&lt;/cellule&gt;</v>
      </c>
    </row>
    <row r="10567" spans="1:1" x14ac:dyDescent="0.2">
      <c r="A10567" s="1135" t="str">
        <f>CONCATENATE(Programme!C10568,Programme!D10568,Programme!E10568,Programme!F10568,Programme!G10568,Programme!H10568,Programme!I10568)</f>
        <v>&lt;valeur&gt;0&lt;/valeur&gt;</v>
      </c>
    </row>
    <row r="10568" spans="1:1" x14ac:dyDescent="0.2">
      <c r="A10568" s="1135" t="str">
        <f>CONCATENATE(Programme!C10569,Programme!D10569,Programme!E10569,Programme!F10569,Programme!G10569,Programme!H10569,Programme!I10569)</f>
        <v>&lt;/ValeurCellule&gt;</v>
      </c>
    </row>
    <row r="10569" spans="1:1" x14ac:dyDescent="0.2">
      <c r="A10569" s="1135" t="str">
        <f>CONCATENATE(Programme!C10570,Programme!D10570,Programme!E10570,Programme!F10570,Programme!G10570,Programme!H10570,Programme!I10570)</f>
        <v>&lt;ValeurCellule&gt;</v>
      </c>
    </row>
    <row r="10570" spans="1:1" x14ac:dyDescent="0.2">
      <c r="A10570" s="1135" t="str">
        <f>CONCATENATE(Programme!C10571,Programme!D10571,Programme!E10571,Programme!F10571,Programme!G10571,Programme!H10571,Programme!I10571)</f>
        <v>&lt;cellule&gt;</v>
      </c>
    </row>
    <row r="10571" spans="1:1" x14ac:dyDescent="0.2">
      <c r="A10571" s="1135" t="str">
        <f>CONCATENATE(Programme!C10572,Programme!D10572,Programme!E10572,Programme!F10572,Programme!G10572,Programme!H10572,Programme!I10572)</f>
        <v>&lt;codeEdi&gt;1664&lt;/codeEdi&gt;</v>
      </c>
    </row>
    <row r="10572" spans="1:1" x14ac:dyDescent="0.2">
      <c r="A10572" s="1135" t="str">
        <f>CONCATENATE(Programme!C10573,Programme!D10573,Programme!E10573,Programme!F10573,Programme!G10573,Programme!H10573,Programme!I10573)</f>
        <v>&lt;/cellule&gt;</v>
      </c>
    </row>
    <row r="10573" spans="1:1" x14ac:dyDescent="0.2">
      <c r="A10573" s="1135" t="str">
        <f>CONCATENATE(Programme!C10574,Programme!D10574,Programme!E10574,Programme!F10574,Programme!G10574,Programme!H10574,Programme!I10574)</f>
        <v>&lt;valeur&gt;0&lt;/valeur&gt;</v>
      </c>
    </row>
    <row r="10574" spans="1:1" x14ac:dyDescent="0.2">
      <c r="A10574" s="1135" t="str">
        <f>CONCATENATE(Programme!C10575,Programme!D10575,Programme!E10575,Programme!F10575,Programme!G10575,Programme!H10575,Programme!I10575)</f>
        <v>&lt;/ValeurCellule&gt;</v>
      </c>
    </row>
    <row r="10575" spans="1:1" x14ac:dyDescent="0.2">
      <c r="A10575" s="1135" t="str">
        <f>CONCATENATE(Programme!C10576,Programme!D10576,Programme!E10576,Programme!F10576,Programme!G10576,Programme!H10576,Programme!I10576)</f>
        <v>&lt;ValeurCellule&gt;</v>
      </c>
    </row>
    <row r="10576" spans="1:1" x14ac:dyDescent="0.2">
      <c r="A10576" s="1135" t="str">
        <f>CONCATENATE(Programme!C10577,Programme!D10577,Programme!E10577,Programme!F10577,Programme!G10577,Programme!H10577,Programme!I10577)</f>
        <v>&lt;cellule&gt;</v>
      </c>
    </row>
    <row r="10577" spans="1:1" x14ac:dyDescent="0.2">
      <c r="A10577" s="1135" t="str">
        <f>CONCATENATE(Programme!C10578,Programme!D10578,Programme!E10578,Programme!F10578,Programme!G10578,Programme!H10578,Programme!I10578)</f>
        <v>&lt;codeEdi&gt;1612&lt;/codeEdi&gt;</v>
      </c>
    </row>
    <row r="10578" spans="1:1" x14ac:dyDescent="0.2">
      <c r="A10578" s="1135" t="str">
        <f>CONCATENATE(Programme!C10579,Programme!D10579,Programme!E10579,Programme!F10579,Programme!G10579,Programme!H10579,Programme!I10579)</f>
        <v>&lt;/cellule&gt;</v>
      </c>
    </row>
    <row r="10579" spans="1:1" x14ac:dyDescent="0.2">
      <c r="A10579" s="1135" t="str">
        <f>CONCATENATE(Programme!C10580,Programme!D10580,Programme!E10580,Programme!F10580,Programme!G10580,Programme!H10580,Programme!I10580)</f>
        <v>&lt;valeur&gt;0&lt;/valeur&gt;</v>
      </c>
    </row>
    <row r="10580" spans="1:1" x14ac:dyDescent="0.2">
      <c r="A10580" s="1135" t="str">
        <f>CONCATENATE(Programme!C10581,Programme!D10581,Programme!E10581,Programme!F10581,Programme!G10581,Programme!H10581,Programme!I10581)</f>
        <v>&lt;/ValeurCellule&gt;</v>
      </c>
    </row>
    <row r="10581" spans="1:1" x14ac:dyDescent="0.2">
      <c r="A10581" s="1135" t="str">
        <f>CONCATENATE(Programme!C10582,Programme!D10582,Programme!E10582,Programme!F10582,Programme!G10582,Programme!H10582,Programme!I10582)</f>
        <v>&lt;ValeurCellule&gt;</v>
      </c>
    </row>
    <row r="10582" spans="1:1" x14ac:dyDescent="0.2">
      <c r="A10582" s="1135" t="str">
        <f>CONCATENATE(Programme!C10583,Programme!D10583,Programme!E10583,Programme!F10583,Programme!G10583,Programme!H10583,Programme!I10583)</f>
        <v>&lt;cellule&gt;</v>
      </c>
    </row>
    <row r="10583" spans="1:1" x14ac:dyDescent="0.2">
      <c r="A10583" s="1135" t="str">
        <f>CONCATENATE(Programme!C10584,Programme!D10584,Programme!E10584,Programme!F10584,Programme!G10584,Programme!H10584,Programme!I10584)</f>
        <v>&lt;codeEdi&gt;1685&lt;/codeEdi&gt;</v>
      </c>
    </row>
    <row r="10584" spans="1:1" x14ac:dyDescent="0.2">
      <c r="A10584" s="1135" t="str">
        <f>CONCATENATE(Programme!C10585,Programme!D10585,Programme!E10585,Programme!F10585,Programme!G10585,Programme!H10585,Programme!I10585)</f>
        <v>&lt;/cellule&gt;</v>
      </c>
    </row>
    <row r="10585" spans="1:1" x14ac:dyDescent="0.2">
      <c r="A10585" s="1135" t="str">
        <f>CONCATENATE(Programme!C10586,Programme!D10586,Programme!E10586,Programme!F10586,Programme!G10586,Programme!H10586,Programme!I10586)</f>
        <v>&lt;valeur&gt;0&lt;/valeur&gt;</v>
      </c>
    </row>
    <row r="10586" spans="1:1" x14ac:dyDescent="0.2">
      <c r="A10586" s="1135" t="str">
        <f>CONCATENATE(Programme!C10587,Programme!D10587,Programme!E10587,Programme!F10587,Programme!G10587,Programme!H10587,Programme!I10587)</f>
        <v>&lt;/ValeurCellule&gt;</v>
      </c>
    </row>
    <row r="10587" spans="1:1" x14ac:dyDescent="0.2">
      <c r="A10587" s="1135" t="str">
        <f>CONCATENATE(Programme!C10588,Programme!D10588,Programme!E10588,Programme!F10588,Programme!G10588,Programme!H10588,Programme!I10588)</f>
        <v>&lt;ValeurCellule&gt;</v>
      </c>
    </row>
    <row r="10588" spans="1:1" x14ac:dyDescent="0.2">
      <c r="A10588" s="1135" t="str">
        <f>CONCATENATE(Programme!C10589,Programme!D10589,Programme!E10589,Programme!F10589,Programme!G10589,Programme!H10589,Programme!I10589)</f>
        <v>&lt;cellule&gt;</v>
      </c>
    </row>
    <row r="10589" spans="1:1" x14ac:dyDescent="0.2">
      <c r="A10589" s="1135" t="str">
        <f>CONCATENATE(Programme!C10590,Programme!D10590,Programme!E10590,Programme!F10590,Programme!G10590,Programme!H10590,Programme!I10590)</f>
        <v>&lt;codeEdi&gt;1672&lt;/codeEdi&gt;</v>
      </c>
    </row>
    <row r="10590" spans="1:1" x14ac:dyDescent="0.2">
      <c r="A10590" s="1135" t="str">
        <f>CONCATENATE(Programme!C10591,Programme!D10591,Programme!E10591,Programme!F10591,Programme!G10591,Programme!H10591,Programme!I10591)</f>
        <v>&lt;/cellule&gt;</v>
      </c>
    </row>
    <row r="10591" spans="1:1" x14ac:dyDescent="0.2">
      <c r="A10591" s="1135" t="str">
        <f>CONCATENATE(Programme!C10592,Programme!D10592,Programme!E10592,Programme!F10592,Programme!G10592,Programme!H10592,Programme!I10592)</f>
        <v>&lt;valeur&gt;0&lt;/valeur&gt;</v>
      </c>
    </row>
    <row r="10592" spans="1:1" x14ac:dyDescent="0.2">
      <c r="A10592" s="1135" t="str">
        <f>CONCATENATE(Programme!C10593,Programme!D10593,Programme!E10593,Programme!F10593,Programme!G10593,Programme!H10593,Programme!I10593)</f>
        <v>&lt;/ValeurCellule&gt;</v>
      </c>
    </row>
    <row r="10593" spans="1:1" x14ac:dyDescent="0.2">
      <c r="A10593" s="1135" t="str">
        <f>CONCATENATE(Programme!C10594,Programme!D10594,Programme!E10594,Programme!F10594,Programme!G10594,Programme!H10594,Programme!I10594)</f>
        <v>&lt;ValeurCellule&gt;</v>
      </c>
    </row>
    <row r="10594" spans="1:1" x14ac:dyDescent="0.2">
      <c r="A10594" s="1135" t="str">
        <f>CONCATENATE(Programme!C10595,Programme!D10595,Programme!E10595,Programme!F10595,Programme!G10595,Programme!H10595,Programme!I10595)</f>
        <v>&lt;cellule&gt;</v>
      </c>
    </row>
    <row r="10595" spans="1:1" x14ac:dyDescent="0.2">
      <c r="A10595" s="1135" t="str">
        <f>CONCATENATE(Programme!C10596,Programme!D10596,Programme!E10596,Programme!F10596,Programme!G10596,Programme!H10596,Programme!I10596)</f>
        <v>&lt;codeEdi&gt;1736&lt;/codeEdi&gt;</v>
      </c>
    </row>
    <row r="10596" spans="1:1" x14ac:dyDescent="0.2">
      <c r="A10596" s="1135" t="str">
        <f>CONCATENATE(Programme!C10597,Programme!D10597,Programme!E10597,Programme!F10597,Programme!G10597,Programme!H10597,Programme!I10597)</f>
        <v>&lt;/cellule&gt;</v>
      </c>
    </row>
    <row r="10597" spans="1:1" x14ac:dyDescent="0.2">
      <c r="A10597" s="1135" t="str">
        <f>CONCATENATE(Programme!C10598,Programme!D10598,Programme!E10598,Programme!F10598,Programme!G10598,Programme!H10598,Programme!I10598)</f>
        <v>&lt;valeur&gt;&lt;/valeur&gt;</v>
      </c>
    </row>
    <row r="10598" spans="1:1" x14ac:dyDescent="0.2">
      <c r="A10598" s="1135" t="str">
        <f>CONCATENATE(Programme!C10599,Programme!D10599,Programme!E10599,Programme!F10599,Programme!G10599,Programme!H10599,Programme!I10599)</f>
        <v>&lt;/ValeurCellule&gt;</v>
      </c>
    </row>
    <row r="10599" spans="1:1" x14ac:dyDescent="0.2">
      <c r="A10599" s="1135" t="str">
        <f>CONCATENATE(Programme!C10600,Programme!D10600,Programme!E10600,Programme!F10600,Programme!G10600,Programme!H10600,Programme!I10600)</f>
        <v>&lt;ValeurCellule&gt;</v>
      </c>
    </row>
    <row r="10600" spans="1:1" x14ac:dyDescent="0.2">
      <c r="A10600" s="1135" t="str">
        <f>CONCATENATE(Programme!C10601,Programme!D10601,Programme!E10601,Programme!F10601,Programme!G10601,Programme!H10601,Programme!I10601)</f>
        <v>&lt;cellule&gt;</v>
      </c>
    </row>
    <row r="10601" spans="1:1" x14ac:dyDescent="0.2">
      <c r="A10601" s="1135" t="str">
        <f>CONCATENATE(Programme!C10602,Programme!D10602,Programme!E10602,Programme!F10602,Programme!G10602,Programme!H10602,Programme!I10602)</f>
        <v>&lt;codeEdi&gt;1757&lt;/codeEdi&gt;</v>
      </c>
    </row>
    <row r="10602" spans="1:1" x14ac:dyDescent="0.2">
      <c r="A10602" s="1135" t="str">
        <f>CONCATENATE(Programme!C10603,Programme!D10603,Programme!E10603,Programme!F10603,Programme!G10603,Programme!H10603,Programme!I10603)</f>
        <v>&lt;/cellule&gt;</v>
      </c>
    </row>
    <row r="10603" spans="1:1" x14ac:dyDescent="0.2">
      <c r="A10603" s="1135" t="str">
        <f>CONCATENATE(Programme!C10604,Programme!D10604,Programme!E10604,Programme!F10604,Programme!G10604,Programme!H10604,Programme!I10604)</f>
        <v>&lt;valeur&gt;0&lt;/valeur&gt;</v>
      </c>
    </row>
    <row r="10604" spans="1:1" x14ac:dyDescent="0.2">
      <c r="A10604" s="1135" t="str">
        <f>CONCATENATE(Programme!C10605,Programme!D10605,Programme!E10605,Programme!F10605,Programme!G10605,Programme!H10605,Programme!I10605)</f>
        <v>&lt;/ValeurCellule&gt;</v>
      </c>
    </row>
    <row r="10605" spans="1:1" x14ac:dyDescent="0.2">
      <c r="A10605" s="1135" t="str">
        <f>CONCATENATE(Programme!C10606,Programme!D10606,Programme!E10606,Programme!F10606,Programme!G10606,Programme!H10606,Programme!I10606)</f>
        <v>&lt;ValeurCellule&gt;</v>
      </c>
    </row>
    <row r="10606" spans="1:1" x14ac:dyDescent="0.2">
      <c r="A10606" s="1135" t="str">
        <f>CONCATENATE(Programme!C10607,Programme!D10607,Programme!E10607,Programme!F10607,Programme!G10607,Programme!H10607,Programme!I10607)</f>
        <v>&lt;cellule&gt;</v>
      </c>
    </row>
    <row r="10607" spans="1:1" x14ac:dyDescent="0.2">
      <c r="A10607" s="1135" t="str">
        <f>CONCATENATE(Programme!C10608,Programme!D10608,Programme!E10608,Programme!F10608,Programme!G10608,Programme!H10608,Programme!I10608)</f>
        <v>&lt;codeEdi&gt;1769&lt;/codeEdi&gt;</v>
      </c>
    </row>
    <row r="10608" spans="1:1" x14ac:dyDescent="0.2">
      <c r="A10608" s="1135" t="str">
        <f>CONCATENATE(Programme!C10609,Programme!D10609,Programme!E10609,Programme!F10609,Programme!G10609,Programme!H10609,Programme!I10609)</f>
        <v>&lt;/cellule&gt;</v>
      </c>
    </row>
    <row r="10609" spans="1:1" x14ac:dyDescent="0.2">
      <c r="A10609" s="1135" t="str">
        <f>CONCATENATE(Programme!C10610,Programme!D10610,Programme!E10610,Programme!F10610,Programme!G10610,Programme!H10610,Programme!I10610)</f>
        <v>&lt;valeur&gt;&lt;/valeur&gt;</v>
      </c>
    </row>
    <row r="10610" spans="1:1" x14ac:dyDescent="0.2">
      <c r="A10610" s="1135" t="str">
        <f>CONCATENATE(Programme!C10611,Programme!D10611,Programme!E10611,Programme!F10611,Programme!G10611,Programme!H10611,Programme!I10611)</f>
        <v>&lt;/ValeurCellule&gt;</v>
      </c>
    </row>
    <row r="10611" spans="1:1" x14ac:dyDescent="0.2">
      <c r="A10611" s="1135" t="str">
        <f>CONCATENATE(Programme!C10612,Programme!D10612,Programme!E10612,Programme!F10612,Programme!G10612,Programme!H10612,Programme!I10612)</f>
        <v>&lt;ValeurCellule&gt;</v>
      </c>
    </row>
    <row r="10612" spans="1:1" x14ac:dyDescent="0.2">
      <c r="A10612" s="1135" t="str">
        <f>CONCATENATE(Programme!C10613,Programme!D10613,Programme!E10613,Programme!F10613,Programme!G10613,Programme!H10613,Programme!I10613)</f>
        <v>&lt;cellule&gt;</v>
      </c>
    </row>
    <row r="10613" spans="1:1" x14ac:dyDescent="0.2">
      <c r="A10613" s="1135" t="str">
        <f>CONCATENATE(Programme!C10614,Programme!D10614,Programme!E10614,Programme!F10614,Programme!G10614,Programme!H10614,Programme!I10614)</f>
        <v>&lt;codeEdi&gt;1800&lt;/codeEdi&gt;</v>
      </c>
    </row>
    <row r="10614" spans="1:1" x14ac:dyDescent="0.2">
      <c r="A10614" s="1135" t="str">
        <f>CONCATENATE(Programme!C10615,Programme!D10615,Programme!E10615,Programme!F10615,Programme!G10615,Programme!H10615,Programme!I10615)</f>
        <v>&lt;/cellule&gt;</v>
      </c>
    </row>
    <row r="10615" spans="1:1" x14ac:dyDescent="0.2">
      <c r="A10615" s="1135" t="str">
        <f>CONCATENATE(Programme!C10616,Programme!D10616,Programme!E10616,Programme!F10616,Programme!G10616,Programme!H10616,Programme!I10616)</f>
        <v>&lt;valeur&gt;0&lt;/valeur&gt;</v>
      </c>
    </row>
    <row r="10616" spans="1:1" x14ac:dyDescent="0.2">
      <c r="A10616" s="1135" t="str">
        <f>CONCATENATE(Programme!C10617,Programme!D10617,Programme!E10617,Programme!F10617,Programme!G10617,Programme!H10617,Programme!I10617)</f>
        <v>&lt;/ValeurCellule&gt;</v>
      </c>
    </row>
    <row r="10617" spans="1:1" x14ac:dyDescent="0.2">
      <c r="A10617" s="1135" t="str">
        <f>CONCATENATE(Programme!C10618,Programme!D10618,Programme!E10618,Programme!F10618,Programme!G10618,Programme!H10618,Programme!I10618)</f>
        <v>&lt;ValeurCellule&gt;</v>
      </c>
    </row>
    <row r="10618" spans="1:1" x14ac:dyDescent="0.2">
      <c r="A10618" s="1135" t="str">
        <f>CONCATENATE(Programme!C10619,Programme!D10619,Programme!E10619,Programme!F10619,Programme!G10619,Programme!H10619,Programme!I10619)</f>
        <v>&lt;cellule&gt;</v>
      </c>
    </row>
    <row r="10619" spans="1:1" x14ac:dyDescent="0.2">
      <c r="A10619" s="1135" t="str">
        <f>CONCATENATE(Programme!C10620,Programme!D10620,Programme!E10620,Programme!F10620,Programme!G10620,Programme!H10620,Programme!I10620)</f>
        <v>&lt;codeEdi&gt;1819&lt;/codeEdi&gt;</v>
      </c>
    </row>
    <row r="10620" spans="1:1" x14ac:dyDescent="0.2">
      <c r="A10620" s="1135" t="str">
        <f>CONCATENATE(Programme!C10621,Programme!D10621,Programme!E10621,Programme!F10621,Programme!G10621,Programme!H10621,Programme!I10621)</f>
        <v>&lt;/cellule&gt;</v>
      </c>
    </row>
    <row r="10621" spans="1:1" x14ac:dyDescent="0.2">
      <c r="A10621" s="1135" t="str">
        <f>CONCATENATE(Programme!C10622,Programme!D10622,Programme!E10622,Programme!F10622,Programme!G10622,Programme!H10622,Programme!I10622)</f>
        <v>&lt;valeur&gt;&lt;/valeur&gt;</v>
      </c>
    </row>
    <row r="10622" spans="1:1" x14ac:dyDescent="0.2">
      <c r="A10622" s="1135" t="str">
        <f>CONCATENATE(Programme!C10623,Programme!D10623,Programme!E10623,Programme!F10623,Programme!G10623,Programme!H10623,Programme!I10623)</f>
        <v>&lt;/ValeurCellule&gt;</v>
      </c>
    </row>
    <row r="10623" spans="1:1" x14ac:dyDescent="0.2">
      <c r="A10623" s="1135" t="str">
        <f>CONCATENATE(Programme!C10624,Programme!D10624,Programme!E10624,Programme!F10624,Programme!G10624,Programme!H10624,Programme!I10624)</f>
        <v>&lt;ValeurCellule&gt;</v>
      </c>
    </row>
    <row r="10624" spans="1:1" x14ac:dyDescent="0.2">
      <c r="A10624" s="1135" t="str">
        <f>CONCATENATE(Programme!C10625,Programme!D10625,Programme!E10625,Programme!F10625,Programme!G10625,Programme!H10625,Programme!I10625)</f>
        <v>&lt;cellule&gt;</v>
      </c>
    </row>
    <row r="10625" spans="1:1" x14ac:dyDescent="0.2">
      <c r="A10625" s="1135" t="str">
        <f>CONCATENATE(Programme!C10626,Programme!D10626,Programme!E10626,Programme!F10626,Programme!G10626,Programme!H10626,Programme!I10626)</f>
        <v>&lt;codeEdi&gt;1836&lt;/codeEdi&gt;</v>
      </c>
    </row>
    <row r="10626" spans="1:1" x14ac:dyDescent="0.2">
      <c r="A10626" s="1135" t="str">
        <f>CONCATENATE(Programme!C10627,Programme!D10627,Programme!E10627,Programme!F10627,Programme!G10627,Programme!H10627,Programme!I10627)</f>
        <v>&lt;/cellule&gt;</v>
      </c>
    </row>
    <row r="10627" spans="1:1" x14ac:dyDescent="0.2">
      <c r="A10627" s="1135" t="str">
        <f>CONCATENATE(Programme!C10628,Programme!D10628,Programme!E10628,Programme!F10628,Programme!G10628,Programme!H10628,Programme!I10628)</f>
        <v>&lt;valeur&gt;0&lt;/valeur&gt;</v>
      </c>
    </row>
    <row r="10628" spans="1:1" x14ac:dyDescent="0.2">
      <c r="A10628" s="1135" t="str">
        <f>CONCATENATE(Programme!C10629,Programme!D10629,Programme!E10629,Programme!F10629,Programme!G10629,Programme!H10629,Programme!I10629)</f>
        <v>&lt;/ValeurCellule&gt;</v>
      </c>
    </row>
    <row r="10629" spans="1:1" x14ac:dyDescent="0.2">
      <c r="A10629" s="1135" t="str">
        <f>CONCATENATE(Programme!C10630,Programme!D10630,Programme!E10630,Programme!F10630,Programme!G10630,Programme!H10630,Programme!I10630)</f>
        <v>&lt;ValeurCellule&gt;</v>
      </c>
    </row>
    <row r="10630" spans="1:1" x14ac:dyDescent="0.2">
      <c r="A10630" s="1135" t="str">
        <f>CONCATENATE(Programme!C10631,Programme!D10631,Programme!E10631,Programme!F10631,Programme!G10631,Programme!H10631,Programme!I10631)</f>
        <v>&lt;cellule&gt;</v>
      </c>
    </row>
    <row r="10631" spans="1:1" x14ac:dyDescent="0.2">
      <c r="A10631" s="1135" t="str">
        <f>CONCATENATE(Programme!C10632,Programme!D10632,Programme!E10632,Programme!F10632,Programme!G10632,Programme!H10632,Programme!I10632)</f>
        <v>&lt;codeEdi&gt;1861&lt;/codeEdi&gt;</v>
      </c>
    </row>
    <row r="10632" spans="1:1" x14ac:dyDescent="0.2">
      <c r="A10632" s="1135" t="str">
        <f>CONCATENATE(Programme!C10633,Programme!D10633,Programme!E10633,Programme!F10633,Programme!G10633,Programme!H10633,Programme!I10633)</f>
        <v>&lt;/cellule&gt;</v>
      </c>
    </row>
    <row r="10633" spans="1:1" x14ac:dyDescent="0.2">
      <c r="A10633" s="1135" t="str">
        <f>CONCATENATE(Programme!C10634,Programme!D10634,Programme!E10634,Programme!F10634,Programme!G10634,Programme!H10634,Programme!I10634)</f>
        <v>&lt;valeur&gt;0&lt;/valeur&gt;</v>
      </c>
    </row>
    <row r="10634" spans="1:1" x14ac:dyDescent="0.2">
      <c r="A10634" s="1135" t="str">
        <f>CONCATENATE(Programme!C10635,Programme!D10635,Programme!E10635,Programme!F10635,Programme!G10635,Programme!H10635,Programme!I10635)</f>
        <v>&lt;/ValeurCellule&gt;</v>
      </c>
    </row>
    <row r="10635" spans="1:1" x14ac:dyDescent="0.2">
      <c r="A10635" s="1135" t="str">
        <f>CONCATENATE(Programme!C10636,Programme!D10636,Programme!E10636,Programme!F10636,Programme!G10636,Programme!H10636,Programme!I10636)</f>
        <v>&lt;ValeurCellule&gt;</v>
      </c>
    </row>
    <row r="10636" spans="1:1" x14ac:dyDescent="0.2">
      <c r="A10636" s="1135" t="str">
        <f>CONCATENATE(Programme!C10637,Programme!D10637,Programme!E10637,Programme!F10637,Programme!G10637,Programme!H10637,Programme!I10637)</f>
        <v>&lt;cellule&gt;</v>
      </c>
    </row>
    <row r="10637" spans="1:1" x14ac:dyDescent="0.2">
      <c r="A10637" s="1135" t="str">
        <f>CONCATENATE(Programme!C10638,Programme!D10638,Programme!E10638,Programme!F10638,Programme!G10638,Programme!H10638,Programme!I10638)</f>
        <v>&lt;codeEdi&gt;1869&lt;/codeEdi&gt;</v>
      </c>
    </row>
    <row r="10638" spans="1:1" x14ac:dyDescent="0.2">
      <c r="A10638" s="1135" t="str">
        <f>CONCATENATE(Programme!C10639,Programme!D10639,Programme!E10639,Programme!F10639,Programme!G10639,Programme!H10639,Programme!I10639)</f>
        <v>&lt;/cellule&gt;</v>
      </c>
    </row>
    <row r="10639" spans="1:1" x14ac:dyDescent="0.2">
      <c r="A10639" s="1135" t="str">
        <f>CONCATENATE(Programme!C10640,Programme!D10640,Programme!E10640,Programme!F10640,Programme!G10640,Programme!H10640,Programme!I10640)</f>
        <v>&lt;valeur&gt;0&lt;/valeur&gt;</v>
      </c>
    </row>
    <row r="10640" spans="1:1" x14ac:dyDescent="0.2">
      <c r="A10640" s="1135" t="str">
        <f>CONCATENATE(Programme!C10641,Programme!D10641,Programme!E10641,Programme!F10641,Programme!G10641,Programme!H10641,Programme!I10641)</f>
        <v>&lt;/ValeurCellule&gt;</v>
      </c>
    </row>
    <row r="10641" spans="1:1" x14ac:dyDescent="0.2">
      <c r="A10641" s="1135" t="str">
        <f>CONCATENATE(Programme!C10642,Programme!D10642,Programme!E10642,Programme!F10642,Programme!G10642,Programme!H10642,Programme!I10642)</f>
        <v>&lt;ValeurCellule&gt;</v>
      </c>
    </row>
    <row r="10642" spans="1:1" x14ac:dyDescent="0.2">
      <c r="A10642" s="1135" t="str">
        <f>CONCATENATE(Programme!C10643,Programme!D10643,Programme!E10643,Programme!F10643,Programme!G10643,Programme!H10643,Programme!I10643)</f>
        <v>&lt;cellule&gt;</v>
      </c>
    </row>
    <row r="10643" spans="1:1" x14ac:dyDescent="0.2">
      <c r="A10643" s="1135" t="str">
        <f>CONCATENATE(Programme!C10644,Programme!D10644,Programme!E10644,Programme!F10644,Programme!G10644,Programme!H10644,Programme!I10644)</f>
        <v>&lt;codeEdi&gt;1886&lt;/codeEdi&gt;</v>
      </c>
    </row>
    <row r="10644" spans="1:1" x14ac:dyDescent="0.2">
      <c r="A10644" s="1135" t="str">
        <f>CONCATENATE(Programme!C10645,Programme!D10645,Programme!E10645,Programme!F10645,Programme!G10645,Programme!H10645,Programme!I10645)</f>
        <v>&lt;/cellule&gt;</v>
      </c>
    </row>
    <row r="10645" spans="1:1" x14ac:dyDescent="0.2">
      <c r="A10645" s="1135" t="str">
        <f>CONCATENATE(Programme!C10646,Programme!D10646,Programme!E10646,Programme!F10646,Programme!G10646,Programme!H10646,Programme!I10646)</f>
        <v>&lt;valeur&gt;0&lt;/valeur&gt;</v>
      </c>
    </row>
    <row r="10646" spans="1:1" x14ac:dyDescent="0.2">
      <c r="A10646" s="1135" t="str">
        <f>CONCATENATE(Programme!C10647,Programme!D10647,Programme!E10647,Programme!F10647,Programme!G10647,Programme!H10647,Programme!I10647)</f>
        <v>&lt;/ValeurCellule&gt;</v>
      </c>
    </row>
    <row r="10647" spans="1:1" x14ac:dyDescent="0.2">
      <c r="A10647" s="1135" t="str">
        <f>CONCATENATE(Programme!C10648,Programme!D10648,Programme!E10648,Programme!F10648,Programme!G10648,Programme!H10648,Programme!I10648)</f>
        <v>&lt;ValeurCellule&gt;</v>
      </c>
    </row>
    <row r="10648" spans="1:1" x14ac:dyDescent="0.2">
      <c r="A10648" s="1135" t="str">
        <f>CONCATENATE(Programme!C10649,Programme!D10649,Programme!E10649,Programme!F10649,Programme!G10649,Programme!H10649,Programme!I10649)</f>
        <v>&lt;cellule&gt;</v>
      </c>
    </row>
    <row r="10649" spans="1:1" x14ac:dyDescent="0.2">
      <c r="A10649" s="1135" t="str">
        <f>CONCATENATE(Programme!C10650,Programme!D10650,Programme!E10650,Programme!F10650,Programme!G10650,Programme!H10650,Programme!I10650)</f>
        <v>&lt;codeEdi&gt;1853&lt;/codeEdi&gt;</v>
      </c>
    </row>
    <row r="10650" spans="1:1" x14ac:dyDescent="0.2">
      <c r="A10650" s="1135" t="str">
        <f>CONCATENATE(Programme!C10651,Programme!D10651,Programme!E10651,Programme!F10651,Programme!G10651,Programme!H10651,Programme!I10651)</f>
        <v>&lt;/cellule&gt;</v>
      </c>
    </row>
    <row r="10651" spans="1:1" x14ac:dyDescent="0.2">
      <c r="A10651" s="1135" t="str">
        <f>CONCATENATE(Programme!C10652,Programme!D10652,Programme!E10652,Programme!F10652,Programme!G10652,Programme!H10652,Programme!I10652)</f>
        <v>&lt;valeur&gt;0&lt;/valeur&gt;</v>
      </c>
    </row>
    <row r="10652" spans="1:1" x14ac:dyDescent="0.2">
      <c r="A10652" s="1135" t="str">
        <f>CONCATENATE(Programme!C10653,Programme!D10653,Programme!E10653,Programme!F10653,Programme!G10653,Programme!H10653,Programme!I10653)</f>
        <v>&lt;/ValeurCellule&gt;</v>
      </c>
    </row>
    <row r="10653" spans="1:1" x14ac:dyDescent="0.2">
      <c r="A10653" s="1135" t="str">
        <f>CONCATENATE(Programme!C10654,Programme!D10654,Programme!E10654,Programme!F10654,Programme!G10654,Programme!H10654,Programme!I10654)</f>
        <v>&lt;ValeurCellule&gt;</v>
      </c>
    </row>
    <row r="10654" spans="1:1" x14ac:dyDescent="0.2">
      <c r="A10654" s="1135" t="str">
        <f>CONCATENATE(Programme!C10655,Programme!D10655,Programme!E10655,Programme!F10655,Programme!G10655,Programme!H10655,Programme!I10655)</f>
        <v>&lt;cellule&gt;</v>
      </c>
    </row>
    <row r="10655" spans="1:1" x14ac:dyDescent="0.2">
      <c r="A10655" s="1135" t="str">
        <f>CONCATENATE(Programme!C10656,Programme!D10656,Programme!E10656,Programme!F10656,Programme!G10656,Programme!H10656,Programme!I10656)</f>
        <v>&lt;codeEdi&gt;1402&lt;/codeEdi&gt;</v>
      </c>
    </row>
    <row r="10656" spans="1:1" x14ac:dyDescent="0.2">
      <c r="A10656" s="1135" t="str">
        <f>CONCATENATE(Programme!C10657,Programme!D10657,Programme!E10657,Programme!F10657,Programme!G10657,Programme!H10657,Programme!I10657)</f>
        <v>&lt;/cellule&gt;</v>
      </c>
    </row>
    <row r="10657" spans="1:1" x14ac:dyDescent="0.2">
      <c r="A10657" s="1135" t="str">
        <f>CONCATENATE(Programme!C10658,Programme!D10658,Programme!E10658,Programme!F10658,Programme!G10658,Programme!H10658,Programme!I10658)</f>
        <v>&lt;valeur&gt;&lt;/valeur&gt;</v>
      </c>
    </row>
    <row r="10658" spans="1:1" x14ac:dyDescent="0.2">
      <c r="A10658" s="1135" t="str">
        <f>CONCATENATE(Programme!C10659,Programme!D10659,Programme!E10659,Programme!F10659,Programme!G10659,Programme!H10659,Programme!I10659)</f>
        <v>&lt;/ValeurCellule&gt;</v>
      </c>
    </row>
    <row r="10659" spans="1:1" x14ac:dyDescent="0.2">
      <c r="A10659" s="1135" t="str">
        <f>CONCATENATE(Programme!C10660,Programme!D10660,Programme!E10660,Programme!F10660,Programme!G10660,Programme!H10660,Programme!I10660)</f>
        <v>&lt;ValeurCellule&gt;</v>
      </c>
    </row>
    <row r="10660" spans="1:1" x14ac:dyDescent="0.2">
      <c r="A10660" s="1135" t="str">
        <f>CONCATENATE(Programme!C10661,Programme!D10661,Programme!E10661,Programme!F10661,Programme!G10661,Programme!H10661,Programme!I10661)</f>
        <v>&lt;cellule&gt;</v>
      </c>
    </row>
    <row r="10661" spans="1:1" x14ac:dyDescent="0.2">
      <c r="A10661" s="1135" t="str">
        <f>CONCATENATE(Programme!C10662,Programme!D10662,Programme!E10662,Programme!F10662,Programme!G10662,Programme!H10662,Programme!I10662)</f>
        <v>&lt;codeEdi&gt;1410&lt;/codeEdi&gt;</v>
      </c>
    </row>
    <row r="10662" spans="1:1" x14ac:dyDescent="0.2">
      <c r="A10662" s="1135" t="str">
        <f>CONCATENATE(Programme!C10663,Programme!D10663,Programme!E10663,Programme!F10663,Programme!G10663,Programme!H10663,Programme!I10663)</f>
        <v>&lt;/cellule&gt;</v>
      </c>
    </row>
    <row r="10663" spans="1:1" x14ac:dyDescent="0.2">
      <c r="A10663" s="1135" t="str">
        <f>CONCATENATE(Programme!C10664,Programme!D10664,Programme!E10664,Programme!F10664,Programme!G10664,Programme!H10664,Programme!I10664)</f>
        <v>&lt;valeur&gt;&lt;/valeur&gt;</v>
      </c>
    </row>
    <row r="10664" spans="1:1" x14ac:dyDescent="0.2">
      <c r="A10664" s="1135" t="str">
        <f>CONCATENATE(Programme!C10665,Programme!D10665,Programme!E10665,Programme!F10665,Programme!G10665,Programme!H10665,Programme!I10665)</f>
        <v>&lt;/ValeurCellule&gt;</v>
      </c>
    </row>
    <row r="10665" spans="1:1" x14ac:dyDescent="0.2">
      <c r="A10665" s="1135" t="str">
        <f>CONCATENATE(Programme!C10666,Programme!D10666,Programme!E10666,Programme!F10666,Programme!G10666,Programme!H10666,Programme!I10666)</f>
        <v>&lt;ValeurCellule&gt;</v>
      </c>
    </row>
    <row r="10666" spans="1:1" x14ac:dyDescent="0.2">
      <c r="A10666" s="1135" t="str">
        <f>CONCATENATE(Programme!C10667,Programme!D10667,Programme!E10667,Programme!F10667,Programme!G10667,Programme!H10667,Programme!I10667)</f>
        <v>&lt;cellule&gt;</v>
      </c>
    </row>
    <row r="10667" spans="1:1" x14ac:dyDescent="0.2">
      <c r="A10667" s="1135" t="str">
        <f>CONCATENATE(Programme!C10668,Programme!D10668,Programme!E10668,Programme!F10668,Programme!G10668,Programme!H10668,Programme!I10668)</f>
        <v>&lt;codeEdi&gt;1418&lt;/codeEdi&gt;</v>
      </c>
    </row>
    <row r="10668" spans="1:1" x14ac:dyDescent="0.2">
      <c r="A10668" s="1135" t="str">
        <f>CONCATENATE(Programme!C10669,Programme!D10669,Programme!E10669,Programme!F10669,Programme!G10669,Programme!H10669,Programme!I10669)</f>
        <v>&lt;/cellule&gt;</v>
      </c>
    </row>
    <row r="10669" spans="1:1" x14ac:dyDescent="0.2">
      <c r="A10669" s="1135" t="str">
        <f>CONCATENATE(Programme!C10670,Programme!D10670,Programme!E10670,Programme!F10670,Programme!G10670,Programme!H10670,Programme!I10670)</f>
        <v>&lt;valeur&gt;&lt;/valeur&gt;</v>
      </c>
    </row>
    <row r="10670" spans="1:1" x14ac:dyDescent="0.2">
      <c r="A10670" s="1135" t="str">
        <f>CONCATENATE(Programme!C10671,Programme!D10671,Programme!E10671,Programme!F10671,Programme!G10671,Programme!H10671,Programme!I10671)</f>
        <v>&lt;/ValeurCellule&gt;</v>
      </c>
    </row>
    <row r="10671" spans="1:1" x14ac:dyDescent="0.2">
      <c r="A10671" s="1135" t="str">
        <f>CONCATENATE(Programme!C10672,Programme!D10672,Programme!E10672,Programme!F10672,Programme!G10672,Programme!H10672,Programme!I10672)</f>
        <v>&lt;ValeurCellule&gt;</v>
      </c>
    </row>
    <row r="10672" spans="1:1" x14ac:dyDescent="0.2">
      <c r="A10672" s="1135" t="str">
        <f>CONCATENATE(Programme!C10673,Programme!D10673,Programme!E10673,Programme!F10673,Programme!G10673,Programme!H10673,Programme!I10673)</f>
        <v>&lt;cellule&gt;</v>
      </c>
    </row>
    <row r="10673" spans="1:1" x14ac:dyDescent="0.2">
      <c r="A10673" s="1135" t="str">
        <f>CONCATENATE(Programme!C10674,Programme!D10674,Programme!E10674,Programme!F10674,Programme!G10674,Programme!H10674,Programme!I10674)</f>
        <v>&lt;codeEdi&gt;1426&lt;/codeEdi&gt;</v>
      </c>
    </row>
    <row r="10674" spans="1:1" x14ac:dyDescent="0.2">
      <c r="A10674" s="1135" t="str">
        <f>CONCATENATE(Programme!C10675,Programme!D10675,Programme!E10675,Programme!F10675,Programme!G10675,Programme!H10675,Programme!I10675)</f>
        <v>&lt;/cellule&gt;</v>
      </c>
    </row>
    <row r="10675" spans="1:1" x14ac:dyDescent="0.2">
      <c r="A10675" s="1135" t="str">
        <f>CONCATENATE(Programme!C10676,Programme!D10676,Programme!E10676,Programme!F10676,Programme!G10676,Programme!H10676,Programme!I10676)</f>
        <v>&lt;valeur&gt;0&lt;/valeur&gt;</v>
      </c>
    </row>
    <row r="10676" spans="1:1" x14ac:dyDescent="0.2">
      <c r="A10676" s="1135" t="str">
        <f>CONCATENATE(Programme!C10677,Programme!D10677,Programme!E10677,Programme!F10677,Programme!G10677,Programme!H10677,Programme!I10677)</f>
        <v>&lt;/ValeurCellule&gt;</v>
      </c>
    </row>
    <row r="10677" spans="1:1" x14ac:dyDescent="0.2">
      <c r="A10677" s="1135" t="str">
        <f>CONCATENATE(Programme!C10678,Programme!D10678,Programme!E10678,Programme!F10678,Programme!G10678,Programme!H10678,Programme!I10678)</f>
        <v>&lt;ValeurCellule&gt;</v>
      </c>
    </row>
    <row r="10678" spans="1:1" x14ac:dyDescent="0.2">
      <c r="A10678" s="1135" t="str">
        <f>CONCATENATE(Programme!C10679,Programme!D10679,Programme!E10679,Programme!F10679,Programme!G10679,Programme!H10679,Programme!I10679)</f>
        <v>&lt;cellule&gt;</v>
      </c>
    </row>
    <row r="10679" spans="1:1" x14ac:dyDescent="0.2">
      <c r="A10679" s="1135" t="str">
        <f>CONCATENATE(Programme!C10680,Programme!D10680,Programme!E10680,Programme!F10680,Programme!G10680,Programme!H10680,Programme!I10680)</f>
        <v>&lt;codeEdi&gt;1434&lt;/codeEdi&gt;</v>
      </c>
    </row>
    <row r="10680" spans="1:1" x14ac:dyDescent="0.2">
      <c r="A10680" s="1135" t="str">
        <f>CONCATENATE(Programme!C10681,Programme!D10681,Programme!E10681,Programme!F10681,Programme!G10681,Programme!H10681,Programme!I10681)</f>
        <v>&lt;/cellule&gt;</v>
      </c>
    </row>
    <row r="10681" spans="1:1" x14ac:dyDescent="0.2">
      <c r="A10681" s="1135" t="str">
        <f>CONCATENATE(Programme!C10682,Programme!D10682,Programme!E10682,Programme!F10682,Programme!G10682,Programme!H10682,Programme!I10682)</f>
        <v>&lt;valeur&gt;0&lt;/valeur&gt;</v>
      </c>
    </row>
    <row r="10682" spans="1:1" x14ac:dyDescent="0.2">
      <c r="A10682" s="1135" t="str">
        <f>CONCATENATE(Programme!C10683,Programme!D10683,Programme!E10683,Programme!F10683,Programme!G10683,Programme!H10683,Programme!I10683)</f>
        <v>&lt;/ValeurCellule&gt;</v>
      </c>
    </row>
    <row r="10683" spans="1:1" x14ac:dyDescent="0.2">
      <c r="A10683" s="1135" t="str">
        <f>CONCATENATE(Programme!C10684,Programme!D10684,Programme!E10684,Programme!F10684,Programme!G10684,Programme!H10684,Programme!I10684)</f>
        <v>&lt;ValeurCellule&gt;</v>
      </c>
    </row>
    <row r="10684" spans="1:1" x14ac:dyDescent="0.2">
      <c r="A10684" s="1135" t="str">
        <f>CONCATENATE(Programme!C10685,Programme!D10685,Programme!E10685,Programme!F10685,Programme!G10685,Programme!H10685,Programme!I10685)</f>
        <v>&lt;cellule&gt;</v>
      </c>
    </row>
    <row r="10685" spans="1:1" x14ac:dyDescent="0.2">
      <c r="A10685" s="1135" t="str">
        <f>CONCATENATE(Programme!C10686,Programme!D10686,Programme!E10686,Programme!F10686,Programme!G10686,Programme!H10686,Programme!I10686)</f>
        <v>&lt;codeEdi&gt;1450&lt;/codeEdi&gt;</v>
      </c>
    </row>
    <row r="10686" spans="1:1" x14ac:dyDescent="0.2">
      <c r="A10686" s="1135" t="str">
        <f>CONCATENATE(Programme!C10687,Programme!D10687,Programme!E10687,Programme!F10687,Programme!G10687,Programme!H10687,Programme!I10687)</f>
        <v>&lt;/cellule&gt;</v>
      </c>
    </row>
    <row r="10687" spans="1:1" x14ac:dyDescent="0.2">
      <c r="A10687" s="1135" t="str">
        <f>CONCATENATE(Programme!C10688,Programme!D10688,Programme!E10688,Programme!F10688,Programme!G10688,Programme!H10688,Programme!I10688)</f>
        <v>&lt;valeur&gt;&lt;/valeur&gt;</v>
      </c>
    </row>
    <row r="10688" spans="1:1" x14ac:dyDescent="0.2">
      <c r="A10688" s="1135" t="str">
        <f>CONCATENATE(Programme!C10689,Programme!D10689,Programme!E10689,Programme!F10689,Programme!G10689,Programme!H10689,Programme!I10689)</f>
        <v>&lt;/ValeurCellule&gt;</v>
      </c>
    </row>
    <row r="10689" spans="1:1" x14ac:dyDescent="0.2">
      <c r="A10689" s="1135" t="str">
        <f>CONCATENATE(Programme!C10690,Programme!D10690,Programme!E10690,Programme!F10690,Programme!G10690,Programme!H10690,Programme!I10690)</f>
        <v>&lt;ValeurCellule&gt;</v>
      </c>
    </row>
    <row r="10690" spans="1:1" x14ac:dyDescent="0.2">
      <c r="A10690" s="1135" t="str">
        <f>CONCATENATE(Programme!C10691,Programme!D10691,Programme!E10691,Programme!F10691,Programme!G10691,Programme!H10691,Programme!I10691)</f>
        <v>&lt;cellule&gt;</v>
      </c>
    </row>
    <row r="10691" spans="1:1" x14ac:dyDescent="0.2">
      <c r="A10691" s="1135" t="str">
        <f>CONCATENATE(Programme!C10692,Programme!D10692,Programme!E10692,Programme!F10692,Programme!G10692,Programme!H10692,Programme!I10692)</f>
        <v>&lt;codeEdi&gt;1458&lt;/codeEdi&gt;</v>
      </c>
    </row>
    <row r="10692" spans="1:1" x14ac:dyDescent="0.2">
      <c r="A10692" s="1135" t="str">
        <f>CONCATENATE(Programme!C10693,Programme!D10693,Programme!E10693,Programme!F10693,Programme!G10693,Programme!H10693,Programme!I10693)</f>
        <v>&lt;/cellule&gt;</v>
      </c>
    </row>
    <row r="10693" spans="1:1" x14ac:dyDescent="0.2">
      <c r="A10693" s="1135" t="str">
        <f>CONCATENATE(Programme!C10694,Programme!D10694,Programme!E10694,Programme!F10694,Programme!G10694,Programme!H10694,Programme!I10694)</f>
        <v>&lt;valeur&gt;0&lt;/valeur&gt;</v>
      </c>
    </row>
    <row r="10694" spans="1:1" x14ac:dyDescent="0.2">
      <c r="A10694" s="1135" t="str">
        <f>CONCATENATE(Programme!C10695,Programme!D10695,Programme!E10695,Programme!F10695,Programme!G10695,Programme!H10695,Programme!I10695)</f>
        <v>&lt;/ValeurCellule&gt;</v>
      </c>
    </row>
    <row r="10695" spans="1:1" x14ac:dyDescent="0.2">
      <c r="A10695" s="1135" t="str">
        <f>CONCATENATE(Programme!C10696,Programme!D10696,Programme!E10696,Programme!F10696,Programme!G10696,Programme!H10696,Programme!I10696)</f>
        <v>&lt;ValeurCellule&gt;</v>
      </c>
    </row>
    <row r="10696" spans="1:1" x14ac:dyDescent="0.2">
      <c r="A10696" s="1135" t="str">
        <f>CONCATENATE(Programme!C10697,Programme!D10697,Programme!E10697,Programme!F10697,Programme!G10697,Programme!H10697,Programme!I10697)</f>
        <v>&lt;cellule&gt;</v>
      </c>
    </row>
    <row r="10697" spans="1:1" x14ac:dyDescent="0.2">
      <c r="A10697" s="1135" t="str">
        <f>CONCATENATE(Programme!C10698,Programme!D10698,Programme!E10698,Programme!F10698,Programme!G10698,Programme!H10698,Programme!I10698)</f>
        <v>&lt;codeEdi&gt;1466&lt;/codeEdi&gt;</v>
      </c>
    </row>
    <row r="10698" spans="1:1" x14ac:dyDescent="0.2">
      <c r="A10698" s="1135" t="str">
        <f>CONCATENATE(Programme!C10699,Programme!D10699,Programme!E10699,Programme!F10699,Programme!G10699,Programme!H10699,Programme!I10699)</f>
        <v>&lt;/cellule&gt;</v>
      </c>
    </row>
    <row r="10699" spans="1:1" x14ac:dyDescent="0.2">
      <c r="A10699" s="1135" t="str">
        <f>CONCATENATE(Programme!C10700,Programme!D10700,Programme!E10700,Programme!F10700,Programme!G10700,Programme!H10700,Programme!I10700)</f>
        <v>&lt;valeur&gt;0&lt;/valeur&gt;</v>
      </c>
    </row>
    <row r="10700" spans="1:1" x14ac:dyDescent="0.2">
      <c r="A10700" s="1135" t="str">
        <f>CONCATENATE(Programme!C10701,Programme!D10701,Programme!E10701,Programme!F10701,Programme!G10701,Programme!H10701,Programme!I10701)</f>
        <v>&lt;/ValeurCellule&gt;</v>
      </c>
    </row>
    <row r="10701" spans="1:1" x14ac:dyDescent="0.2">
      <c r="A10701" s="1135" t="str">
        <f>CONCATENATE(Programme!C10702,Programme!D10702,Programme!E10702,Programme!F10702,Programme!G10702,Programme!H10702,Programme!I10702)</f>
        <v>&lt;ValeurCellule&gt;</v>
      </c>
    </row>
    <row r="10702" spans="1:1" x14ac:dyDescent="0.2">
      <c r="A10702" s="1135" t="str">
        <f>CONCATENATE(Programme!C10703,Programme!D10703,Programme!E10703,Programme!F10703,Programme!G10703,Programme!H10703,Programme!I10703)</f>
        <v>&lt;cellule&gt;</v>
      </c>
    </row>
    <row r="10703" spans="1:1" x14ac:dyDescent="0.2">
      <c r="A10703" s="1135" t="str">
        <f>CONCATENATE(Programme!C10704,Programme!D10704,Programme!E10704,Programme!F10704,Programme!G10704,Programme!H10704,Programme!I10704)</f>
        <v>&lt;codeEdi&gt;1474&lt;/codeEdi&gt;</v>
      </c>
    </row>
    <row r="10704" spans="1:1" x14ac:dyDescent="0.2">
      <c r="A10704" s="1135" t="str">
        <f>CONCATENATE(Programme!C10705,Programme!D10705,Programme!E10705,Programme!F10705,Programme!G10705,Programme!H10705,Programme!I10705)</f>
        <v>&lt;/cellule&gt;</v>
      </c>
    </row>
    <row r="10705" spans="1:1" x14ac:dyDescent="0.2">
      <c r="A10705" s="1135" t="str">
        <f>CONCATENATE(Programme!C10706,Programme!D10706,Programme!E10706,Programme!F10706,Programme!G10706,Programme!H10706,Programme!I10706)</f>
        <v>&lt;valeur&gt;&lt;/valeur&gt;</v>
      </c>
    </row>
    <row r="10706" spans="1:1" x14ac:dyDescent="0.2">
      <c r="A10706" s="1135" t="str">
        <f>CONCATENATE(Programme!C10707,Programme!D10707,Programme!E10707,Programme!F10707,Programme!G10707,Programme!H10707,Programme!I10707)</f>
        <v>&lt;/ValeurCellule&gt;</v>
      </c>
    </row>
    <row r="10707" spans="1:1" x14ac:dyDescent="0.2">
      <c r="A10707" s="1135" t="str">
        <f>CONCATENATE(Programme!C10708,Programme!D10708,Programme!E10708,Programme!F10708,Programme!G10708,Programme!H10708,Programme!I10708)</f>
        <v>&lt;ValeurCellule&gt;</v>
      </c>
    </row>
    <row r="10708" spans="1:1" x14ac:dyDescent="0.2">
      <c r="A10708" s="1135" t="str">
        <f>CONCATENATE(Programme!C10709,Programme!D10709,Programme!E10709,Programme!F10709,Programme!G10709,Programme!H10709,Programme!I10709)</f>
        <v>&lt;cellule&gt;</v>
      </c>
    </row>
    <row r="10709" spans="1:1" x14ac:dyDescent="0.2">
      <c r="A10709" s="1135" t="str">
        <f>CONCATENATE(Programme!C10710,Programme!D10710,Programme!E10710,Programme!F10710,Programme!G10710,Programme!H10710,Programme!I10710)</f>
        <v>&lt;codeEdi&gt;1482&lt;/codeEdi&gt;</v>
      </c>
    </row>
    <row r="10710" spans="1:1" x14ac:dyDescent="0.2">
      <c r="A10710" s="1135" t="str">
        <f>CONCATENATE(Programme!C10711,Programme!D10711,Programme!E10711,Programme!F10711,Programme!G10711,Programme!H10711,Programme!I10711)</f>
        <v>&lt;/cellule&gt;</v>
      </c>
    </row>
    <row r="10711" spans="1:1" x14ac:dyDescent="0.2">
      <c r="A10711" s="1135" t="str">
        <f>CONCATENATE(Programme!C10712,Programme!D10712,Programme!E10712,Programme!F10712,Programme!G10712,Programme!H10712,Programme!I10712)</f>
        <v>&lt;valeur&gt;&lt;/valeur&gt;</v>
      </c>
    </row>
    <row r="10712" spans="1:1" x14ac:dyDescent="0.2">
      <c r="A10712" s="1135" t="str">
        <f>CONCATENATE(Programme!C10713,Programme!D10713,Programme!E10713,Programme!F10713,Programme!G10713,Programme!H10713,Programme!I10713)</f>
        <v>&lt;/ValeurCellule&gt;</v>
      </c>
    </row>
    <row r="10713" spans="1:1" x14ac:dyDescent="0.2">
      <c r="A10713" s="1135" t="str">
        <f>CONCATENATE(Programme!C10714,Programme!D10714,Programme!E10714,Programme!F10714,Programme!G10714,Programme!H10714,Programme!I10714)</f>
        <v>&lt;ValeurCellule&gt;</v>
      </c>
    </row>
    <row r="10714" spans="1:1" x14ac:dyDescent="0.2">
      <c r="A10714" s="1135" t="str">
        <f>CONCATENATE(Programme!C10715,Programme!D10715,Programme!E10715,Programme!F10715,Programme!G10715,Programme!H10715,Programme!I10715)</f>
        <v>&lt;cellule&gt;</v>
      </c>
    </row>
    <row r="10715" spans="1:1" x14ac:dyDescent="0.2">
      <c r="A10715" s="1135" t="str">
        <f>CONCATENATE(Programme!C10716,Programme!D10716,Programme!E10716,Programme!F10716,Programme!G10716,Programme!H10716,Programme!I10716)</f>
        <v>&lt;codeEdi&gt;1556&lt;/codeEdi&gt;</v>
      </c>
    </row>
    <row r="10716" spans="1:1" x14ac:dyDescent="0.2">
      <c r="A10716" s="1135" t="str">
        <f>CONCATENATE(Programme!C10717,Programme!D10717,Programme!E10717,Programme!F10717,Programme!G10717,Programme!H10717,Programme!I10717)</f>
        <v>&lt;/cellule&gt;</v>
      </c>
    </row>
    <row r="10717" spans="1:1" x14ac:dyDescent="0.2">
      <c r="A10717" s="1135" t="str">
        <f>CONCATENATE(Programme!C10718,Programme!D10718,Programme!E10718,Programme!F10718,Programme!G10718,Programme!H10718,Programme!I10718)</f>
        <v>&lt;valeur&gt;0&lt;/valeur&gt;</v>
      </c>
    </row>
    <row r="10718" spans="1:1" x14ac:dyDescent="0.2">
      <c r="A10718" s="1135" t="str">
        <f>CONCATENATE(Programme!C10719,Programme!D10719,Programme!E10719,Programme!F10719,Programme!G10719,Programme!H10719,Programme!I10719)</f>
        <v>&lt;/ValeurCellule&gt;</v>
      </c>
    </row>
    <row r="10719" spans="1:1" x14ac:dyDescent="0.2">
      <c r="A10719" s="1135" t="str">
        <f>CONCATENATE(Programme!C10720,Programme!D10720,Programme!E10720,Programme!F10720,Programme!G10720,Programme!H10720,Programme!I10720)</f>
        <v>&lt;ValeurCellule&gt;</v>
      </c>
    </row>
    <row r="10720" spans="1:1" x14ac:dyDescent="0.2">
      <c r="A10720" s="1135" t="str">
        <f>CONCATENATE(Programme!C10721,Programme!D10721,Programme!E10721,Programme!F10721,Programme!G10721,Programme!H10721,Programme!I10721)</f>
        <v>&lt;cellule&gt;</v>
      </c>
    </row>
    <row r="10721" spans="1:1" x14ac:dyDescent="0.2">
      <c r="A10721" s="1135" t="str">
        <f>CONCATENATE(Programme!C10722,Programme!D10722,Programme!E10722,Programme!F10722,Programme!G10722,Programme!H10722,Programme!I10722)</f>
        <v>&lt;codeEdi&gt;1597&lt;/codeEdi&gt;</v>
      </c>
    </row>
    <row r="10722" spans="1:1" x14ac:dyDescent="0.2">
      <c r="A10722" s="1135" t="str">
        <f>CONCATENATE(Programme!C10723,Programme!D10723,Programme!E10723,Programme!F10723,Programme!G10723,Programme!H10723,Programme!I10723)</f>
        <v>&lt;/cellule&gt;</v>
      </c>
    </row>
    <row r="10723" spans="1:1" x14ac:dyDescent="0.2">
      <c r="A10723" s="1135" t="str">
        <f>CONCATENATE(Programme!C10724,Programme!D10724,Programme!E10724,Programme!F10724,Programme!G10724,Programme!H10724,Programme!I10724)</f>
        <v>&lt;valeur&gt;&lt;/valeur&gt;</v>
      </c>
    </row>
    <row r="10724" spans="1:1" x14ac:dyDescent="0.2">
      <c r="A10724" s="1135" t="str">
        <f>CONCATENATE(Programme!C10725,Programme!D10725,Programme!E10725,Programme!F10725,Programme!G10725,Programme!H10725,Programme!I10725)</f>
        <v>&lt;/ValeurCellule&gt;</v>
      </c>
    </row>
    <row r="10725" spans="1:1" x14ac:dyDescent="0.2">
      <c r="A10725" s="1135" t="str">
        <f>CONCATENATE(Programme!C10726,Programme!D10726,Programme!E10726,Programme!F10726,Programme!G10726,Programme!H10726,Programme!I10726)</f>
        <v>&lt;ValeurCellule&gt;</v>
      </c>
    </row>
    <row r="10726" spans="1:1" x14ac:dyDescent="0.2">
      <c r="A10726" s="1135" t="str">
        <f>CONCATENATE(Programme!C10727,Programme!D10727,Programme!E10727,Programme!F10727,Programme!G10727,Programme!H10727,Programme!I10727)</f>
        <v>&lt;cellule&gt;</v>
      </c>
    </row>
    <row r="10727" spans="1:1" x14ac:dyDescent="0.2">
      <c r="A10727" s="1135" t="str">
        <f>CONCATENATE(Programme!C10728,Programme!D10728,Programme!E10728,Programme!F10728,Programme!G10728,Programme!H10728,Programme!I10728)</f>
        <v>&lt;codeEdi&gt;1605&lt;/codeEdi&gt;</v>
      </c>
    </row>
    <row r="10728" spans="1:1" x14ac:dyDescent="0.2">
      <c r="A10728" s="1135" t="str">
        <f>CONCATENATE(Programme!C10729,Programme!D10729,Programme!E10729,Programme!F10729,Programme!G10729,Programme!H10729,Programme!I10729)</f>
        <v>&lt;/cellule&gt;</v>
      </c>
    </row>
    <row r="10729" spans="1:1" x14ac:dyDescent="0.2">
      <c r="A10729" s="1135" t="str">
        <f>CONCATENATE(Programme!C10730,Programme!D10730,Programme!E10730,Programme!F10730,Programme!G10730,Programme!H10730,Programme!I10730)</f>
        <v>&lt;valeur&gt;0&lt;/valeur&gt;</v>
      </c>
    </row>
    <row r="10730" spans="1:1" x14ac:dyDescent="0.2">
      <c r="A10730" s="1135" t="str">
        <f>CONCATENATE(Programme!C10731,Programme!D10731,Programme!E10731,Programme!F10731,Programme!G10731,Programme!H10731,Programme!I10731)</f>
        <v>&lt;/ValeurCellule&gt;</v>
      </c>
    </row>
    <row r="10731" spans="1:1" x14ac:dyDescent="0.2">
      <c r="A10731" s="1135" t="str">
        <f>CONCATENATE(Programme!C10732,Programme!D10732,Programme!E10732,Programme!F10732,Programme!G10732,Programme!H10732,Programme!I10732)</f>
        <v>&lt;ValeurCellule&gt;</v>
      </c>
    </row>
    <row r="10732" spans="1:1" x14ac:dyDescent="0.2">
      <c r="A10732" s="1135" t="str">
        <f>CONCATENATE(Programme!C10733,Programme!D10733,Programme!E10733,Programme!F10733,Programme!G10733,Programme!H10733,Programme!I10733)</f>
        <v>&lt;cellule&gt;</v>
      </c>
    </row>
    <row r="10733" spans="1:1" x14ac:dyDescent="0.2">
      <c r="A10733" s="1135" t="str">
        <f>CONCATENATE(Programme!C10734,Programme!D10734,Programme!E10734,Programme!F10734,Programme!G10734,Programme!H10734,Programme!I10734)</f>
        <v>&lt;codeEdi&gt;1636&lt;/codeEdi&gt;</v>
      </c>
    </row>
    <row r="10734" spans="1:1" x14ac:dyDescent="0.2">
      <c r="A10734" s="1135" t="str">
        <f>CONCATENATE(Programme!C10735,Programme!D10735,Programme!E10735,Programme!F10735,Programme!G10735,Programme!H10735,Programme!I10735)</f>
        <v>&lt;/cellule&gt;</v>
      </c>
    </row>
    <row r="10735" spans="1:1" x14ac:dyDescent="0.2">
      <c r="A10735" s="1135" t="str">
        <f>CONCATENATE(Programme!C10736,Programme!D10736,Programme!E10736,Programme!F10736,Programme!G10736,Programme!H10736,Programme!I10736)</f>
        <v>&lt;valeur&gt;&lt;/valeur&gt;</v>
      </c>
    </row>
    <row r="10736" spans="1:1" x14ac:dyDescent="0.2">
      <c r="A10736" s="1135" t="str">
        <f>CONCATENATE(Programme!C10737,Programme!D10737,Programme!E10737,Programme!F10737,Programme!G10737,Programme!H10737,Programme!I10737)</f>
        <v>&lt;/ValeurCellule&gt;</v>
      </c>
    </row>
    <row r="10737" spans="1:1" x14ac:dyDescent="0.2">
      <c r="A10737" s="1135" t="str">
        <f>CONCATENATE(Programme!C10738,Programme!D10738,Programme!E10738,Programme!F10738,Programme!G10738,Programme!H10738,Programme!I10738)</f>
        <v>&lt;ValeurCellule&gt;</v>
      </c>
    </row>
    <row r="10738" spans="1:1" x14ac:dyDescent="0.2">
      <c r="A10738" s="1135" t="str">
        <f>CONCATENATE(Programme!C10739,Programme!D10739,Programme!E10739,Programme!F10739,Programme!G10739,Programme!H10739,Programme!I10739)</f>
        <v>&lt;cellule&gt;</v>
      </c>
    </row>
    <row r="10739" spans="1:1" x14ac:dyDescent="0.2">
      <c r="A10739" s="1135" t="str">
        <f>CONCATENATE(Programme!C10740,Programme!D10740,Programme!E10740,Programme!F10740,Programme!G10740,Programme!H10740,Programme!I10740)</f>
        <v>&lt;codeEdi&gt;1644&lt;/codeEdi&gt;</v>
      </c>
    </row>
    <row r="10740" spans="1:1" x14ac:dyDescent="0.2">
      <c r="A10740" s="1135" t="str">
        <f>CONCATENATE(Programme!C10741,Programme!D10741,Programme!E10741,Programme!F10741,Programme!G10741,Programme!H10741,Programme!I10741)</f>
        <v>&lt;/cellule&gt;</v>
      </c>
    </row>
    <row r="10741" spans="1:1" x14ac:dyDescent="0.2">
      <c r="A10741" s="1135" t="str">
        <f>CONCATENATE(Programme!C10742,Programme!D10742,Programme!E10742,Programme!F10742,Programme!G10742,Programme!H10742,Programme!I10742)</f>
        <v>&lt;valeur&gt;0&lt;/valeur&gt;</v>
      </c>
    </row>
    <row r="10742" spans="1:1" x14ac:dyDescent="0.2">
      <c r="A10742" s="1135" t="str">
        <f>CONCATENATE(Programme!C10743,Programme!D10743,Programme!E10743,Programme!F10743,Programme!G10743,Programme!H10743,Programme!I10743)</f>
        <v>&lt;/ValeurCellule&gt;</v>
      </c>
    </row>
    <row r="10743" spans="1:1" x14ac:dyDescent="0.2">
      <c r="A10743" s="1135" t="str">
        <f>CONCATENATE(Programme!C10744,Programme!D10744,Programme!E10744,Programme!F10744,Programme!G10744,Programme!H10744,Programme!I10744)</f>
        <v>&lt;ValeurCellule&gt;</v>
      </c>
    </row>
    <row r="10744" spans="1:1" x14ac:dyDescent="0.2">
      <c r="A10744" s="1135" t="str">
        <f>CONCATENATE(Programme!C10745,Programme!D10745,Programme!E10745,Programme!F10745,Programme!G10745,Programme!H10745,Programme!I10745)</f>
        <v>&lt;cellule&gt;</v>
      </c>
    </row>
    <row r="10745" spans="1:1" x14ac:dyDescent="0.2">
      <c r="A10745" s="1135" t="str">
        <f>CONCATENATE(Programme!C10746,Programme!D10746,Programme!E10746,Programme!F10746,Programme!G10746,Programme!H10746,Programme!I10746)</f>
        <v>&lt;codeEdi&gt;1657&lt;/codeEdi&gt;</v>
      </c>
    </row>
    <row r="10746" spans="1:1" x14ac:dyDescent="0.2">
      <c r="A10746" s="1135" t="str">
        <f>CONCATENATE(Programme!C10747,Programme!D10747,Programme!E10747,Programme!F10747,Programme!G10747,Programme!H10747,Programme!I10747)</f>
        <v>&lt;/cellule&gt;</v>
      </c>
    </row>
    <row r="10747" spans="1:1" x14ac:dyDescent="0.2">
      <c r="A10747" s="1135" t="str">
        <f>CONCATENATE(Programme!C10748,Programme!D10748,Programme!E10748,Programme!F10748,Programme!G10748,Programme!H10748,Programme!I10748)</f>
        <v>&lt;valeur&gt;0&lt;/valeur&gt;</v>
      </c>
    </row>
    <row r="10748" spans="1:1" x14ac:dyDescent="0.2">
      <c r="A10748" s="1135" t="str">
        <f>CONCATENATE(Programme!C10749,Programme!D10749,Programme!E10749,Programme!F10749,Programme!G10749,Programme!H10749,Programme!I10749)</f>
        <v>&lt;/ValeurCellule&gt;</v>
      </c>
    </row>
    <row r="10749" spans="1:1" x14ac:dyDescent="0.2">
      <c r="A10749" s="1135" t="str">
        <f>CONCATENATE(Programme!C10750,Programme!D10750,Programme!E10750,Programme!F10750,Programme!G10750,Programme!H10750,Programme!I10750)</f>
        <v>&lt;ValeurCellule&gt;</v>
      </c>
    </row>
    <row r="10750" spans="1:1" x14ac:dyDescent="0.2">
      <c r="A10750" s="1135" t="str">
        <f>CONCATENATE(Programme!C10751,Programme!D10751,Programme!E10751,Programme!F10751,Programme!G10751,Programme!H10751,Programme!I10751)</f>
        <v>&lt;cellule&gt;</v>
      </c>
    </row>
    <row r="10751" spans="1:1" x14ac:dyDescent="0.2">
      <c r="A10751" s="1135" t="str">
        <f>CONCATENATE(Programme!C10752,Programme!D10752,Programme!E10752,Programme!F10752,Programme!G10752,Programme!H10752,Programme!I10752)</f>
        <v>&lt;codeEdi&gt;1665&lt;/codeEdi&gt;</v>
      </c>
    </row>
    <row r="10752" spans="1:1" x14ac:dyDescent="0.2">
      <c r="A10752" s="1135" t="str">
        <f>CONCATENATE(Programme!C10753,Programme!D10753,Programme!E10753,Programme!F10753,Programme!G10753,Programme!H10753,Programme!I10753)</f>
        <v>&lt;/cellule&gt;</v>
      </c>
    </row>
    <row r="10753" spans="1:1" x14ac:dyDescent="0.2">
      <c r="A10753" s="1135" t="str">
        <f>CONCATENATE(Programme!C10754,Programme!D10754,Programme!E10754,Programme!F10754,Programme!G10754,Programme!H10754,Programme!I10754)</f>
        <v>&lt;valeur&gt;0&lt;/valeur&gt;</v>
      </c>
    </row>
    <row r="10754" spans="1:1" x14ac:dyDescent="0.2">
      <c r="A10754" s="1135" t="str">
        <f>CONCATENATE(Programme!C10755,Programme!D10755,Programme!E10755,Programme!F10755,Programme!G10755,Programme!H10755,Programme!I10755)</f>
        <v>&lt;/ValeurCellule&gt;</v>
      </c>
    </row>
    <row r="10755" spans="1:1" x14ac:dyDescent="0.2">
      <c r="A10755" s="1135" t="str">
        <f>CONCATENATE(Programme!C10756,Programme!D10756,Programme!E10756,Programme!F10756,Programme!G10756,Programme!H10756,Programme!I10756)</f>
        <v>&lt;ValeurCellule&gt;</v>
      </c>
    </row>
    <row r="10756" spans="1:1" x14ac:dyDescent="0.2">
      <c r="A10756" s="1135" t="str">
        <f>CONCATENATE(Programme!C10757,Programme!D10757,Programme!E10757,Programme!F10757,Programme!G10757,Programme!H10757,Programme!I10757)</f>
        <v>&lt;cellule&gt;</v>
      </c>
    </row>
    <row r="10757" spans="1:1" x14ac:dyDescent="0.2">
      <c r="A10757" s="1135" t="str">
        <f>CONCATENATE(Programme!C10758,Programme!D10758,Programme!E10758,Programme!F10758,Programme!G10758,Programme!H10758,Programme!I10758)</f>
        <v>&lt;codeEdi&gt;1613&lt;/codeEdi&gt;</v>
      </c>
    </row>
    <row r="10758" spans="1:1" x14ac:dyDescent="0.2">
      <c r="A10758" s="1135" t="str">
        <f>CONCATENATE(Programme!C10759,Programme!D10759,Programme!E10759,Programme!F10759,Programme!G10759,Programme!H10759,Programme!I10759)</f>
        <v>&lt;/cellule&gt;</v>
      </c>
    </row>
    <row r="10759" spans="1:1" x14ac:dyDescent="0.2">
      <c r="A10759" s="1135" t="str">
        <f>CONCATENATE(Programme!C10760,Programme!D10760,Programme!E10760,Programme!F10760,Programme!G10760,Programme!H10760,Programme!I10760)</f>
        <v>&lt;valeur&gt;0&lt;/valeur&gt;</v>
      </c>
    </row>
    <row r="10760" spans="1:1" x14ac:dyDescent="0.2">
      <c r="A10760" s="1135" t="str">
        <f>CONCATENATE(Programme!C10761,Programme!D10761,Programme!E10761,Programme!F10761,Programme!G10761,Programme!H10761,Programme!I10761)</f>
        <v>&lt;/ValeurCellule&gt;</v>
      </c>
    </row>
    <row r="10761" spans="1:1" x14ac:dyDescent="0.2">
      <c r="A10761" s="1135" t="str">
        <f>CONCATENATE(Programme!C10762,Programme!D10762,Programme!E10762,Programme!F10762,Programme!G10762,Programme!H10762,Programme!I10762)</f>
        <v>&lt;ValeurCellule&gt;</v>
      </c>
    </row>
    <row r="10762" spans="1:1" x14ac:dyDescent="0.2">
      <c r="A10762" s="1135" t="str">
        <f>CONCATENATE(Programme!C10763,Programme!D10763,Programme!E10763,Programme!F10763,Programme!G10763,Programme!H10763,Programme!I10763)</f>
        <v>&lt;cellule&gt;</v>
      </c>
    </row>
    <row r="10763" spans="1:1" x14ac:dyDescent="0.2">
      <c r="A10763" s="1135" t="str">
        <f>CONCATENATE(Programme!C10764,Programme!D10764,Programme!E10764,Programme!F10764,Programme!G10764,Programme!H10764,Programme!I10764)</f>
        <v>&lt;codeEdi&gt;1686&lt;/codeEdi&gt;</v>
      </c>
    </row>
    <row r="10764" spans="1:1" x14ac:dyDescent="0.2">
      <c r="A10764" s="1135" t="str">
        <f>CONCATENATE(Programme!C10765,Programme!D10765,Programme!E10765,Programme!F10765,Programme!G10765,Programme!H10765,Programme!I10765)</f>
        <v>&lt;/cellule&gt;</v>
      </c>
    </row>
    <row r="10765" spans="1:1" x14ac:dyDescent="0.2">
      <c r="A10765" s="1135" t="str">
        <f>CONCATENATE(Programme!C10766,Programme!D10766,Programme!E10766,Programme!F10766,Programme!G10766,Programme!H10766,Programme!I10766)</f>
        <v>&lt;valeur&gt;0&lt;/valeur&gt;</v>
      </c>
    </row>
    <row r="10766" spans="1:1" x14ac:dyDescent="0.2">
      <c r="A10766" s="1135" t="str">
        <f>CONCATENATE(Programme!C10767,Programme!D10767,Programme!E10767,Programme!F10767,Programme!G10767,Programme!H10767,Programme!I10767)</f>
        <v>&lt;/ValeurCellule&gt;</v>
      </c>
    </row>
    <row r="10767" spans="1:1" x14ac:dyDescent="0.2">
      <c r="A10767" s="1135" t="str">
        <f>CONCATENATE(Programme!C10768,Programme!D10768,Programme!E10768,Programme!F10768,Programme!G10768,Programme!H10768,Programme!I10768)</f>
        <v>&lt;ValeurCellule&gt;</v>
      </c>
    </row>
    <row r="10768" spans="1:1" x14ac:dyDescent="0.2">
      <c r="A10768" s="1135" t="str">
        <f>CONCATENATE(Programme!C10769,Programme!D10769,Programme!E10769,Programme!F10769,Programme!G10769,Programme!H10769,Programme!I10769)</f>
        <v>&lt;cellule&gt;</v>
      </c>
    </row>
    <row r="10769" spans="1:1" x14ac:dyDescent="0.2">
      <c r="A10769" s="1135" t="str">
        <f>CONCATENATE(Programme!C10770,Programme!D10770,Programme!E10770,Programme!F10770,Programme!G10770,Programme!H10770,Programme!I10770)</f>
        <v>&lt;codeEdi&gt;1673&lt;/codeEdi&gt;</v>
      </c>
    </row>
    <row r="10770" spans="1:1" x14ac:dyDescent="0.2">
      <c r="A10770" s="1135" t="str">
        <f>CONCATENATE(Programme!C10771,Programme!D10771,Programme!E10771,Programme!F10771,Programme!G10771,Programme!H10771,Programme!I10771)</f>
        <v>&lt;/cellule&gt;</v>
      </c>
    </row>
    <row r="10771" spans="1:1" x14ac:dyDescent="0.2">
      <c r="A10771" s="1135" t="str">
        <f>CONCATENATE(Programme!C10772,Programme!D10772,Programme!E10772,Programme!F10772,Programme!G10772,Programme!H10772,Programme!I10772)</f>
        <v>&lt;valeur&gt;0&lt;/valeur&gt;</v>
      </c>
    </row>
    <row r="10772" spans="1:1" x14ac:dyDescent="0.2">
      <c r="A10772" s="1135" t="str">
        <f>CONCATENATE(Programme!C10773,Programme!D10773,Programme!E10773,Programme!F10773,Programme!G10773,Programme!H10773,Programme!I10773)</f>
        <v>&lt;/ValeurCellule&gt;</v>
      </c>
    </row>
    <row r="10773" spans="1:1" x14ac:dyDescent="0.2">
      <c r="A10773" s="1135" t="str">
        <f>CONCATENATE(Programme!C10774,Programme!D10774,Programme!E10774,Programme!F10774,Programme!G10774,Programme!H10774,Programme!I10774)</f>
        <v>&lt;ValeurCellule&gt;</v>
      </c>
    </row>
    <row r="10774" spans="1:1" x14ac:dyDescent="0.2">
      <c r="A10774" s="1135" t="str">
        <f>CONCATENATE(Programme!C10775,Programme!D10775,Programme!E10775,Programme!F10775,Programme!G10775,Programme!H10775,Programme!I10775)</f>
        <v>&lt;cellule&gt;</v>
      </c>
    </row>
    <row r="10775" spans="1:1" x14ac:dyDescent="0.2">
      <c r="A10775" s="1135" t="str">
        <f>CONCATENATE(Programme!C10776,Programme!D10776,Programme!E10776,Programme!F10776,Programme!G10776,Programme!H10776,Programme!I10776)</f>
        <v>&lt;codeEdi&gt;1737&lt;/codeEdi&gt;</v>
      </c>
    </row>
    <row r="10776" spans="1:1" x14ac:dyDescent="0.2">
      <c r="A10776" s="1135" t="str">
        <f>CONCATENATE(Programme!C10777,Programme!D10777,Programme!E10777,Programme!F10777,Programme!G10777,Programme!H10777,Programme!I10777)</f>
        <v>&lt;/cellule&gt;</v>
      </c>
    </row>
    <row r="10777" spans="1:1" x14ac:dyDescent="0.2">
      <c r="A10777" s="1135" t="str">
        <f>CONCATENATE(Programme!C10778,Programme!D10778,Programme!E10778,Programme!F10778,Programme!G10778,Programme!H10778,Programme!I10778)</f>
        <v>&lt;valeur&gt;&lt;/valeur&gt;</v>
      </c>
    </row>
    <row r="10778" spans="1:1" x14ac:dyDescent="0.2">
      <c r="A10778" s="1135" t="str">
        <f>CONCATENATE(Programme!C10779,Programme!D10779,Programme!E10779,Programme!F10779,Programme!G10779,Programme!H10779,Programme!I10779)</f>
        <v>&lt;/ValeurCellule&gt;</v>
      </c>
    </row>
    <row r="10779" spans="1:1" x14ac:dyDescent="0.2">
      <c r="A10779" s="1135" t="str">
        <f>CONCATENATE(Programme!C10780,Programme!D10780,Programme!E10780,Programme!F10780,Programme!G10780,Programme!H10780,Programme!I10780)</f>
        <v>&lt;ValeurCellule&gt;</v>
      </c>
    </row>
    <row r="10780" spans="1:1" x14ac:dyDescent="0.2">
      <c r="A10780" s="1135" t="str">
        <f>CONCATENATE(Programme!C10781,Programme!D10781,Programme!E10781,Programme!F10781,Programme!G10781,Programme!H10781,Programme!I10781)</f>
        <v>&lt;cellule&gt;</v>
      </c>
    </row>
    <row r="10781" spans="1:1" x14ac:dyDescent="0.2">
      <c r="A10781" s="1135" t="str">
        <f>CONCATENATE(Programme!C10782,Programme!D10782,Programme!E10782,Programme!F10782,Programme!G10782,Programme!H10782,Programme!I10782)</f>
        <v>&lt;codeEdi&gt;1758&lt;/codeEdi&gt;</v>
      </c>
    </row>
    <row r="10782" spans="1:1" x14ac:dyDescent="0.2">
      <c r="A10782" s="1135" t="str">
        <f>CONCATENATE(Programme!C10783,Programme!D10783,Programme!E10783,Programme!F10783,Programme!G10783,Programme!H10783,Programme!I10783)</f>
        <v>&lt;/cellule&gt;</v>
      </c>
    </row>
    <row r="10783" spans="1:1" x14ac:dyDescent="0.2">
      <c r="A10783" s="1135" t="str">
        <f>CONCATENATE(Programme!C10784,Programme!D10784,Programme!E10784,Programme!F10784,Programme!G10784,Programme!H10784,Programme!I10784)</f>
        <v>&lt;valeur&gt;0&lt;/valeur&gt;</v>
      </c>
    </row>
    <row r="10784" spans="1:1" x14ac:dyDescent="0.2">
      <c r="A10784" s="1135" t="str">
        <f>CONCATENATE(Programme!C10785,Programme!D10785,Programme!E10785,Programme!F10785,Programme!G10785,Programme!H10785,Programme!I10785)</f>
        <v>&lt;/ValeurCellule&gt;</v>
      </c>
    </row>
    <row r="10785" spans="1:1" x14ac:dyDescent="0.2">
      <c r="A10785" s="1135" t="str">
        <f>CONCATENATE(Programme!C10786,Programme!D10786,Programme!E10786,Programme!F10786,Programme!G10786,Programme!H10786,Programme!I10786)</f>
        <v>&lt;ValeurCellule&gt;</v>
      </c>
    </row>
    <row r="10786" spans="1:1" x14ac:dyDescent="0.2">
      <c r="A10786" s="1135" t="str">
        <f>CONCATENATE(Programme!C10787,Programme!D10787,Programme!E10787,Programme!F10787,Programme!G10787,Programme!H10787,Programme!I10787)</f>
        <v>&lt;cellule&gt;</v>
      </c>
    </row>
    <row r="10787" spans="1:1" x14ac:dyDescent="0.2">
      <c r="A10787" s="1135" t="str">
        <f>CONCATENATE(Programme!C10788,Programme!D10788,Programme!E10788,Programme!F10788,Programme!G10788,Programme!H10788,Programme!I10788)</f>
        <v>&lt;codeEdi&gt;1770&lt;/codeEdi&gt;</v>
      </c>
    </row>
    <row r="10788" spans="1:1" x14ac:dyDescent="0.2">
      <c r="A10788" s="1135" t="str">
        <f>CONCATENATE(Programme!C10789,Programme!D10789,Programme!E10789,Programme!F10789,Programme!G10789,Programme!H10789,Programme!I10789)</f>
        <v>&lt;/cellule&gt;</v>
      </c>
    </row>
    <row r="10789" spans="1:1" x14ac:dyDescent="0.2">
      <c r="A10789" s="1135" t="str">
        <f>CONCATENATE(Programme!C10790,Programme!D10790,Programme!E10790,Programme!F10790,Programme!G10790,Programme!H10790,Programme!I10790)</f>
        <v>&lt;valeur&gt;&lt;/valeur&gt;</v>
      </c>
    </row>
    <row r="10790" spans="1:1" x14ac:dyDescent="0.2">
      <c r="A10790" s="1135" t="str">
        <f>CONCATENATE(Programme!C10791,Programme!D10791,Programme!E10791,Programme!F10791,Programme!G10791,Programme!H10791,Programme!I10791)</f>
        <v>&lt;/ValeurCellule&gt;</v>
      </c>
    </row>
    <row r="10791" spans="1:1" x14ac:dyDescent="0.2">
      <c r="A10791" s="1135" t="str">
        <f>CONCATENATE(Programme!C10792,Programme!D10792,Programme!E10792,Programme!F10792,Programme!G10792,Programme!H10792,Programme!I10792)</f>
        <v>&lt;ValeurCellule&gt;</v>
      </c>
    </row>
    <row r="10792" spans="1:1" x14ac:dyDescent="0.2">
      <c r="A10792" s="1135" t="str">
        <f>CONCATENATE(Programme!C10793,Programme!D10793,Programme!E10793,Programme!F10793,Programme!G10793,Programme!H10793,Programme!I10793)</f>
        <v>&lt;cellule&gt;</v>
      </c>
    </row>
    <row r="10793" spans="1:1" x14ac:dyDescent="0.2">
      <c r="A10793" s="1135" t="str">
        <f>CONCATENATE(Programme!C10794,Programme!D10794,Programme!E10794,Programme!F10794,Programme!G10794,Programme!H10794,Programme!I10794)</f>
        <v>&lt;codeEdi&gt;1801&lt;/codeEdi&gt;</v>
      </c>
    </row>
    <row r="10794" spans="1:1" x14ac:dyDescent="0.2">
      <c r="A10794" s="1135" t="str">
        <f>CONCATENATE(Programme!C10795,Programme!D10795,Programme!E10795,Programme!F10795,Programme!G10795,Programme!H10795,Programme!I10795)</f>
        <v>&lt;/cellule&gt;</v>
      </c>
    </row>
    <row r="10795" spans="1:1" x14ac:dyDescent="0.2">
      <c r="A10795" s="1135" t="str">
        <f>CONCATENATE(Programme!C10796,Programme!D10796,Programme!E10796,Programme!F10796,Programme!G10796,Programme!H10796,Programme!I10796)</f>
        <v>&lt;valeur&gt;0&lt;/valeur&gt;</v>
      </c>
    </row>
    <row r="10796" spans="1:1" x14ac:dyDescent="0.2">
      <c r="A10796" s="1135" t="str">
        <f>CONCATENATE(Programme!C10797,Programme!D10797,Programme!E10797,Programme!F10797,Programme!G10797,Programme!H10797,Programme!I10797)</f>
        <v>&lt;/ValeurCellule&gt;</v>
      </c>
    </row>
    <row r="10797" spans="1:1" x14ac:dyDescent="0.2">
      <c r="A10797" s="1135" t="str">
        <f>CONCATENATE(Programme!C10798,Programme!D10798,Programme!E10798,Programme!F10798,Programme!G10798,Programme!H10798,Programme!I10798)</f>
        <v>&lt;ValeurCellule&gt;</v>
      </c>
    </row>
    <row r="10798" spans="1:1" x14ac:dyDescent="0.2">
      <c r="A10798" s="1135" t="str">
        <f>CONCATENATE(Programme!C10799,Programme!D10799,Programme!E10799,Programme!F10799,Programme!G10799,Programme!H10799,Programme!I10799)</f>
        <v>&lt;cellule&gt;</v>
      </c>
    </row>
    <row r="10799" spans="1:1" x14ac:dyDescent="0.2">
      <c r="A10799" s="1135" t="str">
        <f>CONCATENATE(Programme!C10800,Programme!D10800,Programme!E10800,Programme!F10800,Programme!G10800,Programme!H10800,Programme!I10800)</f>
        <v>&lt;codeEdi&gt;1820&lt;/codeEdi&gt;</v>
      </c>
    </row>
    <row r="10800" spans="1:1" x14ac:dyDescent="0.2">
      <c r="A10800" s="1135" t="str">
        <f>CONCATENATE(Programme!C10801,Programme!D10801,Programme!E10801,Programme!F10801,Programme!G10801,Programme!H10801,Programme!I10801)</f>
        <v>&lt;/cellule&gt;</v>
      </c>
    </row>
    <row r="10801" spans="1:1" x14ac:dyDescent="0.2">
      <c r="A10801" s="1135" t="str">
        <f>CONCATENATE(Programme!C10802,Programme!D10802,Programme!E10802,Programme!F10802,Programme!G10802,Programme!H10802,Programme!I10802)</f>
        <v>&lt;valeur&gt;&lt;/valeur&gt;</v>
      </c>
    </row>
    <row r="10802" spans="1:1" x14ac:dyDescent="0.2">
      <c r="A10802" s="1135" t="str">
        <f>CONCATENATE(Programme!C10803,Programme!D10803,Programme!E10803,Programme!F10803,Programme!G10803,Programme!H10803,Programme!I10803)</f>
        <v>&lt;/ValeurCellule&gt;</v>
      </c>
    </row>
    <row r="10803" spans="1:1" x14ac:dyDescent="0.2">
      <c r="A10803" s="1135" t="str">
        <f>CONCATENATE(Programme!C10804,Programme!D10804,Programme!E10804,Programme!F10804,Programme!G10804,Programme!H10804,Programme!I10804)</f>
        <v>&lt;ValeurCellule&gt;</v>
      </c>
    </row>
    <row r="10804" spans="1:1" x14ac:dyDescent="0.2">
      <c r="A10804" s="1135" t="str">
        <f>CONCATENATE(Programme!C10805,Programme!D10805,Programme!E10805,Programme!F10805,Programme!G10805,Programme!H10805,Programme!I10805)</f>
        <v>&lt;cellule&gt;</v>
      </c>
    </row>
    <row r="10805" spans="1:1" x14ac:dyDescent="0.2">
      <c r="A10805" s="1135" t="str">
        <f>CONCATENATE(Programme!C10806,Programme!D10806,Programme!E10806,Programme!F10806,Programme!G10806,Programme!H10806,Programme!I10806)</f>
        <v>&lt;codeEdi&gt;1837&lt;/codeEdi&gt;</v>
      </c>
    </row>
    <row r="10806" spans="1:1" x14ac:dyDescent="0.2">
      <c r="A10806" s="1135" t="str">
        <f>CONCATENATE(Programme!C10807,Programme!D10807,Programme!E10807,Programme!F10807,Programme!G10807,Programme!H10807,Programme!I10807)</f>
        <v>&lt;/cellule&gt;</v>
      </c>
    </row>
    <row r="10807" spans="1:1" x14ac:dyDescent="0.2">
      <c r="A10807" s="1135" t="str">
        <f>CONCATENATE(Programme!C10808,Programme!D10808,Programme!E10808,Programme!F10808,Programme!G10808,Programme!H10808,Programme!I10808)</f>
        <v>&lt;valeur&gt;0&lt;/valeur&gt;</v>
      </c>
    </row>
    <row r="10808" spans="1:1" x14ac:dyDescent="0.2">
      <c r="A10808" s="1135" t="str">
        <f>CONCATENATE(Programme!C10809,Programme!D10809,Programme!E10809,Programme!F10809,Programme!G10809,Programme!H10809,Programme!I10809)</f>
        <v>&lt;/ValeurCellule&gt;</v>
      </c>
    </row>
    <row r="10809" spans="1:1" x14ac:dyDescent="0.2">
      <c r="A10809" s="1135" t="str">
        <f>CONCATENATE(Programme!C10810,Programme!D10810,Programme!E10810,Programme!F10810,Programme!G10810,Programme!H10810,Programme!I10810)</f>
        <v>&lt;ValeurCellule&gt;</v>
      </c>
    </row>
    <row r="10810" spans="1:1" x14ac:dyDescent="0.2">
      <c r="A10810" s="1135" t="str">
        <f>CONCATENATE(Programme!C10811,Programme!D10811,Programme!E10811,Programme!F10811,Programme!G10811,Programme!H10811,Programme!I10811)</f>
        <v>&lt;cellule&gt;</v>
      </c>
    </row>
    <row r="10811" spans="1:1" x14ac:dyDescent="0.2">
      <c r="A10811" s="1135" t="str">
        <f>CONCATENATE(Programme!C10812,Programme!D10812,Programme!E10812,Programme!F10812,Programme!G10812,Programme!H10812,Programme!I10812)</f>
        <v>&lt;codeEdi&gt;1854&lt;/codeEdi&gt;</v>
      </c>
    </row>
    <row r="10812" spans="1:1" x14ac:dyDescent="0.2">
      <c r="A10812" s="1135" t="str">
        <f>CONCATENATE(Programme!C10813,Programme!D10813,Programme!E10813,Programme!F10813,Programme!G10813,Programme!H10813,Programme!I10813)</f>
        <v>&lt;/cellule&gt;</v>
      </c>
    </row>
    <row r="10813" spans="1:1" x14ac:dyDescent="0.2">
      <c r="A10813" s="1135" t="str">
        <f>CONCATENATE(Programme!C10814,Programme!D10814,Programme!E10814,Programme!F10814,Programme!G10814,Programme!H10814,Programme!I10814)</f>
        <v>&lt;valeur&gt;0&lt;/valeur&gt;</v>
      </c>
    </row>
    <row r="10814" spans="1:1" x14ac:dyDescent="0.2">
      <c r="A10814" s="1135" t="str">
        <f>CONCATENATE(Programme!C10815,Programme!D10815,Programme!E10815,Programme!F10815,Programme!G10815,Programme!H10815,Programme!I10815)</f>
        <v>&lt;/ValeurCellule&gt;</v>
      </c>
    </row>
    <row r="10815" spans="1:1" x14ac:dyDescent="0.2">
      <c r="A10815" s="1135" t="str">
        <f>CONCATENATE(Programme!C10816,Programme!D10816,Programme!E10816,Programme!F10816,Programme!G10816,Programme!H10816,Programme!I10816)</f>
        <v>&lt;ValeurCellule&gt;</v>
      </c>
    </row>
    <row r="10816" spans="1:1" x14ac:dyDescent="0.2">
      <c r="A10816" s="1135" t="str">
        <f>CONCATENATE(Programme!C10817,Programme!D10817,Programme!E10817,Programme!F10817,Programme!G10817,Programme!H10817,Programme!I10817)</f>
        <v>&lt;cellule&gt;</v>
      </c>
    </row>
    <row r="10817" spans="1:1" x14ac:dyDescent="0.2">
      <c r="A10817" s="1135" t="str">
        <f>CONCATENATE(Programme!C10818,Programme!D10818,Programme!E10818,Programme!F10818,Programme!G10818,Programme!H10818,Programme!I10818)</f>
        <v>&lt;codeEdi&gt;1862&lt;/codeEdi&gt;</v>
      </c>
    </row>
    <row r="10818" spans="1:1" x14ac:dyDescent="0.2">
      <c r="A10818" s="1135" t="str">
        <f>CONCATENATE(Programme!C10819,Programme!D10819,Programme!E10819,Programme!F10819,Programme!G10819,Programme!H10819,Programme!I10819)</f>
        <v>&lt;/cellule&gt;</v>
      </c>
    </row>
    <row r="10819" spans="1:1" x14ac:dyDescent="0.2">
      <c r="A10819" s="1135" t="str">
        <f>CONCATENATE(Programme!C10820,Programme!D10820,Programme!E10820,Programme!F10820,Programme!G10820,Programme!H10820,Programme!I10820)</f>
        <v>&lt;valeur&gt;0&lt;/valeur&gt;</v>
      </c>
    </row>
    <row r="10820" spans="1:1" x14ac:dyDescent="0.2">
      <c r="A10820" s="1135" t="str">
        <f>CONCATENATE(Programme!C10821,Programme!D10821,Programme!E10821,Programme!F10821,Programme!G10821,Programme!H10821,Programme!I10821)</f>
        <v>&lt;/ValeurCellule&gt;</v>
      </c>
    </row>
    <row r="10821" spans="1:1" x14ac:dyDescent="0.2">
      <c r="A10821" s="1135" t="str">
        <f>CONCATENATE(Programme!C10822,Programme!D10822,Programme!E10822,Programme!F10822,Programme!G10822,Programme!H10822,Programme!I10822)</f>
        <v>&lt;ValeurCellule&gt;</v>
      </c>
    </row>
    <row r="10822" spans="1:1" x14ac:dyDescent="0.2">
      <c r="A10822" s="1135" t="str">
        <f>CONCATENATE(Programme!C10823,Programme!D10823,Programme!E10823,Programme!F10823,Programme!G10823,Programme!H10823,Programme!I10823)</f>
        <v>&lt;cellule&gt;</v>
      </c>
    </row>
    <row r="10823" spans="1:1" x14ac:dyDescent="0.2">
      <c r="A10823" s="1135" t="str">
        <f>CONCATENATE(Programme!C10824,Programme!D10824,Programme!E10824,Programme!F10824,Programme!G10824,Programme!H10824,Programme!I10824)</f>
        <v>&lt;codeEdi&gt;1870&lt;/codeEdi&gt;</v>
      </c>
    </row>
    <row r="10824" spans="1:1" x14ac:dyDescent="0.2">
      <c r="A10824" s="1135" t="str">
        <f>CONCATENATE(Programme!C10825,Programme!D10825,Programme!E10825,Programme!F10825,Programme!G10825,Programme!H10825,Programme!I10825)</f>
        <v>&lt;/cellule&gt;</v>
      </c>
    </row>
    <row r="10825" spans="1:1" x14ac:dyDescent="0.2">
      <c r="A10825" s="1135" t="str">
        <f>CONCATENATE(Programme!C10826,Programme!D10826,Programme!E10826,Programme!F10826,Programme!G10826,Programme!H10826,Programme!I10826)</f>
        <v>&lt;valeur&gt;0&lt;/valeur&gt;</v>
      </c>
    </row>
    <row r="10826" spans="1:1" x14ac:dyDescent="0.2">
      <c r="A10826" s="1135" t="str">
        <f>CONCATENATE(Programme!C10827,Programme!D10827,Programme!E10827,Programme!F10827,Programme!G10827,Programme!H10827,Programme!I10827)</f>
        <v>&lt;/ValeurCellule&gt;</v>
      </c>
    </row>
    <row r="10827" spans="1:1" x14ac:dyDescent="0.2">
      <c r="A10827" s="1135" t="str">
        <f>CONCATENATE(Programme!C10828,Programme!D10828,Programme!E10828,Programme!F10828,Programme!G10828,Programme!H10828,Programme!I10828)</f>
        <v>&lt;ValeurCellule&gt;</v>
      </c>
    </row>
    <row r="10828" spans="1:1" x14ac:dyDescent="0.2">
      <c r="A10828" s="1135" t="str">
        <f>CONCATENATE(Programme!C10829,Programme!D10829,Programme!E10829,Programme!F10829,Programme!G10829,Programme!H10829,Programme!I10829)</f>
        <v>&lt;cellule&gt;</v>
      </c>
    </row>
    <row r="10829" spans="1:1" x14ac:dyDescent="0.2">
      <c r="A10829" s="1135" t="str">
        <f>CONCATENATE(Programme!C10830,Programme!D10830,Programme!E10830,Programme!F10830,Programme!G10830,Programme!H10830,Programme!I10830)</f>
        <v>&lt;codeEdi&gt;1887&lt;/codeEdi&gt;</v>
      </c>
    </row>
    <row r="10830" spans="1:1" x14ac:dyDescent="0.2">
      <c r="A10830" s="1135" t="str">
        <f>CONCATENATE(Programme!C10831,Programme!D10831,Programme!E10831,Programme!F10831,Programme!G10831,Programme!H10831,Programme!I10831)</f>
        <v>&lt;/cellule&gt;</v>
      </c>
    </row>
    <row r="10831" spans="1:1" x14ac:dyDescent="0.2">
      <c r="A10831" s="1135" t="str">
        <f>CONCATENATE(Programme!C10832,Programme!D10832,Programme!E10832,Programme!F10832,Programme!G10832,Programme!H10832,Programme!I10832)</f>
        <v>&lt;valeur&gt;0&lt;/valeur&gt;</v>
      </c>
    </row>
    <row r="10832" spans="1:1" x14ac:dyDescent="0.2">
      <c r="A10832" s="1135" t="str">
        <f>CONCATENATE(Programme!C10833,Programme!D10833,Programme!E10833,Programme!F10833,Programme!G10833,Programme!H10833,Programme!I10833)</f>
        <v>&lt;/ValeurCellule&gt;</v>
      </c>
    </row>
    <row r="10833" spans="1:1" x14ac:dyDescent="0.2">
      <c r="A10833" s="1135" t="str">
        <f>CONCATENATE(Programme!C10834,Programme!D10834,Programme!E10834,Programme!F10834,Programme!G10834,Programme!H10834,Programme!I10834)</f>
        <v>&lt;ValeurCellule&gt;</v>
      </c>
    </row>
    <row r="10834" spans="1:1" x14ac:dyDescent="0.2">
      <c r="A10834" s="1135" t="str">
        <f>CONCATENATE(Programme!C10835,Programme!D10835,Programme!E10835,Programme!F10835,Programme!G10835,Programme!H10835,Programme!I10835)</f>
        <v>&lt;cellule&gt;</v>
      </c>
    </row>
    <row r="10835" spans="1:1" x14ac:dyDescent="0.2">
      <c r="A10835" s="1135" t="str">
        <f>CONCATENATE(Programme!C10836,Programme!D10836,Programme!E10836,Programme!F10836,Programme!G10836,Programme!H10836,Programme!I10836)</f>
        <v>&lt;codeEdi&gt;1403&lt;/codeEdi&gt;</v>
      </c>
    </row>
    <row r="10836" spans="1:1" x14ac:dyDescent="0.2">
      <c r="A10836" s="1135" t="str">
        <f>CONCATENATE(Programme!C10837,Programme!D10837,Programme!E10837,Programme!F10837,Programme!G10837,Programme!H10837,Programme!I10837)</f>
        <v>&lt;/cellule&gt;</v>
      </c>
    </row>
    <row r="10837" spans="1:1" x14ac:dyDescent="0.2">
      <c r="A10837" s="1135" t="str">
        <f>CONCATENATE(Programme!C10838,Programme!D10838,Programme!E10838,Programme!F10838,Programme!G10838,Programme!H10838,Programme!I10838)</f>
        <v>&lt;valeur&gt;0&lt;/valeur&gt;</v>
      </c>
    </row>
    <row r="10838" spans="1:1" x14ac:dyDescent="0.2">
      <c r="A10838" s="1135" t="str">
        <f>CONCATENATE(Programme!C10839,Programme!D10839,Programme!E10839,Programme!F10839,Programme!G10839,Programme!H10839,Programme!I10839)</f>
        <v>&lt;/ValeurCellule&gt;</v>
      </c>
    </row>
    <row r="10839" spans="1:1" x14ac:dyDescent="0.2">
      <c r="A10839" s="1135" t="str">
        <f>CONCATENATE(Programme!C10840,Programme!D10840,Programme!E10840,Programme!F10840,Programme!G10840,Programme!H10840,Programme!I10840)</f>
        <v>&lt;ValeurCellule&gt;</v>
      </c>
    </row>
    <row r="10840" spans="1:1" x14ac:dyDescent="0.2">
      <c r="A10840" s="1135" t="str">
        <f>CONCATENATE(Programme!C10841,Programme!D10841,Programme!E10841,Programme!F10841,Programme!G10841,Programme!H10841,Programme!I10841)</f>
        <v>&lt;cellule&gt;</v>
      </c>
    </row>
    <row r="10841" spans="1:1" x14ac:dyDescent="0.2">
      <c r="A10841" s="1135" t="str">
        <f>CONCATENATE(Programme!C10842,Programme!D10842,Programme!E10842,Programme!F10842,Programme!G10842,Programme!H10842,Programme!I10842)</f>
        <v>&lt;codeEdi&gt;1411&lt;/codeEdi&gt;</v>
      </c>
    </row>
    <row r="10842" spans="1:1" x14ac:dyDescent="0.2">
      <c r="A10842" s="1135" t="str">
        <f>CONCATENATE(Programme!C10843,Programme!D10843,Programme!E10843,Programme!F10843,Programme!G10843,Programme!H10843,Programme!I10843)</f>
        <v>&lt;/cellule&gt;</v>
      </c>
    </row>
    <row r="10843" spans="1:1" x14ac:dyDescent="0.2">
      <c r="A10843" s="1135" t="str">
        <f>CONCATENATE(Programme!C10844,Programme!D10844,Programme!E10844,Programme!F10844,Programme!G10844,Programme!H10844,Programme!I10844)</f>
        <v>&lt;valeur&gt;0&lt;/valeur&gt;</v>
      </c>
    </row>
    <row r="10844" spans="1:1" x14ac:dyDescent="0.2">
      <c r="A10844" s="1135" t="str">
        <f>CONCATENATE(Programme!C10845,Programme!D10845,Programme!E10845,Programme!F10845,Programme!G10845,Programme!H10845,Programme!I10845)</f>
        <v>&lt;/ValeurCellule&gt;</v>
      </c>
    </row>
    <row r="10845" spans="1:1" x14ac:dyDescent="0.2">
      <c r="A10845" s="1135" t="str">
        <f>CONCATENATE(Programme!C10846,Programme!D10846,Programme!E10846,Programme!F10846,Programme!G10846,Programme!H10846,Programme!I10846)</f>
        <v>&lt;ValeurCellule&gt;</v>
      </c>
    </row>
    <row r="10846" spans="1:1" x14ac:dyDescent="0.2">
      <c r="A10846" s="1135" t="str">
        <f>CONCATENATE(Programme!C10847,Programme!D10847,Programme!E10847,Programme!F10847,Programme!G10847,Programme!H10847,Programme!I10847)</f>
        <v>&lt;cellule&gt;</v>
      </c>
    </row>
    <row r="10847" spans="1:1" x14ac:dyDescent="0.2">
      <c r="A10847" s="1135" t="str">
        <f>CONCATENATE(Programme!C10848,Programme!D10848,Programme!E10848,Programme!F10848,Programme!G10848,Programme!H10848,Programme!I10848)</f>
        <v>&lt;codeEdi&gt;1419&lt;/codeEdi&gt;</v>
      </c>
    </row>
    <row r="10848" spans="1:1" x14ac:dyDescent="0.2">
      <c r="A10848" s="1135" t="str">
        <f>CONCATENATE(Programme!C10849,Programme!D10849,Programme!E10849,Programme!F10849,Programme!G10849,Programme!H10849,Programme!I10849)</f>
        <v>&lt;/cellule&gt;</v>
      </c>
    </row>
    <row r="10849" spans="1:1" x14ac:dyDescent="0.2">
      <c r="A10849" s="1135" t="str">
        <f>CONCATENATE(Programme!C10850,Programme!D10850,Programme!E10850,Programme!F10850,Programme!G10850,Programme!H10850,Programme!I10850)</f>
        <v>&lt;valeur&gt;0&lt;/valeur&gt;</v>
      </c>
    </row>
    <row r="10850" spans="1:1" x14ac:dyDescent="0.2">
      <c r="A10850" s="1135" t="str">
        <f>CONCATENATE(Programme!C10851,Programme!D10851,Programme!E10851,Programme!F10851,Programme!G10851,Programme!H10851,Programme!I10851)</f>
        <v>&lt;/ValeurCellule&gt;</v>
      </c>
    </row>
    <row r="10851" spans="1:1" x14ac:dyDescent="0.2">
      <c r="A10851" s="1135" t="str">
        <f>CONCATENATE(Programme!C10852,Programme!D10852,Programme!E10852,Programme!F10852,Programme!G10852,Programme!H10852,Programme!I10852)</f>
        <v>&lt;ValeurCellule&gt;</v>
      </c>
    </row>
    <row r="10852" spans="1:1" x14ac:dyDescent="0.2">
      <c r="A10852" s="1135" t="str">
        <f>CONCATENATE(Programme!C10853,Programme!D10853,Programme!E10853,Programme!F10853,Programme!G10853,Programme!H10853,Programme!I10853)</f>
        <v>&lt;cellule&gt;</v>
      </c>
    </row>
    <row r="10853" spans="1:1" x14ac:dyDescent="0.2">
      <c r="A10853" s="1135" t="str">
        <f>CONCATENATE(Programme!C10854,Programme!D10854,Programme!E10854,Programme!F10854,Programme!G10854,Programme!H10854,Programme!I10854)</f>
        <v>&lt;codeEdi&gt;1427&lt;/codeEdi&gt;</v>
      </c>
    </row>
    <row r="10854" spans="1:1" x14ac:dyDescent="0.2">
      <c r="A10854" s="1135" t="str">
        <f>CONCATENATE(Programme!C10855,Programme!D10855,Programme!E10855,Programme!F10855,Programme!G10855,Programme!H10855,Programme!I10855)</f>
        <v>&lt;/cellule&gt;</v>
      </c>
    </row>
    <row r="10855" spans="1:1" x14ac:dyDescent="0.2">
      <c r="A10855" s="1135" t="str">
        <f>CONCATENATE(Programme!C10856,Programme!D10856,Programme!E10856,Programme!F10856,Programme!G10856,Programme!H10856,Programme!I10856)</f>
        <v>&lt;valeur&gt;0&lt;/valeur&gt;</v>
      </c>
    </row>
    <row r="10856" spans="1:1" x14ac:dyDescent="0.2">
      <c r="A10856" s="1135" t="str">
        <f>CONCATENATE(Programme!C10857,Programme!D10857,Programme!E10857,Programme!F10857,Programme!G10857,Programme!H10857,Programme!I10857)</f>
        <v>&lt;/ValeurCellule&gt;</v>
      </c>
    </row>
    <row r="10857" spans="1:1" x14ac:dyDescent="0.2">
      <c r="A10857" s="1135" t="str">
        <f>CONCATENATE(Programme!C10858,Programme!D10858,Programme!E10858,Programme!F10858,Programme!G10858,Programme!H10858,Programme!I10858)</f>
        <v>&lt;ValeurCellule&gt;</v>
      </c>
    </row>
    <row r="10858" spans="1:1" x14ac:dyDescent="0.2">
      <c r="A10858" s="1135" t="str">
        <f>CONCATENATE(Programme!C10859,Programme!D10859,Programme!E10859,Programme!F10859,Programme!G10859,Programme!H10859,Programme!I10859)</f>
        <v>&lt;cellule&gt;</v>
      </c>
    </row>
    <row r="10859" spans="1:1" x14ac:dyDescent="0.2">
      <c r="A10859" s="1135" t="str">
        <f>CONCATENATE(Programme!C10860,Programme!D10860,Programme!E10860,Programme!F10860,Programme!G10860,Programme!H10860,Programme!I10860)</f>
        <v>&lt;codeEdi&gt;1435&lt;/codeEdi&gt;</v>
      </c>
    </row>
    <row r="10860" spans="1:1" x14ac:dyDescent="0.2">
      <c r="A10860" s="1135" t="str">
        <f>CONCATENATE(Programme!C10861,Programme!D10861,Programme!E10861,Programme!F10861,Programme!G10861,Programme!H10861,Programme!I10861)</f>
        <v>&lt;/cellule&gt;</v>
      </c>
    </row>
    <row r="10861" spans="1:1" x14ac:dyDescent="0.2">
      <c r="A10861" s="1135" t="str">
        <f>CONCATENATE(Programme!C10862,Programme!D10862,Programme!E10862,Programme!F10862,Programme!G10862,Programme!H10862,Programme!I10862)</f>
        <v>&lt;valeur&gt;0&lt;/valeur&gt;</v>
      </c>
    </row>
    <row r="10862" spans="1:1" x14ac:dyDescent="0.2">
      <c r="A10862" s="1135" t="str">
        <f>CONCATENATE(Programme!C10863,Programme!D10863,Programme!E10863,Programme!F10863,Programme!G10863,Programme!H10863,Programme!I10863)</f>
        <v>&lt;/ValeurCellule&gt;</v>
      </c>
    </row>
    <row r="10863" spans="1:1" x14ac:dyDescent="0.2">
      <c r="A10863" s="1135" t="str">
        <f>CONCATENATE(Programme!C10864,Programme!D10864,Programme!E10864,Programme!F10864,Programme!G10864,Programme!H10864,Programme!I10864)</f>
        <v>&lt;ValeurCellule&gt;</v>
      </c>
    </row>
    <row r="10864" spans="1:1" x14ac:dyDescent="0.2">
      <c r="A10864" s="1135" t="str">
        <f>CONCATENATE(Programme!C10865,Programme!D10865,Programme!E10865,Programme!F10865,Programme!G10865,Programme!H10865,Programme!I10865)</f>
        <v>&lt;cellule&gt;</v>
      </c>
    </row>
    <row r="10865" spans="1:1" x14ac:dyDescent="0.2">
      <c r="A10865" s="1135" t="str">
        <f>CONCATENATE(Programme!C10866,Programme!D10866,Programme!E10866,Programme!F10866,Programme!G10866,Programme!H10866,Programme!I10866)</f>
        <v>&lt;codeEdi&gt;1451&lt;/codeEdi&gt;</v>
      </c>
    </row>
    <row r="10866" spans="1:1" x14ac:dyDescent="0.2">
      <c r="A10866" s="1135" t="str">
        <f>CONCATENATE(Programme!C10867,Programme!D10867,Programme!E10867,Programme!F10867,Programme!G10867,Programme!H10867,Programme!I10867)</f>
        <v>&lt;/cellule&gt;</v>
      </c>
    </row>
    <row r="10867" spans="1:1" x14ac:dyDescent="0.2">
      <c r="A10867" s="1135" t="str">
        <f>CONCATENATE(Programme!C10868,Programme!D10868,Programme!E10868,Programme!F10868,Programme!G10868,Programme!H10868,Programme!I10868)</f>
        <v>&lt;valeur&gt;&lt;/valeur&gt;</v>
      </c>
    </row>
    <row r="10868" spans="1:1" x14ac:dyDescent="0.2">
      <c r="A10868" s="1135" t="str">
        <f>CONCATENATE(Programme!C10869,Programme!D10869,Programme!E10869,Programme!F10869,Programme!G10869,Programme!H10869,Programme!I10869)</f>
        <v>&lt;/ValeurCellule&gt;</v>
      </c>
    </row>
    <row r="10869" spans="1:1" x14ac:dyDescent="0.2">
      <c r="A10869" s="1135" t="str">
        <f>CONCATENATE(Programme!C10870,Programme!D10870,Programme!E10870,Programme!F10870,Programme!G10870,Programme!H10870,Programme!I10870)</f>
        <v>&lt;ValeurCellule&gt;</v>
      </c>
    </row>
    <row r="10870" spans="1:1" x14ac:dyDescent="0.2">
      <c r="A10870" s="1135" t="str">
        <f>CONCATENATE(Programme!C10871,Programme!D10871,Programme!E10871,Programme!F10871,Programme!G10871,Programme!H10871,Programme!I10871)</f>
        <v>&lt;cellule&gt;</v>
      </c>
    </row>
    <row r="10871" spans="1:1" x14ac:dyDescent="0.2">
      <c r="A10871" s="1135" t="str">
        <f>CONCATENATE(Programme!C10872,Programme!D10872,Programme!E10872,Programme!F10872,Programme!G10872,Programme!H10872,Programme!I10872)</f>
        <v>&lt;codeEdi&gt;1459&lt;/codeEdi&gt;</v>
      </c>
    </row>
    <row r="10872" spans="1:1" x14ac:dyDescent="0.2">
      <c r="A10872" s="1135" t="str">
        <f>CONCATENATE(Programme!C10873,Programme!D10873,Programme!E10873,Programme!F10873,Programme!G10873,Programme!H10873,Programme!I10873)</f>
        <v>&lt;/cellule&gt;</v>
      </c>
    </row>
    <row r="10873" spans="1:1" x14ac:dyDescent="0.2">
      <c r="A10873" s="1135" t="str">
        <f>CONCATENATE(Programme!C10874,Programme!D10874,Programme!E10874,Programme!F10874,Programme!G10874,Programme!H10874,Programme!I10874)</f>
        <v>&lt;valeur&gt;0&lt;/valeur&gt;</v>
      </c>
    </row>
    <row r="10874" spans="1:1" x14ac:dyDescent="0.2">
      <c r="A10874" s="1135" t="str">
        <f>CONCATENATE(Programme!C10875,Programme!D10875,Programme!E10875,Programme!F10875,Programme!G10875,Programme!H10875,Programme!I10875)</f>
        <v>&lt;/ValeurCellule&gt;</v>
      </c>
    </row>
    <row r="10875" spans="1:1" x14ac:dyDescent="0.2">
      <c r="A10875" s="1135" t="str">
        <f>CONCATENATE(Programme!C10876,Programme!D10876,Programme!E10876,Programme!F10876,Programme!G10876,Programme!H10876,Programme!I10876)</f>
        <v>&lt;ValeurCellule&gt;</v>
      </c>
    </row>
    <row r="10876" spans="1:1" x14ac:dyDescent="0.2">
      <c r="A10876" s="1135" t="str">
        <f>CONCATENATE(Programme!C10877,Programme!D10877,Programme!E10877,Programme!F10877,Programme!G10877,Programme!H10877,Programme!I10877)</f>
        <v>&lt;cellule&gt;</v>
      </c>
    </row>
    <row r="10877" spans="1:1" x14ac:dyDescent="0.2">
      <c r="A10877" s="1135" t="str">
        <f>CONCATENATE(Programme!C10878,Programme!D10878,Programme!E10878,Programme!F10878,Programme!G10878,Programme!H10878,Programme!I10878)</f>
        <v>&lt;codeEdi&gt;1467&lt;/codeEdi&gt;</v>
      </c>
    </row>
    <row r="10878" spans="1:1" x14ac:dyDescent="0.2">
      <c r="A10878" s="1135" t="str">
        <f>CONCATENATE(Programme!C10879,Programme!D10879,Programme!E10879,Programme!F10879,Programme!G10879,Programme!H10879,Programme!I10879)</f>
        <v>&lt;/cellule&gt;</v>
      </c>
    </row>
    <row r="10879" spans="1:1" x14ac:dyDescent="0.2">
      <c r="A10879" s="1135" t="str">
        <f>CONCATENATE(Programme!C10880,Programme!D10880,Programme!E10880,Programme!F10880,Programme!G10880,Programme!H10880,Programme!I10880)</f>
        <v>&lt;valeur&gt;0&lt;/valeur&gt;</v>
      </c>
    </row>
    <row r="10880" spans="1:1" x14ac:dyDescent="0.2">
      <c r="A10880" s="1135" t="str">
        <f>CONCATENATE(Programme!C10881,Programme!D10881,Programme!E10881,Programme!F10881,Programme!G10881,Programme!H10881,Programme!I10881)</f>
        <v>&lt;/ValeurCellule&gt;</v>
      </c>
    </row>
    <row r="10881" spans="1:1" x14ac:dyDescent="0.2">
      <c r="A10881" s="1135" t="str">
        <f>CONCATENATE(Programme!C10882,Programme!D10882,Programme!E10882,Programme!F10882,Programme!G10882,Programme!H10882,Programme!I10882)</f>
        <v>&lt;ValeurCellule&gt;</v>
      </c>
    </row>
    <row r="10882" spans="1:1" x14ac:dyDescent="0.2">
      <c r="A10882" s="1135" t="str">
        <f>CONCATENATE(Programme!C10883,Programme!D10883,Programme!E10883,Programme!F10883,Programme!G10883,Programme!H10883,Programme!I10883)</f>
        <v>&lt;cellule&gt;</v>
      </c>
    </row>
    <row r="10883" spans="1:1" x14ac:dyDescent="0.2">
      <c r="A10883" s="1135" t="str">
        <f>CONCATENATE(Programme!C10884,Programme!D10884,Programme!E10884,Programme!F10884,Programme!G10884,Programme!H10884,Programme!I10884)</f>
        <v>&lt;codeEdi&gt;1475&lt;/codeEdi&gt;</v>
      </c>
    </row>
    <row r="10884" spans="1:1" x14ac:dyDescent="0.2">
      <c r="A10884" s="1135" t="str">
        <f>CONCATENATE(Programme!C10885,Programme!D10885,Programme!E10885,Programme!F10885,Programme!G10885,Programme!H10885,Programme!I10885)</f>
        <v>&lt;/cellule&gt;</v>
      </c>
    </row>
    <row r="10885" spans="1:1" x14ac:dyDescent="0.2">
      <c r="A10885" s="1135" t="str">
        <f>CONCATENATE(Programme!C10886,Programme!D10886,Programme!E10886,Programme!F10886,Programme!G10886,Programme!H10886,Programme!I10886)</f>
        <v>&lt;valeur&gt;0&lt;/valeur&gt;</v>
      </c>
    </row>
    <row r="10886" spans="1:1" x14ac:dyDescent="0.2">
      <c r="A10886" s="1135" t="str">
        <f>CONCATENATE(Programme!C10887,Programme!D10887,Programme!E10887,Programme!F10887,Programme!G10887,Programme!H10887,Programme!I10887)</f>
        <v>&lt;/ValeurCellule&gt;</v>
      </c>
    </row>
    <row r="10887" spans="1:1" x14ac:dyDescent="0.2">
      <c r="A10887" s="1135" t="str">
        <f>CONCATENATE(Programme!C10888,Programme!D10888,Programme!E10888,Programme!F10888,Programme!G10888,Programme!H10888,Programme!I10888)</f>
        <v>&lt;ValeurCellule&gt;</v>
      </c>
    </row>
    <row r="10888" spans="1:1" x14ac:dyDescent="0.2">
      <c r="A10888" s="1135" t="str">
        <f>CONCATENATE(Programme!C10889,Programme!D10889,Programme!E10889,Programme!F10889,Programme!G10889,Programme!H10889,Programme!I10889)</f>
        <v>&lt;cellule&gt;</v>
      </c>
    </row>
    <row r="10889" spans="1:1" x14ac:dyDescent="0.2">
      <c r="A10889" s="1135" t="str">
        <f>CONCATENATE(Programme!C10890,Programme!D10890,Programme!E10890,Programme!F10890,Programme!G10890,Programme!H10890,Programme!I10890)</f>
        <v>&lt;codeEdi&gt;1483&lt;/codeEdi&gt;</v>
      </c>
    </row>
    <row r="10890" spans="1:1" x14ac:dyDescent="0.2">
      <c r="A10890" s="1135" t="str">
        <f>CONCATENATE(Programme!C10891,Programme!D10891,Programme!E10891,Programme!F10891,Programme!G10891,Programme!H10891,Programme!I10891)</f>
        <v>&lt;/cellule&gt;</v>
      </c>
    </row>
    <row r="10891" spans="1:1" x14ac:dyDescent="0.2">
      <c r="A10891" s="1135" t="str">
        <f>CONCATENATE(Programme!C10892,Programme!D10892,Programme!E10892,Programme!F10892,Programme!G10892,Programme!H10892,Programme!I10892)</f>
        <v>&lt;valeur&gt;0&lt;/valeur&gt;</v>
      </c>
    </row>
    <row r="10892" spans="1:1" x14ac:dyDescent="0.2">
      <c r="A10892" s="1135" t="str">
        <f>CONCATENATE(Programme!C10893,Programme!D10893,Programme!E10893,Programme!F10893,Programme!G10893,Programme!H10893,Programme!I10893)</f>
        <v>&lt;/ValeurCellule&gt;</v>
      </c>
    </row>
    <row r="10893" spans="1:1" x14ac:dyDescent="0.2">
      <c r="A10893" s="1135" t="str">
        <f>CONCATENATE(Programme!C10894,Programme!D10894,Programme!E10894,Programme!F10894,Programme!G10894,Programme!H10894,Programme!I10894)</f>
        <v>&lt;ValeurCellule&gt;</v>
      </c>
    </row>
    <row r="10894" spans="1:1" x14ac:dyDescent="0.2">
      <c r="A10894" s="1135" t="str">
        <f>CONCATENATE(Programme!C10895,Programme!D10895,Programme!E10895,Programme!F10895,Programme!G10895,Programme!H10895,Programme!I10895)</f>
        <v>&lt;cellule&gt;</v>
      </c>
    </row>
    <row r="10895" spans="1:1" x14ac:dyDescent="0.2">
      <c r="A10895" s="1135" t="str">
        <f>CONCATENATE(Programme!C10896,Programme!D10896,Programme!E10896,Programme!F10896,Programme!G10896,Programme!H10896,Programme!I10896)</f>
        <v>&lt;codeEdi&gt;1557&lt;/codeEdi&gt;</v>
      </c>
    </row>
    <row r="10896" spans="1:1" x14ac:dyDescent="0.2">
      <c r="A10896" s="1135" t="str">
        <f>CONCATENATE(Programme!C10897,Programme!D10897,Programme!E10897,Programme!F10897,Programme!G10897,Programme!H10897,Programme!I10897)</f>
        <v>&lt;/cellule&gt;</v>
      </c>
    </row>
    <row r="10897" spans="1:1" x14ac:dyDescent="0.2">
      <c r="A10897" s="1135" t="str">
        <f>CONCATENATE(Programme!C10898,Programme!D10898,Programme!E10898,Programme!F10898,Programme!G10898,Programme!H10898,Programme!I10898)</f>
        <v>&lt;valeur&gt;0&lt;/valeur&gt;</v>
      </c>
    </row>
    <row r="10898" spans="1:1" x14ac:dyDescent="0.2">
      <c r="A10898" s="1135" t="str">
        <f>CONCATENATE(Programme!C10899,Programme!D10899,Programme!E10899,Programme!F10899,Programme!G10899,Programme!H10899,Programme!I10899)</f>
        <v>&lt;/ValeurCellule&gt;</v>
      </c>
    </row>
    <row r="10899" spans="1:1" x14ac:dyDescent="0.2">
      <c r="A10899" s="1135" t="str">
        <f>CONCATENATE(Programme!C10900,Programme!D10900,Programme!E10900,Programme!F10900,Programme!G10900,Programme!H10900,Programme!I10900)</f>
        <v>&lt;ValeurCellule&gt;</v>
      </c>
    </row>
    <row r="10900" spans="1:1" x14ac:dyDescent="0.2">
      <c r="A10900" s="1135" t="str">
        <f>CONCATENATE(Programme!C10901,Programme!D10901,Programme!E10901,Programme!F10901,Programme!G10901,Programme!H10901,Programme!I10901)</f>
        <v>&lt;cellule&gt;</v>
      </c>
    </row>
    <row r="10901" spans="1:1" x14ac:dyDescent="0.2">
      <c r="A10901" s="1135" t="str">
        <f>CONCATENATE(Programme!C10902,Programme!D10902,Programme!E10902,Programme!F10902,Programme!G10902,Programme!H10902,Programme!I10902)</f>
        <v>&lt;codeEdi&gt;1598&lt;/codeEdi&gt;</v>
      </c>
    </row>
    <row r="10902" spans="1:1" x14ac:dyDescent="0.2">
      <c r="A10902" s="1135" t="str">
        <f>CONCATENATE(Programme!C10903,Programme!D10903,Programme!E10903,Programme!F10903,Programme!G10903,Programme!H10903,Programme!I10903)</f>
        <v>&lt;/cellule&gt;</v>
      </c>
    </row>
    <row r="10903" spans="1:1" x14ac:dyDescent="0.2">
      <c r="A10903" s="1135" t="str">
        <f>CONCATENATE(Programme!C10904,Programme!D10904,Programme!E10904,Programme!F10904,Programme!G10904,Programme!H10904,Programme!I10904)</f>
        <v>&lt;valeur&gt;0&lt;/valeur&gt;</v>
      </c>
    </row>
    <row r="10904" spans="1:1" x14ac:dyDescent="0.2">
      <c r="A10904" s="1135" t="str">
        <f>CONCATENATE(Programme!C10905,Programme!D10905,Programme!E10905,Programme!F10905,Programme!G10905,Programme!H10905,Programme!I10905)</f>
        <v>&lt;/ValeurCellule&gt;</v>
      </c>
    </row>
    <row r="10905" spans="1:1" x14ac:dyDescent="0.2">
      <c r="A10905" s="1135" t="str">
        <f>CONCATENATE(Programme!C10906,Programme!D10906,Programme!E10906,Programme!F10906,Programme!G10906,Programme!H10906,Programme!I10906)</f>
        <v>&lt;ValeurCellule&gt;</v>
      </c>
    </row>
    <row r="10906" spans="1:1" x14ac:dyDescent="0.2">
      <c r="A10906" s="1135" t="str">
        <f>CONCATENATE(Programme!C10907,Programme!D10907,Programme!E10907,Programme!F10907,Programme!G10907,Programme!H10907,Programme!I10907)</f>
        <v>&lt;cellule&gt;</v>
      </c>
    </row>
    <row r="10907" spans="1:1" x14ac:dyDescent="0.2">
      <c r="A10907" s="1135" t="str">
        <f>CONCATENATE(Programme!C10908,Programme!D10908,Programme!E10908,Programme!F10908,Programme!G10908,Programme!H10908,Programme!I10908)</f>
        <v>&lt;codeEdi&gt;1606&lt;/codeEdi&gt;</v>
      </c>
    </row>
    <row r="10908" spans="1:1" x14ac:dyDescent="0.2">
      <c r="A10908" s="1135" t="str">
        <f>CONCATENATE(Programme!C10909,Programme!D10909,Programme!E10909,Programme!F10909,Programme!G10909,Programme!H10909,Programme!I10909)</f>
        <v>&lt;/cellule&gt;</v>
      </c>
    </row>
    <row r="10909" spans="1:1" x14ac:dyDescent="0.2">
      <c r="A10909" s="1135" t="str">
        <f>CONCATENATE(Programme!C10910,Programme!D10910,Programme!E10910,Programme!F10910,Programme!G10910,Programme!H10910,Programme!I10910)</f>
        <v>&lt;valeur&gt;0&lt;/valeur&gt;</v>
      </c>
    </row>
    <row r="10910" spans="1:1" x14ac:dyDescent="0.2">
      <c r="A10910" s="1135" t="str">
        <f>CONCATENATE(Programme!C10911,Programme!D10911,Programme!E10911,Programme!F10911,Programme!G10911,Programme!H10911,Programme!I10911)</f>
        <v>&lt;/ValeurCellule&gt;</v>
      </c>
    </row>
    <row r="10911" spans="1:1" x14ac:dyDescent="0.2">
      <c r="A10911" s="1135" t="str">
        <f>CONCATENATE(Programme!C10912,Programme!D10912,Programme!E10912,Programme!F10912,Programme!G10912,Programme!H10912,Programme!I10912)</f>
        <v>&lt;ValeurCellule&gt;</v>
      </c>
    </row>
    <row r="10912" spans="1:1" x14ac:dyDescent="0.2">
      <c r="A10912" s="1135" t="str">
        <f>CONCATENATE(Programme!C10913,Programme!D10913,Programme!E10913,Programme!F10913,Programme!G10913,Programme!H10913,Programme!I10913)</f>
        <v>&lt;cellule&gt;</v>
      </c>
    </row>
    <row r="10913" spans="1:1" x14ac:dyDescent="0.2">
      <c r="A10913" s="1135" t="str">
        <f>CONCATENATE(Programme!C10914,Programme!D10914,Programme!E10914,Programme!F10914,Programme!G10914,Programme!H10914,Programme!I10914)</f>
        <v>&lt;codeEdi&gt;1614&lt;/codeEdi&gt;</v>
      </c>
    </row>
    <row r="10914" spans="1:1" x14ac:dyDescent="0.2">
      <c r="A10914" s="1135" t="str">
        <f>CONCATENATE(Programme!C10915,Programme!D10915,Programme!E10915,Programme!F10915,Programme!G10915,Programme!H10915,Programme!I10915)</f>
        <v>&lt;/cellule&gt;</v>
      </c>
    </row>
    <row r="10915" spans="1:1" x14ac:dyDescent="0.2">
      <c r="A10915" s="1135" t="str">
        <f>CONCATENATE(Programme!C10916,Programme!D10916,Programme!E10916,Programme!F10916,Programme!G10916,Programme!H10916,Programme!I10916)</f>
        <v>&lt;valeur&gt;0&lt;/valeur&gt;</v>
      </c>
    </row>
    <row r="10916" spans="1:1" x14ac:dyDescent="0.2">
      <c r="A10916" s="1135" t="str">
        <f>CONCATENATE(Programme!C10917,Programme!D10917,Programme!E10917,Programme!F10917,Programme!G10917,Programme!H10917,Programme!I10917)</f>
        <v>&lt;/ValeurCellule&gt;</v>
      </c>
    </row>
    <row r="10917" spans="1:1" x14ac:dyDescent="0.2">
      <c r="A10917" s="1135" t="str">
        <f>CONCATENATE(Programme!C10918,Programme!D10918,Programme!E10918,Programme!F10918,Programme!G10918,Programme!H10918,Programme!I10918)</f>
        <v>&lt;ValeurCellule&gt;</v>
      </c>
    </row>
    <row r="10918" spans="1:1" x14ac:dyDescent="0.2">
      <c r="A10918" s="1135" t="str">
        <f>CONCATENATE(Programme!C10919,Programme!D10919,Programme!E10919,Programme!F10919,Programme!G10919,Programme!H10919,Programme!I10919)</f>
        <v>&lt;cellule&gt;</v>
      </c>
    </row>
    <row r="10919" spans="1:1" x14ac:dyDescent="0.2">
      <c r="A10919" s="1135" t="str">
        <f>CONCATENATE(Programme!C10920,Programme!D10920,Programme!E10920,Programme!F10920,Programme!G10920,Programme!H10920,Programme!I10920)</f>
        <v>&lt;codeEdi&gt;1637&lt;/codeEdi&gt;</v>
      </c>
    </row>
    <row r="10920" spans="1:1" x14ac:dyDescent="0.2">
      <c r="A10920" s="1135" t="str">
        <f>CONCATENATE(Programme!C10921,Programme!D10921,Programme!E10921,Programme!F10921,Programme!G10921,Programme!H10921,Programme!I10921)</f>
        <v>&lt;/cellule&gt;</v>
      </c>
    </row>
    <row r="10921" spans="1:1" x14ac:dyDescent="0.2">
      <c r="A10921" s="1135" t="str">
        <f>CONCATENATE(Programme!C10922,Programme!D10922,Programme!E10922,Programme!F10922,Programme!G10922,Programme!H10922,Programme!I10922)</f>
        <v>&lt;valeur&gt;&lt;/valeur&gt;</v>
      </c>
    </row>
    <row r="10922" spans="1:1" x14ac:dyDescent="0.2">
      <c r="A10922" s="1135" t="str">
        <f>CONCATENATE(Programme!C10923,Programme!D10923,Programme!E10923,Programme!F10923,Programme!G10923,Programme!H10923,Programme!I10923)</f>
        <v>&lt;/ValeurCellule&gt;</v>
      </c>
    </row>
    <row r="10923" spans="1:1" x14ac:dyDescent="0.2">
      <c r="A10923" s="1135" t="str">
        <f>CONCATENATE(Programme!C10924,Programme!D10924,Programme!E10924,Programme!F10924,Programme!G10924,Programme!H10924,Programme!I10924)</f>
        <v>&lt;ValeurCellule&gt;</v>
      </c>
    </row>
    <row r="10924" spans="1:1" x14ac:dyDescent="0.2">
      <c r="A10924" s="1135" t="str">
        <f>CONCATENATE(Programme!C10925,Programme!D10925,Programme!E10925,Programme!F10925,Programme!G10925,Programme!H10925,Programme!I10925)</f>
        <v>&lt;cellule&gt;</v>
      </c>
    </row>
    <row r="10925" spans="1:1" x14ac:dyDescent="0.2">
      <c r="A10925" s="1135" t="str">
        <f>CONCATENATE(Programme!C10926,Programme!D10926,Programme!E10926,Programme!F10926,Programme!G10926,Programme!H10926,Programme!I10926)</f>
        <v>&lt;codeEdi&gt;1645&lt;/codeEdi&gt;</v>
      </c>
    </row>
    <row r="10926" spans="1:1" x14ac:dyDescent="0.2">
      <c r="A10926" s="1135" t="str">
        <f>CONCATENATE(Programme!C10927,Programme!D10927,Programme!E10927,Programme!F10927,Programme!G10927,Programme!H10927,Programme!I10927)</f>
        <v>&lt;/cellule&gt;</v>
      </c>
    </row>
    <row r="10927" spans="1:1" x14ac:dyDescent="0.2">
      <c r="A10927" s="1135" t="str">
        <f>CONCATENATE(Programme!C10928,Programme!D10928,Programme!E10928,Programme!F10928,Programme!G10928,Programme!H10928,Programme!I10928)</f>
        <v>&lt;valeur&gt;0&lt;/valeur&gt;</v>
      </c>
    </row>
    <row r="10928" spans="1:1" x14ac:dyDescent="0.2">
      <c r="A10928" s="1135" t="str">
        <f>CONCATENATE(Programme!C10929,Programme!D10929,Programme!E10929,Programme!F10929,Programme!G10929,Programme!H10929,Programme!I10929)</f>
        <v>&lt;/ValeurCellule&gt;</v>
      </c>
    </row>
    <row r="10929" spans="1:1" x14ac:dyDescent="0.2">
      <c r="A10929" s="1135" t="str">
        <f>CONCATENATE(Programme!C10930,Programme!D10930,Programme!E10930,Programme!F10930,Programme!G10930,Programme!H10930,Programme!I10930)</f>
        <v>&lt;ValeurCellule&gt;</v>
      </c>
    </row>
    <row r="10930" spans="1:1" x14ac:dyDescent="0.2">
      <c r="A10930" s="1135" t="str">
        <f>CONCATENATE(Programme!C10931,Programme!D10931,Programme!E10931,Programme!F10931,Programme!G10931,Programme!H10931,Programme!I10931)</f>
        <v>&lt;cellule&gt;</v>
      </c>
    </row>
    <row r="10931" spans="1:1" x14ac:dyDescent="0.2">
      <c r="A10931" s="1135" t="str">
        <f>CONCATENATE(Programme!C10932,Programme!D10932,Programme!E10932,Programme!F10932,Programme!G10932,Programme!H10932,Programme!I10932)</f>
        <v>&lt;codeEdi&gt;1658&lt;/codeEdi&gt;</v>
      </c>
    </row>
    <row r="10932" spans="1:1" x14ac:dyDescent="0.2">
      <c r="A10932" s="1135" t="str">
        <f>CONCATENATE(Programme!C10933,Programme!D10933,Programme!E10933,Programme!F10933,Programme!G10933,Programme!H10933,Programme!I10933)</f>
        <v>&lt;/cellule&gt;</v>
      </c>
    </row>
    <row r="10933" spans="1:1" x14ac:dyDescent="0.2">
      <c r="A10933" s="1135" t="str">
        <f>CONCATENATE(Programme!C10934,Programme!D10934,Programme!E10934,Programme!F10934,Programme!G10934,Programme!H10934,Programme!I10934)</f>
        <v>&lt;valeur&gt;0&lt;/valeur&gt;</v>
      </c>
    </row>
    <row r="10934" spans="1:1" x14ac:dyDescent="0.2">
      <c r="A10934" s="1135" t="str">
        <f>CONCATENATE(Programme!C10935,Programme!D10935,Programme!E10935,Programme!F10935,Programme!G10935,Programme!H10935,Programme!I10935)</f>
        <v>&lt;/ValeurCellule&gt;</v>
      </c>
    </row>
    <row r="10935" spans="1:1" x14ac:dyDescent="0.2">
      <c r="A10935" s="1135" t="str">
        <f>CONCATENATE(Programme!C10936,Programme!D10936,Programme!E10936,Programme!F10936,Programme!G10936,Programme!H10936,Programme!I10936)</f>
        <v>&lt;ValeurCellule&gt;</v>
      </c>
    </row>
    <row r="10936" spans="1:1" x14ac:dyDescent="0.2">
      <c r="A10936" s="1135" t="str">
        <f>CONCATENATE(Programme!C10937,Programme!D10937,Programme!E10937,Programme!F10937,Programme!G10937,Programme!H10937,Programme!I10937)</f>
        <v>&lt;cellule&gt;</v>
      </c>
    </row>
    <row r="10937" spans="1:1" x14ac:dyDescent="0.2">
      <c r="A10937" s="1135" t="str">
        <f>CONCATENATE(Programme!C10938,Programme!D10938,Programme!E10938,Programme!F10938,Programme!G10938,Programme!H10938,Programme!I10938)</f>
        <v>&lt;codeEdi&gt;1666&lt;/codeEdi&gt;</v>
      </c>
    </row>
    <row r="10938" spans="1:1" x14ac:dyDescent="0.2">
      <c r="A10938" s="1135" t="str">
        <f>CONCATENATE(Programme!C10939,Programme!D10939,Programme!E10939,Programme!F10939,Programme!G10939,Programme!H10939,Programme!I10939)</f>
        <v>&lt;/cellule&gt;</v>
      </c>
    </row>
    <row r="10939" spans="1:1" x14ac:dyDescent="0.2">
      <c r="A10939" s="1135" t="str">
        <f>CONCATENATE(Programme!C10940,Programme!D10940,Programme!E10940,Programme!F10940,Programme!G10940,Programme!H10940,Programme!I10940)</f>
        <v>&lt;valeur&gt;0&lt;/valeur&gt;</v>
      </c>
    </row>
    <row r="10940" spans="1:1" x14ac:dyDescent="0.2">
      <c r="A10940" s="1135" t="str">
        <f>CONCATENATE(Programme!C10941,Programme!D10941,Programme!E10941,Programme!F10941,Programme!G10941,Programme!H10941,Programme!I10941)</f>
        <v>&lt;/ValeurCellule&gt;</v>
      </c>
    </row>
    <row r="10941" spans="1:1" x14ac:dyDescent="0.2">
      <c r="A10941" s="1135" t="str">
        <f>CONCATENATE(Programme!C10942,Programme!D10942,Programme!E10942,Programme!F10942,Programme!G10942,Programme!H10942,Programme!I10942)</f>
        <v>&lt;ValeurCellule&gt;</v>
      </c>
    </row>
    <row r="10942" spans="1:1" x14ac:dyDescent="0.2">
      <c r="A10942" s="1135" t="str">
        <f>CONCATENATE(Programme!C10943,Programme!D10943,Programme!E10943,Programme!F10943,Programme!G10943,Programme!H10943,Programme!I10943)</f>
        <v>&lt;cellule&gt;</v>
      </c>
    </row>
    <row r="10943" spans="1:1" x14ac:dyDescent="0.2">
      <c r="A10943" s="1135" t="str">
        <f>CONCATENATE(Programme!C10944,Programme!D10944,Programme!E10944,Programme!F10944,Programme!G10944,Programme!H10944,Programme!I10944)</f>
        <v>&lt;codeEdi&gt;1674&lt;/codeEdi&gt;</v>
      </c>
    </row>
    <row r="10944" spans="1:1" x14ac:dyDescent="0.2">
      <c r="A10944" s="1135" t="str">
        <f>CONCATENATE(Programme!C10945,Programme!D10945,Programme!E10945,Programme!F10945,Programme!G10945,Programme!H10945,Programme!I10945)</f>
        <v>&lt;/cellule&gt;</v>
      </c>
    </row>
    <row r="10945" spans="1:1" x14ac:dyDescent="0.2">
      <c r="A10945" s="1135" t="str">
        <f>CONCATENATE(Programme!C10946,Programme!D10946,Programme!E10946,Programme!F10946,Programme!G10946,Programme!H10946,Programme!I10946)</f>
        <v>&lt;valeur&gt;0&lt;/valeur&gt;</v>
      </c>
    </row>
    <row r="10946" spans="1:1" x14ac:dyDescent="0.2">
      <c r="A10946" s="1135" t="str">
        <f>CONCATENATE(Programme!C10947,Programme!D10947,Programme!E10947,Programme!F10947,Programme!G10947,Programme!H10947,Programme!I10947)</f>
        <v>&lt;/ValeurCellule&gt;</v>
      </c>
    </row>
    <row r="10947" spans="1:1" x14ac:dyDescent="0.2">
      <c r="A10947" s="1135" t="str">
        <f>CONCATENATE(Programme!C10948,Programme!D10948,Programme!E10948,Programme!F10948,Programme!G10948,Programme!H10948,Programme!I10948)</f>
        <v>&lt;ValeurCellule&gt;</v>
      </c>
    </row>
    <row r="10948" spans="1:1" x14ac:dyDescent="0.2">
      <c r="A10948" s="1135" t="str">
        <f>CONCATENATE(Programme!C10949,Programme!D10949,Programme!E10949,Programme!F10949,Programme!G10949,Programme!H10949,Programme!I10949)</f>
        <v>&lt;cellule&gt;</v>
      </c>
    </row>
    <row r="10949" spans="1:1" x14ac:dyDescent="0.2">
      <c r="A10949" s="1135" t="str">
        <f>CONCATENATE(Programme!C10950,Programme!D10950,Programme!E10950,Programme!F10950,Programme!G10950,Programme!H10950,Programme!I10950)</f>
        <v>&lt;codeEdi&gt;1687&lt;/codeEdi&gt;</v>
      </c>
    </row>
    <row r="10950" spans="1:1" x14ac:dyDescent="0.2">
      <c r="A10950" s="1135" t="str">
        <f>CONCATENATE(Programme!C10951,Programme!D10951,Programme!E10951,Programme!F10951,Programme!G10951,Programme!H10951,Programme!I10951)</f>
        <v>&lt;/cellule&gt;</v>
      </c>
    </row>
    <row r="10951" spans="1:1" x14ac:dyDescent="0.2">
      <c r="A10951" s="1135" t="str">
        <f>CONCATENATE(Programme!C10952,Programme!D10952,Programme!E10952,Programme!F10952,Programme!G10952,Programme!H10952,Programme!I10952)</f>
        <v>&lt;valeur&gt;0&lt;/valeur&gt;</v>
      </c>
    </row>
    <row r="10952" spans="1:1" x14ac:dyDescent="0.2">
      <c r="A10952" s="1135" t="str">
        <f>CONCATENATE(Programme!C10953,Programme!D10953,Programme!E10953,Programme!F10953,Programme!G10953,Programme!H10953,Programme!I10953)</f>
        <v>&lt;/ValeurCellule&gt;</v>
      </c>
    </row>
    <row r="10953" spans="1:1" x14ac:dyDescent="0.2">
      <c r="A10953" s="1135" t="str">
        <f>CONCATENATE(Programme!C10954,Programme!D10954,Programme!E10954,Programme!F10954,Programme!G10954,Programme!H10954,Programme!I10954)</f>
        <v>&lt;ValeurCellule&gt;</v>
      </c>
    </row>
    <row r="10954" spans="1:1" x14ac:dyDescent="0.2">
      <c r="A10954" s="1135" t="str">
        <f>CONCATENATE(Programme!C10955,Programme!D10955,Programme!E10955,Programme!F10955,Programme!G10955,Programme!H10955,Programme!I10955)</f>
        <v>&lt;cellule&gt;</v>
      </c>
    </row>
    <row r="10955" spans="1:1" x14ac:dyDescent="0.2">
      <c r="A10955" s="1135" t="str">
        <f>CONCATENATE(Programme!C10956,Programme!D10956,Programme!E10956,Programme!F10956,Programme!G10956,Programme!H10956,Programme!I10956)</f>
        <v>&lt;codeEdi&gt;1738&lt;/codeEdi&gt;</v>
      </c>
    </row>
    <row r="10956" spans="1:1" x14ac:dyDescent="0.2">
      <c r="A10956" s="1135" t="str">
        <f>CONCATENATE(Programme!C10957,Programme!D10957,Programme!E10957,Programme!F10957,Programme!G10957,Programme!H10957,Programme!I10957)</f>
        <v>&lt;/cellule&gt;</v>
      </c>
    </row>
    <row r="10957" spans="1:1" x14ac:dyDescent="0.2">
      <c r="A10957" s="1135" t="str">
        <f>CONCATENATE(Programme!C10958,Programme!D10958,Programme!E10958,Programme!F10958,Programme!G10958,Programme!H10958,Programme!I10958)</f>
        <v>&lt;valeur&gt;&lt;/valeur&gt;</v>
      </c>
    </row>
    <row r="10958" spans="1:1" x14ac:dyDescent="0.2">
      <c r="A10958" s="1135" t="str">
        <f>CONCATENATE(Programme!C10959,Programme!D10959,Programme!E10959,Programme!F10959,Programme!G10959,Programme!H10959,Programme!I10959)</f>
        <v>&lt;/ValeurCellule&gt;</v>
      </c>
    </row>
    <row r="10959" spans="1:1" x14ac:dyDescent="0.2">
      <c r="A10959" s="1135" t="str">
        <f>CONCATENATE(Programme!C10960,Programme!D10960,Programme!E10960,Programme!F10960,Programme!G10960,Programme!H10960,Programme!I10960)</f>
        <v>&lt;ValeurCellule&gt;</v>
      </c>
    </row>
    <row r="10960" spans="1:1" x14ac:dyDescent="0.2">
      <c r="A10960" s="1135" t="str">
        <f>CONCATENATE(Programme!C10961,Programme!D10961,Programme!E10961,Programme!F10961,Programme!G10961,Programme!H10961,Programme!I10961)</f>
        <v>&lt;cellule&gt;</v>
      </c>
    </row>
    <row r="10961" spans="1:1" x14ac:dyDescent="0.2">
      <c r="A10961" s="1135" t="str">
        <f>CONCATENATE(Programme!C10962,Programme!D10962,Programme!E10962,Programme!F10962,Programme!G10962,Programme!H10962,Programme!I10962)</f>
        <v>&lt;codeEdi&gt;1759&lt;/codeEdi&gt;</v>
      </c>
    </row>
    <row r="10962" spans="1:1" x14ac:dyDescent="0.2">
      <c r="A10962" s="1135" t="str">
        <f>CONCATENATE(Programme!C10963,Programme!D10963,Programme!E10963,Programme!F10963,Programme!G10963,Programme!H10963,Programme!I10963)</f>
        <v>&lt;/cellule&gt;</v>
      </c>
    </row>
    <row r="10963" spans="1:1" x14ac:dyDescent="0.2">
      <c r="A10963" s="1135" t="str">
        <f>CONCATENATE(Programme!C10964,Programme!D10964,Programme!E10964,Programme!F10964,Programme!G10964,Programme!H10964,Programme!I10964)</f>
        <v>&lt;valeur&gt;0&lt;/valeur&gt;</v>
      </c>
    </row>
    <row r="10964" spans="1:1" x14ac:dyDescent="0.2">
      <c r="A10964" s="1135" t="str">
        <f>CONCATENATE(Programme!C10965,Programme!D10965,Programme!E10965,Programme!F10965,Programme!G10965,Programme!H10965,Programme!I10965)</f>
        <v>&lt;/ValeurCellule&gt;</v>
      </c>
    </row>
    <row r="10965" spans="1:1" x14ac:dyDescent="0.2">
      <c r="A10965" s="1135" t="str">
        <f>CONCATENATE(Programme!C10966,Programme!D10966,Programme!E10966,Programme!F10966,Programme!G10966,Programme!H10966,Programme!I10966)</f>
        <v>&lt;ValeurCellule&gt;</v>
      </c>
    </row>
    <row r="10966" spans="1:1" x14ac:dyDescent="0.2">
      <c r="A10966" s="1135" t="str">
        <f>CONCATENATE(Programme!C10967,Programme!D10967,Programme!E10967,Programme!F10967,Programme!G10967,Programme!H10967,Programme!I10967)</f>
        <v>&lt;cellule&gt;</v>
      </c>
    </row>
    <row r="10967" spans="1:1" x14ac:dyDescent="0.2">
      <c r="A10967" s="1135" t="str">
        <f>CONCATENATE(Programme!C10968,Programme!D10968,Programme!E10968,Programme!F10968,Programme!G10968,Programme!H10968,Programme!I10968)</f>
        <v>&lt;codeEdi&gt;1771&lt;/codeEdi&gt;</v>
      </c>
    </row>
    <row r="10968" spans="1:1" x14ac:dyDescent="0.2">
      <c r="A10968" s="1135" t="str">
        <f>CONCATENATE(Programme!C10969,Programme!D10969,Programme!E10969,Programme!F10969,Programme!G10969,Programme!H10969,Programme!I10969)</f>
        <v>&lt;/cellule&gt;</v>
      </c>
    </row>
    <row r="10969" spans="1:1" x14ac:dyDescent="0.2">
      <c r="A10969" s="1135" t="str">
        <f>CONCATENATE(Programme!C10970,Programme!D10970,Programme!E10970,Programme!F10970,Programme!G10970,Programme!H10970,Programme!I10970)</f>
        <v>&lt;valeur&gt;0&lt;/valeur&gt;</v>
      </c>
    </row>
    <row r="10970" spans="1:1" x14ac:dyDescent="0.2">
      <c r="A10970" s="1135" t="str">
        <f>CONCATENATE(Programme!C10971,Programme!D10971,Programme!E10971,Programme!F10971,Programme!G10971,Programme!H10971,Programme!I10971)</f>
        <v>&lt;/ValeurCellule&gt;</v>
      </c>
    </row>
    <row r="10971" spans="1:1" x14ac:dyDescent="0.2">
      <c r="A10971" s="1135" t="str">
        <f>CONCATENATE(Programme!C10972,Programme!D10972,Programme!E10972,Programme!F10972,Programme!G10972,Programme!H10972,Programme!I10972)</f>
        <v>&lt;ValeurCellule&gt;</v>
      </c>
    </row>
    <row r="10972" spans="1:1" x14ac:dyDescent="0.2">
      <c r="A10972" s="1135" t="str">
        <f>CONCATENATE(Programme!C10973,Programme!D10973,Programme!E10973,Programme!F10973,Programme!G10973,Programme!H10973,Programme!I10973)</f>
        <v>&lt;cellule&gt;</v>
      </c>
    </row>
    <row r="10973" spans="1:1" x14ac:dyDescent="0.2">
      <c r="A10973" s="1135" t="str">
        <f>CONCATENATE(Programme!C10974,Programme!D10974,Programme!E10974,Programme!F10974,Programme!G10974,Programme!H10974,Programme!I10974)</f>
        <v>&lt;codeEdi&gt;1802&lt;/codeEdi&gt;</v>
      </c>
    </row>
    <row r="10974" spans="1:1" x14ac:dyDescent="0.2">
      <c r="A10974" s="1135" t="str">
        <f>CONCATENATE(Programme!C10975,Programme!D10975,Programme!E10975,Programme!F10975,Programme!G10975,Programme!H10975,Programme!I10975)</f>
        <v>&lt;/cellule&gt;</v>
      </c>
    </row>
    <row r="10975" spans="1:1" x14ac:dyDescent="0.2">
      <c r="A10975" s="1135" t="str">
        <f>CONCATENATE(Programme!C10976,Programme!D10976,Programme!E10976,Programme!F10976,Programme!G10976,Programme!H10976,Programme!I10976)</f>
        <v>&lt;valeur&gt;0&lt;/valeur&gt;</v>
      </c>
    </row>
    <row r="10976" spans="1:1" x14ac:dyDescent="0.2">
      <c r="A10976" s="1135" t="str">
        <f>CONCATENATE(Programme!C10977,Programme!D10977,Programme!E10977,Programme!F10977,Programme!G10977,Programme!H10977,Programme!I10977)</f>
        <v>&lt;/ValeurCellule&gt;</v>
      </c>
    </row>
    <row r="10977" spans="1:1" x14ac:dyDescent="0.2">
      <c r="A10977" s="1135" t="str">
        <f>CONCATENATE(Programme!C10978,Programme!D10978,Programme!E10978,Programme!F10978,Programme!G10978,Programme!H10978,Programme!I10978)</f>
        <v>&lt;ValeurCellule&gt;</v>
      </c>
    </row>
    <row r="10978" spans="1:1" x14ac:dyDescent="0.2">
      <c r="A10978" s="1135" t="str">
        <f>CONCATENATE(Programme!C10979,Programme!D10979,Programme!E10979,Programme!F10979,Programme!G10979,Programme!H10979,Programme!I10979)</f>
        <v>&lt;cellule&gt;</v>
      </c>
    </row>
    <row r="10979" spans="1:1" x14ac:dyDescent="0.2">
      <c r="A10979" s="1135" t="str">
        <f>CONCATENATE(Programme!C10980,Programme!D10980,Programme!E10980,Programme!F10980,Programme!G10980,Programme!H10980,Programme!I10980)</f>
        <v>&lt;codeEdi&gt;1821&lt;/codeEdi&gt;</v>
      </c>
    </row>
    <row r="10980" spans="1:1" x14ac:dyDescent="0.2">
      <c r="A10980" s="1135" t="str">
        <f>CONCATENATE(Programme!C10981,Programme!D10981,Programme!E10981,Programme!F10981,Programme!G10981,Programme!H10981,Programme!I10981)</f>
        <v>&lt;/cellule&gt;</v>
      </c>
    </row>
    <row r="10981" spans="1:1" x14ac:dyDescent="0.2">
      <c r="A10981" s="1135" t="str">
        <f>CONCATENATE(Programme!C10982,Programme!D10982,Programme!E10982,Programme!F10982,Programme!G10982,Programme!H10982,Programme!I10982)</f>
        <v>&lt;valeur&gt;&lt;/valeur&gt;</v>
      </c>
    </row>
    <row r="10982" spans="1:1" x14ac:dyDescent="0.2">
      <c r="A10982" s="1135" t="str">
        <f>CONCATENATE(Programme!C10983,Programme!D10983,Programme!E10983,Programme!F10983,Programme!G10983,Programme!H10983,Programme!I10983)</f>
        <v>&lt;/ValeurCellule&gt;</v>
      </c>
    </row>
    <row r="10983" spans="1:1" x14ac:dyDescent="0.2">
      <c r="A10983" s="1135" t="str">
        <f>CONCATENATE(Programme!C10984,Programme!D10984,Programme!E10984,Programme!F10984,Programme!G10984,Programme!H10984,Programme!I10984)</f>
        <v>&lt;ValeurCellule&gt;</v>
      </c>
    </row>
    <row r="10984" spans="1:1" x14ac:dyDescent="0.2">
      <c r="A10984" s="1135" t="str">
        <f>CONCATENATE(Programme!C10985,Programme!D10985,Programme!E10985,Programme!F10985,Programme!G10985,Programme!H10985,Programme!I10985)</f>
        <v>&lt;cellule&gt;</v>
      </c>
    </row>
    <row r="10985" spans="1:1" x14ac:dyDescent="0.2">
      <c r="A10985" s="1135" t="str">
        <f>CONCATENATE(Programme!C10986,Programme!D10986,Programme!E10986,Programme!F10986,Programme!G10986,Programme!H10986,Programme!I10986)</f>
        <v>&lt;codeEdi&gt;1838&lt;/codeEdi&gt;</v>
      </c>
    </row>
    <row r="10986" spans="1:1" x14ac:dyDescent="0.2">
      <c r="A10986" s="1135" t="str">
        <f>CONCATENATE(Programme!C10987,Programme!D10987,Programme!E10987,Programme!F10987,Programme!G10987,Programme!H10987,Programme!I10987)</f>
        <v>&lt;/cellule&gt;</v>
      </c>
    </row>
    <row r="10987" spans="1:1" x14ac:dyDescent="0.2">
      <c r="A10987" s="1135" t="str">
        <f>CONCATENATE(Programme!C10988,Programme!D10988,Programme!E10988,Programme!F10988,Programme!G10988,Programme!H10988,Programme!I10988)</f>
        <v>&lt;valeur&gt;0&lt;/valeur&gt;</v>
      </c>
    </row>
    <row r="10988" spans="1:1" x14ac:dyDescent="0.2">
      <c r="A10988" s="1135" t="str">
        <f>CONCATENATE(Programme!C10989,Programme!D10989,Programme!E10989,Programme!F10989,Programme!G10989,Programme!H10989,Programme!I10989)</f>
        <v>&lt;/ValeurCellule&gt;</v>
      </c>
    </row>
    <row r="10989" spans="1:1" x14ac:dyDescent="0.2">
      <c r="A10989" s="1135" t="str">
        <f>CONCATENATE(Programme!C10990,Programme!D10990,Programme!E10990,Programme!F10990,Programme!G10990,Programme!H10990,Programme!I10990)</f>
        <v>&lt;ValeurCellule&gt;</v>
      </c>
    </row>
    <row r="10990" spans="1:1" x14ac:dyDescent="0.2">
      <c r="A10990" s="1135" t="str">
        <f>CONCATENATE(Programme!C10991,Programme!D10991,Programme!E10991,Programme!F10991,Programme!G10991,Programme!H10991,Programme!I10991)</f>
        <v>&lt;cellule&gt;</v>
      </c>
    </row>
    <row r="10991" spans="1:1" x14ac:dyDescent="0.2">
      <c r="A10991" s="1135" t="str">
        <f>CONCATENATE(Programme!C10992,Programme!D10992,Programme!E10992,Programme!F10992,Programme!G10992,Programme!H10992,Programme!I10992)</f>
        <v>&lt;codeEdi&gt;1855&lt;/codeEdi&gt;</v>
      </c>
    </row>
    <row r="10992" spans="1:1" x14ac:dyDescent="0.2">
      <c r="A10992" s="1135" t="str">
        <f>CONCATENATE(Programme!C10993,Programme!D10993,Programme!E10993,Programme!F10993,Programme!G10993,Programme!H10993,Programme!I10993)</f>
        <v>&lt;/cellule&gt;</v>
      </c>
    </row>
    <row r="10993" spans="1:1" x14ac:dyDescent="0.2">
      <c r="A10993" s="1135" t="str">
        <f>CONCATENATE(Programme!C10994,Programme!D10994,Programme!E10994,Programme!F10994,Programme!G10994,Programme!H10994,Programme!I10994)</f>
        <v>&lt;valeur&gt;0&lt;/valeur&gt;</v>
      </c>
    </row>
    <row r="10994" spans="1:1" x14ac:dyDescent="0.2">
      <c r="A10994" s="1135" t="str">
        <f>CONCATENATE(Programme!C10995,Programme!D10995,Programme!E10995,Programme!F10995,Programme!G10995,Programme!H10995,Programme!I10995)</f>
        <v>&lt;/ValeurCellule&gt;</v>
      </c>
    </row>
    <row r="10995" spans="1:1" x14ac:dyDescent="0.2">
      <c r="A10995" s="1135" t="str">
        <f>CONCATENATE(Programme!C10996,Programme!D10996,Programme!E10996,Programme!F10996,Programme!G10996,Programme!H10996,Programme!I10996)</f>
        <v>&lt;ValeurCellule&gt;</v>
      </c>
    </row>
    <row r="10996" spans="1:1" x14ac:dyDescent="0.2">
      <c r="A10996" s="1135" t="str">
        <f>CONCATENATE(Programme!C10997,Programme!D10997,Programme!E10997,Programme!F10997,Programme!G10997,Programme!H10997,Programme!I10997)</f>
        <v>&lt;cellule&gt;</v>
      </c>
    </row>
    <row r="10997" spans="1:1" x14ac:dyDescent="0.2">
      <c r="A10997" s="1135" t="str">
        <f>CONCATENATE(Programme!C10998,Programme!D10998,Programme!E10998,Programme!F10998,Programme!G10998,Programme!H10998,Programme!I10998)</f>
        <v>&lt;codeEdi&gt;1863&lt;/codeEdi&gt;</v>
      </c>
    </row>
    <row r="10998" spans="1:1" x14ac:dyDescent="0.2">
      <c r="A10998" s="1135" t="str">
        <f>CONCATENATE(Programme!C10999,Programme!D10999,Programme!E10999,Programme!F10999,Programme!G10999,Programme!H10999,Programme!I10999)</f>
        <v>&lt;/cellule&gt;</v>
      </c>
    </row>
    <row r="10999" spans="1:1" x14ac:dyDescent="0.2">
      <c r="A10999" s="1135" t="str">
        <f>CONCATENATE(Programme!C11000,Programme!D11000,Programme!E11000,Programme!F11000,Programme!G11000,Programme!H11000,Programme!I11000)</f>
        <v>&lt;valeur&gt;0&lt;/valeur&gt;</v>
      </c>
    </row>
    <row r="11000" spans="1:1" x14ac:dyDescent="0.2">
      <c r="A11000" s="1135" t="str">
        <f>CONCATENATE(Programme!C11001,Programme!D11001,Programme!E11001,Programme!F11001,Programme!G11001,Programme!H11001,Programme!I11001)</f>
        <v>&lt;/ValeurCellule&gt;</v>
      </c>
    </row>
    <row r="11001" spans="1:1" x14ac:dyDescent="0.2">
      <c r="A11001" s="1135" t="str">
        <f>CONCATENATE(Programme!C11002,Programme!D11002,Programme!E11002,Programme!F11002,Programme!G11002,Programme!H11002,Programme!I11002)</f>
        <v>&lt;ValeurCellule&gt;</v>
      </c>
    </row>
    <row r="11002" spans="1:1" x14ac:dyDescent="0.2">
      <c r="A11002" s="1135" t="str">
        <f>CONCATENATE(Programme!C11003,Programme!D11003,Programme!E11003,Programme!F11003,Programme!G11003,Programme!H11003,Programme!I11003)</f>
        <v>&lt;cellule&gt;</v>
      </c>
    </row>
    <row r="11003" spans="1:1" x14ac:dyDescent="0.2">
      <c r="A11003" s="1135" t="str">
        <f>CONCATENATE(Programme!C11004,Programme!D11004,Programme!E11004,Programme!F11004,Programme!G11004,Programme!H11004,Programme!I11004)</f>
        <v>&lt;codeEdi&gt;1871&lt;/codeEdi&gt;</v>
      </c>
    </row>
    <row r="11004" spans="1:1" x14ac:dyDescent="0.2">
      <c r="A11004" s="1135" t="str">
        <f>CONCATENATE(Programme!C11005,Programme!D11005,Programme!E11005,Programme!F11005,Programme!G11005,Programme!H11005,Programme!I11005)</f>
        <v>&lt;/cellule&gt;</v>
      </c>
    </row>
    <row r="11005" spans="1:1" x14ac:dyDescent="0.2">
      <c r="A11005" s="1135" t="str">
        <f>CONCATENATE(Programme!C11006,Programme!D11006,Programme!E11006,Programme!F11006,Programme!G11006,Programme!H11006,Programme!I11006)</f>
        <v>&lt;valeur&gt;0&lt;/valeur&gt;</v>
      </c>
    </row>
    <row r="11006" spans="1:1" x14ac:dyDescent="0.2">
      <c r="A11006" s="1135" t="str">
        <f>CONCATENATE(Programme!C11007,Programme!D11007,Programme!E11007,Programme!F11007,Programme!G11007,Programme!H11007,Programme!I11007)</f>
        <v>&lt;/ValeurCellule&gt;</v>
      </c>
    </row>
    <row r="11007" spans="1:1" x14ac:dyDescent="0.2">
      <c r="A11007" s="1135" t="str">
        <f>CONCATENATE(Programme!C11008,Programme!D11008,Programme!E11008,Programme!F11008,Programme!G11008,Programme!H11008,Programme!I11008)</f>
        <v>&lt;ValeurCellule&gt;</v>
      </c>
    </row>
    <row r="11008" spans="1:1" x14ac:dyDescent="0.2">
      <c r="A11008" s="1135" t="str">
        <f>CONCATENATE(Programme!C11009,Programme!D11009,Programme!E11009,Programme!F11009,Programme!G11009,Programme!H11009,Programme!I11009)</f>
        <v>&lt;cellule&gt;</v>
      </c>
    </row>
    <row r="11009" spans="1:1" x14ac:dyDescent="0.2">
      <c r="A11009" s="1135" t="str">
        <f>CONCATENATE(Programme!C11010,Programme!D11010,Programme!E11010,Programme!F11010,Programme!G11010,Programme!H11010,Programme!I11010)</f>
        <v>&lt;codeEdi&gt;1888&lt;/codeEdi&gt;</v>
      </c>
    </row>
    <row r="11010" spans="1:1" x14ac:dyDescent="0.2">
      <c r="A11010" s="1135" t="str">
        <f>CONCATENATE(Programme!C11011,Programme!D11011,Programme!E11011,Programme!F11011,Programme!G11011,Programme!H11011,Programme!I11011)</f>
        <v>&lt;/cellule&gt;</v>
      </c>
    </row>
    <row r="11011" spans="1:1" x14ac:dyDescent="0.2">
      <c r="A11011" s="1135" t="str">
        <f>CONCATENATE(Programme!C11012,Programme!D11012,Programme!E11012,Programme!F11012,Programme!G11012,Programme!H11012,Programme!I11012)</f>
        <v>&lt;valeur&gt;0&lt;/valeur&gt;</v>
      </c>
    </row>
    <row r="11012" spans="1:1" x14ac:dyDescent="0.2">
      <c r="A11012" s="1135" t="str">
        <f>CONCATENATE(Programme!C11013,Programme!D11013,Programme!E11013,Programme!F11013,Programme!G11013,Programme!H11013,Programme!I11013)</f>
        <v>&lt;/ValeurCellule&gt;</v>
      </c>
    </row>
    <row r="11013" spans="1:1" x14ac:dyDescent="0.2">
      <c r="A11013" s="1135" t="str">
        <f>CONCATENATE(Programme!C11014,Programme!D11014,Programme!E11014,Programme!F11014,Programme!G11014,Programme!H11014,Programme!I11014)</f>
        <v>&lt;ValeurCellule&gt;</v>
      </c>
    </row>
    <row r="11014" spans="1:1" x14ac:dyDescent="0.2">
      <c r="A11014" s="1135" t="str">
        <f>CONCATENATE(Programme!C11015,Programme!D11015,Programme!E11015,Programme!F11015,Programme!G11015,Programme!H11015,Programme!I11015)</f>
        <v>&lt;cellule&gt;</v>
      </c>
    </row>
    <row r="11015" spans="1:1" x14ac:dyDescent="0.2">
      <c r="A11015" s="1135" t="str">
        <f>CONCATENATE(Programme!C11016,Programme!D11016,Programme!E11016,Programme!F11016,Programme!G11016,Programme!H11016,Programme!I11016)</f>
        <v>&lt;codeEdi&gt;1404&lt;/codeEdi&gt;</v>
      </c>
    </row>
    <row r="11016" spans="1:1" x14ac:dyDescent="0.2">
      <c r="A11016" s="1135" t="str">
        <f>CONCATENATE(Programme!C11017,Programme!D11017,Programme!E11017,Programme!F11017,Programme!G11017,Programme!H11017,Programme!I11017)</f>
        <v>&lt;/cellule&gt;</v>
      </c>
    </row>
    <row r="11017" spans="1:1" x14ac:dyDescent="0.2">
      <c r="A11017" s="1135" t="str">
        <f>CONCATENATE(Programme!C11018,Programme!D11018,Programme!E11018,Programme!F11018,Programme!G11018,Programme!H11018,Programme!I11018)</f>
        <v>&lt;valeur&gt;&lt;/valeur&gt;</v>
      </c>
    </row>
    <row r="11018" spans="1:1" x14ac:dyDescent="0.2">
      <c r="A11018" s="1135" t="str">
        <f>CONCATENATE(Programme!C11019,Programme!D11019,Programme!E11019,Programme!F11019,Programme!G11019,Programme!H11019,Programme!I11019)</f>
        <v>&lt;/ValeurCellule&gt;</v>
      </c>
    </row>
    <row r="11019" spans="1:1" x14ac:dyDescent="0.2">
      <c r="A11019" s="1135" t="str">
        <f>CONCATENATE(Programme!C11020,Programme!D11020,Programme!E11020,Programme!F11020,Programme!G11020,Programme!H11020,Programme!I11020)</f>
        <v>&lt;ValeurCellule&gt;</v>
      </c>
    </row>
    <row r="11020" spans="1:1" x14ac:dyDescent="0.2">
      <c r="A11020" s="1135" t="str">
        <f>CONCATENATE(Programme!C11021,Programme!D11021,Programme!E11021,Programme!F11021,Programme!G11021,Programme!H11021,Programme!I11021)</f>
        <v>&lt;cellule&gt;</v>
      </c>
    </row>
    <row r="11021" spans="1:1" x14ac:dyDescent="0.2">
      <c r="A11021" s="1135" t="str">
        <f>CONCATENATE(Programme!C11022,Programme!D11022,Programme!E11022,Programme!F11022,Programme!G11022,Programme!H11022,Programme!I11022)</f>
        <v>&lt;codeEdi&gt;1412&lt;/codeEdi&gt;</v>
      </c>
    </row>
    <row r="11022" spans="1:1" x14ac:dyDescent="0.2">
      <c r="A11022" s="1135" t="str">
        <f>CONCATENATE(Programme!C11023,Programme!D11023,Programme!E11023,Programme!F11023,Programme!G11023,Programme!H11023,Programme!I11023)</f>
        <v>&lt;/cellule&gt;</v>
      </c>
    </row>
    <row r="11023" spans="1:1" x14ac:dyDescent="0.2">
      <c r="A11023" s="1135" t="str">
        <f>CONCATENATE(Programme!C11024,Programme!D11024,Programme!E11024,Programme!F11024,Programme!G11024,Programme!H11024,Programme!I11024)</f>
        <v>&lt;valeur&gt;&lt;/valeur&gt;</v>
      </c>
    </row>
    <row r="11024" spans="1:1" x14ac:dyDescent="0.2">
      <c r="A11024" s="1135" t="str">
        <f>CONCATENATE(Programme!C11025,Programme!D11025,Programme!E11025,Programme!F11025,Programme!G11025,Programme!H11025,Programme!I11025)</f>
        <v>&lt;/ValeurCellule&gt;</v>
      </c>
    </row>
    <row r="11025" spans="1:1" x14ac:dyDescent="0.2">
      <c r="A11025" s="1135" t="str">
        <f>CONCATENATE(Programme!C11026,Programme!D11026,Programme!E11026,Programme!F11026,Programme!G11026,Programme!H11026,Programme!I11026)</f>
        <v>&lt;ValeurCellule&gt;</v>
      </c>
    </row>
    <row r="11026" spans="1:1" x14ac:dyDescent="0.2">
      <c r="A11026" s="1135" t="str">
        <f>CONCATENATE(Programme!C11027,Programme!D11027,Programme!E11027,Programme!F11027,Programme!G11027,Programme!H11027,Programme!I11027)</f>
        <v>&lt;cellule&gt;</v>
      </c>
    </row>
    <row r="11027" spans="1:1" x14ac:dyDescent="0.2">
      <c r="A11027" s="1135" t="str">
        <f>CONCATENATE(Programme!C11028,Programme!D11028,Programme!E11028,Programme!F11028,Programme!G11028,Programme!H11028,Programme!I11028)</f>
        <v>&lt;codeEdi&gt;1420&lt;/codeEdi&gt;</v>
      </c>
    </row>
    <row r="11028" spans="1:1" x14ac:dyDescent="0.2">
      <c r="A11028" s="1135" t="str">
        <f>CONCATENATE(Programme!C11029,Programme!D11029,Programme!E11029,Programme!F11029,Programme!G11029,Programme!H11029,Programme!I11029)</f>
        <v>&lt;/cellule&gt;</v>
      </c>
    </row>
    <row r="11029" spans="1:1" x14ac:dyDescent="0.2">
      <c r="A11029" s="1135" t="str">
        <f>CONCATENATE(Programme!C11030,Programme!D11030,Programme!E11030,Programme!F11030,Programme!G11030,Programme!H11030,Programme!I11030)</f>
        <v>&lt;valeur&gt;&lt;/valeur&gt;</v>
      </c>
    </row>
    <row r="11030" spans="1:1" x14ac:dyDescent="0.2">
      <c r="A11030" s="1135" t="str">
        <f>CONCATENATE(Programme!C11031,Programme!D11031,Programme!E11031,Programme!F11031,Programme!G11031,Programme!H11031,Programme!I11031)</f>
        <v>&lt;/ValeurCellule&gt;</v>
      </c>
    </row>
    <row r="11031" spans="1:1" x14ac:dyDescent="0.2">
      <c r="A11031" s="1135" t="str">
        <f>CONCATENATE(Programme!C11032,Programme!D11032,Programme!E11032,Programme!F11032,Programme!G11032,Programme!H11032,Programme!I11032)</f>
        <v>&lt;ValeurCellule&gt;</v>
      </c>
    </row>
    <row r="11032" spans="1:1" x14ac:dyDescent="0.2">
      <c r="A11032" s="1135" t="str">
        <f>CONCATENATE(Programme!C11033,Programme!D11033,Programme!E11033,Programme!F11033,Programme!G11033,Programme!H11033,Programme!I11033)</f>
        <v>&lt;cellule&gt;</v>
      </c>
    </row>
    <row r="11033" spans="1:1" x14ac:dyDescent="0.2">
      <c r="A11033" s="1135" t="str">
        <f>CONCATENATE(Programme!C11034,Programme!D11034,Programme!E11034,Programme!F11034,Programme!G11034,Programme!H11034,Programme!I11034)</f>
        <v>&lt;codeEdi&gt;1428&lt;/codeEdi&gt;</v>
      </c>
    </row>
    <row r="11034" spans="1:1" x14ac:dyDescent="0.2">
      <c r="A11034" s="1135" t="str">
        <f>CONCATENATE(Programme!C11035,Programme!D11035,Programme!E11035,Programme!F11035,Programme!G11035,Programme!H11035,Programme!I11035)</f>
        <v>&lt;/cellule&gt;</v>
      </c>
    </row>
    <row r="11035" spans="1:1" x14ac:dyDescent="0.2">
      <c r="A11035" s="1135" t="str">
        <f>CONCATENATE(Programme!C11036,Programme!D11036,Programme!E11036,Programme!F11036,Programme!G11036,Programme!H11036,Programme!I11036)</f>
        <v>&lt;valeur&gt;0&lt;/valeur&gt;</v>
      </c>
    </row>
    <row r="11036" spans="1:1" x14ac:dyDescent="0.2">
      <c r="A11036" s="1135" t="str">
        <f>CONCATENATE(Programme!C11037,Programme!D11037,Programme!E11037,Programme!F11037,Programme!G11037,Programme!H11037,Programme!I11037)</f>
        <v>&lt;/ValeurCellule&gt;</v>
      </c>
    </row>
    <row r="11037" spans="1:1" x14ac:dyDescent="0.2">
      <c r="A11037" s="1135" t="str">
        <f>CONCATENATE(Programme!C11038,Programme!D11038,Programme!E11038,Programme!F11038,Programme!G11038,Programme!H11038,Programme!I11038)</f>
        <v>&lt;ValeurCellule&gt;</v>
      </c>
    </row>
    <row r="11038" spans="1:1" x14ac:dyDescent="0.2">
      <c r="A11038" s="1135" t="str">
        <f>CONCATENATE(Programme!C11039,Programme!D11039,Programme!E11039,Programme!F11039,Programme!G11039,Programme!H11039,Programme!I11039)</f>
        <v>&lt;cellule&gt;</v>
      </c>
    </row>
    <row r="11039" spans="1:1" x14ac:dyDescent="0.2">
      <c r="A11039" s="1135" t="str">
        <f>CONCATENATE(Programme!C11040,Programme!D11040,Programme!E11040,Programme!F11040,Programme!G11040,Programme!H11040,Programme!I11040)</f>
        <v>&lt;codeEdi&gt;1436&lt;/codeEdi&gt;</v>
      </c>
    </row>
    <row r="11040" spans="1:1" x14ac:dyDescent="0.2">
      <c r="A11040" s="1135" t="str">
        <f>CONCATENATE(Programme!C11041,Programme!D11041,Programme!E11041,Programme!F11041,Programme!G11041,Programme!H11041,Programme!I11041)</f>
        <v>&lt;/cellule&gt;</v>
      </c>
    </row>
    <row r="11041" spans="1:1" x14ac:dyDescent="0.2">
      <c r="A11041" s="1135" t="str">
        <f>CONCATENATE(Programme!C11042,Programme!D11042,Programme!E11042,Programme!F11042,Programme!G11042,Programme!H11042,Programme!I11042)</f>
        <v>&lt;valeur&gt;0&lt;/valeur&gt;</v>
      </c>
    </row>
    <row r="11042" spans="1:1" x14ac:dyDescent="0.2">
      <c r="A11042" s="1135" t="str">
        <f>CONCATENATE(Programme!C11043,Programme!D11043,Programme!E11043,Programme!F11043,Programme!G11043,Programme!H11043,Programme!I11043)</f>
        <v>&lt;/ValeurCellule&gt;</v>
      </c>
    </row>
    <row r="11043" spans="1:1" x14ac:dyDescent="0.2">
      <c r="A11043" s="1135" t="str">
        <f>CONCATENATE(Programme!C11044,Programme!D11044,Programme!E11044,Programme!F11044,Programme!G11044,Programme!H11044,Programme!I11044)</f>
        <v>&lt;ValeurCellule&gt;</v>
      </c>
    </row>
    <row r="11044" spans="1:1" x14ac:dyDescent="0.2">
      <c r="A11044" s="1135" t="str">
        <f>CONCATENATE(Programme!C11045,Programme!D11045,Programme!E11045,Programme!F11045,Programme!G11045,Programme!H11045,Programme!I11045)</f>
        <v>&lt;cellule&gt;</v>
      </c>
    </row>
    <row r="11045" spans="1:1" x14ac:dyDescent="0.2">
      <c r="A11045" s="1135" t="str">
        <f>CONCATENATE(Programme!C11046,Programme!D11046,Programme!E11046,Programme!F11046,Programme!G11046,Programme!H11046,Programme!I11046)</f>
        <v>&lt;codeEdi&gt;1452&lt;/codeEdi&gt;</v>
      </c>
    </row>
    <row r="11046" spans="1:1" x14ac:dyDescent="0.2">
      <c r="A11046" s="1135" t="str">
        <f>CONCATENATE(Programme!C11047,Programme!D11047,Programme!E11047,Programme!F11047,Programme!G11047,Programme!H11047,Programme!I11047)</f>
        <v>&lt;/cellule&gt;</v>
      </c>
    </row>
    <row r="11047" spans="1:1" x14ac:dyDescent="0.2">
      <c r="A11047" s="1135" t="str">
        <f>CONCATENATE(Programme!C11048,Programme!D11048,Programme!E11048,Programme!F11048,Programme!G11048,Programme!H11048,Programme!I11048)</f>
        <v>&lt;valeur&gt;&lt;/valeur&gt;</v>
      </c>
    </row>
    <row r="11048" spans="1:1" x14ac:dyDescent="0.2">
      <c r="A11048" s="1135" t="str">
        <f>CONCATENATE(Programme!C11049,Programme!D11049,Programme!E11049,Programme!F11049,Programme!G11049,Programme!H11049,Programme!I11049)</f>
        <v>&lt;/ValeurCellule&gt;</v>
      </c>
    </row>
    <row r="11049" spans="1:1" x14ac:dyDescent="0.2">
      <c r="A11049" s="1135" t="str">
        <f>CONCATENATE(Programme!C11050,Programme!D11050,Programme!E11050,Programme!F11050,Programme!G11050,Programme!H11050,Programme!I11050)</f>
        <v>&lt;ValeurCellule&gt;</v>
      </c>
    </row>
    <row r="11050" spans="1:1" x14ac:dyDescent="0.2">
      <c r="A11050" s="1135" t="str">
        <f>CONCATENATE(Programme!C11051,Programme!D11051,Programme!E11051,Programme!F11051,Programme!G11051,Programme!H11051,Programme!I11051)</f>
        <v>&lt;cellule&gt;</v>
      </c>
    </row>
    <row r="11051" spans="1:1" x14ac:dyDescent="0.2">
      <c r="A11051" s="1135" t="str">
        <f>CONCATENATE(Programme!C11052,Programme!D11052,Programme!E11052,Programme!F11052,Programme!G11052,Programme!H11052,Programme!I11052)</f>
        <v>&lt;codeEdi&gt;1460&lt;/codeEdi&gt;</v>
      </c>
    </row>
    <row r="11052" spans="1:1" x14ac:dyDescent="0.2">
      <c r="A11052" s="1135" t="str">
        <f>CONCATENATE(Programme!C11053,Programme!D11053,Programme!E11053,Programme!F11053,Programme!G11053,Programme!H11053,Programme!I11053)</f>
        <v>&lt;/cellule&gt;</v>
      </c>
    </row>
    <row r="11053" spans="1:1" x14ac:dyDescent="0.2">
      <c r="A11053" s="1135" t="str">
        <f>CONCATENATE(Programme!C11054,Programme!D11054,Programme!E11054,Programme!F11054,Programme!G11054,Programme!H11054,Programme!I11054)</f>
        <v>&lt;valeur&gt;0&lt;/valeur&gt;</v>
      </c>
    </row>
    <row r="11054" spans="1:1" x14ac:dyDescent="0.2">
      <c r="A11054" s="1135" t="str">
        <f>CONCATENATE(Programme!C11055,Programme!D11055,Programme!E11055,Programme!F11055,Programme!G11055,Programme!H11055,Programme!I11055)</f>
        <v>&lt;/ValeurCellule&gt;</v>
      </c>
    </row>
    <row r="11055" spans="1:1" x14ac:dyDescent="0.2">
      <c r="A11055" s="1135" t="str">
        <f>CONCATENATE(Programme!C11056,Programme!D11056,Programme!E11056,Programme!F11056,Programme!G11056,Programme!H11056,Programme!I11056)</f>
        <v>&lt;ValeurCellule&gt;</v>
      </c>
    </row>
    <row r="11056" spans="1:1" x14ac:dyDescent="0.2">
      <c r="A11056" s="1135" t="str">
        <f>CONCATENATE(Programme!C11057,Programme!D11057,Programme!E11057,Programme!F11057,Programme!G11057,Programme!H11057,Programme!I11057)</f>
        <v>&lt;cellule&gt;</v>
      </c>
    </row>
    <row r="11057" spans="1:1" x14ac:dyDescent="0.2">
      <c r="A11057" s="1135" t="str">
        <f>CONCATENATE(Programme!C11058,Programme!D11058,Programme!E11058,Programme!F11058,Programme!G11058,Programme!H11058,Programme!I11058)</f>
        <v>&lt;codeEdi&gt;1468&lt;/codeEdi&gt;</v>
      </c>
    </row>
    <row r="11058" spans="1:1" x14ac:dyDescent="0.2">
      <c r="A11058" s="1135" t="str">
        <f>CONCATENATE(Programme!C11059,Programme!D11059,Programme!E11059,Programme!F11059,Programme!G11059,Programme!H11059,Programme!I11059)</f>
        <v>&lt;/cellule&gt;</v>
      </c>
    </row>
    <row r="11059" spans="1:1" x14ac:dyDescent="0.2">
      <c r="A11059" s="1135" t="str">
        <f>CONCATENATE(Programme!C11060,Programme!D11060,Programme!E11060,Programme!F11060,Programme!G11060,Programme!H11060,Programme!I11060)</f>
        <v>&lt;valeur&gt;0&lt;/valeur&gt;</v>
      </c>
    </row>
    <row r="11060" spans="1:1" x14ac:dyDescent="0.2">
      <c r="A11060" s="1135" t="str">
        <f>CONCATENATE(Programme!C11061,Programme!D11061,Programme!E11061,Programme!F11061,Programme!G11061,Programme!H11061,Programme!I11061)</f>
        <v>&lt;/ValeurCellule&gt;</v>
      </c>
    </row>
    <row r="11061" spans="1:1" x14ac:dyDescent="0.2">
      <c r="A11061" s="1135" t="str">
        <f>CONCATENATE(Programme!C11062,Programme!D11062,Programme!E11062,Programme!F11062,Programme!G11062,Programme!H11062,Programme!I11062)</f>
        <v>&lt;ValeurCellule&gt;</v>
      </c>
    </row>
    <row r="11062" spans="1:1" x14ac:dyDescent="0.2">
      <c r="A11062" s="1135" t="str">
        <f>CONCATENATE(Programme!C11063,Programme!D11063,Programme!E11063,Programme!F11063,Programme!G11063,Programme!H11063,Programme!I11063)</f>
        <v>&lt;cellule&gt;</v>
      </c>
    </row>
    <row r="11063" spans="1:1" x14ac:dyDescent="0.2">
      <c r="A11063" s="1135" t="str">
        <f>CONCATENATE(Programme!C11064,Programme!D11064,Programme!E11064,Programme!F11064,Programme!G11064,Programme!H11064,Programme!I11064)</f>
        <v>&lt;codeEdi&gt;1476&lt;/codeEdi&gt;</v>
      </c>
    </row>
    <row r="11064" spans="1:1" x14ac:dyDescent="0.2">
      <c r="A11064" s="1135" t="str">
        <f>CONCATENATE(Programme!C11065,Programme!D11065,Programme!E11065,Programme!F11065,Programme!G11065,Programme!H11065,Programme!I11065)</f>
        <v>&lt;/cellule&gt;</v>
      </c>
    </row>
    <row r="11065" spans="1:1" x14ac:dyDescent="0.2">
      <c r="A11065" s="1135" t="str">
        <f>CONCATENATE(Programme!C11066,Programme!D11066,Programme!E11066,Programme!F11066,Programme!G11066,Programme!H11066,Programme!I11066)</f>
        <v>&lt;valeur&gt;&lt;/valeur&gt;</v>
      </c>
    </row>
    <row r="11066" spans="1:1" x14ac:dyDescent="0.2">
      <c r="A11066" s="1135" t="str">
        <f>CONCATENATE(Programme!C11067,Programme!D11067,Programme!E11067,Programme!F11067,Programme!G11067,Programme!H11067,Programme!I11067)</f>
        <v>&lt;/ValeurCellule&gt;</v>
      </c>
    </row>
    <row r="11067" spans="1:1" x14ac:dyDescent="0.2">
      <c r="A11067" s="1135" t="str">
        <f>CONCATENATE(Programme!C11068,Programme!D11068,Programme!E11068,Programme!F11068,Programme!G11068,Programme!H11068,Programme!I11068)</f>
        <v>&lt;ValeurCellule&gt;</v>
      </c>
    </row>
    <row r="11068" spans="1:1" x14ac:dyDescent="0.2">
      <c r="A11068" s="1135" t="str">
        <f>CONCATENATE(Programme!C11069,Programme!D11069,Programme!E11069,Programme!F11069,Programme!G11069,Programme!H11069,Programme!I11069)</f>
        <v>&lt;cellule&gt;</v>
      </c>
    </row>
    <row r="11069" spans="1:1" x14ac:dyDescent="0.2">
      <c r="A11069" s="1135" t="str">
        <f>CONCATENATE(Programme!C11070,Programme!D11070,Programme!E11070,Programme!F11070,Programme!G11070,Programme!H11070,Programme!I11070)</f>
        <v>&lt;codeEdi&gt;1484&lt;/codeEdi&gt;</v>
      </c>
    </row>
    <row r="11070" spans="1:1" x14ac:dyDescent="0.2">
      <c r="A11070" s="1135" t="str">
        <f>CONCATENATE(Programme!C11071,Programme!D11071,Programme!E11071,Programme!F11071,Programme!G11071,Programme!H11071,Programme!I11071)</f>
        <v>&lt;/cellule&gt;</v>
      </c>
    </row>
    <row r="11071" spans="1:1" x14ac:dyDescent="0.2">
      <c r="A11071" s="1135" t="str">
        <f>CONCATENATE(Programme!C11072,Programme!D11072,Programme!E11072,Programme!F11072,Programme!G11072,Programme!H11072,Programme!I11072)</f>
        <v>&lt;valeur&gt;&lt;/valeur&gt;</v>
      </c>
    </row>
    <row r="11072" spans="1:1" x14ac:dyDescent="0.2">
      <c r="A11072" s="1135" t="str">
        <f>CONCATENATE(Programme!C11073,Programme!D11073,Programme!E11073,Programme!F11073,Programme!G11073,Programme!H11073,Programme!I11073)</f>
        <v>&lt;/ValeurCellule&gt;</v>
      </c>
    </row>
    <row r="11073" spans="1:1" x14ac:dyDescent="0.2">
      <c r="A11073" s="1135" t="str">
        <f>CONCATENATE(Programme!C11074,Programme!D11074,Programme!E11074,Programme!F11074,Programme!G11074,Programme!H11074,Programme!I11074)</f>
        <v>&lt;ValeurCellule&gt;</v>
      </c>
    </row>
    <row r="11074" spans="1:1" x14ac:dyDescent="0.2">
      <c r="A11074" s="1135" t="str">
        <f>CONCATENATE(Programme!C11075,Programme!D11075,Programme!E11075,Programme!F11075,Programme!G11075,Programme!H11075,Programme!I11075)</f>
        <v>&lt;cellule&gt;</v>
      </c>
    </row>
    <row r="11075" spans="1:1" x14ac:dyDescent="0.2">
      <c r="A11075" s="1135" t="str">
        <f>CONCATENATE(Programme!C11076,Programme!D11076,Programme!E11076,Programme!F11076,Programme!G11076,Programme!H11076,Programme!I11076)</f>
        <v>&lt;codeEdi&gt;1558&lt;/codeEdi&gt;</v>
      </c>
    </row>
    <row r="11076" spans="1:1" x14ac:dyDescent="0.2">
      <c r="A11076" s="1135" t="str">
        <f>CONCATENATE(Programme!C11077,Programme!D11077,Programme!E11077,Programme!F11077,Programme!G11077,Programme!H11077,Programme!I11077)</f>
        <v>&lt;/cellule&gt;</v>
      </c>
    </row>
    <row r="11077" spans="1:1" x14ac:dyDescent="0.2">
      <c r="A11077" s="1135" t="str">
        <f>CONCATENATE(Programme!C11078,Programme!D11078,Programme!E11078,Programme!F11078,Programme!G11078,Programme!H11078,Programme!I11078)</f>
        <v>&lt;valeur&gt;0&lt;/valeur&gt;</v>
      </c>
    </row>
    <row r="11078" spans="1:1" x14ac:dyDescent="0.2">
      <c r="A11078" s="1135" t="str">
        <f>CONCATENATE(Programme!C11079,Programme!D11079,Programme!E11079,Programme!F11079,Programme!G11079,Programme!H11079,Programme!I11079)</f>
        <v>&lt;/ValeurCellule&gt;</v>
      </c>
    </row>
    <row r="11079" spans="1:1" x14ac:dyDescent="0.2">
      <c r="A11079" s="1135" t="str">
        <f>CONCATENATE(Programme!C11080,Programme!D11080,Programme!E11080,Programme!F11080,Programme!G11080,Programme!H11080,Programme!I11080)</f>
        <v>&lt;ValeurCellule&gt;</v>
      </c>
    </row>
    <row r="11080" spans="1:1" x14ac:dyDescent="0.2">
      <c r="A11080" s="1135" t="str">
        <f>CONCATENATE(Programme!C11081,Programme!D11081,Programme!E11081,Programme!F11081,Programme!G11081,Programme!H11081,Programme!I11081)</f>
        <v>&lt;cellule&gt;</v>
      </c>
    </row>
    <row r="11081" spans="1:1" x14ac:dyDescent="0.2">
      <c r="A11081" s="1135" t="str">
        <f>CONCATENATE(Programme!C11082,Programme!D11082,Programme!E11082,Programme!F11082,Programme!G11082,Programme!H11082,Programme!I11082)</f>
        <v>&lt;codeEdi&gt;1599&lt;/codeEdi&gt;</v>
      </c>
    </row>
    <row r="11082" spans="1:1" x14ac:dyDescent="0.2">
      <c r="A11082" s="1135" t="str">
        <f>CONCATENATE(Programme!C11083,Programme!D11083,Programme!E11083,Programme!F11083,Programme!G11083,Programme!H11083,Programme!I11083)</f>
        <v>&lt;/cellule&gt;</v>
      </c>
    </row>
    <row r="11083" spans="1:1" x14ac:dyDescent="0.2">
      <c r="A11083" s="1135" t="str">
        <f>CONCATENATE(Programme!C11084,Programme!D11084,Programme!E11084,Programme!F11084,Programme!G11084,Programme!H11084,Programme!I11084)</f>
        <v>&lt;valeur&gt;&lt;/valeur&gt;</v>
      </c>
    </row>
    <row r="11084" spans="1:1" x14ac:dyDescent="0.2">
      <c r="A11084" s="1135" t="str">
        <f>CONCATENATE(Programme!C11085,Programme!D11085,Programme!E11085,Programme!F11085,Programme!G11085,Programme!H11085,Programme!I11085)</f>
        <v>&lt;/ValeurCellule&gt;</v>
      </c>
    </row>
    <row r="11085" spans="1:1" x14ac:dyDescent="0.2">
      <c r="A11085" s="1135" t="str">
        <f>CONCATENATE(Programme!C11086,Programme!D11086,Programme!E11086,Programme!F11086,Programme!G11086,Programme!H11086,Programme!I11086)</f>
        <v>&lt;ValeurCellule&gt;</v>
      </c>
    </row>
    <row r="11086" spans="1:1" x14ac:dyDescent="0.2">
      <c r="A11086" s="1135" t="str">
        <f>CONCATENATE(Programme!C11087,Programme!D11087,Programme!E11087,Programme!F11087,Programme!G11087,Programme!H11087,Programme!I11087)</f>
        <v>&lt;cellule&gt;</v>
      </c>
    </row>
    <row r="11087" spans="1:1" x14ac:dyDescent="0.2">
      <c r="A11087" s="1135" t="str">
        <f>CONCATENATE(Programme!C11088,Programme!D11088,Programme!E11088,Programme!F11088,Programme!G11088,Programme!H11088,Programme!I11088)</f>
        <v>&lt;codeEdi&gt;1607&lt;/codeEdi&gt;</v>
      </c>
    </row>
    <row r="11088" spans="1:1" x14ac:dyDescent="0.2">
      <c r="A11088" s="1135" t="str">
        <f>CONCATENATE(Programme!C11089,Programme!D11089,Programme!E11089,Programme!F11089,Programme!G11089,Programme!H11089,Programme!I11089)</f>
        <v>&lt;/cellule&gt;</v>
      </c>
    </row>
    <row r="11089" spans="1:1" x14ac:dyDescent="0.2">
      <c r="A11089" s="1135" t="str">
        <f>CONCATENATE(Programme!C11090,Programme!D11090,Programme!E11090,Programme!F11090,Programme!G11090,Programme!H11090,Programme!I11090)</f>
        <v>&lt;valeur&gt;0&lt;/valeur&gt;</v>
      </c>
    </row>
    <row r="11090" spans="1:1" x14ac:dyDescent="0.2">
      <c r="A11090" s="1135" t="str">
        <f>CONCATENATE(Programme!C11091,Programme!D11091,Programme!E11091,Programme!F11091,Programme!G11091,Programme!H11091,Programme!I11091)</f>
        <v>&lt;/ValeurCellule&gt;</v>
      </c>
    </row>
    <row r="11091" spans="1:1" x14ac:dyDescent="0.2">
      <c r="A11091" s="1135" t="str">
        <f>CONCATENATE(Programme!C11092,Programme!D11092,Programme!E11092,Programme!F11092,Programme!G11092,Programme!H11092,Programme!I11092)</f>
        <v>&lt;ValeurCellule&gt;</v>
      </c>
    </row>
    <row r="11092" spans="1:1" x14ac:dyDescent="0.2">
      <c r="A11092" s="1135" t="str">
        <f>CONCATENATE(Programme!C11093,Programme!D11093,Programme!E11093,Programme!F11093,Programme!G11093,Programme!H11093,Programme!I11093)</f>
        <v>&lt;cellule&gt;</v>
      </c>
    </row>
    <row r="11093" spans="1:1" x14ac:dyDescent="0.2">
      <c r="A11093" s="1135" t="str">
        <f>CONCATENATE(Programme!C11094,Programme!D11094,Programme!E11094,Programme!F11094,Programme!G11094,Programme!H11094,Programme!I11094)</f>
        <v>&lt;codeEdi&gt;1615&lt;/codeEdi&gt;</v>
      </c>
    </row>
    <row r="11094" spans="1:1" x14ac:dyDescent="0.2">
      <c r="A11094" s="1135" t="str">
        <f>CONCATENATE(Programme!C11095,Programme!D11095,Programme!E11095,Programme!F11095,Programme!G11095,Programme!H11095,Programme!I11095)</f>
        <v>&lt;/cellule&gt;</v>
      </c>
    </row>
    <row r="11095" spans="1:1" x14ac:dyDescent="0.2">
      <c r="A11095" s="1135" t="str">
        <f>CONCATENATE(Programme!C11096,Programme!D11096,Programme!E11096,Programme!F11096,Programme!G11096,Programme!H11096,Programme!I11096)</f>
        <v>&lt;valeur&gt;0&lt;/valeur&gt;</v>
      </c>
    </row>
    <row r="11096" spans="1:1" x14ac:dyDescent="0.2">
      <c r="A11096" s="1135" t="str">
        <f>CONCATENATE(Programme!C11097,Programme!D11097,Programme!E11097,Programme!F11097,Programme!G11097,Programme!H11097,Programme!I11097)</f>
        <v>&lt;/ValeurCellule&gt;</v>
      </c>
    </row>
    <row r="11097" spans="1:1" x14ac:dyDescent="0.2">
      <c r="A11097" s="1135" t="str">
        <f>CONCATENATE(Programme!C11098,Programme!D11098,Programme!E11098,Programme!F11098,Programme!G11098,Programme!H11098,Programme!I11098)</f>
        <v>&lt;ValeurCellule&gt;</v>
      </c>
    </row>
    <row r="11098" spans="1:1" x14ac:dyDescent="0.2">
      <c r="A11098" s="1135" t="str">
        <f>CONCATENATE(Programme!C11099,Programme!D11099,Programme!E11099,Programme!F11099,Programme!G11099,Programme!H11099,Programme!I11099)</f>
        <v>&lt;cellule&gt;</v>
      </c>
    </row>
    <row r="11099" spans="1:1" x14ac:dyDescent="0.2">
      <c r="A11099" s="1135" t="str">
        <f>CONCATENATE(Programme!C11100,Programme!D11100,Programme!E11100,Programme!F11100,Programme!G11100,Programme!H11100,Programme!I11100)</f>
        <v>&lt;codeEdi&gt;1638&lt;/codeEdi&gt;</v>
      </c>
    </row>
    <row r="11100" spans="1:1" x14ac:dyDescent="0.2">
      <c r="A11100" s="1135" t="str">
        <f>CONCATENATE(Programme!C11101,Programme!D11101,Programme!E11101,Programme!F11101,Programme!G11101,Programme!H11101,Programme!I11101)</f>
        <v>&lt;/cellule&gt;</v>
      </c>
    </row>
    <row r="11101" spans="1:1" x14ac:dyDescent="0.2">
      <c r="A11101" s="1135" t="str">
        <f>CONCATENATE(Programme!C11102,Programme!D11102,Programme!E11102,Programme!F11102,Programme!G11102,Programme!H11102,Programme!I11102)</f>
        <v>&lt;valeur&gt;&lt;/valeur&gt;</v>
      </c>
    </row>
    <row r="11102" spans="1:1" x14ac:dyDescent="0.2">
      <c r="A11102" s="1135" t="str">
        <f>CONCATENATE(Programme!C11103,Programme!D11103,Programme!E11103,Programme!F11103,Programme!G11103,Programme!H11103,Programme!I11103)</f>
        <v>&lt;/ValeurCellule&gt;</v>
      </c>
    </row>
    <row r="11103" spans="1:1" x14ac:dyDescent="0.2">
      <c r="A11103" s="1135" t="str">
        <f>CONCATENATE(Programme!C11104,Programme!D11104,Programme!E11104,Programme!F11104,Programme!G11104,Programme!H11104,Programme!I11104)</f>
        <v>&lt;ValeurCellule&gt;</v>
      </c>
    </row>
    <row r="11104" spans="1:1" x14ac:dyDescent="0.2">
      <c r="A11104" s="1135" t="str">
        <f>CONCATENATE(Programme!C11105,Programme!D11105,Programme!E11105,Programme!F11105,Programme!G11105,Programme!H11105,Programme!I11105)</f>
        <v>&lt;cellule&gt;</v>
      </c>
    </row>
    <row r="11105" spans="1:1" x14ac:dyDescent="0.2">
      <c r="A11105" s="1135" t="str">
        <f>CONCATENATE(Programme!C11106,Programme!D11106,Programme!E11106,Programme!F11106,Programme!G11106,Programme!H11106,Programme!I11106)</f>
        <v>&lt;codeEdi&gt;1646&lt;/codeEdi&gt;</v>
      </c>
    </row>
    <row r="11106" spans="1:1" x14ac:dyDescent="0.2">
      <c r="A11106" s="1135" t="str">
        <f>CONCATENATE(Programme!C11107,Programme!D11107,Programme!E11107,Programme!F11107,Programme!G11107,Programme!H11107,Programme!I11107)</f>
        <v>&lt;/cellule&gt;</v>
      </c>
    </row>
    <row r="11107" spans="1:1" x14ac:dyDescent="0.2">
      <c r="A11107" s="1135" t="str">
        <f>CONCATENATE(Programme!C11108,Programme!D11108,Programme!E11108,Programme!F11108,Programme!G11108,Programme!H11108,Programme!I11108)</f>
        <v>&lt;valeur&gt;0&lt;/valeur&gt;</v>
      </c>
    </row>
    <row r="11108" spans="1:1" x14ac:dyDescent="0.2">
      <c r="A11108" s="1135" t="str">
        <f>CONCATENATE(Programme!C11109,Programme!D11109,Programme!E11109,Programme!F11109,Programme!G11109,Programme!H11109,Programme!I11109)</f>
        <v>&lt;/ValeurCellule&gt;</v>
      </c>
    </row>
    <row r="11109" spans="1:1" x14ac:dyDescent="0.2">
      <c r="A11109" s="1135" t="str">
        <f>CONCATENATE(Programme!C11110,Programme!D11110,Programme!E11110,Programme!F11110,Programme!G11110,Programme!H11110,Programme!I11110)</f>
        <v>&lt;ValeurCellule&gt;</v>
      </c>
    </row>
    <row r="11110" spans="1:1" x14ac:dyDescent="0.2">
      <c r="A11110" s="1135" t="str">
        <f>CONCATENATE(Programme!C11111,Programme!D11111,Programme!E11111,Programme!F11111,Programme!G11111,Programme!H11111,Programme!I11111)</f>
        <v>&lt;cellule&gt;</v>
      </c>
    </row>
    <row r="11111" spans="1:1" x14ac:dyDescent="0.2">
      <c r="A11111" s="1135" t="str">
        <f>CONCATENATE(Programme!C11112,Programme!D11112,Programme!E11112,Programme!F11112,Programme!G11112,Programme!H11112,Programme!I11112)</f>
        <v>&lt;codeEdi&gt;1659&lt;/codeEdi&gt;</v>
      </c>
    </row>
    <row r="11112" spans="1:1" x14ac:dyDescent="0.2">
      <c r="A11112" s="1135" t="str">
        <f>CONCATENATE(Programme!C11113,Programme!D11113,Programme!E11113,Programme!F11113,Programme!G11113,Programme!H11113,Programme!I11113)</f>
        <v>&lt;/cellule&gt;</v>
      </c>
    </row>
    <row r="11113" spans="1:1" x14ac:dyDescent="0.2">
      <c r="A11113" s="1135" t="str">
        <f>CONCATENATE(Programme!C11114,Programme!D11114,Programme!E11114,Programme!F11114,Programme!G11114,Programme!H11114,Programme!I11114)</f>
        <v>&lt;valeur&gt;0&lt;/valeur&gt;</v>
      </c>
    </row>
    <row r="11114" spans="1:1" x14ac:dyDescent="0.2">
      <c r="A11114" s="1135" t="str">
        <f>CONCATENATE(Programme!C11115,Programme!D11115,Programme!E11115,Programme!F11115,Programme!G11115,Programme!H11115,Programme!I11115)</f>
        <v>&lt;/ValeurCellule&gt;</v>
      </c>
    </row>
    <row r="11115" spans="1:1" x14ac:dyDescent="0.2">
      <c r="A11115" s="1135" t="str">
        <f>CONCATENATE(Programme!C11116,Programme!D11116,Programme!E11116,Programme!F11116,Programme!G11116,Programme!H11116,Programme!I11116)</f>
        <v>&lt;ValeurCellule&gt;</v>
      </c>
    </row>
    <row r="11116" spans="1:1" x14ac:dyDescent="0.2">
      <c r="A11116" s="1135" t="str">
        <f>CONCATENATE(Programme!C11117,Programme!D11117,Programme!E11117,Programme!F11117,Programme!G11117,Programme!H11117,Programme!I11117)</f>
        <v>&lt;cellule&gt;</v>
      </c>
    </row>
    <row r="11117" spans="1:1" x14ac:dyDescent="0.2">
      <c r="A11117" s="1135" t="str">
        <f>CONCATENATE(Programme!C11118,Programme!D11118,Programme!E11118,Programme!F11118,Programme!G11118,Programme!H11118,Programme!I11118)</f>
        <v>&lt;codeEdi&gt;1667&lt;/codeEdi&gt;</v>
      </c>
    </row>
    <row r="11118" spans="1:1" x14ac:dyDescent="0.2">
      <c r="A11118" s="1135" t="str">
        <f>CONCATENATE(Programme!C11119,Programme!D11119,Programme!E11119,Programme!F11119,Programme!G11119,Programme!H11119,Programme!I11119)</f>
        <v>&lt;/cellule&gt;</v>
      </c>
    </row>
    <row r="11119" spans="1:1" x14ac:dyDescent="0.2">
      <c r="A11119" s="1135" t="str">
        <f>CONCATENATE(Programme!C11120,Programme!D11120,Programme!E11120,Programme!F11120,Programme!G11120,Programme!H11120,Programme!I11120)</f>
        <v>&lt;valeur&gt;0&lt;/valeur&gt;</v>
      </c>
    </row>
    <row r="11120" spans="1:1" x14ac:dyDescent="0.2">
      <c r="A11120" s="1135" t="str">
        <f>CONCATENATE(Programme!C11121,Programme!D11121,Programme!E11121,Programme!F11121,Programme!G11121,Programme!H11121,Programme!I11121)</f>
        <v>&lt;/ValeurCellule&gt;</v>
      </c>
    </row>
    <row r="11121" spans="1:1" x14ac:dyDescent="0.2">
      <c r="A11121" s="1135" t="str">
        <f>CONCATENATE(Programme!C11122,Programme!D11122,Programme!E11122,Programme!F11122,Programme!G11122,Programme!H11122,Programme!I11122)</f>
        <v>&lt;ValeurCellule&gt;</v>
      </c>
    </row>
    <row r="11122" spans="1:1" x14ac:dyDescent="0.2">
      <c r="A11122" s="1135" t="str">
        <f>CONCATENATE(Programme!C11123,Programme!D11123,Programme!E11123,Programme!F11123,Programme!G11123,Programme!H11123,Programme!I11123)</f>
        <v>&lt;cellule&gt;</v>
      </c>
    </row>
    <row r="11123" spans="1:1" x14ac:dyDescent="0.2">
      <c r="A11123" s="1135" t="str">
        <f>CONCATENATE(Programme!C11124,Programme!D11124,Programme!E11124,Programme!F11124,Programme!G11124,Programme!H11124,Programme!I11124)</f>
        <v>&lt;codeEdi&gt;1675&lt;/codeEdi&gt;</v>
      </c>
    </row>
    <row r="11124" spans="1:1" x14ac:dyDescent="0.2">
      <c r="A11124" s="1135" t="str">
        <f>CONCATENATE(Programme!C11125,Programme!D11125,Programme!E11125,Programme!F11125,Programme!G11125,Programme!H11125,Programme!I11125)</f>
        <v>&lt;/cellule&gt;</v>
      </c>
    </row>
    <row r="11125" spans="1:1" x14ac:dyDescent="0.2">
      <c r="A11125" s="1135" t="str">
        <f>CONCATENATE(Programme!C11126,Programme!D11126,Programme!E11126,Programme!F11126,Programme!G11126,Programme!H11126,Programme!I11126)</f>
        <v>&lt;valeur&gt;0&lt;/valeur&gt;</v>
      </c>
    </row>
    <row r="11126" spans="1:1" x14ac:dyDescent="0.2">
      <c r="A11126" s="1135" t="str">
        <f>CONCATENATE(Programme!C11127,Programme!D11127,Programme!E11127,Programme!F11127,Programme!G11127,Programme!H11127,Programme!I11127)</f>
        <v>&lt;/ValeurCellule&gt;</v>
      </c>
    </row>
    <row r="11127" spans="1:1" x14ac:dyDescent="0.2">
      <c r="A11127" s="1135" t="str">
        <f>CONCATENATE(Programme!C11128,Programme!D11128,Programme!E11128,Programme!F11128,Programme!G11128,Programme!H11128,Programme!I11128)</f>
        <v>&lt;ValeurCellule&gt;</v>
      </c>
    </row>
    <row r="11128" spans="1:1" x14ac:dyDescent="0.2">
      <c r="A11128" s="1135" t="str">
        <f>CONCATENATE(Programme!C11129,Programme!D11129,Programme!E11129,Programme!F11129,Programme!G11129,Programme!H11129,Programme!I11129)</f>
        <v>&lt;cellule&gt;</v>
      </c>
    </row>
    <row r="11129" spans="1:1" x14ac:dyDescent="0.2">
      <c r="A11129" s="1135" t="str">
        <f>CONCATENATE(Programme!C11130,Programme!D11130,Programme!E11130,Programme!F11130,Programme!G11130,Programme!H11130,Programme!I11130)</f>
        <v>&lt;codeEdi&gt;1688&lt;/codeEdi&gt;</v>
      </c>
    </row>
    <row r="11130" spans="1:1" x14ac:dyDescent="0.2">
      <c r="A11130" s="1135" t="str">
        <f>CONCATENATE(Programme!C11131,Programme!D11131,Programme!E11131,Programme!F11131,Programme!G11131,Programme!H11131,Programme!I11131)</f>
        <v>&lt;/cellule&gt;</v>
      </c>
    </row>
    <row r="11131" spans="1:1" x14ac:dyDescent="0.2">
      <c r="A11131" s="1135" t="str">
        <f>CONCATENATE(Programme!C11132,Programme!D11132,Programme!E11132,Programme!F11132,Programme!G11132,Programme!H11132,Programme!I11132)</f>
        <v>&lt;valeur&gt;0&lt;/valeur&gt;</v>
      </c>
    </row>
    <row r="11132" spans="1:1" x14ac:dyDescent="0.2">
      <c r="A11132" s="1135" t="str">
        <f>CONCATENATE(Programme!C11133,Programme!D11133,Programme!E11133,Programme!F11133,Programme!G11133,Programme!H11133,Programme!I11133)</f>
        <v>&lt;/ValeurCellule&gt;</v>
      </c>
    </row>
    <row r="11133" spans="1:1" x14ac:dyDescent="0.2">
      <c r="A11133" s="1135" t="str">
        <f>CONCATENATE(Programme!C11134,Programme!D11134,Programme!E11134,Programme!F11134,Programme!G11134,Programme!H11134,Programme!I11134)</f>
        <v>&lt;ValeurCellule&gt;</v>
      </c>
    </row>
    <row r="11134" spans="1:1" x14ac:dyDescent="0.2">
      <c r="A11134" s="1135" t="str">
        <f>CONCATENATE(Programme!C11135,Programme!D11135,Programme!E11135,Programme!F11135,Programme!G11135,Programme!H11135,Programme!I11135)</f>
        <v>&lt;cellule&gt;</v>
      </c>
    </row>
    <row r="11135" spans="1:1" x14ac:dyDescent="0.2">
      <c r="A11135" s="1135" t="str">
        <f>CONCATENATE(Programme!C11136,Programme!D11136,Programme!E11136,Programme!F11136,Programme!G11136,Programme!H11136,Programme!I11136)</f>
        <v>&lt;codeEdi&gt;1739&lt;/codeEdi&gt;</v>
      </c>
    </row>
    <row r="11136" spans="1:1" x14ac:dyDescent="0.2">
      <c r="A11136" s="1135" t="str">
        <f>CONCATENATE(Programme!C11137,Programme!D11137,Programme!E11137,Programme!F11137,Programme!G11137,Programme!H11137,Programme!I11137)</f>
        <v>&lt;/cellule&gt;</v>
      </c>
    </row>
    <row r="11137" spans="1:1" x14ac:dyDescent="0.2">
      <c r="A11137" s="1135" t="str">
        <f>CONCATENATE(Programme!C11138,Programme!D11138,Programme!E11138,Programme!F11138,Programme!G11138,Programme!H11138,Programme!I11138)</f>
        <v>&lt;valeur&gt;&lt;/valeur&gt;</v>
      </c>
    </row>
    <row r="11138" spans="1:1" x14ac:dyDescent="0.2">
      <c r="A11138" s="1135" t="str">
        <f>CONCATENATE(Programme!C11139,Programme!D11139,Programme!E11139,Programme!F11139,Programme!G11139,Programme!H11139,Programme!I11139)</f>
        <v>&lt;/ValeurCellule&gt;</v>
      </c>
    </row>
    <row r="11139" spans="1:1" x14ac:dyDescent="0.2">
      <c r="A11139" s="1135" t="str">
        <f>CONCATENATE(Programme!C11140,Programme!D11140,Programme!E11140,Programme!F11140,Programme!G11140,Programme!H11140,Programme!I11140)</f>
        <v>&lt;ValeurCellule&gt;</v>
      </c>
    </row>
    <row r="11140" spans="1:1" x14ac:dyDescent="0.2">
      <c r="A11140" s="1135" t="str">
        <f>CONCATENATE(Programme!C11141,Programme!D11141,Programme!E11141,Programme!F11141,Programme!G11141,Programme!H11141,Programme!I11141)</f>
        <v>&lt;cellule&gt;</v>
      </c>
    </row>
    <row r="11141" spans="1:1" x14ac:dyDescent="0.2">
      <c r="A11141" s="1135" t="str">
        <f>CONCATENATE(Programme!C11142,Programme!D11142,Programme!E11142,Programme!F11142,Programme!G11142,Programme!H11142,Programme!I11142)</f>
        <v>&lt;codeEdi&gt;1760&lt;/codeEdi&gt;</v>
      </c>
    </row>
    <row r="11142" spans="1:1" x14ac:dyDescent="0.2">
      <c r="A11142" s="1135" t="str">
        <f>CONCATENATE(Programme!C11143,Programme!D11143,Programme!E11143,Programme!F11143,Programme!G11143,Programme!H11143,Programme!I11143)</f>
        <v>&lt;/cellule&gt;</v>
      </c>
    </row>
    <row r="11143" spans="1:1" x14ac:dyDescent="0.2">
      <c r="A11143" s="1135" t="str">
        <f>CONCATENATE(Programme!C11144,Programme!D11144,Programme!E11144,Programme!F11144,Programme!G11144,Programme!H11144,Programme!I11144)</f>
        <v>&lt;valeur&gt;0&lt;/valeur&gt;</v>
      </c>
    </row>
    <row r="11144" spans="1:1" x14ac:dyDescent="0.2">
      <c r="A11144" s="1135" t="str">
        <f>CONCATENATE(Programme!C11145,Programme!D11145,Programme!E11145,Programme!F11145,Programme!G11145,Programme!H11145,Programme!I11145)</f>
        <v>&lt;/ValeurCellule&gt;</v>
      </c>
    </row>
    <row r="11145" spans="1:1" x14ac:dyDescent="0.2">
      <c r="A11145" s="1135" t="str">
        <f>CONCATENATE(Programme!C11146,Programme!D11146,Programme!E11146,Programme!F11146,Programme!G11146,Programme!H11146,Programme!I11146)</f>
        <v>&lt;ValeurCellule&gt;</v>
      </c>
    </row>
    <row r="11146" spans="1:1" x14ac:dyDescent="0.2">
      <c r="A11146" s="1135" t="str">
        <f>CONCATENATE(Programme!C11147,Programme!D11147,Programme!E11147,Programme!F11147,Programme!G11147,Programme!H11147,Programme!I11147)</f>
        <v>&lt;cellule&gt;</v>
      </c>
    </row>
    <row r="11147" spans="1:1" x14ac:dyDescent="0.2">
      <c r="A11147" s="1135" t="str">
        <f>CONCATENATE(Programme!C11148,Programme!D11148,Programme!E11148,Programme!F11148,Programme!G11148,Programme!H11148,Programme!I11148)</f>
        <v>&lt;codeEdi&gt;1772&lt;/codeEdi&gt;</v>
      </c>
    </row>
    <row r="11148" spans="1:1" x14ac:dyDescent="0.2">
      <c r="A11148" s="1135" t="str">
        <f>CONCATENATE(Programme!C11149,Programme!D11149,Programme!E11149,Programme!F11149,Programme!G11149,Programme!H11149,Programme!I11149)</f>
        <v>&lt;/cellule&gt;</v>
      </c>
    </row>
    <row r="11149" spans="1:1" x14ac:dyDescent="0.2">
      <c r="A11149" s="1135" t="str">
        <f>CONCATENATE(Programme!C11150,Programme!D11150,Programme!E11150,Programme!F11150,Programme!G11150,Programme!H11150,Programme!I11150)</f>
        <v>&lt;valeur&gt;&lt;/valeur&gt;</v>
      </c>
    </row>
    <row r="11150" spans="1:1" x14ac:dyDescent="0.2">
      <c r="A11150" s="1135" t="str">
        <f>CONCATENATE(Programme!C11151,Programme!D11151,Programme!E11151,Programme!F11151,Programme!G11151,Programme!H11151,Programme!I11151)</f>
        <v>&lt;/ValeurCellule&gt;</v>
      </c>
    </row>
    <row r="11151" spans="1:1" x14ac:dyDescent="0.2">
      <c r="A11151" s="1135" t="str">
        <f>CONCATENATE(Programme!C11152,Programme!D11152,Programme!E11152,Programme!F11152,Programme!G11152,Programme!H11152,Programme!I11152)</f>
        <v>&lt;ValeurCellule&gt;</v>
      </c>
    </row>
    <row r="11152" spans="1:1" x14ac:dyDescent="0.2">
      <c r="A11152" s="1135" t="str">
        <f>CONCATENATE(Programme!C11153,Programme!D11153,Programme!E11153,Programme!F11153,Programme!G11153,Programme!H11153,Programme!I11153)</f>
        <v>&lt;cellule&gt;</v>
      </c>
    </row>
    <row r="11153" spans="1:1" x14ac:dyDescent="0.2">
      <c r="A11153" s="1135" t="str">
        <f>CONCATENATE(Programme!C11154,Programme!D11154,Programme!E11154,Programme!F11154,Programme!G11154,Programme!H11154,Programme!I11154)</f>
        <v>&lt;codeEdi&gt;1803&lt;/codeEdi&gt;</v>
      </c>
    </row>
    <row r="11154" spans="1:1" x14ac:dyDescent="0.2">
      <c r="A11154" s="1135" t="str">
        <f>CONCATENATE(Programme!C11155,Programme!D11155,Programme!E11155,Programme!F11155,Programme!G11155,Programme!H11155,Programme!I11155)</f>
        <v>&lt;/cellule&gt;</v>
      </c>
    </row>
    <row r="11155" spans="1:1" x14ac:dyDescent="0.2">
      <c r="A11155" s="1135" t="str">
        <f>CONCATENATE(Programme!C11156,Programme!D11156,Programme!E11156,Programme!F11156,Programme!G11156,Programme!H11156,Programme!I11156)</f>
        <v>&lt;valeur&gt;0&lt;/valeur&gt;</v>
      </c>
    </row>
    <row r="11156" spans="1:1" x14ac:dyDescent="0.2">
      <c r="A11156" s="1135" t="str">
        <f>CONCATENATE(Programme!C11157,Programme!D11157,Programme!E11157,Programme!F11157,Programme!G11157,Programme!H11157,Programme!I11157)</f>
        <v>&lt;/ValeurCellule&gt;</v>
      </c>
    </row>
    <row r="11157" spans="1:1" x14ac:dyDescent="0.2">
      <c r="A11157" s="1135" t="str">
        <f>CONCATENATE(Programme!C11158,Programme!D11158,Programme!E11158,Programme!F11158,Programme!G11158,Programme!H11158,Programme!I11158)</f>
        <v>&lt;ValeurCellule&gt;</v>
      </c>
    </row>
    <row r="11158" spans="1:1" x14ac:dyDescent="0.2">
      <c r="A11158" s="1135" t="str">
        <f>CONCATENATE(Programme!C11159,Programme!D11159,Programme!E11159,Programme!F11159,Programme!G11159,Programme!H11159,Programme!I11159)</f>
        <v>&lt;cellule&gt;</v>
      </c>
    </row>
    <row r="11159" spans="1:1" x14ac:dyDescent="0.2">
      <c r="A11159" s="1135" t="str">
        <f>CONCATENATE(Programme!C11160,Programme!D11160,Programme!E11160,Programme!F11160,Programme!G11160,Programme!H11160,Programme!I11160)</f>
        <v>&lt;codeEdi&gt;1822&lt;/codeEdi&gt;</v>
      </c>
    </row>
    <row r="11160" spans="1:1" x14ac:dyDescent="0.2">
      <c r="A11160" s="1135" t="str">
        <f>CONCATENATE(Programme!C11161,Programme!D11161,Programme!E11161,Programme!F11161,Programme!G11161,Programme!H11161,Programme!I11161)</f>
        <v>&lt;/cellule&gt;</v>
      </c>
    </row>
    <row r="11161" spans="1:1" x14ac:dyDescent="0.2">
      <c r="A11161" s="1135" t="str">
        <f>CONCATENATE(Programme!C11162,Programme!D11162,Programme!E11162,Programme!F11162,Programme!G11162,Programme!H11162,Programme!I11162)</f>
        <v>&lt;valeur&gt;&lt;/valeur&gt;</v>
      </c>
    </row>
    <row r="11162" spans="1:1" x14ac:dyDescent="0.2">
      <c r="A11162" s="1135" t="str">
        <f>CONCATENATE(Programme!C11163,Programme!D11163,Programme!E11163,Programme!F11163,Programme!G11163,Programme!H11163,Programme!I11163)</f>
        <v>&lt;/ValeurCellule&gt;</v>
      </c>
    </row>
    <row r="11163" spans="1:1" x14ac:dyDescent="0.2">
      <c r="A11163" s="1135" t="str">
        <f>CONCATENATE(Programme!C11164,Programme!D11164,Programme!E11164,Programme!F11164,Programme!G11164,Programme!H11164,Programme!I11164)</f>
        <v>&lt;ValeurCellule&gt;</v>
      </c>
    </row>
    <row r="11164" spans="1:1" x14ac:dyDescent="0.2">
      <c r="A11164" s="1135" t="str">
        <f>CONCATENATE(Programme!C11165,Programme!D11165,Programme!E11165,Programme!F11165,Programme!G11165,Programme!H11165,Programme!I11165)</f>
        <v>&lt;cellule&gt;</v>
      </c>
    </row>
    <row r="11165" spans="1:1" x14ac:dyDescent="0.2">
      <c r="A11165" s="1135" t="str">
        <f>CONCATENATE(Programme!C11166,Programme!D11166,Programme!E11166,Programme!F11166,Programme!G11166,Programme!H11166,Programme!I11166)</f>
        <v>&lt;codeEdi&gt;1839&lt;/codeEdi&gt;</v>
      </c>
    </row>
    <row r="11166" spans="1:1" x14ac:dyDescent="0.2">
      <c r="A11166" s="1135" t="str">
        <f>CONCATENATE(Programme!C11167,Programme!D11167,Programme!E11167,Programme!F11167,Programme!G11167,Programme!H11167,Programme!I11167)</f>
        <v>&lt;/cellule&gt;</v>
      </c>
    </row>
    <row r="11167" spans="1:1" x14ac:dyDescent="0.2">
      <c r="A11167" s="1135" t="str">
        <f>CONCATENATE(Programme!C11168,Programme!D11168,Programme!E11168,Programme!F11168,Programme!G11168,Programme!H11168,Programme!I11168)</f>
        <v>&lt;valeur&gt;0&lt;/valeur&gt;</v>
      </c>
    </row>
    <row r="11168" spans="1:1" x14ac:dyDescent="0.2">
      <c r="A11168" s="1135" t="str">
        <f>CONCATENATE(Programme!C11169,Programme!D11169,Programme!E11169,Programme!F11169,Programme!G11169,Programme!H11169,Programme!I11169)</f>
        <v>&lt;/ValeurCellule&gt;</v>
      </c>
    </row>
    <row r="11169" spans="1:1" x14ac:dyDescent="0.2">
      <c r="A11169" s="1135" t="str">
        <f>CONCATENATE(Programme!C11170,Programme!D11170,Programme!E11170,Programme!F11170,Programme!G11170,Programme!H11170,Programme!I11170)</f>
        <v>&lt;ValeurCellule&gt;</v>
      </c>
    </row>
    <row r="11170" spans="1:1" x14ac:dyDescent="0.2">
      <c r="A11170" s="1135" t="str">
        <f>CONCATENATE(Programme!C11171,Programme!D11171,Programme!E11171,Programme!F11171,Programme!G11171,Programme!H11171,Programme!I11171)</f>
        <v>&lt;cellule&gt;</v>
      </c>
    </row>
    <row r="11171" spans="1:1" x14ac:dyDescent="0.2">
      <c r="A11171" s="1135" t="str">
        <f>CONCATENATE(Programme!C11172,Programme!D11172,Programme!E11172,Programme!F11172,Programme!G11172,Programme!H11172,Programme!I11172)</f>
        <v>&lt;codeEdi&gt;1856&lt;/codeEdi&gt;</v>
      </c>
    </row>
    <row r="11172" spans="1:1" x14ac:dyDescent="0.2">
      <c r="A11172" s="1135" t="str">
        <f>CONCATENATE(Programme!C11173,Programme!D11173,Programme!E11173,Programme!F11173,Programme!G11173,Programme!H11173,Programme!I11173)</f>
        <v>&lt;/cellule&gt;</v>
      </c>
    </row>
    <row r="11173" spans="1:1" x14ac:dyDescent="0.2">
      <c r="A11173" s="1135" t="str">
        <f>CONCATENATE(Programme!C11174,Programme!D11174,Programme!E11174,Programme!F11174,Programme!G11174,Programme!H11174,Programme!I11174)</f>
        <v>&lt;valeur&gt;0&lt;/valeur&gt;</v>
      </c>
    </row>
    <row r="11174" spans="1:1" x14ac:dyDescent="0.2">
      <c r="A11174" s="1135" t="str">
        <f>CONCATENATE(Programme!C11175,Programme!D11175,Programme!E11175,Programme!F11175,Programme!G11175,Programme!H11175,Programme!I11175)</f>
        <v>&lt;/ValeurCellule&gt;</v>
      </c>
    </row>
    <row r="11175" spans="1:1" x14ac:dyDescent="0.2">
      <c r="A11175" s="1135" t="str">
        <f>CONCATENATE(Programme!C11176,Programme!D11176,Programme!E11176,Programme!F11176,Programme!G11176,Programme!H11176,Programme!I11176)</f>
        <v>&lt;ValeurCellule&gt;</v>
      </c>
    </row>
    <row r="11176" spans="1:1" x14ac:dyDescent="0.2">
      <c r="A11176" s="1135" t="str">
        <f>CONCATENATE(Programme!C11177,Programme!D11177,Programme!E11177,Programme!F11177,Programme!G11177,Programme!H11177,Programme!I11177)</f>
        <v>&lt;cellule&gt;</v>
      </c>
    </row>
    <row r="11177" spans="1:1" x14ac:dyDescent="0.2">
      <c r="A11177" s="1135" t="str">
        <f>CONCATENATE(Programme!C11178,Programme!D11178,Programme!E11178,Programme!F11178,Programme!G11178,Programme!H11178,Programme!I11178)</f>
        <v>&lt;codeEdi&gt;1864&lt;/codeEdi&gt;</v>
      </c>
    </row>
    <row r="11178" spans="1:1" x14ac:dyDescent="0.2">
      <c r="A11178" s="1135" t="str">
        <f>CONCATENATE(Programme!C11179,Programme!D11179,Programme!E11179,Programme!F11179,Programme!G11179,Programme!H11179,Programme!I11179)</f>
        <v>&lt;/cellule&gt;</v>
      </c>
    </row>
    <row r="11179" spans="1:1" x14ac:dyDescent="0.2">
      <c r="A11179" s="1135" t="str">
        <f>CONCATENATE(Programme!C11180,Programme!D11180,Programme!E11180,Programme!F11180,Programme!G11180,Programme!H11180,Programme!I11180)</f>
        <v>&lt;valeur&gt;0&lt;/valeur&gt;</v>
      </c>
    </row>
    <row r="11180" spans="1:1" x14ac:dyDescent="0.2">
      <c r="A11180" s="1135" t="str">
        <f>CONCATENATE(Programme!C11181,Programme!D11181,Programme!E11181,Programme!F11181,Programme!G11181,Programme!H11181,Programme!I11181)</f>
        <v>&lt;/ValeurCellule&gt;</v>
      </c>
    </row>
    <row r="11181" spans="1:1" x14ac:dyDescent="0.2">
      <c r="A11181" s="1135" t="str">
        <f>CONCATENATE(Programme!C11182,Programme!D11182,Programme!E11182,Programme!F11182,Programme!G11182,Programme!H11182,Programme!I11182)</f>
        <v>&lt;ValeurCellule&gt;</v>
      </c>
    </row>
    <row r="11182" spans="1:1" x14ac:dyDescent="0.2">
      <c r="A11182" s="1135" t="str">
        <f>CONCATENATE(Programme!C11183,Programme!D11183,Programme!E11183,Programme!F11183,Programme!G11183,Programme!H11183,Programme!I11183)</f>
        <v>&lt;cellule&gt;</v>
      </c>
    </row>
    <row r="11183" spans="1:1" x14ac:dyDescent="0.2">
      <c r="A11183" s="1135" t="str">
        <f>CONCATENATE(Programme!C11184,Programme!D11184,Programme!E11184,Programme!F11184,Programme!G11184,Programme!H11184,Programme!I11184)</f>
        <v>&lt;codeEdi&gt;1872&lt;/codeEdi&gt;</v>
      </c>
    </row>
    <row r="11184" spans="1:1" x14ac:dyDescent="0.2">
      <c r="A11184" s="1135" t="str">
        <f>CONCATENATE(Programme!C11185,Programme!D11185,Programme!E11185,Programme!F11185,Programme!G11185,Programme!H11185,Programme!I11185)</f>
        <v>&lt;/cellule&gt;</v>
      </c>
    </row>
    <row r="11185" spans="1:1" x14ac:dyDescent="0.2">
      <c r="A11185" s="1135" t="str">
        <f>CONCATENATE(Programme!C11186,Programme!D11186,Programme!E11186,Programme!F11186,Programme!G11186,Programme!H11186,Programme!I11186)</f>
        <v>&lt;valeur&gt;0&lt;/valeur&gt;</v>
      </c>
    </row>
    <row r="11186" spans="1:1" x14ac:dyDescent="0.2">
      <c r="A11186" s="1135" t="str">
        <f>CONCATENATE(Programme!C11187,Programme!D11187,Programme!E11187,Programme!F11187,Programme!G11187,Programme!H11187,Programme!I11187)</f>
        <v>&lt;/ValeurCellule&gt;</v>
      </c>
    </row>
    <row r="11187" spans="1:1" x14ac:dyDescent="0.2">
      <c r="A11187" s="1135" t="str">
        <f>CONCATENATE(Programme!C11188,Programme!D11188,Programme!E11188,Programme!F11188,Programme!G11188,Programme!H11188,Programme!I11188)</f>
        <v>&lt;ValeurCellule&gt;</v>
      </c>
    </row>
    <row r="11188" spans="1:1" x14ac:dyDescent="0.2">
      <c r="A11188" s="1135" t="str">
        <f>CONCATENATE(Programme!C11189,Programme!D11189,Programme!E11189,Programme!F11189,Programme!G11189,Programme!H11189,Programme!I11189)</f>
        <v>&lt;cellule&gt;</v>
      </c>
    </row>
    <row r="11189" spans="1:1" x14ac:dyDescent="0.2">
      <c r="A11189" s="1135" t="str">
        <f>CONCATENATE(Programme!C11190,Programme!D11190,Programme!E11190,Programme!F11190,Programme!G11190,Programme!H11190,Programme!I11190)</f>
        <v>&lt;codeEdi&gt;1889&lt;/codeEdi&gt;</v>
      </c>
    </row>
    <row r="11190" spans="1:1" x14ac:dyDescent="0.2">
      <c r="A11190" s="1135" t="str">
        <f>CONCATENATE(Programme!C11191,Programme!D11191,Programme!E11191,Programme!F11191,Programme!G11191,Programme!H11191,Programme!I11191)</f>
        <v>&lt;/cellule&gt;</v>
      </c>
    </row>
    <row r="11191" spans="1:1" x14ac:dyDescent="0.2">
      <c r="A11191" s="1135" t="str">
        <f>CONCATENATE(Programme!C11192,Programme!D11192,Programme!E11192,Programme!F11192,Programme!G11192,Programme!H11192,Programme!I11192)</f>
        <v>&lt;valeur&gt;0&lt;/valeur&gt;</v>
      </c>
    </row>
    <row r="11192" spans="1:1" x14ac:dyDescent="0.2">
      <c r="A11192" s="1135" t="str">
        <f>CONCATENATE(Programme!C11193,Programme!D11193,Programme!E11193,Programme!F11193,Programme!G11193,Programme!H11193,Programme!I11193)</f>
        <v>&lt;/ValeurCellule&gt;</v>
      </c>
    </row>
    <row r="11193" spans="1:1" x14ac:dyDescent="0.2">
      <c r="A11193" s="1135" t="str">
        <f>CONCATENATE(Programme!C11194,Programme!D11194,Programme!E11194,Programme!F11194,Programme!G11194,Programme!H11194,Programme!I11194)</f>
        <v>&lt;ValeurCellule&gt;</v>
      </c>
    </row>
    <row r="11194" spans="1:1" x14ac:dyDescent="0.2">
      <c r="A11194" s="1135" t="str">
        <f>CONCATENATE(Programme!C11195,Programme!D11195,Programme!E11195,Programme!F11195,Programme!G11195,Programme!H11195,Programme!I11195)</f>
        <v>&lt;cellule&gt;</v>
      </c>
    </row>
    <row r="11195" spans="1:1" x14ac:dyDescent="0.2">
      <c r="A11195" s="1135" t="str">
        <f>CONCATENATE(Programme!C11196,Programme!D11196,Programme!E11196,Programme!F11196,Programme!G11196,Programme!H11196,Programme!I11196)</f>
        <v>&lt;codeEdi&gt;1405&lt;/codeEdi&gt;</v>
      </c>
    </row>
    <row r="11196" spans="1:1" x14ac:dyDescent="0.2">
      <c r="A11196" s="1135" t="str">
        <f>CONCATENATE(Programme!C11197,Programme!D11197,Programme!E11197,Programme!F11197,Programme!G11197,Programme!H11197,Programme!I11197)</f>
        <v>&lt;/cellule&gt;</v>
      </c>
    </row>
    <row r="11197" spans="1:1" x14ac:dyDescent="0.2">
      <c r="A11197" s="1135" t="str">
        <f>CONCATENATE(Programme!C11198,Programme!D11198,Programme!E11198,Programme!F11198,Programme!G11198,Programme!H11198,Programme!I11198)</f>
        <v>&lt;valeur&gt;&lt;/valeur&gt;</v>
      </c>
    </row>
    <row r="11198" spans="1:1" x14ac:dyDescent="0.2">
      <c r="A11198" s="1135" t="str">
        <f>CONCATENATE(Programme!C11199,Programme!D11199,Programme!E11199,Programme!F11199,Programme!G11199,Programme!H11199,Programme!I11199)</f>
        <v>&lt;/ValeurCellule&gt;</v>
      </c>
    </row>
    <row r="11199" spans="1:1" x14ac:dyDescent="0.2">
      <c r="A11199" s="1135" t="str">
        <f>CONCATENATE(Programme!C11200,Programme!D11200,Programme!E11200,Programme!F11200,Programme!G11200,Programme!H11200,Programme!I11200)</f>
        <v>&lt;ValeurCellule&gt;</v>
      </c>
    </row>
    <row r="11200" spans="1:1" x14ac:dyDescent="0.2">
      <c r="A11200" s="1135" t="str">
        <f>CONCATENATE(Programme!C11201,Programme!D11201,Programme!E11201,Programme!F11201,Programme!G11201,Programme!H11201,Programme!I11201)</f>
        <v>&lt;cellule&gt;</v>
      </c>
    </row>
    <row r="11201" spans="1:1" x14ac:dyDescent="0.2">
      <c r="A11201" s="1135" t="str">
        <f>CONCATENATE(Programme!C11202,Programme!D11202,Programme!E11202,Programme!F11202,Programme!G11202,Programme!H11202,Programme!I11202)</f>
        <v>&lt;codeEdi&gt;1413&lt;/codeEdi&gt;</v>
      </c>
    </row>
    <row r="11202" spans="1:1" x14ac:dyDescent="0.2">
      <c r="A11202" s="1135" t="str">
        <f>CONCATENATE(Programme!C11203,Programme!D11203,Programme!E11203,Programme!F11203,Programme!G11203,Programme!H11203,Programme!I11203)</f>
        <v>&lt;/cellule&gt;</v>
      </c>
    </row>
    <row r="11203" spans="1:1" x14ac:dyDescent="0.2">
      <c r="A11203" s="1135" t="str">
        <f>CONCATENATE(Programme!C11204,Programme!D11204,Programme!E11204,Programme!F11204,Programme!G11204,Programme!H11204,Programme!I11204)</f>
        <v>&lt;valeur&gt;&lt;/valeur&gt;</v>
      </c>
    </row>
    <row r="11204" spans="1:1" x14ac:dyDescent="0.2">
      <c r="A11204" s="1135" t="str">
        <f>CONCATENATE(Programme!C11205,Programme!D11205,Programme!E11205,Programme!F11205,Programme!G11205,Programme!H11205,Programme!I11205)</f>
        <v>&lt;/ValeurCellule&gt;</v>
      </c>
    </row>
    <row r="11205" spans="1:1" x14ac:dyDescent="0.2">
      <c r="A11205" s="1135" t="str">
        <f>CONCATENATE(Programme!C11206,Programme!D11206,Programme!E11206,Programme!F11206,Programme!G11206,Programme!H11206,Programme!I11206)</f>
        <v>&lt;ValeurCellule&gt;</v>
      </c>
    </row>
    <row r="11206" spans="1:1" x14ac:dyDescent="0.2">
      <c r="A11206" s="1135" t="str">
        <f>CONCATENATE(Programme!C11207,Programme!D11207,Programme!E11207,Programme!F11207,Programme!G11207,Programme!H11207,Programme!I11207)</f>
        <v>&lt;cellule&gt;</v>
      </c>
    </row>
    <row r="11207" spans="1:1" x14ac:dyDescent="0.2">
      <c r="A11207" s="1135" t="str">
        <f>CONCATENATE(Programme!C11208,Programme!D11208,Programme!E11208,Programme!F11208,Programme!G11208,Programme!H11208,Programme!I11208)</f>
        <v>&lt;codeEdi&gt;1421&lt;/codeEdi&gt;</v>
      </c>
    </row>
    <row r="11208" spans="1:1" x14ac:dyDescent="0.2">
      <c r="A11208" s="1135" t="str">
        <f>CONCATENATE(Programme!C11209,Programme!D11209,Programme!E11209,Programme!F11209,Programme!G11209,Programme!H11209,Programme!I11209)</f>
        <v>&lt;/cellule&gt;</v>
      </c>
    </row>
    <row r="11209" spans="1:1" x14ac:dyDescent="0.2">
      <c r="A11209" s="1135" t="str">
        <f>CONCATENATE(Programme!C11210,Programme!D11210,Programme!E11210,Programme!F11210,Programme!G11210,Programme!H11210,Programme!I11210)</f>
        <v>&lt;valeur&gt;&lt;/valeur&gt;</v>
      </c>
    </row>
    <row r="11210" spans="1:1" x14ac:dyDescent="0.2">
      <c r="A11210" s="1135" t="str">
        <f>CONCATENATE(Programme!C11211,Programme!D11211,Programme!E11211,Programme!F11211,Programme!G11211,Programme!H11211,Programme!I11211)</f>
        <v>&lt;/ValeurCellule&gt;</v>
      </c>
    </row>
    <row r="11211" spans="1:1" x14ac:dyDescent="0.2">
      <c r="A11211" s="1135" t="str">
        <f>CONCATENATE(Programme!C11212,Programme!D11212,Programme!E11212,Programme!F11212,Programme!G11212,Programme!H11212,Programme!I11212)</f>
        <v>&lt;ValeurCellule&gt;</v>
      </c>
    </row>
    <row r="11212" spans="1:1" x14ac:dyDescent="0.2">
      <c r="A11212" s="1135" t="str">
        <f>CONCATENATE(Programme!C11213,Programme!D11213,Programme!E11213,Programme!F11213,Programme!G11213,Programme!H11213,Programme!I11213)</f>
        <v>&lt;cellule&gt;</v>
      </c>
    </row>
    <row r="11213" spans="1:1" x14ac:dyDescent="0.2">
      <c r="A11213" s="1135" t="str">
        <f>CONCATENATE(Programme!C11214,Programme!D11214,Programme!E11214,Programme!F11214,Programme!G11214,Programme!H11214,Programme!I11214)</f>
        <v>&lt;codeEdi&gt;1429&lt;/codeEdi&gt;</v>
      </c>
    </row>
    <row r="11214" spans="1:1" x14ac:dyDescent="0.2">
      <c r="A11214" s="1135" t="str">
        <f>CONCATENATE(Programme!C11215,Programme!D11215,Programme!E11215,Programme!F11215,Programme!G11215,Programme!H11215,Programme!I11215)</f>
        <v>&lt;/cellule&gt;</v>
      </c>
    </row>
    <row r="11215" spans="1:1" x14ac:dyDescent="0.2">
      <c r="A11215" s="1135" t="str">
        <f>CONCATENATE(Programme!C11216,Programme!D11216,Programme!E11216,Programme!F11216,Programme!G11216,Programme!H11216,Programme!I11216)</f>
        <v>&lt;valeur&gt;0&lt;/valeur&gt;</v>
      </c>
    </row>
    <row r="11216" spans="1:1" x14ac:dyDescent="0.2">
      <c r="A11216" s="1135" t="str">
        <f>CONCATENATE(Programme!C11217,Programme!D11217,Programme!E11217,Programme!F11217,Programme!G11217,Programme!H11217,Programme!I11217)</f>
        <v>&lt;/ValeurCellule&gt;</v>
      </c>
    </row>
    <row r="11217" spans="1:1" x14ac:dyDescent="0.2">
      <c r="A11217" s="1135" t="str">
        <f>CONCATENATE(Programme!C11218,Programme!D11218,Programme!E11218,Programme!F11218,Programme!G11218,Programme!H11218,Programme!I11218)</f>
        <v>&lt;ValeurCellule&gt;</v>
      </c>
    </row>
    <row r="11218" spans="1:1" x14ac:dyDescent="0.2">
      <c r="A11218" s="1135" t="str">
        <f>CONCATENATE(Programme!C11219,Programme!D11219,Programme!E11219,Programme!F11219,Programme!G11219,Programme!H11219,Programme!I11219)</f>
        <v>&lt;cellule&gt;</v>
      </c>
    </row>
    <row r="11219" spans="1:1" x14ac:dyDescent="0.2">
      <c r="A11219" s="1135" t="str">
        <f>CONCATENATE(Programme!C11220,Programme!D11220,Programme!E11220,Programme!F11220,Programme!G11220,Programme!H11220,Programme!I11220)</f>
        <v>&lt;codeEdi&gt;1437&lt;/codeEdi&gt;</v>
      </c>
    </row>
    <row r="11220" spans="1:1" x14ac:dyDescent="0.2">
      <c r="A11220" s="1135" t="str">
        <f>CONCATENATE(Programme!C11221,Programme!D11221,Programme!E11221,Programme!F11221,Programme!G11221,Programme!H11221,Programme!I11221)</f>
        <v>&lt;/cellule&gt;</v>
      </c>
    </row>
    <row r="11221" spans="1:1" x14ac:dyDescent="0.2">
      <c r="A11221" s="1135" t="str">
        <f>CONCATENATE(Programme!C11222,Programme!D11222,Programme!E11222,Programme!F11222,Programme!G11222,Programme!H11222,Programme!I11222)</f>
        <v>&lt;valeur&gt;0&lt;/valeur&gt;</v>
      </c>
    </row>
    <row r="11222" spans="1:1" x14ac:dyDescent="0.2">
      <c r="A11222" s="1135" t="str">
        <f>CONCATENATE(Programme!C11223,Programme!D11223,Programme!E11223,Programme!F11223,Programme!G11223,Programme!H11223,Programme!I11223)</f>
        <v>&lt;/ValeurCellule&gt;</v>
      </c>
    </row>
    <row r="11223" spans="1:1" x14ac:dyDescent="0.2">
      <c r="A11223" s="1135" t="str">
        <f>CONCATENATE(Programme!C11224,Programme!D11224,Programme!E11224,Programme!F11224,Programme!G11224,Programme!H11224,Programme!I11224)</f>
        <v>&lt;ValeurCellule&gt;</v>
      </c>
    </row>
    <row r="11224" spans="1:1" x14ac:dyDescent="0.2">
      <c r="A11224" s="1135" t="str">
        <f>CONCATENATE(Programme!C11225,Programme!D11225,Programme!E11225,Programme!F11225,Programme!G11225,Programme!H11225,Programme!I11225)</f>
        <v>&lt;cellule&gt;</v>
      </c>
    </row>
    <row r="11225" spans="1:1" x14ac:dyDescent="0.2">
      <c r="A11225" s="1135" t="str">
        <f>CONCATENATE(Programme!C11226,Programme!D11226,Programme!E11226,Programme!F11226,Programme!G11226,Programme!H11226,Programme!I11226)</f>
        <v>&lt;codeEdi&gt;1453&lt;/codeEdi&gt;</v>
      </c>
    </row>
    <row r="11226" spans="1:1" x14ac:dyDescent="0.2">
      <c r="A11226" s="1135" t="str">
        <f>CONCATENATE(Programme!C11227,Programme!D11227,Programme!E11227,Programme!F11227,Programme!G11227,Programme!H11227,Programme!I11227)</f>
        <v>&lt;/cellule&gt;</v>
      </c>
    </row>
    <row r="11227" spans="1:1" x14ac:dyDescent="0.2">
      <c r="A11227" s="1135" t="str">
        <f>CONCATENATE(Programme!C11228,Programme!D11228,Programme!E11228,Programme!F11228,Programme!G11228,Programme!H11228,Programme!I11228)</f>
        <v>&lt;valeur&gt;&lt;/valeur&gt;</v>
      </c>
    </row>
    <row r="11228" spans="1:1" x14ac:dyDescent="0.2">
      <c r="A11228" s="1135" t="str">
        <f>CONCATENATE(Programme!C11229,Programme!D11229,Programme!E11229,Programme!F11229,Programme!G11229,Programme!H11229,Programme!I11229)</f>
        <v>&lt;/ValeurCellule&gt;</v>
      </c>
    </row>
    <row r="11229" spans="1:1" x14ac:dyDescent="0.2">
      <c r="A11229" s="1135" t="str">
        <f>CONCATENATE(Programme!C11230,Programme!D11230,Programme!E11230,Programme!F11230,Programme!G11230,Programme!H11230,Programme!I11230)</f>
        <v>&lt;ValeurCellule&gt;</v>
      </c>
    </row>
    <row r="11230" spans="1:1" x14ac:dyDescent="0.2">
      <c r="A11230" s="1135" t="str">
        <f>CONCATENATE(Programme!C11231,Programme!D11231,Programme!E11231,Programme!F11231,Programme!G11231,Programme!H11231,Programme!I11231)</f>
        <v>&lt;cellule&gt;</v>
      </c>
    </row>
    <row r="11231" spans="1:1" x14ac:dyDescent="0.2">
      <c r="A11231" s="1135" t="str">
        <f>CONCATENATE(Programme!C11232,Programme!D11232,Programme!E11232,Programme!F11232,Programme!G11232,Programme!H11232,Programme!I11232)</f>
        <v>&lt;codeEdi&gt;1461&lt;/codeEdi&gt;</v>
      </c>
    </row>
    <row r="11232" spans="1:1" x14ac:dyDescent="0.2">
      <c r="A11232" s="1135" t="str">
        <f>CONCATENATE(Programme!C11233,Programme!D11233,Programme!E11233,Programme!F11233,Programme!G11233,Programme!H11233,Programme!I11233)</f>
        <v>&lt;/cellule&gt;</v>
      </c>
    </row>
    <row r="11233" spans="1:1" x14ac:dyDescent="0.2">
      <c r="A11233" s="1135" t="str">
        <f>CONCATENATE(Programme!C11234,Programme!D11234,Programme!E11234,Programme!F11234,Programme!G11234,Programme!H11234,Programme!I11234)</f>
        <v>&lt;valeur&gt;0&lt;/valeur&gt;</v>
      </c>
    </row>
    <row r="11234" spans="1:1" x14ac:dyDescent="0.2">
      <c r="A11234" s="1135" t="str">
        <f>CONCATENATE(Programme!C11235,Programme!D11235,Programme!E11235,Programme!F11235,Programme!G11235,Programme!H11235,Programme!I11235)</f>
        <v>&lt;/ValeurCellule&gt;</v>
      </c>
    </row>
    <row r="11235" spans="1:1" x14ac:dyDescent="0.2">
      <c r="A11235" s="1135" t="str">
        <f>CONCATENATE(Programme!C11236,Programme!D11236,Programme!E11236,Programme!F11236,Programme!G11236,Programme!H11236,Programme!I11236)</f>
        <v>&lt;ValeurCellule&gt;</v>
      </c>
    </row>
    <row r="11236" spans="1:1" x14ac:dyDescent="0.2">
      <c r="A11236" s="1135" t="str">
        <f>CONCATENATE(Programme!C11237,Programme!D11237,Programme!E11237,Programme!F11237,Programme!G11237,Programme!H11237,Programme!I11237)</f>
        <v>&lt;cellule&gt;</v>
      </c>
    </row>
    <row r="11237" spans="1:1" x14ac:dyDescent="0.2">
      <c r="A11237" s="1135" t="str">
        <f>CONCATENATE(Programme!C11238,Programme!D11238,Programme!E11238,Programme!F11238,Programme!G11238,Programme!H11238,Programme!I11238)</f>
        <v>&lt;codeEdi&gt;1469&lt;/codeEdi&gt;</v>
      </c>
    </row>
    <row r="11238" spans="1:1" x14ac:dyDescent="0.2">
      <c r="A11238" s="1135" t="str">
        <f>CONCATENATE(Programme!C11239,Programme!D11239,Programme!E11239,Programme!F11239,Programme!G11239,Programme!H11239,Programme!I11239)</f>
        <v>&lt;/cellule&gt;</v>
      </c>
    </row>
    <row r="11239" spans="1:1" x14ac:dyDescent="0.2">
      <c r="A11239" s="1135" t="str">
        <f>CONCATENATE(Programme!C11240,Programme!D11240,Programme!E11240,Programme!F11240,Programme!G11240,Programme!H11240,Programme!I11240)</f>
        <v>&lt;valeur&gt;0&lt;/valeur&gt;</v>
      </c>
    </row>
    <row r="11240" spans="1:1" x14ac:dyDescent="0.2">
      <c r="A11240" s="1135" t="str">
        <f>CONCATENATE(Programme!C11241,Programme!D11241,Programme!E11241,Programme!F11241,Programme!G11241,Programme!H11241,Programme!I11241)</f>
        <v>&lt;/ValeurCellule&gt;</v>
      </c>
    </row>
    <row r="11241" spans="1:1" x14ac:dyDescent="0.2">
      <c r="A11241" s="1135" t="str">
        <f>CONCATENATE(Programme!C11242,Programme!D11242,Programme!E11242,Programme!F11242,Programme!G11242,Programme!H11242,Programme!I11242)</f>
        <v>&lt;ValeurCellule&gt;</v>
      </c>
    </row>
    <row r="11242" spans="1:1" x14ac:dyDescent="0.2">
      <c r="A11242" s="1135" t="str">
        <f>CONCATENATE(Programme!C11243,Programme!D11243,Programme!E11243,Programme!F11243,Programme!G11243,Programme!H11243,Programme!I11243)</f>
        <v>&lt;cellule&gt;</v>
      </c>
    </row>
    <row r="11243" spans="1:1" x14ac:dyDescent="0.2">
      <c r="A11243" s="1135" t="str">
        <f>CONCATENATE(Programme!C11244,Programme!D11244,Programme!E11244,Programme!F11244,Programme!G11244,Programme!H11244,Programme!I11244)</f>
        <v>&lt;codeEdi&gt;1477&lt;/codeEdi&gt;</v>
      </c>
    </row>
    <row r="11244" spans="1:1" x14ac:dyDescent="0.2">
      <c r="A11244" s="1135" t="str">
        <f>CONCATENATE(Programme!C11245,Programme!D11245,Programme!E11245,Programme!F11245,Programme!G11245,Programme!H11245,Programme!I11245)</f>
        <v>&lt;/cellule&gt;</v>
      </c>
    </row>
    <row r="11245" spans="1:1" x14ac:dyDescent="0.2">
      <c r="A11245" s="1135" t="str">
        <f>CONCATENATE(Programme!C11246,Programme!D11246,Programme!E11246,Programme!F11246,Programme!G11246,Programme!H11246,Programme!I11246)</f>
        <v>&lt;valeur&gt;&lt;/valeur&gt;</v>
      </c>
    </row>
    <row r="11246" spans="1:1" x14ac:dyDescent="0.2">
      <c r="A11246" s="1135" t="str">
        <f>CONCATENATE(Programme!C11247,Programme!D11247,Programme!E11247,Programme!F11247,Programme!G11247,Programme!H11247,Programme!I11247)</f>
        <v>&lt;/ValeurCellule&gt;</v>
      </c>
    </row>
    <row r="11247" spans="1:1" x14ac:dyDescent="0.2">
      <c r="A11247" s="1135" t="str">
        <f>CONCATENATE(Programme!C11248,Programme!D11248,Programme!E11248,Programme!F11248,Programme!G11248,Programme!H11248,Programme!I11248)</f>
        <v>&lt;ValeurCellule&gt;</v>
      </c>
    </row>
    <row r="11248" spans="1:1" x14ac:dyDescent="0.2">
      <c r="A11248" s="1135" t="str">
        <f>CONCATENATE(Programme!C11249,Programme!D11249,Programme!E11249,Programme!F11249,Programme!G11249,Programme!H11249,Programme!I11249)</f>
        <v>&lt;cellule&gt;</v>
      </c>
    </row>
    <row r="11249" spans="1:1" x14ac:dyDescent="0.2">
      <c r="A11249" s="1135" t="str">
        <f>CONCATENATE(Programme!C11250,Programme!D11250,Programme!E11250,Programme!F11250,Programme!G11250,Programme!H11250,Programme!I11250)</f>
        <v>&lt;codeEdi&gt;1485&lt;/codeEdi&gt;</v>
      </c>
    </row>
    <row r="11250" spans="1:1" x14ac:dyDescent="0.2">
      <c r="A11250" s="1135" t="str">
        <f>CONCATENATE(Programme!C11251,Programme!D11251,Programme!E11251,Programme!F11251,Programme!G11251,Programme!H11251,Programme!I11251)</f>
        <v>&lt;/cellule&gt;</v>
      </c>
    </row>
    <row r="11251" spans="1:1" x14ac:dyDescent="0.2">
      <c r="A11251" s="1135" t="str">
        <f>CONCATENATE(Programme!C11252,Programme!D11252,Programme!E11252,Programme!F11252,Programme!G11252,Programme!H11252,Programme!I11252)</f>
        <v>&lt;valeur&gt;&lt;/valeur&gt;</v>
      </c>
    </row>
    <row r="11252" spans="1:1" x14ac:dyDescent="0.2">
      <c r="A11252" s="1135" t="str">
        <f>CONCATENATE(Programme!C11253,Programme!D11253,Programme!E11253,Programme!F11253,Programme!G11253,Programme!H11253,Programme!I11253)</f>
        <v>&lt;/ValeurCellule&gt;</v>
      </c>
    </row>
    <row r="11253" spans="1:1" x14ac:dyDescent="0.2">
      <c r="A11253" s="1135" t="str">
        <f>CONCATENATE(Programme!C11254,Programme!D11254,Programme!E11254,Programme!F11254,Programme!G11254,Programme!H11254,Programme!I11254)</f>
        <v>&lt;ValeurCellule&gt;</v>
      </c>
    </row>
    <row r="11254" spans="1:1" x14ac:dyDescent="0.2">
      <c r="A11254" s="1135" t="str">
        <f>CONCATENATE(Programme!C11255,Programme!D11255,Programme!E11255,Programme!F11255,Programme!G11255,Programme!H11255,Programme!I11255)</f>
        <v>&lt;cellule&gt;</v>
      </c>
    </row>
    <row r="11255" spans="1:1" x14ac:dyDescent="0.2">
      <c r="A11255" s="1135" t="str">
        <f>CONCATENATE(Programme!C11256,Programme!D11256,Programme!E11256,Programme!F11256,Programme!G11256,Programme!H11256,Programme!I11256)</f>
        <v>&lt;codeEdi&gt;1559&lt;/codeEdi&gt;</v>
      </c>
    </row>
    <row r="11256" spans="1:1" x14ac:dyDescent="0.2">
      <c r="A11256" s="1135" t="str">
        <f>CONCATENATE(Programme!C11257,Programme!D11257,Programme!E11257,Programme!F11257,Programme!G11257,Programme!H11257,Programme!I11257)</f>
        <v>&lt;/cellule&gt;</v>
      </c>
    </row>
    <row r="11257" spans="1:1" x14ac:dyDescent="0.2">
      <c r="A11257" s="1135" t="str">
        <f>CONCATENATE(Programme!C11258,Programme!D11258,Programme!E11258,Programme!F11258,Programme!G11258,Programme!H11258,Programme!I11258)</f>
        <v>&lt;valeur&gt;0&lt;/valeur&gt;</v>
      </c>
    </row>
    <row r="11258" spans="1:1" x14ac:dyDescent="0.2">
      <c r="A11258" s="1135" t="str">
        <f>CONCATENATE(Programme!C11259,Programme!D11259,Programme!E11259,Programme!F11259,Programme!G11259,Programme!H11259,Programme!I11259)</f>
        <v>&lt;/ValeurCellule&gt;</v>
      </c>
    </row>
    <row r="11259" spans="1:1" x14ac:dyDescent="0.2">
      <c r="A11259" s="1135" t="str">
        <f>CONCATENATE(Programme!C11260,Programme!D11260,Programme!E11260,Programme!F11260,Programme!G11260,Programme!H11260,Programme!I11260)</f>
        <v>&lt;ValeurCellule&gt;</v>
      </c>
    </row>
    <row r="11260" spans="1:1" x14ac:dyDescent="0.2">
      <c r="A11260" s="1135" t="str">
        <f>CONCATENATE(Programme!C11261,Programme!D11261,Programme!E11261,Programme!F11261,Programme!G11261,Programme!H11261,Programme!I11261)</f>
        <v>&lt;cellule&gt;</v>
      </c>
    </row>
    <row r="11261" spans="1:1" x14ac:dyDescent="0.2">
      <c r="A11261" s="1135" t="str">
        <f>CONCATENATE(Programme!C11262,Programme!D11262,Programme!E11262,Programme!F11262,Programme!G11262,Programme!H11262,Programme!I11262)</f>
        <v>&lt;codeEdi&gt;1600&lt;/codeEdi&gt;</v>
      </c>
    </row>
    <row r="11262" spans="1:1" x14ac:dyDescent="0.2">
      <c r="A11262" s="1135" t="str">
        <f>CONCATENATE(Programme!C11263,Programme!D11263,Programme!E11263,Programme!F11263,Programme!G11263,Programme!H11263,Programme!I11263)</f>
        <v>&lt;/cellule&gt;</v>
      </c>
    </row>
    <row r="11263" spans="1:1" x14ac:dyDescent="0.2">
      <c r="A11263" s="1135" t="str">
        <f>CONCATENATE(Programme!C11264,Programme!D11264,Programme!E11264,Programme!F11264,Programme!G11264,Programme!H11264,Programme!I11264)</f>
        <v>&lt;valeur&gt;&lt;/valeur&gt;</v>
      </c>
    </row>
    <row r="11264" spans="1:1" x14ac:dyDescent="0.2">
      <c r="A11264" s="1135" t="str">
        <f>CONCATENATE(Programme!C11265,Programme!D11265,Programme!E11265,Programme!F11265,Programme!G11265,Programme!H11265,Programme!I11265)</f>
        <v>&lt;/ValeurCellule&gt;</v>
      </c>
    </row>
    <row r="11265" spans="1:1" x14ac:dyDescent="0.2">
      <c r="A11265" s="1135" t="str">
        <f>CONCATENATE(Programme!C11266,Programme!D11266,Programme!E11266,Programme!F11266,Programme!G11266,Programme!H11266,Programme!I11266)</f>
        <v>&lt;ValeurCellule&gt;</v>
      </c>
    </row>
    <row r="11266" spans="1:1" x14ac:dyDescent="0.2">
      <c r="A11266" s="1135" t="str">
        <f>CONCATENATE(Programme!C11267,Programme!D11267,Programme!E11267,Programme!F11267,Programme!G11267,Programme!H11267,Programme!I11267)</f>
        <v>&lt;cellule&gt;</v>
      </c>
    </row>
    <row r="11267" spans="1:1" x14ac:dyDescent="0.2">
      <c r="A11267" s="1135" t="str">
        <f>CONCATENATE(Programme!C11268,Programme!D11268,Programme!E11268,Programme!F11268,Programme!G11268,Programme!H11268,Programme!I11268)</f>
        <v>&lt;codeEdi&gt;1608&lt;/codeEdi&gt;</v>
      </c>
    </row>
    <row r="11268" spans="1:1" x14ac:dyDescent="0.2">
      <c r="A11268" s="1135" t="str">
        <f>CONCATENATE(Programme!C11269,Programme!D11269,Programme!E11269,Programme!F11269,Programme!G11269,Programme!H11269,Programme!I11269)</f>
        <v>&lt;/cellule&gt;</v>
      </c>
    </row>
    <row r="11269" spans="1:1" x14ac:dyDescent="0.2">
      <c r="A11269" s="1135" t="str">
        <f>CONCATENATE(Programme!C11270,Programme!D11270,Programme!E11270,Programme!F11270,Programme!G11270,Programme!H11270,Programme!I11270)</f>
        <v>&lt;valeur&gt;0&lt;/valeur&gt;</v>
      </c>
    </row>
    <row r="11270" spans="1:1" x14ac:dyDescent="0.2">
      <c r="A11270" s="1135" t="str">
        <f>CONCATENATE(Programme!C11271,Programme!D11271,Programme!E11271,Programme!F11271,Programme!G11271,Programme!H11271,Programme!I11271)</f>
        <v>&lt;/ValeurCellule&gt;</v>
      </c>
    </row>
    <row r="11271" spans="1:1" x14ac:dyDescent="0.2">
      <c r="A11271" s="1135" t="str">
        <f>CONCATENATE(Programme!C11272,Programme!D11272,Programme!E11272,Programme!F11272,Programme!G11272,Programme!H11272,Programme!I11272)</f>
        <v>&lt;ValeurCellule&gt;</v>
      </c>
    </row>
    <row r="11272" spans="1:1" x14ac:dyDescent="0.2">
      <c r="A11272" s="1135" t="str">
        <f>CONCATENATE(Programme!C11273,Programme!D11273,Programme!E11273,Programme!F11273,Programme!G11273,Programme!H11273,Programme!I11273)</f>
        <v>&lt;cellule&gt;</v>
      </c>
    </row>
    <row r="11273" spans="1:1" x14ac:dyDescent="0.2">
      <c r="A11273" s="1135" t="str">
        <f>CONCATENATE(Programme!C11274,Programme!D11274,Programme!E11274,Programme!F11274,Programme!G11274,Programme!H11274,Programme!I11274)</f>
        <v>&lt;codeEdi&gt;1616&lt;/codeEdi&gt;</v>
      </c>
    </row>
    <row r="11274" spans="1:1" x14ac:dyDescent="0.2">
      <c r="A11274" s="1135" t="str">
        <f>CONCATENATE(Programme!C11275,Programme!D11275,Programme!E11275,Programme!F11275,Programme!G11275,Programme!H11275,Programme!I11275)</f>
        <v>&lt;/cellule&gt;</v>
      </c>
    </row>
    <row r="11275" spans="1:1" x14ac:dyDescent="0.2">
      <c r="A11275" s="1135" t="str">
        <f>CONCATENATE(Programme!C11276,Programme!D11276,Programme!E11276,Programme!F11276,Programme!G11276,Programme!H11276,Programme!I11276)</f>
        <v>&lt;valeur&gt;0&lt;/valeur&gt;</v>
      </c>
    </row>
    <row r="11276" spans="1:1" x14ac:dyDescent="0.2">
      <c r="A11276" s="1135" t="str">
        <f>CONCATENATE(Programme!C11277,Programme!D11277,Programme!E11277,Programme!F11277,Programme!G11277,Programme!H11277,Programme!I11277)</f>
        <v>&lt;/ValeurCellule&gt;</v>
      </c>
    </row>
    <row r="11277" spans="1:1" x14ac:dyDescent="0.2">
      <c r="A11277" s="1135" t="str">
        <f>CONCATENATE(Programme!C11278,Programme!D11278,Programme!E11278,Programme!F11278,Programme!G11278,Programme!H11278,Programme!I11278)</f>
        <v>&lt;ValeurCellule&gt;</v>
      </c>
    </row>
    <row r="11278" spans="1:1" x14ac:dyDescent="0.2">
      <c r="A11278" s="1135" t="str">
        <f>CONCATENATE(Programme!C11279,Programme!D11279,Programme!E11279,Programme!F11279,Programme!G11279,Programme!H11279,Programme!I11279)</f>
        <v>&lt;cellule&gt;</v>
      </c>
    </row>
    <row r="11279" spans="1:1" x14ac:dyDescent="0.2">
      <c r="A11279" s="1135" t="str">
        <f>CONCATENATE(Programme!C11280,Programme!D11280,Programme!E11280,Programme!F11280,Programme!G11280,Programme!H11280,Programme!I11280)</f>
        <v>&lt;codeEdi&gt;1639&lt;/codeEdi&gt;</v>
      </c>
    </row>
    <row r="11280" spans="1:1" x14ac:dyDescent="0.2">
      <c r="A11280" s="1135" t="str">
        <f>CONCATENATE(Programme!C11281,Programme!D11281,Programme!E11281,Programme!F11281,Programme!G11281,Programme!H11281,Programme!I11281)</f>
        <v>&lt;/cellule&gt;</v>
      </c>
    </row>
    <row r="11281" spans="1:1" x14ac:dyDescent="0.2">
      <c r="A11281" s="1135" t="str">
        <f>CONCATENATE(Programme!C11282,Programme!D11282,Programme!E11282,Programme!F11282,Programme!G11282,Programme!H11282,Programme!I11282)</f>
        <v>&lt;valeur&gt;&lt;/valeur&gt;</v>
      </c>
    </row>
    <row r="11282" spans="1:1" x14ac:dyDescent="0.2">
      <c r="A11282" s="1135" t="str">
        <f>CONCATENATE(Programme!C11283,Programme!D11283,Programme!E11283,Programme!F11283,Programme!G11283,Programme!H11283,Programme!I11283)</f>
        <v>&lt;/ValeurCellule&gt;</v>
      </c>
    </row>
    <row r="11283" spans="1:1" x14ac:dyDescent="0.2">
      <c r="A11283" s="1135" t="str">
        <f>CONCATENATE(Programme!C11284,Programme!D11284,Programme!E11284,Programme!F11284,Programme!G11284,Programme!H11284,Programme!I11284)</f>
        <v>&lt;ValeurCellule&gt;</v>
      </c>
    </row>
    <row r="11284" spans="1:1" x14ac:dyDescent="0.2">
      <c r="A11284" s="1135" t="str">
        <f>CONCATENATE(Programme!C11285,Programme!D11285,Programme!E11285,Programme!F11285,Programme!G11285,Programme!H11285,Programme!I11285)</f>
        <v>&lt;cellule&gt;</v>
      </c>
    </row>
    <row r="11285" spans="1:1" x14ac:dyDescent="0.2">
      <c r="A11285" s="1135" t="str">
        <f>CONCATENATE(Programme!C11286,Programme!D11286,Programme!E11286,Programme!F11286,Programme!G11286,Programme!H11286,Programme!I11286)</f>
        <v>&lt;codeEdi&gt;1647&lt;/codeEdi&gt;</v>
      </c>
    </row>
    <row r="11286" spans="1:1" x14ac:dyDescent="0.2">
      <c r="A11286" s="1135" t="str">
        <f>CONCATENATE(Programme!C11287,Programme!D11287,Programme!E11287,Programme!F11287,Programme!G11287,Programme!H11287,Programme!I11287)</f>
        <v>&lt;/cellule&gt;</v>
      </c>
    </row>
    <row r="11287" spans="1:1" x14ac:dyDescent="0.2">
      <c r="A11287" s="1135" t="str">
        <f>CONCATENATE(Programme!C11288,Programme!D11288,Programme!E11288,Programme!F11288,Programme!G11288,Programme!H11288,Programme!I11288)</f>
        <v>&lt;valeur&gt;0&lt;/valeur&gt;</v>
      </c>
    </row>
    <row r="11288" spans="1:1" x14ac:dyDescent="0.2">
      <c r="A11288" s="1135" t="str">
        <f>CONCATENATE(Programme!C11289,Programme!D11289,Programme!E11289,Programme!F11289,Programme!G11289,Programme!H11289,Programme!I11289)</f>
        <v>&lt;/ValeurCellule&gt;</v>
      </c>
    </row>
    <row r="11289" spans="1:1" x14ac:dyDescent="0.2">
      <c r="A11289" s="1135" t="str">
        <f>CONCATENATE(Programme!C11290,Programme!D11290,Programme!E11290,Programme!F11290,Programme!G11290,Programme!H11290,Programme!I11290)</f>
        <v>&lt;ValeurCellule&gt;</v>
      </c>
    </row>
    <row r="11290" spans="1:1" x14ac:dyDescent="0.2">
      <c r="A11290" s="1135" t="str">
        <f>CONCATENATE(Programme!C11291,Programme!D11291,Programme!E11291,Programme!F11291,Programme!G11291,Programme!H11291,Programme!I11291)</f>
        <v>&lt;cellule&gt;</v>
      </c>
    </row>
    <row r="11291" spans="1:1" x14ac:dyDescent="0.2">
      <c r="A11291" s="1135" t="str">
        <f>CONCATENATE(Programme!C11292,Programme!D11292,Programme!E11292,Programme!F11292,Programme!G11292,Programme!H11292,Programme!I11292)</f>
        <v>&lt;codeEdi&gt;1660&lt;/codeEdi&gt;</v>
      </c>
    </row>
    <row r="11292" spans="1:1" x14ac:dyDescent="0.2">
      <c r="A11292" s="1135" t="str">
        <f>CONCATENATE(Programme!C11293,Programme!D11293,Programme!E11293,Programme!F11293,Programme!G11293,Programme!H11293,Programme!I11293)</f>
        <v>&lt;/cellule&gt;</v>
      </c>
    </row>
    <row r="11293" spans="1:1" x14ac:dyDescent="0.2">
      <c r="A11293" s="1135" t="str">
        <f>CONCATENATE(Programme!C11294,Programme!D11294,Programme!E11294,Programme!F11294,Programme!G11294,Programme!H11294,Programme!I11294)</f>
        <v>&lt;valeur&gt;0&lt;/valeur&gt;</v>
      </c>
    </row>
    <row r="11294" spans="1:1" x14ac:dyDescent="0.2">
      <c r="A11294" s="1135" t="str">
        <f>CONCATENATE(Programme!C11295,Programme!D11295,Programme!E11295,Programme!F11295,Programme!G11295,Programme!H11295,Programme!I11295)</f>
        <v>&lt;/ValeurCellule&gt;</v>
      </c>
    </row>
    <row r="11295" spans="1:1" x14ac:dyDescent="0.2">
      <c r="A11295" s="1135" t="str">
        <f>CONCATENATE(Programme!C11296,Programme!D11296,Programme!E11296,Programme!F11296,Programme!G11296,Programme!H11296,Programme!I11296)</f>
        <v>&lt;ValeurCellule&gt;</v>
      </c>
    </row>
    <row r="11296" spans="1:1" x14ac:dyDescent="0.2">
      <c r="A11296" s="1135" t="str">
        <f>CONCATENATE(Programme!C11297,Programme!D11297,Programme!E11297,Programme!F11297,Programme!G11297,Programme!H11297,Programme!I11297)</f>
        <v>&lt;cellule&gt;</v>
      </c>
    </row>
    <row r="11297" spans="1:1" x14ac:dyDescent="0.2">
      <c r="A11297" s="1135" t="str">
        <f>CONCATENATE(Programme!C11298,Programme!D11298,Programme!E11298,Programme!F11298,Programme!G11298,Programme!H11298,Programme!I11298)</f>
        <v>&lt;codeEdi&gt;1668&lt;/codeEdi&gt;</v>
      </c>
    </row>
    <row r="11298" spans="1:1" x14ac:dyDescent="0.2">
      <c r="A11298" s="1135" t="str">
        <f>CONCATENATE(Programme!C11299,Programme!D11299,Programme!E11299,Programme!F11299,Programme!G11299,Programme!H11299,Programme!I11299)</f>
        <v>&lt;/cellule&gt;</v>
      </c>
    </row>
    <row r="11299" spans="1:1" x14ac:dyDescent="0.2">
      <c r="A11299" s="1135" t="str">
        <f>CONCATENATE(Programme!C11300,Programme!D11300,Programme!E11300,Programme!F11300,Programme!G11300,Programme!H11300,Programme!I11300)</f>
        <v>&lt;valeur&gt;0&lt;/valeur&gt;</v>
      </c>
    </row>
    <row r="11300" spans="1:1" x14ac:dyDescent="0.2">
      <c r="A11300" s="1135" t="str">
        <f>CONCATENATE(Programme!C11301,Programme!D11301,Programme!E11301,Programme!F11301,Programme!G11301,Programme!H11301,Programme!I11301)</f>
        <v>&lt;/ValeurCellule&gt;</v>
      </c>
    </row>
    <row r="11301" spans="1:1" x14ac:dyDescent="0.2">
      <c r="A11301" s="1135" t="str">
        <f>CONCATENATE(Programme!C11302,Programme!D11302,Programme!E11302,Programme!F11302,Programme!G11302,Programme!H11302,Programme!I11302)</f>
        <v>&lt;ValeurCellule&gt;</v>
      </c>
    </row>
    <row r="11302" spans="1:1" x14ac:dyDescent="0.2">
      <c r="A11302" s="1135" t="str">
        <f>CONCATENATE(Programme!C11303,Programme!D11303,Programme!E11303,Programme!F11303,Programme!G11303,Programme!H11303,Programme!I11303)</f>
        <v>&lt;cellule&gt;</v>
      </c>
    </row>
    <row r="11303" spans="1:1" x14ac:dyDescent="0.2">
      <c r="A11303" s="1135" t="str">
        <f>CONCATENATE(Programme!C11304,Programme!D11304,Programme!E11304,Programme!F11304,Programme!G11304,Programme!H11304,Programme!I11304)</f>
        <v>&lt;codeEdi&gt;1676&lt;/codeEdi&gt;</v>
      </c>
    </row>
    <row r="11304" spans="1:1" x14ac:dyDescent="0.2">
      <c r="A11304" s="1135" t="str">
        <f>CONCATENATE(Programme!C11305,Programme!D11305,Programme!E11305,Programme!F11305,Programme!G11305,Programme!H11305,Programme!I11305)</f>
        <v>&lt;/cellule&gt;</v>
      </c>
    </row>
    <row r="11305" spans="1:1" x14ac:dyDescent="0.2">
      <c r="A11305" s="1135" t="str">
        <f>CONCATENATE(Programme!C11306,Programme!D11306,Programme!E11306,Programme!F11306,Programme!G11306,Programme!H11306,Programme!I11306)</f>
        <v>&lt;valeur&gt;0&lt;/valeur&gt;</v>
      </c>
    </row>
    <row r="11306" spans="1:1" x14ac:dyDescent="0.2">
      <c r="A11306" s="1135" t="str">
        <f>CONCATENATE(Programme!C11307,Programme!D11307,Programme!E11307,Programme!F11307,Programme!G11307,Programme!H11307,Programme!I11307)</f>
        <v>&lt;/ValeurCellule&gt;</v>
      </c>
    </row>
    <row r="11307" spans="1:1" x14ac:dyDescent="0.2">
      <c r="A11307" s="1135" t="str">
        <f>CONCATENATE(Programme!C11308,Programme!D11308,Programme!E11308,Programme!F11308,Programme!G11308,Programme!H11308,Programme!I11308)</f>
        <v>&lt;ValeurCellule&gt;</v>
      </c>
    </row>
    <row r="11308" spans="1:1" x14ac:dyDescent="0.2">
      <c r="A11308" s="1135" t="str">
        <f>CONCATENATE(Programme!C11309,Programme!D11309,Programme!E11309,Programme!F11309,Programme!G11309,Programme!H11309,Programme!I11309)</f>
        <v>&lt;cellule&gt;</v>
      </c>
    </row>
    <row r="11309" spans="1:1" x14ac:dyDescent="0.2">
      <c r="A11309" s="1135" t="str">
        <f>CONCATENATE(Programme!C11310,Programme!D11310,Programme!E11310,Programme!F11310,Programme!G11310,Programme!H11310,Programme!I11310)</f>
        <v>&lt;codeEdi&gt;1689&lt;/codeEdi&gt;</v>
      </c>
    </row>
    <row r="11310" spans="1:1" x14ac:dyDescent="0.2">
      <c r="A11310" s="1135" t="str">
        <f>CONCATENATE(Programme!C11311,Programme!D11311,Programme!E11311,Programme!F11311,Programme!G11311,Programme!H11311,Programme!I11311)</f>
        <v>&lt;/cellule&gt;</v>
      </c>
    </row>
    <row r="11311" spans="1:1" x14ac:dyDescent="0.2">
      <c r="A11311" s="1135" t="str">
        <f>CONCATENATE(Programme!C11312,Programme!D11312,Programme!E11312,Programme!F11312,Programme!G11312,Programme!H11312,Programme!I11312)</f>
        <v>&lt;valeur&gt;0&lt;/valeur&gt;</v>
      </c>
    </row>
    <row r="11312" spans="1:1" x14ac:dyDescent="0.2">
      <c r="A11312" s="1135" t="str">
        <f>CONCATENATE(Programme!C11313,Programme!D11313,Programme!E11313,Programme!F11313,Programme!G11313,Programme!H11313,Programme!I11313)</f>
        <v>&lt;/ValeurCellule&gt;</v>
      </c>
    </row>
    <row r="11313" spans="1:1" x14ac:dyDescent="0.2">
      <c r="A11313" s="1135" t="str">
        <f>CONCATENATE(Programme!C11314,Programme!D11314,Programme!E11314,Programme!F11314,Programme!G11314,Programme!H11314,Programme!I11314)</f>
        <v>&lt;ValeurCellule&gt;</v>
      </c>
    </row>
    <row r="11314" spans="1:1" x14ac:dyDescent="0.2">
      <c r="A11314" s="1135" t="str">
        <f>CONCATENATE(Programme!C11315,Programme!D11315,Programme!E11315,Programme!F11315,Programme!G11315,Programme!H11315,Programme!I11315)</f>
        <v>&lt;cellule&gt;</v>
      </c>
    </row>
    <row r="11315" spans="1:1" x14ac:dyDescent="0.2">
      <c r="A11315" s="1135" t="str">
        <f>CONCATENATE(Programme!C11316,Programme!D11316,Programme!E11316,Programme!F11316,Programme!G11316,Programme!H11316,Programme!I11316)</f>
        <v>&lt;codeEdi&gt;1740&lt;/codeEdi&gt;</v>
      </c>
    </row>
    <row r="11316" spans="1:1" x14ac:dyDescent="0.2">
      <c r="A11316" s="1135" t="str">
        <f>CONCATENATE(Programme!C11317,Programme!D11317,Programme!E11317,Programme!F11317,Programme!G11317,Programme!H11317,Programme!I11317)</f>
        <v>&lt;/cellule&gt;</v>
      </c>
    </row>
    <row r="11317" spans="1:1" x14ac:dyDescent="0.2">
      <c r="A11317" s="1135" t="str">
        <f>CONCATENATE(Programme!C11318,Programme!D11318,Programme!E11318,Programme!F11318,Programme!G11318,Programme!H11318,Programme!I11318)</f>
        <v>&lt;valeur&gt;&lt;/valeur&gt;</v>
      </c>
    </row>
    <row r="11318" spans="1:1" x14ac:dyDescent="0.2">
      <c r="A11318" s="1135" t="str">
        <f>CONCATENATE(Programme!C11319,Programme!D11319,Programme!E11319,Programme!F11319,Programme!G11319,Programme!H11319,Programme!I11319)</f>
        <v>&lt;/ValeurCellule&gt;</v>
      </c>
    </row>
    <row r="11319" spans="1:1" x14ac:dyDescent="0.2">
      <c r="A11319" s="1135" t="str">
        <f>CONCATENATE(Programme!C11320,Programme!D11320,Programme!E11320,Programme!F11320,Programme!G11320,Programme!H11320,Programme!I11320)</f>
        <v>&lt;ValeurCellule&gt;</v>
      </c>
    </row>
    <row r="11320" spans="1:1" x14ac:dyDescent="0.2">
      <c r="A11320" s="1135" t="str">
        <f>CONCATENATE(Programme!C11321,Programme!D11321,Programme!E11321,Programme!F11321,Programme!G11321,Programme!H11321,Programme!I11321)</f>
        <v>&lt;cellule&gt;</v>
      </c>
    </row>
    <row r="11321" spans="1:1" x14ac:dyDescent="0.2">
      <c r="A11321" s="1135" t="str">
        <f>CONCATENATE(Programme!C11322,Programme!D11322,Programme!E11322,Programme!F11322,Programme!G11322,Programme!H11322,Programme!I11322)</f>
        <v>&lt;codeEdi&gt;1761&lt;/codeEdi&gt;</v>
      </c>
    </row>
    <row r="11322" spans="1:1" x14ac:dyDescent="0.2">
      <c r="A11322" s="1135" t="str">
        <f>CONCATENATE(Programme!C11323,Programme!D11323,Programme!E11323,Programme!F11323,Programme!G11323,Programme!H11323,Programme!I11323)</f>
        <v>&lt;/cellule&gt;</v>
      </c>
    </row>
    <row r="11323" spans="1:1" x14ac:dyDescent="0.2">
      <c r="A11323" s="1135" t="str">
        <f>CONCATENATE(Programme!C11324,Programme!D11324,Programme!E11324,Programme!F11324,Programme!G11324,Programme!H11324,Programme!I11324)</f>
        <v>&lt;valeur&gt;0&lt;/valeur&gt;</v>
      </c>
    </row>
    <row r="11324" spans="1:1" x14ac:dyDescent="0.2">
      <c r="A11324" s="1135" t="str">
        <f>CONCATENATE(Programme!C11325,Programme!D11325,Programme!E11325,Programme!F11325,Programme!G11325,Programme!H11325,Programme!I11325)</f>
        <v>&lt;/ValeurCellule&gt;</v>
      </c>
    </row>
    <row r="11325" spans="1:1" x14ac:dyDescent="0.2">
      <c r="A11325" s="1135" t="str">
        <f>CONCATENATE(Programme!C11326,Programme!D11326,Programme!E11326,Programme!F11326,Programme!G11326,Programme!H11326,Programme!I11326)</f>
        <v>&lt;ValeurCellule&gt;</v>
      </c>
    </row>
    <row r="11326" spans="1:1" x14ac:dyDescent="0.2">
      <c r="A11326" s="1135" t="str">
        <f>CONCATENATE(Programme!C11327,Programme!D11327,Programme!E11327,Programme!F11327,Programme!G11327,Programme!H11327,Programme!I11327)</f>
        <v>&lt;cellule&gt;</v>
      </c>
    </row>
    <row r="11327" spans="1:1" x14ac:dyDescent="0.2">
      <c r="A11327" s="1135" t="str">
        <f>CONCATENATE(Programme!C11328,Programme!D11328,Programme!E11328,Programme!F11328,Programme!G11328,Programme!H11328,Programme!I11328)</f>
        <v>&lt;codeEdi&gt;1773&lt;/codeEdi&gt;</v>
      </c>
    </row>
    <row r="11328" spans="1:1" x14ac:dyDescent="0.2">
      <c r="A11328" s="1135" t="str">
        <f>CONCATENATE(Programme!C11329,Programme!D11329,Programme!E11329,Programme!F11329,Programme!G11329,Programme!H11329,Programme!I11329)</f>
        <v>&lt;/cellule&gt;</v>
      </c>
    </row>
    <row r="11329" spans="1:1" x14ac:dyDescent="0.2">
      <c r="A11329" s="1135" t="str">
        <f>CONCATENATE(Programme!C11330,Programme!D11330,Programme!E11330,Programme!F11330,Programme!G11330,Programme!H11330,Programme!I11330)</f>
        <v>&lt;valeur&gt;&lt;/valeur&gt;</v>
      </c>
    </row>
    <row r="11330" spans="1:1" x14ac:dyDescent="0.2">
      <c r="A11330" s="1135" t="str">
        <f>CONCATENATE(Programme!C11331,Programme!D11331,Programme!E11331,Programme!F11331,Programme!G11331,Programme!H11331,Programme!I11331)</f>
        <v>&lt;/ValeurCellule&gt;</v>
      </c>
    </row>
    <row r="11331" spans="1:1" x14ac:dyDescent="0.2">
      <c r="A11331" s="1135" t="str">
        <f>CONCATENATE(Programme!C11332,Programme!D11332,Programme!E11332,Programme!F11332,Programme!G11332,Programme!H11332,Programme!I11332)</f>
        <v>&lt;ValeurCellule&gt;</v>
      </c>
    </row>
    <row r="11332" spans="1:1" x14ac:dyDescent="0.2">
      <c r="A11332" s="1135" t="str">
        <f>CONCATENATE(Programme!C11333,Programme!D11333,Programme!E11333,Programme!F11333,Programme!G11333,Programme!H11333,Programme!I11333)</f>
        <v>&lt;cellule&gt;</v>
      </c>
    </row>
    <row r="11333" spans="1:1" x14ac:dyDescent="0.2">
      <c r="A11333" s="1135" t="str">
        <f>CONCATENATE(Programme!C11334,Programme!D11334,Programme!E11334,Programme!F11334,Programme!G11334,Programme!H11334,Programme!I11334)</f>
        <v>&lt;codeEdi&gt;1804&lt;/codeEdi&gt;</v>
      </c>
    </row>
    <row r="11334" spans="1:1" x14ac:dyDescent="0.2">
      <c r="A11334" s="1135" t="str">
        <f>CONCATENATE(Programme!C11335,Programme!D11335,Programme!E11335,Programme!F11335,Programme!G11335,Programme!H11335,Programme!I11335)</f>
        <v>&lt;/cellule&gt;</v>
      </c>
    </row>
    <row r="11335" spans="1:1" x14ac:dyDescent="0.2">
      <c r="A11335" s="1135" t="str">
        <f>CONCATENATE(Programme!C11336,Programme!D11336,Programme!E11336,Programme!F11336,Programme!G11336,Programme!H11336,Programme!I11336)</f>
        <v>&lt;valeur&gt;0&lt;/valeur&gt;</v>
      </c>
    </row>
    <row r="11336" spans="1:1" x14ac:dyDescent="0.2">
      <c r="A11336" s="1135" t="str">
        <f>CONCATENATE(Programme!C11337,Programme!D11337,Programme!E11337,Programme!F11337,Programme!G11337,Programme!H11337,Programme!I11337)</f>
        <v>&lt;/ValeurCellule&gt;</v>
      </c>
    </row>
    <row r="11337" spans="1:1" x14ac:dyDescent="0.2">
      <c r="A11337" s="1135" t="str">
        <f>CONCATENATE(Programme!C11338,Programme!D11338,Programme!E11338,Programme!F11338,Programme!G11338,Programme!H11338,Programme!I11338)</f>
        <v>&lt;ValeurCellule&gt;</v>
      </c>
    </row>
    <row r="11338" spans="1:1" x14ac:dyDescent="0.2">
      <c r="A11338" s="1135" t="str">
        <f>CONCATENATE(Programme!C11339,Programme!D11339,Programme!E11339,Programme!F11339,Programme!G11339,Programme!H11339,Programme!I11339)</f>
        <v>&lt;cellule&gt;</v>
      </c>
    </row>
    <row r="11339" spans="1:1" x14ac:dyDescent="0.2">
      <c r="A11339" s="1135" t="str">
        <f>CONCATENATE(Programme!C11340,Programme!D11340,Programme!E11340,Programme!F11340,Programme!G11340,Programme!H11340,Programme!I11340)</f>
        <v>&lt;codeEdi&gt;1823&lt;/codeEdi&gt;</v>
      </c>
    </row>
    <row r="11340" spans="1:1" x14ac:dyDescent="0.2">
      <c r="A11340" s="1135" t="str">
        <f>CONCATENATE(Programme!C11341,Programme!D11341,Programme!E11341,Programme!F11341,Programme!G11341,Programme!H11341,Programme!I11341)</f>
        <v>&lt;/cellule&gt;</v>
      </c>
    </row>
    <row r="11341" spans="1:1" x14ac:dyDescent="0.2">
      <c r="A11341" s="1135" t="str">
        <f>CONCATENATE(Programme!C11342,Programme!D11342,Programme!E11342,Programme!F11342,Programme!G11342,Programme!H11342,Programme!I11342)</f>
        <v>&lt;valeur&gt;&lt;/valeur&gt;</v>
      </c>
    </row>
    <row r="11342" spans="1:1" x14ac:dyDescent="0.2">
      <c r="A11342" s="1135" t="str">
        <f>CONCATENATE(Programme!C11343,Programme!D11343,Programme!E11343,Programme!F11343,Programme!G11343,Programme!H11343,Programme!I11343)</f>
        <v>&lt;/ValeurCellule&gt;</v>
      </c>
    </row>
    <row r="11343" spans="1:1" x14ac:dyDescent="0.2">
      <c r="A11343" s="1135" t="str">
        <f>CONCATENATE(Programme!C11344,Programme!D11344,Programme!E11344,Programme!F11344,Programme!G11344,Programme!H11344,Programme!I11344)</f>
        <v>&lt;ValeurCellule&gt;</v>
      </c>
    </row>
    <row r="11344" spans="1:1" x14ac:dyDescent="0.2">
      <c r="A11344" s="1135" t="str">
        <f>CONCATENATE(Programme!C11345,Programme!D11345,Programme!E11345,Programme!F11345,Programme!G11345,Programme!H11345,Programme!I11345)</f>
        <v>&lt;cellule&gt;</v>
      </c>
    </row>
    <row r="11345" spans="1:1" x14ac:dyDescent="0.2">
      <c r="A11345" s="1135" t="str">
        <f>CONCATENATE(Programme!C11346,Programme!D11346,Programme!E11346,Programme!F11346,Programme!G11346,Programme!H11346,Programme!I11346)</f>
        <v>&lt;codeEdi&gt;1840&lt;/codeEdi&gt;</v>
      </c>
    </row>
    <row r="11346" spans="1:1" x14ac:dyDescent="0.2">
      <c r="A11346" s="1135" t="str">
        <f>CONCATENATE(Programme!C11347,Programme!D11347,Programme!E11347,Programme!F11347,Programme!G11347,Programme!H11347,Programme!I11347)</f>
        <v>&lt;/cellule&gt;</v>
      </c>
    </row>
    <row r="11347" spans="1:1" x14ac:dyDescent="0.2">
      <c r="A11347" s="1135" t="str">
        <f>CONCATENATE(Programme!C11348,Programme!D11348,Programme!E11348,Programme!F11348,Programme!G11348,Programme!H11348,Programme!I11348)</f>
        <v>&lt;valeur&gt;0&lt;/valeur&gt;</v>
      </c>
    </row>
    <row r="11348" spans="1:1" x14ac:dyDescent="0.2">
      <c r="A11348" s="1135" t="str">
        <f>CONCATENATE(Programme!C11349,Programme!D11349,Programme!E11349,Programme!F11349,Programme!G11349,Programme!H11349,Programme!I11349)</f>
        <v>&lt;/ValeurCellule&gt;</v>
      </c>
    </row>
    <row r="11349" spans="1:1" x14ac:dyDescent="0.2">
      <c r="A11349" s="1135" t="str">
        <f>CONCATENATE(Programme!C11350,Programme!D11350,Programme!E11350,Programme!F11350,Programme!G11350,Programme!H11350,Programme!I11350)</f>
        <v>&lt;ValeurCellule&gt;</v>
      </c>
    </row>
    <row r="11350" spans="1:1" x14ac:dyDescent="0.2">
      <c r="A11350" s="1135" t="str">
        <f>CONCATENATE(Programme!C11351,Programme!D11351,Programme!E11351,Programme!F11351,Programme!G11351,Programme!H11351,Programme!I11351)</f>
        <v>&lt;cellule&gt;</v>
      </c>
    </row>
    <row r="11351" spans="1:1" x14ac:dyDescent="0.2">
      <c r="A11351" s="1135" t="str">
        <f>CONCATENATE(Programme!C11352,Programme!D11352,Programme!E11352,Programme!F11352,Programme!G11352,Programme!H11352,Programme!I11352)</f>
        <v>&lt;codeEdi&gt;1857&lt;/codeEdi&gt;</v>
      </c>
    </row>
    <row r="11352" spans="1:1" x14ac:dyDescent="0.2">
      <c r="A11352" s="1135" t="str">
        <f>CONCATENATE(Programme!C11353,Programme!D11353,Programme!E11353,Programme!F11353,Programme!G11353,Programme!H11353,Programme!I11353)</f>
        <v>&lt;/cellule&gt;</v>
      </c>
    </row>
    <row r="11353" spans="1:1" x14ac:dyDescent="0.2">
      <c r="A11353" s="1135" t="str">
        <f>CONCATENATE(Programme!C11354,Programme!D11354,Programme!E11354,Programme!F11354,Programme!G11354,Programme!H11354,Programme!I11354)</f>
        <v>&lt;valeur&gt;0&lt;/valeur&gt;</v>
      </c>
    </row>
    <row r="11354" spans="1:1" x14ac:dyDescent="0.2">
      <c r="A11354" s="1135" t="str">
        <f>CONCATENATE(Programme!C11355,Programme!D11355,Programme!E11355,Programme!F11355,Programme!G11355,Programme!H11355,Programme!I11355)</f>
        <v>&lt;/ValeurCellule&gt;</v>
      </c>
    </row>
    <row r="11355" spans="1:1" x14ac:dyDescent="0.2">
      <c r="A11355" s="1135" t="str">
        <f>CONCATENATE(Programme!C11356,Programme!D11356,Programme!E11356,Programme!F11356,Programme!G11356,Programme!H11356,Programme!I11356)</f>
        <v>&lt;ValeurCellule&gt;</v>
      </c>
    </row>
    <row r="11356" spans="1:1" x14ac:dyDescent="0.2">
      <c r="A11356" s="1135" t="str">
        <f>CONCATENATE(Programme!C11357,Programme!D11357,Programme!E11357,Programme!F11357,Programme!G11357,Programme!H11357,Programme!I11357)</f>
        <v>&lt;cellule&gt;</v>
      </c>
    </row>
    <row r="11357" spans="1:1" x14ac:dyDescent="0.2">
      <c r="A11357" s="1135" t="str">
        <f>CONCATENATE(Programme!C11358,Programme!D11358,Programme!E11358,Programme!F11358,Programme!G11358,Programme!H11358,Programme!I11358)</f>
        <v>&lt;codeEdi&gt;1865&lt;/codeEdi&gt;</v>
      </c>
    </row>
    <row r="11358" spans="1:1" x14ac:dyDescent="0.2">
      <c r="A11358" s="1135" t="str">
        <f>CONCATENATE(Programme!C11359,Programme!D11359,Programme!E11359,Programme!F11359,Programme!G11359,Programme!H11359,Programme!I11359)</f>
        <v>&lt;/cellule&gt;</v>
      </c>
    </row>
    <row r="11359" spans="1:1" x14ac:dyDescent="0.2">
      <c r="A11359" s="1135" t="str">
        <f>CONCATENATE(Programme!C11360,Programme!D11360,Programme!E11360,Programme!F11360,Programme!G11360,Programme!H11360,Programme!I11360)</f>
        <v>&lt;valeur&gt;0&lt;/valeur&gt;</v>
      </c>
    </row>
    <row r="11360" spans="1:1" x14ac:dyDescent="0.2">
      <c r="A11360" s="1135" t="str">
        <f>CONCATENATE(Programme!C11361,Programme!D11361,Programme!E11361,Programme!F11361,Programme!G11361,Programme!H11361,Programme!I11361)</f>
        <v>&lt;/ValeurCellule&gt;</v>
      </c>
    </row>
    <row r="11361" spans="1:1" x14ac:dyDescent="0.2">
      <c r="A11361" s="1135" t="str">
        <f>CONCATENATE(Programme!C11362,Programme!D11362,Programme!E11362,Programme!F11362,Programme!G11362,Programme!H11362,Programme!I11362)</f>
        <v>&lt;ValeurCellule&gt;</v>
      </c>
    </row>
    <row r="11362" spans="1:1" x14ac:dyDescent="0.2">
      <c r="A11362" s="1135" t="str">
        <f>CONCATENATE(Programme!C11363,Programme!D11363,Programme!E11363,Programme!F11363,Programme!G11363,Programme!H11363,Programme!I11363)</f>
        <v>&lt;cellule&gt;</v>
      </c>
    </row>
    <row r="11363" spans="1:1" x14ac:dyDescent="0.2">
      <c r="A11363" s="1135" t="str">
        <f>CONCATENATE(Programme!C11364,Programme!D11364,Programme!E11364,Programme!F11364,Programme!G11364,Programme!H11364,Programme!I11364)</f>
        <v>&lt;codeEdi&gt;1873&lt;/codeEdi&gt;</v>
      </c>
    </row>
    <row r="11364" spans="1:1" x14ac:dyDescent="0.2">
      <c r="A11364" s="1135" t="str">
        <f>CONCATENATE(Programme!C11365,Programme!D11365,Programme!E11365,Programme!F11365,Programme!G11365,Programme!H11365,Programme!I11365)</f>
        <v>&lt;/cellule&gt;</v>
      </c>
    </row>
    <row r="11365" spans="1:1" x14ac:dyDescent="0.2">
      <c r="A11365" s="1135" t="str">
        <f>CONCATENATE(Programme!C11366,Programme!D11366,Programme!E11366,Programme!F11366,Programme!G11366,Programme!H11366,Programme!I11366)</f>
        <v>&lt;valeur&gt;0&lt;/valeur&gt;</v>
      </c>
    </row>
    <row r="11366" spans="1:1" x14ac:dyDescent="0.2">
      <c r="A11366" s="1135" t="str">
        <f>CONCATENATE(Programme!C11367,Programme!D11367,Programme!E11367,Programme!F11367,Programme!G11367,Programme!H11367,Programme!I11367)</f>
        <v>&lt;/ValeurCellule&gt;</v>
      </c>
    </row>
    <row r="11367" spans="1:1" x14ac:dyDescent="0.2">
      <c r="A11367" s="1135" t="str">
        <f>CONCATENATE(Programme!C11368,Programme!D11368,Programme!E11368,Programme!F11368,Programme!G11368,Programme!H11368,Programme!I11368)</f>
        <v>&lt;ValeurCellule&gt;</v>
      </c>
    </row>
    <row r="11368" spans="1:1" x14ac:dyDescent="0.2">
      <c r="A11368" s="1135" t="str">
        <f>CONCATENATE(Programme!C11369,Programme!D11369,Programme!E11369,Programme!F11369,Programme!G11369,Programme!H11369,Programme!I11369)</f>
        <v>&lt;cellule&gt;</v>
      </c>
    </row>
    <row r="11369" spans="1:1" x14ac:dyDescent="0.2">
      <c r="A11369" s="1135" t="str">
        <f>CONCATENATE(Programme!C11370,Programme!D11370,Programme!E11370,Programme!F11370,Programme!G11370,Programme!H11370,Programme!I11370)</f>
        <v>&lt;codeEdi&gt;1890&lt;/codeEdi&gt;</v>
      </c>
    </row>
    <row r="11370" spans="1:1" x14ac:dyDescent="0.2">
      <c r="A11370" s="1135" t="str">
        <f>CONCATENATE(Programme!C11371,Programme!D11371,Programme!E11371,Programme!F11371,Programme!G11371,Programme!H11371,Programme!I11371)</f>
        <v>&lt;/cellule&gt;</v>
      </c>
    </row>
    <row r="11371" spans="1:1" x14ac:dyDescent="0.2">
      <c r="A11371" s="1135" t="str">
        <f>CONCATENATE(Programme!C11372,Programme!D11372,Programme!E11372,Programme!F11372,Programme!G11372,Programme!H11372,Programme!I11372)</f>
        <v>&lt;valeur&gt;0&lt;/valeur&gt;</v>
      </c>
    </row>
    <row r="11372" spans="1:1" x14ac:dyDescent="0.2">
      <c r="A11372" s="1135" t="str">
        <f>CONCATENATE(Programme!C11373,Programme!D11373,Programme!E11373,Programme!F11373,Programme!G11373,Programme!H11373,Programme!I11373)</f>
        <v>&lt;/ValeurCellule&gt;</v>
      </c>
    </row>
    <row r="11373" spans="1:1" x14ac:dyDescent="0.2">
      <c r="A11373" s="1135" t="str">
        <f>CONCATENATE(Programme!C11374,Programme!D11374,Programme!E11374,Programme!F11374,Programme!G11374,Programme!H11374,Programme!I11374)</f>
        <v>&lt;ValeurCellule&gt;</v>
      </c>
    </row>
    <row r="11374" spans="1:1" x14ac:dyDescent="0.2">
      <c r="A11374" s="1135" t="str">
        <f>CONCATENATE(Programme!C11375,Programme!D11375,Programme!E11375,Programme!F11375,Programme!G11375,Programme!H11375,Programme!I11375)</f>
        <v>&lt;cellule&gt;</v>
      </c>
    </row>
    <row r="11375" spans="1:1" x14ac:dyDescent="0.2">
      <c r="A11375" s="1135" t="str">
        <f>CONCATENATE(Programme!C11376,Programme!D11376,Programme!E11376,Programme!F11376,Programme!G11376,Programme!H11376,Programme!I11376)</f>
        <v>&lt;codeEdi&gt;1406&lt;/codeEdi&gt;</v>
      </c>
    </row>
    <row r="11376" spans="1:1" x14ac:dyDescent="0.2">
      <c r="A11376" s="1135" t="str">
        <f>CONCATENATE(Programme!C11377,Programme!D11377,Programme!E11377,Programme!F11377,Programme!G11377,Programme!H11377,Programme!I11377)</f>
        <v>&lt;/cellule&gt;</v>
      </c>
    </row>
    <row r="11377" spans="1:1" x14ac:dyDescent="0.2">
      <c r="A11377" s="1135" t="str">
        <f>CONCATENATE(Programme!C11378,Programme!D11378,Programme!E11378,Programme!F11378,Programme!G11378,Programme!H11378,Programme!I11378)</f>
        <v>&lt;valeur&gt;0&lt;/valeur&gt;</v>
      </c>
    </row>
    <row r="11378" spans="1:1" x14ac:dyDescent="0.2">
      <c r="A11378" s="1135" t="str">
        <f>CONCATENATE(Programme!C11379,Programme!D11379,Programme!E11379,Programme!F11379,Programme!G11379,Programme!H11379,Programme!I11379)</f>
        <v>&lt;/ValeurCellule&gt;</v>
      </c>
    </row>
    <row r="11379" spans="1:1" x14ac:dyDescent="0.2">
      <c r="A11379" s="1135" t="str">
        <f>CONCATENATE(Programme!C11380,Programme!D11380,Programme!E11380,Programme!F11380,Programme!G11380,Programme!H11380,Programme!I11380)</f>
        <v>&lt;ValeurCellule&gt;</v>
      </c>
    </row>
    <row r="11380" spans="1:1" x14ac:dyDescent="0.2">
      <c r="A11380" s="1135" t="str">
        <f>CONCATENATE(Programme!C11381,Programme!D11381,Programme!E11381,Programme!F11381,Programme!G11381,Programme!H11381,Programme!I11381)</f>
        <v>&lt;cellule&gt;</v>
      </c>
    </row>
    <row r="11381" spans="1:1" x14ac:dyDescent="0.2">
      <c r="A11381" s="1135" t="str">
        <f>CONCATENATE(Programme!C11382,Programme!D11382,Programme!E11382,Programme!F11382,Programme!G11382,Programme!H11382,Programme!I11382)</f>
        <v>&lt;codeEdi&gt;1414&lt;/codeEdi&gt;</v>
      </c>
    </row>
    <row r="11382" spans="1:1" x14ac:dyDescent="0.2">
      <c r="A11382" s="1135" t="str">
        <f>CONCATENATE(Programme!C11383,Programme!D11383,Programme!E11383,Programme!F11383,Programme!G11383,Programme!H11383,Programme!I11383)</f>
        <v>&lt;/cellule&gt;</v>
      </c>
    </row>
    <row r="11383" spans="1:1" x14ac:dyDescent="0.2">
      <c r="A11383" s="1135" t="str">
        <f>CONCATENATE(Programme!C11384,Programme!D11384,Programme!E11384,Programme!F11384,Programme!G11384,Programme!H11384,Programme!I11384)</f>
        <v>&lt;valeur&gt;0&lt;/valeur&gt;</v>
      </c>
    </row>
    <row r="11384" spans="1:1" x14ac:dyDescent="0.2">
      <c r="A11384" s="1135" t="str">
        <f>CONCATENATE(Programme!C11385,Programme!D11385,Programme!E11385,Programme!F11385,Programme!G11385,Programme!H11385,Programme!I11385)</f>
        <v>&lt;/ValeurCellule&gt;</v>
      </c>
    </row>
    <row r="11385" spans="1:1" x14ac:dyDescent="0.2">
      <c r="A11385" s="1135" t="str">
        <f>CONCATENATE(Programme!C11386,Programme!D11386,Programme!E11386,Programme!F11386,Programme!G11386,Programme!H11386,Programme!I11386)</f>
        <v>&lt;ValeurCellule&gt;</v>
      </c>
    </row>
    <row r="11386" spans="1:1" x14ac:dyDescent="0.2">
      <c r="A11386" s="1135" t="str">
        <f>CONCATENATE(Programme!C11387,Programme!D11387,Programme!E11387,Programme!F11387,Programme!G11387,Programme!H11387,Programme!I11387)</f>
        <v>&lt;cellule&gt;</v>
      </c>
    </row>
    <row r="11387" spans="1:1" x14ac:dyDescent="0.2">
      <c r="A11387" s="1135" t="str">
        <f>CONCATENATE(Programme!C11388,Programme!D11388,Programme!E11388,Programme!F11388,Programme!G11388,Programme!H11388,Programme!I11388)</f>
        <v>&lt;codeEdi&gt;1430&lt;/codeEdi&gt;</v>
      </c>
    </row>
    <row r="11388" spans="1:1" x14ac:dyDescent="0.2">
      <c r="A11388" s="1135" t="str">
        <f>CONCATENATE(Programme!C11389,Programme!D11389,Programme!E11389,Programme!F11389,Programme!G11389,Programme!H11389,Programme!I11389)</f>
        <v>&lt;/cellule&gt;</v>
      </c>
    </row>
    <row r="11389" spans="1:1" x14ac:dyDescent="0.2">
      <c r="A11389" s="1135" t="str">
        <f>CONCATENATE(Programme!C11390,Programme!D11390,Programme!E11390,Programme!F11390,Programme!G11390,Programme!H11390,Programme!I11390)</f>
        <v>&lt;valeur&gt;0&lt;/valeur&gt;</v>
      </c>
    </row>
    <row r="11390" spans="1:1" x14ac:dyDescent="0.2">
      <c r="A11390" s="1135" t="str">
        <f>CONCATENATE(Programme!C11391,Programme!D11391,Programme!E11391,Programme!F11391,Programme!G11391,Programme!H11391,Programme!I11391)</f>
        <v>&lt;/ValeurCellule&gt;</v>
      </c>
    </row>
    <row r="11391" spans="1:1" x14ac:dyDescent="0.2">
      <c r="A11391" s="1135" t="str">
        <f>CONCATENATE(Programme!C11392,Programme!D11392,Programme!E11392,Programme!F11392,Programme!G11392,Programme!H11392,Programme!I11392)</f>
        <v>&lt;ValeurCellule&gt;</v>
      </c>
    </row>
    <row r="11392" spans="1:1" x14ac:dyDescent="0.2">
      <c r="A11392" s="1135" t="str">
        <f>CONCATENATE(Programme!C11393,Programme!D11393,Programme!E11393,Programme!F11393,Programme!G11393,Programme!H11393,Programme!I11393)</f>
        <v>&lt;cellule&gt;</v>
      </c>
    </row>
    <row r="11393" spans="1:1" x14ac:dyDescent="0.2">
      <c r="A11393" s="1135" t="str">
        <f>CONCATENATE(Programme!C11394,Programme!D11394,Programme!E11394,Programme!F11394,Programme!G11394,Programme!H11394,Programme!I11394)</f>
        <v>&lt;codeEdi&gt;1438&lt;/codeEdi&gt;</v>
      </c>
    </row>
    <row r="11394" spans="1:1" x14ac:dyDescent="0.2">
      <c r="A11394" s="1135" t="str">
        <f>CONCATENATE(Programme!C11395,Programme!D11395,Programme!E11395,Programme!F11395,Programme!G11395,Programme!H11395,Programme!I11395)</f>
        <v>&lt;/cellule&gt;</v>
      </c>
    </row>
    <row r="11395" spans="1:1" x14ac:dyDescent="0.2">
      <c r="A11395" s="1135" t="str">
        <f>CONCATENATE(Programme!C11396,Programme!D11396,Programme!E11396,Programme!F11396,Programme!G11396,Programme!H11396,Programme!I11396)</f>
        <v>&lt;valeur&gt;0&lt;/valeur&gt;</v>
      </c>
    </row>
    <row r="11396" spans="1:1" x14ac:dyDescent="0.2">
      <c r="A11396" s="1135" t="str">
        <f>CONCATENATE(Programme!C11397,Programme!D11397,Programme!E11397,Programme!F11397,Programme!G11397,Programme!H11397,Programme!I11397)</f>
        <v>&lt;/ValeurCellule&gt;</v>
      </c>
    </row>
    <row r="11397" spans="1:1" x14ac:dyDescent="0.2">
      <c r="A11397" s="1135" t="str">
        <f>CONCATENATE(Programme!C11398,Programme!D11398,Programme!E11398,Programme!F11398,Programme!G11398,Programme!H11398,Programme!I11398)</f>
        <v>&lt;ValeurCellule&gt;</v>
      </c>
    </row>
    <row r="11398" spans="1:1" x14ac:dyDescent="0.2">
      <c r="A11398" s="1135" t="str">
        <f>CONCATENATE(Programme!C11399,Programme!D11399,Programme!E11399,Programme!F11399,Programme!G11399,Programme!H11399,Programme!I11399)</f>
        <v>&lt;cellule&gt;</v>
      </c>
    </row>
    <row r="11399" spans="1:1" x14ac:dyDescent="0.2">
      <c r="A11399" s="1135" t="str">
        <f>CONCATENATE(Programme!C11400,Programme!D11400,Programme!E11400,Programme!F11400,Programme!G11400,Programme!H11400,Programme!I11400)</f>
        <v>&lt;codeEdi&gt;1454&lt;/codeEdi&gt;</v>
      </c>
    </row>
    <row r="11400" spans="1:1" x14ac:dyDescent="0.2">
      <c r="A11400" s="1135" t="str">
        <f>CONCATENATE(Programme!C11401,Programme!D11401,Programme!E11401,Programme!F11401,Programme!G11401,Programme!H11401,Programme!I11401)</f>
        <v>&lt;/cellule&gt;</v>
      </c>
    </row>
    <row r="11401" spans="1:1" x14ac:dyDescent="0.2">
      <c r="A11401" s="1135" t="str">
        <f>CONCATENATE(Programme!C11402,Programme!D11402,Programme!E11402,Programme!F11402,Programme!G11402,Programme!H11402,Programme!I11402)</f>
        <v>&lt;valeur&gt;&lt;/valeur&gt;</v>
      </c>
    </row>
    <row r="11402" spans="1:1" x14ac:dyDescent="0.2">
      <c r="A11402" s="1135" t="str">
        <f>CONCATENATE(Programme!C11403,Programme!D11403,Programme!E11403,Programme!F11403,Programme!G11403,Programme!H11403,Programme!I11403)</f>
        <v>&lt;/ValeurCellule&gt;</v>
      </c>
    </row>
    <row r="11403" spans="1:1" x14ac:dyDescent="0.2">
      <c r="A11403" s="1135" t="str">
        <f>CONCATENATE(Programme!C11404,Programme!D11404,Programme!E11404,Programme!F11404,Programme!G11404,Programme!H11404,Programme!I11404)</f>
        <v>&lt;ValeurCellule&gt;</v>
      </c>
    </row>
    <row r="11404" spans="1:1" x14ac:dyDescent="0.2">
      <c r="A11404" s="1135" t="str">
        <f>CONCATENATE(Programme!C11405,Programme!D11405,Programme!E11405,Programme!F11405,Programme!G11405,Programme!H11405,Programme!I11405)</f>
        <v>&lt;cellule&gt;</v>
      </c>
    </row>
    <row r="11405" spans="1:1" x14ac:dyDescent="0.2">
      <c r="A11405" s="1135" t="str">
        <f>CONCATENATE(Programme!C11406,Programme!D11406,Programme!E11406,Programme!F11406,Programme!G11406,Programme!H11406,Programme!I11406)</f>
        <v>&lt;codeEdi&gt;1462&lt;/codeEdi&gt;</v>
      </c>
    </row>
    <row r="11406" spans="1:1" x14ac:dyDescent="0.2">
      <c r="A11406" s="1135" t="str">
        <f>CONCATENATE(Programme!C11407,Programme!D11407,Programme!E11407,Programme!F11407,Programme!G11407,Programme!H11407,Programme!I11407)</f>
        <v>&lt;/cellule&gt;</v>
      </c>
    </row>
    <row r="11407" spans="1:1" x14ac:dyDescent="0.2">
      <c r="A11407" s="1135" t="str">
        <f>CONCATENATE(Programme!C11408,Programme!D11408,Programme!E11408,Programme!F11408,Programme!G11408,Programme!H11408,Programme!I11408)</f>
        <v>&lt;valeur&gt;0&lt;/valeur&gt;</v>
      </c>
    </row>
    <row r="11408" spans="1:1" x14ac:dyDescent="0.2">
      <c r="A11408" s="1135" t="str">
        <f>CONCATENATE(Programme!C11409,Programme!D11409,Programme!E11409,Programme!F11409,Programme!G11409,Programme!H11409,Programme!I11409)</f>
        <v>&lt;/ValeurCellule&gt;</v>
      </c>
    </row>
    <row r="11409" spans="1:1" x14ac:dyDescent="0.2">
      <c r="A11409" s="1135" t="str">
        <f>CONCATENATE(Programme!C11410,Programme!D11410,Programme!E11410,Programme!F11410,Programme!G11410,Programme!H11410,Programme!I11410)</f>
        <v>&lt;ValeurCellule&gt;</v>
      </c>
    </row>
    <row r="11410" spans="1:1" x14ac:dyDescent="0.2">
      <c r="A11410" s="1135" t="str">
        <f>CONCATENATE(Programme!C11411,Programme!D11411,Programme!E11411,Programme!F11411,Programme!G11411,Programme!H11411,Programme!I11411)</f>
        <v>&lt;cellule&gt;</v>
      </c>
    </row>
    <row r="11411" spans="1:1" x14ac:dyDescent="0.2">
      <c r="A11411" s="1135" t="str">
        <f>CONCATENATE(Programme!C11412,Programme!D11412,Programme!E11412,Programme!F11412,Programme!G11412,Programme!H11412,Programme!I11412)</f>
        <v>&lt;codeEdi&gt;1470&lt;/codeEdi&gt;</v>
      </c>
    </row>
    <row r="11412" spans="1:1" x14ac:dyDescent="0.2">
      <c r="A11412" s="1135" t="str">
        <f>CONCATENATE(Programme!C11413,Programme!D11413,Programme!E11413,Programme!F11413,Programme!G11413,Programme!H11413,Programme!I11413)</f>
        <v>&lt;/cellule&gt;</v>
      </c>
    </row>
    <row r="11413" spans="1:1" x14ac:dyDescent="0.2">
      <c r="A11413" s="1135" t="str">
        <f>CONCATENATE(Programme!C11414,Programme!D11414,Programme!E11414,Programme!F11414,Programme!G11414,Programme!H11414,Programme!I11414)</f>
        <v>&lt;valeur&gt;0&lt;/valeur&gt;</v>
      </c>
    </row>
    <row r="11414" spans="1:1" x14ac:dyDescent="0.2">
      <c r="A11414" s="1135" t="str">
        <f>CONCATENATE(Programme!C11415,Programme!D11415,Programme!E11415,Programme!F11415,Programme!G11415,Programme!H11415,Programme!I11415)</f>
        <v>&lt;/ValeurCellule&gt;</v>
      </c>
    </row>
    <row r="11415" spans="1:1" x14ac:dyDescent="0.2">
      <c r="A11415" s="1135" t="str">
        <f>CONCATENATE(Programme!C11416,Programme!D11416,Programme!E11416,Programme!F11416,Programme!G11416,Programme!H11416,Programme!I11416)</f>
        <v>&lt;ValeurCellule&gt;</v>
      </c>
    </row>
    <row r="11416" spans="1:1" x14ac:dyDescent="0.2">
      <c r="A11416" s="1135" t="str">
        <f>CONCATENATE(Programme!C11417,Programme!D11417,Programme!E11417,Programme!F11417,Programme!G11417,Programme!H11417,Programme!I11417)</f>
        <v>&lt;cellule&gt;</v>
      </c>
    </row>
    <row r="11417" spans="1:1" x14ac:dyDescent="0.2">
      <c r="A11417" s="1135" t="str">
        <f>CONCATENATE(Programme!C11418,Programme!D11418,Programme!E11418,Programme!F11418,Programme!G11418,Programme!H11418,Programme!I11418)</f>
        <v>&lt;codeEdi&gt;1478&lt;/codeEdi&gt;</v>
      </c>
    </row>
    <row r="11418" spans="1:1" x14ac:dyDescent="0.2">
      <c r="A11418" s="1135" t="str">
        <f>CONCATENATE(Programme!C11419,Programme!D11419,Programme!E11419,Programme!F11419,Programme!G11419,Programme!H11419,Programme!I11419)</f>
        <v>&lt;/cellule&gt;</v>
      </c>
    </row>
    <row r="11419" spans="1:1" x14ac:dyDescent="0.2">
      <c r="A11419" s="1135" t="str">
        <f>CONCATENATE(Programme!C11420,Programme!D11420,Programme!E11420,Programme!F11420,Programme!G11420,Programme!H11420,Programme!I11420)</f>
        <v>&lt;valeur&gt;0&lt;/valeur&gt;</v>
      </c>
    </row>
    <row r="11420" spans="1:1" x14ac:dyDescent="0.2">
      <c r="A11420" s="1135" t="str">
        <f>CONCATENATE(Programme!C11421,Programme!D11421,Programme!E11421,Programme!F11421,Programme!G11421,Programme!H11421,Programme!I11421)</f>
        <v>&lt;/ValeurCellule&gt;</v>
      </c>
    </row>
    <row r="11421" spans="1:1" x14ac:dyDescent="0.2">
      <c r="A11421" s="1135" t="str">
        <f>CONCATENATE(Programme!C11422,Programme!D11422,Programme!E11422,Programme!F11422,Programme!G11422,Programme!H11422,Programme!I11422)</f>
        <v>&lt;ValeurCellule&gt;</v>
      </c>
    </row>
    <row r="11422" spans="1:1" x14ac:dyDescent="0.2">
      <c r="A11422" s="1135" t="str">
        <f>CONCATENATE(Programme!C11423,Programme!D11423,Programme!E11423,Programme!F11423,Programme!G11423,Programme!H11423,Programme!I11423)</f>
        <v>&lt;cellule&gt;</v>
      </c>
    </row>
    <row r="11423" spans="1:1" x14ac:dyDescent="0.2">
      <c r="A11423" s="1135" t="str">
        <f>CONCATENATE(Programme!C11424,Programme!D11424,Programme!E11424,Programme!F11424,Programme!G11424,Programme!H11424,Programme!I11424)</f>
        <v>&lt;codeEdi&gt;1486&lt;/codeEdi&gt;</v>
      </c>
    </row>
    <row r="11424" spans="1:1" x14ac:dyDescent="0.2">
      <c r="A11424" s="1135" t="str">
        <f>CONCATENATE(Programme!C11425,Programme!D11425,Programme!E11425,Programme!F11425,Programme!G11425,Programme!H11425,Programme!I11425)</f>
        <v>&lt;/cellule&gt;</v>
      </c>
    </row>
    <row r="11425" spans="1:1" x14ac:dyDescent="0.2">
      <c r="A11425" s="1135" t="str">
        <f>CONCATENATE(Programme!C11426,Programme!D11426,Programme!E11426,Programme!F11426,Programme!G11426,Programme!H11426,Programme!I11426)</f>
        <v>&lt;valeur&gt;0&lt;/valeur&gt;</v>
      </c>
    </row>
    <row r="11426" spans="1:1" x14ac:dyDescent="0.2">
      <c r="A11426" s="1135" t="str">
        <f>CONCATENATE(Programme!C11427,Programme!D11427,Programme!E11427,Programme!F11427,Programme!G11427,Programme!H11427,Programme!I11427)</f>
        <v>&lt;/ValeurCellule&gt;</v>
      </c>
    </row>
    <row r="11427" spans="1:1" x14ac:dyDescent="0.2">
      <c r="A11427" s="1135" t="str">
        <f>CONCATENATE(Programme!C11428,Programme!D11428,Programme!E11428,Programme!F11428,Programme!G11428,Programme!H11428,Programme!I11428)</f>
        <v>&lt;ValeurCellule&gt;</v>
      </c>
    </row>
    <row r="11428" spans="1:1" x14ac:dyDescent="0.2">
      <c r="A11428" s="1135" t="str">
        <f>CONCATENATE(Programme!C11429,Programme!D11429,Programme!E11429,Programme!F11429,Programme!G11429,Programme!H11429,Programme!I11429)</f>
        <v>&lt;cellule&gt;</v>
      </c>
    </row>
    <row r="11429" spans="1:1" x14ac:dyDescent="0.2">
      <c r="A11429" s="1135" t="str">
        <f>CONCATENATE(Programme!C11430,Programme!D11430,Programme!E11430,Programme!F11430,Programme!G11430,Programme!H11430,Programme!I11430)</f>
        <v>&lt;codeEdi&gt;1422&lt;/codeEdi&gt;</v>
      </c>
    </row>
    <row r="11430" spans="1:1" x14ac:dyDescent="0.2">
      <c r="A11430" s="1135" t="str">
        <f>CONCATENATE(Programme!C11431,Programme!D11431,Programme!E11431,Programme!F11431,Programme!G11431,Programme!H11431,Programme!I11431)</f>
        <v>&lt;/cellule&gt;</v>
      </c>
    </row>
    <row r="11431" spans="1:1" x14ac:dyDescent="0.2">
      <c r="A11431" s="1135" t="str">
        <f>CONCATENATE(Programme!C11432,Programme!D11432,Programme!E11432,Programme!F11432,Programme!G11432,Programme!H11432,Programme!I11432)</f>
        <v>&lt;valeur&gt;0&lt;/valeur&gt;</v>
      </c>
    </row>
    <row r="11432" spans="1:1" x14ac:dyDescent="0.2">
      <c r="A11432" s="1135" t="str">
        <f>CONCATENATE(Programme!C11433,Programme!D11433,Programme!E11433,Programme!F11433,Programme!G11433,Programme!H11433,Programme!I11433)</f>
        <v>&lt;/ValeurCellule&gt;</v>
      </c>
    </row>
    <row r="11433" spans="1:1" x14ac:dyDescent="0.2">
      <c r="A11433" s="1135" t="str">
        <f>CONCATENATE(Programme!C11434,Programme!D11434,Programme!E11434,Programme!F11434,Programme!G11434,Programme!H11434,Programme!I11434)</f>
        <v>&lt;ValeurCellule&gt;</v>
      </c>
    </row>
    <row r="11434" spans="1:1" x14ac:dyDescent="0.2">
      <c r="A11434" s="1135" t="str">
        <f>CONCATENATE(Programme!C11435,Programme!D11435,Programme!E11435,Programme!F11435,Programme!G11435,Programme!H11435,Programme!I11435)</f>
        <v>&lt;cellule&gt;</v>
      </c>
    </row>
    <row r="11435" spans="1:1" x14ac:dyDescent="0.2">
      <c r="A11435" s="1135" t="str">
        <f>CONCATENATE(Programme!C11436,Programme!D11436,Programme!E11436,Programme!F11436,Programme!G11436,Programme!H11436,Programme!I11436)</f>
        <v>&lt;codeEdi&gt;1560&lt;/codeEdi&gt;</v>
      </c>
    </row>
    <row r="11436" spans="1:1" x14ac:dyDescent="0.2">
      <c r="A11436" s="1135" t="str">
        <f>CONCATENATE(Programme!C11437,Programme!D11437,Programme!E11437,Programme!F11437,Programme!G11437,Programme!H11437,Programme!I11437)</f>
        <v>&lt;/cellule&gt;</v>
      </c>
    </row>
    <row r="11437" spans="1:1" x14ac:dyDescent="0.2">
      <c r="A11437" s="1135" t="str">
        <f>CONCATENATE(Programme!C11438,Programme!D11438,Programme!E11438,Programme!F11438,Programme!G11438,Programme!H11438,Programme!I11438)</f>
        <v>&lt;valeur&gt;0&lt;/valeur&gt;</v>
      </c>
    </row>
    <row r="11438" spans="1:1" x14ac:dyDescent="0.2">
      <c r="A11438" s="1135" t="str">
        <f>CONCATENATE(Programme!C11439,Programme!D11439,Programme!E11439,Programme!F11439,Programme!G11439,Programme!H11439,Programme!I11439)</f>
        <v>&lt;/ValeurCellule&gt;</v>
      </c>
    </row>
    <row r="11439" spans="1:1" x14ac:dyDescent="0.2">
      <c r="A11439" s="1135" t="str">
        <f>CONCATENATE(Programme!C11440,Programme!D11440,Programme!E11440,Programme!F11440,Programme!G11440,Programme!H11440,Programme!I11440)</f>
        <v>&lt;ValeurCellule&gt;</v>
      </c>
    </row>
    <row r="11440" spans="1:1" x14ac:dyDescent="0.2">
      <c r="A11440" s="1135" t="str">
        <f>CONCATENATE(Programme!C11441,Programme!D11441,Programme!E11441,Programme!F11441,Programme!G11441,Programme!H11441,Programme!I11441)</f>
        <v>&lt;cellule&gt;</v>
      </c>
    </row>
    <row r="11441" spans="1:1" x14ac:dyDescent="0.2">
      <c r="A11441" s="1135" t="str">
        <f>CONCATENATE(Programme!C11442,Programme!D11442,Programme!E11442,Programme!F11442,Programme!G11442,Programme!H11442,Programme!I11442)</f>
        <v>&lt;codeEdi&gt;1601&lt;/codeEdi&gt;</v>
      </c>
    </row>
    <row r="11442" spans="1:1" x14ac:dyDescent="0.2">
      <c r="A11442" s="1135" t="str">
        <f>CONCATENATE(Programme!C11443,Programme!D11443,Programme!E11443,Programme!F11443,Programme!G11443,Programme!H11443,Programme!I11443)</f>
        <v>&lt;/cellule&gt;</v>
      </c>
    </row>
    <row r="11443" spans="1:1" x14ac:dyDescent="0.2">
      <c r="A11443" s="1135" t="str">
        <f>CONCATENATE(Programme!C11444,Programme!D11444,Programme!E11444,Programme!F11444,Programme!G11444,Programme!H11444,Programme!I11444)</f>
        <v>&lt;valeur&gt;0&lt;/valeur&gt;</v>
      </c>
    </row>
    <row r="11444" spans="1:1" x14ac:dyDescent="0.2">
      <c r="A11444" s="1135" t="str">
        <f>CONCATENATE(Programme!C11445,Programme!D11445,Programme!E11445,Programme!F11445,Programme!G11445,Programme!H11445,Programme!I11445)</f>
        <v>&lt;/ValeurCellule&gt;</v>
      </c>
    </row>
    <row r="11445" spans="1:1" x14ac:dyDescent="0.2">
      <c r="A11445" s="1135" t="str">
        <f>CONCATENATE(Programme!C11446,Programme!D11446,Programme!E11446,Programme!F11446,Programme!G11446,Programme!H11446,Programme!I11446)</f>
        <v>&lt;ValeurCellule&gt;</v>
      </c>
    </row>
    <row r="11446" spans="1:1" x14ac:dyDescent="0.2">
      <c r="A11446" s="1135" t="str">
        <f>CONCATENATE(Programme!C11447,Programme!D11447,Programme!E11447,Programme!F11447,Programme!G11447,Programme!H11447,Programme!I11447)</f>
        <v>&lt;cellule&gt;</v>
      </c>
    </row>
    <row r="11447" spans="1:1" x14ac:dyDescent="0.2">
      <c r="A11447" s="1135" t="str">
        <f>CONCATENATE(Programme!C11448,Programme!D11448,Programme!E11448,Programme!F11448,Programme!G11448,Programme!H11448,Programme!I11448)</f>
        <v>&lt;codeEdi&gt;1609&lt;/codeEdi&gt;</v>
      </c>
    </row>
    <row r="11448" spans="1:1" x14ac:dyDescent="0.2">
      <c r="A11448" s="1135" t="str">
        <f>CONCATENATE(Programme!C11449,Programme!D11449,Programme!E11449,Programme!F11449,Programme!G11449,Programme!H11449,Programme!I11449)</f>
        <v>&lt;/cellule&gt;</v>
      </c>
    </row>
    <row r="11449" spans="1:1" x14ac:dyDescent="0.2">
      <c r="A11449" s="1135" t="str">
        <f>CONCATENATE(Programme!C11450,Programme!D11450,Programme!E11450,Programme!F11450,Programme!G11450,Programme!H11450,Programme!I11450)</f>
        <v>&lt;valeur&gt;0&lt;/valeur&gt;</v>
      </c>
    </row>
    <row r="11450" spans="1:1" x14ac:dyDescent="0.2">
      <c r="A11450" s="1135" t="str">
        <f>CONCATENATE(Programme!C11451,Programme!D11451,Programme!E11451,Programme!F11451,Programme!G11451,Programme!H11451,Programme!I11451)</f>
        <v>&lt;/ValeurCellule&gt;</v>
      </c>
    </row>
    <row r="11451" spans="1:1" x14ac:dyDescent="0.2">
      <c r="A11451" s="1135" t="str">
        <f>CONCATENATE(Programme!C11452,Programme!D11452,Programme!E11452,Programme!F11452,Programme!G11452,Programme!H11452,Programme!I11452)</f>
        <v>&lt;ValeurCellule&gt;</v>
      </c>
    </row>
    <row r="11452" spans="1:1" x14ac:dyDescent="0.2">
      <c r="A11452" s="1135" t="str">
        <f>CONCATENATE(Programme!C11453,Programme!D11453,Programme!E11453,Programme!F11453,Programme!G11453,Programme!H11453,Programme!I11453)</f>
        <v>&lt;cellule&gt;</v>
      </c>
    </row>
    <row r="11453" spans="1:1" x14ac:dyDescent="0.2">
      <c r="A11453" s="1135" t="str">
        <f>CONCATENATE(Programme!C11454,Programme!D11454,Programme!E11454,Programme!F11454,Programme!G11454,Programme!H11454,Programme!I11454)</f>
        <v>&lt;codeEdi&gt;1617&lt;/codeEdi&gt;</v>
      </c>
    </row>
    <row r="11454" spans="1:1" x14ac:dyDescent="0.2">
      <c r="A11454" s="1135" t="str">
        <f>CONCATENATE(Programme!C11455,Programme!D11455,Programme!E11455,Programme!F11455,Programme!G11455,Programme!H11455,Programme!I11455)</f>
        <v>&lt;/cellule&gt;</v>
      </c>
    </row>
    <row r="11455" spans="1:1" x14ac:dyDescent="0.2">
      <c r="A11455" s="1135" t="str">
        <f>CONCATENATE(Programme!C11456,Programme!D11456,Programme!E11456,Programme!F11456,Programme!G11456,Programme!H11456,Programme!I11456)</f>
        <v>&lt;valeur&gt;0&lt;/valeur&gt;</v>
      </c>
    </row>
    <row r="11456" spans="1:1" x14ac:dyDescent="0.2">
      <c r="A11456" s="1135" t="str">
        <f>CONCATENATE(Programme!C11457,Programme!D11457,Programme!E11457,Programme!F11457,Programme!G11457,Programme!H11457,Programme!I11457)</f>
        <v>&lt;/ValeurCellule&gt;</v>
      </c>
    </row>
    <row r="11457" spans="1:1" x14ac:dyDescent="0.2">
      <c r="A11457" s="1135" t="str">
        <f>CONCATENATE(Programme!C11458,Programme!D11458,Programme!E11458,Programme!F11458,Programme!G11458,Programme!H11458,Programme!I11458)</f>
        <v>&lt;ValeurCellule&gt;</v>
      </c>
    </row>
    <row r="11458" spans="1:1" x14ac:dyDescent="0.2">
      <c r="A11458" s="1135" t="str">
        <f>CONCATENATE(Programme!C11459,Programme!D11459,Programme!E11459,Programme!F11459,Programme!G11459,Programme!H11459,Programme!I11459)</f>
        <v>&lt;cellule&gt;</v>
      </c>
    </row>
    <row r="11459" spans="1:1" x14ac:dyDescent="0.2">
      <c r="A11459" s="1135" t="str">
        <f>CONCATENATE(Programme!C11460,Programme!D11460,Programme!E11460,Programme!F11460,Programme!G11460,Programme!H11460,Programme!I11460)</f>
        <v>&lt;codeEdi&gt;1640&lt;/codeEdi&gt;</v>
      </c>
    </row>
    <row r="11460" spans="1:1" x14ac:dyDescent="0.2">
      <c r="A11460" s="1135" t="str">
        <f>CONCATENATE(Programme!C11461,Programme!D11461,Programme!E11461,Programme!F11461,Programme!G11461,Programme!H11461,Programme!I11461)</f>
        <v>&lt;/cellule&gt;</v>
      </c>
    </row>
    <row r="11461" spans="1:1" x14ac:dyDescent="0.2">
      <c r="A11461" s="1135" t="str">
        <f>CONCATENATE(Programme!C11462,Programme!D11462,Programme!E11462,Programme!F11462,Programme!G11462,Programme!H11462,Programme!I11462)</f>
        <v>&lt;valeur&gt;&lt;/valeur&gt;</v>
      </c>
    </row>
    <row r="11462" spans="1:1" x14ac:dyDescent="0.2">
      <c r="A11462" s="1135" t="str">
        <f>CONCATENATE(Programme!C11463,Programme!D11463,Programme!E11463,Programme!F11463,Programme!G11463,Programme!H11463,Programme!I11463)</f>
        <v>&lt;/ValeurCellule&gt;</v>
      </c>
    </row>
    <row r="11463" spans="1:1" x14ac:dyDescent="0.2">
      <c r="A11463" s="1135" t="str">
        <f>CONCATENATE(Programme!C11464,Programme!D11464,Programme!E11464,Programme!F11464,Programme!G11464,Programme!H11464,Programme!I11464)</f>
        <v>&lt;ValeurCellule&gt;</v>
      </c>
    </row>
    <row r="11464" spans="1:1" x14ac:dyDescent="0.2">
      <c r="A11464" s="1135" t="str">
        <f>CONCATENATE(Programme!C11465,Programme!D11465,Programme!E11465,Programme!F11465,Programme!G11465,Programme!H11465,Programme!I11465)</f>
        <v>&lt;cellule&gt;</v>
      </c>
    </row>
    <row r="11465" spans="1:1" x14ac:dyDescent="0.2">
      <c r="A11465" s="1135" t="str">
        <f>CONCATENATE(Programme!C11466,Programme!D11466,Programme!E11466,Programme!F11466,Programme!G11466,Programme!H11466,Programme!I11466)</f>
        <v>&lt;codeEdi&gt;1648&lt;/codeEdi&gt;</v>
      </c>
    </row>
    <row r="11466" spans="1:1" x14ac:dyDescent="0.2">
      <c r="A11466" s="1135" t="str">
        <f>CONCATENATE(Programme!C11467,Programme!D11467,Programme!E11467,Programme!F11467,Programme!G11467,Programme!H11467,Programme!I11467)</f>
        <v>&lt;/cellule&gt;</v>
      </c>
    </row>
    <row r="11467" spans="1:1" x14ac:dyDescent="0.2">
      <c r="A11467" s="1135" t="str">
        <f>CONCATENATE(Programme!C11468,Programme!D11468,Programme!E11468,Programme!F11468,Programme!G11468,Programme!H11468,Programme!I11468)</f>
        <v>&lt;valeur&gt;0&lt;/valeur&gt;</v>
      </c>
    </row>
    <row r="11468" spans="1:1" x14ac:dyDescent="0.2">
      <c r="A11468" s="1135" t="str">
        <f>CONCATENATE(Programme!C11469,Programme!D11469,Programme!E11469,Programme!F11469,Programme!G11469,Programme!H11469,Programme!I11469)</f>
        <v>&lt;/ValeurCellule&gt;</v>
      </c>
    </row>
    <row r="11469" spans="1:1" x14ac:dyDescent="0.2">
      <c r="A11469" s="1135" t="str">
        <f>CONCATENATE(Programme!C11470,Programme!D11470,Programme!E11470,Programme!F11470,Programme!G11470,Programme!H11470,Programme!I11470)</f>
        <v>&lt;ValeurCellule&gt;</v>
      </c>
    </row>
    <row r="11470" spans="1:1" x14ac:dyDescent="0.2">
      <c r="A11470" s="1135" t="str">
        <f>CONCATENATE(Programme!C11471,Programme!D11471,Programme!E11471,Programme!F11471,Programme!G11471,Programme!H11471,Programme!I11471)</f>
        <v>&lt;cellule&gt;</v>
      </c>
    </row>
    <row r="11471" spans="1:1" x14ac:dyDescent="0.2">
      <c r="A11471" s="1135" t="str">
        <f>CONCATENATE(Programme!C11472,Programme!D11472,Programme!E11472,Programme!F11472,Programme!G11472,Programme!H11472,Programme!I11472)</f>
        <v>&lt;codeEdi&gt;1661&lt;/codeEdi&gt;</v>
      </c>
    </row>
    <row r="11472" spans="1:1" x14ac:dyDescent="0.2">
      <c r="A11472" s="1135" t="str">
        <f>CONCATENATE(Programme!C11473,Programme!D11473,Programme!E11473,Programme!F11473,Programme!G11473,Programme!H11473,Programme!I11473)</f>
        <v>&lt;/cellule&gt;</v>
      </c>
    </row>
    <row r="11473" spans="1:1" x14ac:dyDescent="0.2">
      <c r="A11473" s="1135" t="str">
        <f>CONCATENATE(Programme!C11474,Programme!D11474,Programme!E11474,Programme!F11474,Programme!G11474,Programme!H11474,Programme!I11474)</f>
        <v>&lt;valeur&gt;0&lt;/valeur&gt;</v>
      </c>
    </row>
    <row r="11474" spans="1:1" x14ac:dyDescent="0.2">
      <c r="A11474" s="1135" t="str">
        <f>CONCATENATE(Programme!C11475,Programme!D11475,Programme!E11475,Programme!F11475,Programme!G11475,Programme!H11475,Programme!I11475)</f>
        <v>&lt;/ValeurCellule&gt;</v>
      </c>
    </row>
    <row r="11475" spans="1:1" x14ac:dyDescent="0.2">
      <c r="A11475" s="1135" t="str">
        <f>CONCATENATE(Programme!C11476,Programme!D11476,Programme!E11476,Programme!F11476,Programme!G11476,Programme!H11476,Programme!I11476)</f>
        <v>&lt;ValeurCellule&gt;</v>
      </c>
    </row>
    <row r="11476" spans="1:1" x14ac:dyDescent="0.2">
      <c r="A11476" s="1135" t="str">
        <f>CONCATENATE(Programme!C11477,Programme!D11477,Programme!E11477,Programme!F11477,Programme!G11477,Programme!H11477,Programme!I11477)</f>
        <v>&lt;cellule&gt;</v>
      </c>
    </row>
    <row r="11477" spans="1:1" x14ac:dyDescent="0.2">
      <c r="A11477" s="1135" t="str">
        <f>CONCATENATE(Programme!C11478,Programme!D11478,Programme!E11478,Programme!F11478,Programme!G11478,Programme!H11478,Programme!I11478)</f>
        <v>&lt;codeEdi&gt;1669&lt;/codeEdi&gt;</v>
      </c>
    </row>
    <row r="11478" spans="1:1" x14ac:dyDescent="0.2">
      <c r="A11478" s="1135" t="str">
        <f>CONCATENATE(Programme!C11479,Programme!D11479,Programme!E11479,Programme!F11479,Programme!G11479,Programme!H11479,Programme!I11479)</f>
        <v>&lt;/cellule&gt;</v>
      </c>
    </row>
    <row r="11479" spans="1:1" x14ac:dyDescent="0.2">
      <c r="A11479" s="1135" t="str">
        <f>CONCATENATE(Programme!C11480,Programme!D11480,Programme!E11480,Programme!F11480,Programme!G11480,Programme!H11480,Programme!I11480)</f>
        <v>&lt;valeur&gt;0&lt;/valeur&gt;</v>
      </c>
    </row>
    <row r="11480" spans="1:1" x14ac:dyDescent="0.2">
      <c r="A11480" s="1135" t="str">
        <f>CONCATENATE(Programme!C11481,Programme!D11481,Programme!E11481,Programme!F11481,Programme!G11481,Programme!H11481,Programme!I11481)</f>
        <v>&lt;/ValeurCellule&gt;</v>
      </c>
    </row>
    <row r="11481" spans="1:1" x14ac:dyDescent="0.2">
      <c r="A11481" s="1135" t="str">
        <f>CONCATENATE(Programme!C11482,Programme!D11482,Programme!E11482,Programme!F11482,Programme!G11482,Programme!H11482,Programme!I11482)</f>
        <v>&lt;ValeurCellule&gt;</v>
      </c>
    </row>
    <row r="11482" spans="1:1" x14ac:dyDescent="0.2">
      <c r="A11482" s="1135" t="str">
        <f>CONCATENATE(Programme!C11483,Programme!D11483,Programme!E11483,Programme!F11483,Programme!G11483,Programme!H11483,Programme!I11483)</f>
        <v>&lt;cellule&gt;</v>
      </c>
    </row>
    <row r="11483" spans="1:1" x14ac:dyDescent="0.2">
      <c r="A11483" s="1135" t="str">
        <f>CONCATENATE(Programme!C11484,Programme!D11484,Programme!E11484,Programme!F11484,Programme!G11484,Programme!H11484,Programme!I11484)</f>
        <v>&lt;codeEdi&gt;1677&lt;/codeEdi&gt;</v>
      </c>
    </row>
    <row r="11484" spans="1:1" x14ac:dyDescent="0.2">
      <c r="A11484" s="1135" t="str">
        <f>CONCATENATE(Programme!C11485,Programme!D11485,Programme!E11485,Programme!F11485,Programme!G11485,Programme!H11485,Programme!I11485)</f>
        <v>&lt;/cellule&gt;</v>
      </c>
    </row>
    <row r="11485" spans="1:1" x14ac:dyDescent="0.2">
      <c r="A11485" s="1135" t="str">
        <f>CONCATENATE(Programme!C11486,Programme!D11486,Programme!E11486,Programme!F11486,Programme!G11486,Programme!H11486,Programme!I11486)</f>
        <v>&lt;valeur&gt;0&lt;/valeur&gt;</v>
      </c>
    </row>
    <row r="11486" spans="1:1" x14ac:dyDescent="0.2">
      <c r="A11486" s="1135" t="str">
        <f>CONCATENATE(Programme!C11487,Programme!D11487,Programme!E11487,Programme!F11487,Programme!G11487,Programme!H11487,Programme!I11487)</f>
        <v>&lt;/ValeurCellule&gt;</v>
      </c>
    </row>
    <row r="11487" spans="1:1" x14ac:dyDescent="0.2">
      <c r="A11487" s="1135" t="str">
        <f>CONCATENATE(Programme!C11488,Programme!D11488,Programme!E11488,Programme!F11488,Programme!G11488,Programme!H11488,Programme!I11488)</f>
        <v>&lt;ValeurCellule&gt;</v>
      </c>
    </row>
    <row r="11488" spans="1:1" x14ac:dyDescent="0.2">
      <c r="A11488" s="1135" t="str">
        <f>CONCATENATE(Programme!C11489,Programme!D11489,Programme!E11489,Programme!F11489,Programme!G11489,Programme!H11489,Programme!I11489)</f>
        <v>&lt;cellule&gt;</v>
      </c>
    </row>
    <row r="11489" spans="1:1" x14ac:dyDescent="0.2">
      <c r="A11489" s="1135" t="str">
        <f>CONCATENATE(Programme!C11490,Programme!D11490,Programme!E11490,Programme!F11490,Programme!G11490,Programme!H11490,Programme!I11490)</f>
        <v>&lt;codeEdi&gt;1690&lt;/codeEdi&gt;</v>
      </c>
    </row>
    <row r="11490" spans="1:1" x14ac:dyDescent="0.2">
      <c r="A11490" s="1135" t="str">
        <f>CONCATENATE(Programme!C11491,Programme!D11491,Programme!E11491,Programme!F11491,Programme!G11491,Programme!H11491,Programme!I11491)</f>
        <v>&lt;/cellule&gt;</v>
      </c>
    </row>
    <row r="11491" spans="1:1" x14ac:dyDescent="0.2">
      <c r="A11491" s="1135" t="str">
        <f>CONCATENATE(Programme!C11492,Programme!D11492,Programme!E11492,Programme!F11492,Programme!G11492,Programme!H11492,Programme!I11492)</f>
        <v>&lt;valeur&gt;0&lt;/valeur&gt;</v>
      </c>
    </row>
    <row r="11492" spans="1:1" x14ac:dyDescent="0.2">
      <c r="A11492" s="1135" t="str">
        <f>CONCATENATE(Programme!C11493,Programme!D11493,Programme!E11493,Programme!F11493,Programme!G11493,Programme!H11493,Programme!I11493)</f>
        <v>&lt;/ValeurCellule&gt;</v>
      </c>
    </row>
    <row r="11493" spans="1:1" x14ac:dyDescent="0.2">
      <c r="A11493" s="1135" t="str">
        <f>CONCATENATE(Programme!C11494,Programme!D11494,Programme!E11494,Programme!F11494,Programme!G11494,Programme!H11494,Programme!I11494)</f>
        <v>&lt;ValeurCellule&gt;</v>
      </c>
    </row>
    <row r="11494" spans="1:1" x14ac:dyDescent="0.2">
      <c r="A11494" s="1135" t="str">
        <f>CONCATENATE(Programme!C11495,Programme!D11495,Programme!E11495,Programme!F11495,Programme!G11495,Programme!H11495,Programme!I11495)</f>
        <v>&lt;cellule&gt;</v>
      </c>
    </row>
    <row r="11495" spans="1:1" x14ac:dyDescent="0.2">
      <c r="A11495" s="1135" t="str">
        <f>CONCATENATE(Programme!C11496,Programme!D11496,Programme!E11496,Programme!F11496,Programme!G11496,Programme!H11496,Programme!I11496)</f>
        <v>&lt;codeEdi&gt;1741&lt;/codeEdi&gt;</v>
      </c>
    </row>
    <row r="11496" spans="1:1" x14ac:dyDescent="0.2">
      <c r="A11496" s="1135" t="str">
        <f>CONCATENATE(Programme!C11497,Programme!D11497,Programme!E11497,Programme!F11497,Programme!G11497,Programme!H11497,Programme!I11497)</f>
        <v>&lt;/cellule&gt;</v>
      </c>
    </row>
    <row r="11497" spans="1:1" x14ac:dyDescent="0.2">
      <c r="A11497" s="1135" t="str">
        <f>CONCATENATE(Programme!C11498,Programme!D11498,Programme!E11498,Programme!F11498,Programme!G11498,Programme!H11498,Programme!I11498)</f>
        <v>&lt;valeur&gt;&lt;/valeur&gt;</v>
      </c>
    </row>
    <row r="11498" spans="1:1" x14ac:dyDescent="0.2">
      <c r="A11498" s="1135" t="str">
        <f>CONCATENATE(Programme!C11499,Programme!D11499,Programme!E11499,Programme!F11499,Programme!G11499,Programme!H11499,Programme!I11499)</f>
        <v>&lt;/ValeurCellule&gt;</v>
      </c>
    </row>
    <row r="11499" spans="1:1" x14ac:dyDescent="0.2">
      <c r="A11499" s="1135" t="str">
        <f>CONCATENATE(Programme!C11500,Programme!D11500,Programme!E11500,Programme!F11500,Programme!G11500,Programme!H11500,Programme!I11500)</f>
        <v>&lt;ValeurCellule&gt;</v>
      </c>
    </row>
    <row r="11500" spans="1:1" x14ac:dyDescent="0.2">
      <c r="A11500" s="1135" t="str">
        <f>CONCATENATE(Programme!C11501,Programme!D11501,Programme!E11501,Programme!F11501,Programme!G11501,Programme!H11501,Programme!I11501)</f>
        <v>&lt;cellule&gt;</v>
      </c>
    </row>
    <row r="11501" spans="1:1" x14ac:dyDescent="0.2">
      <c r="A11501" s="1135" t="str">
        <f>CONCATENATE(Programme!C11502,Programme!D11502,Programme!E11502,Programme!F11502,Programme!G11502,Programme!H11502,Programme!I11502)</f>
        <v>&lt;codeEdi&gt;1762&lt;/codeEdi&gt;</v>
      </c>
    </row>
    <row r="11502" spans="1:1" x14ac:dyDescent="0.2">
      <c r="A11502" s="1135" t="str">
        <f>CONCATENATE(Programme!C11503,Programme!D11503,Programme!E11503,Programme!F11503,Programme!G11503,Programme!H11503,Programme!I11503)</f>
        <v>&lt;/cellule&gt;</v>
      </c>
    </row>
    <row r="11503" spans="1:1" x14ac:dyDescent="0.2">
      <c r="A11503" s="1135" t="str">
        <f>CONCATENATE(Programme!C11504,Programme!D11504,Programme!E11504,Programme!F11504,Programme!G11504,Programme!H11504,Programme!I11504)</f>
        <v>&lt;valeur&gt;0&lt;/valeur&gt;</v>
      </c>
    </row>
    <row r="11504" spans="1:1" x14ac:dyDescent="0.2">
      <c r="A11504" s="1135" t="str">
        <f>CONCATENATE(Programme!C11505,Programme!D11505,Programme!E11505,Programme!F11505,Programme!G11505,Programme!H11505,Programme!I11505)</f>
        <v>&lt;/ValeurCellule&gt;</v>
      </c>
    </row>
    <row r="11505" spans="1:1" x14ac:dyDescent="0.2">
      <c r="A11505" s="1135" t="str">
        <f>CONCATENATE(Programme!C11506,Programme!D11506,Programme!E11506,Programme!F11506,Programme!G11506,Programme!H11506,Programme!I11506)</f>
        <v>&lt;ValeurCellule&gt;</v>
      </c>
    </row>
    <row r="11506" spans="1:1" x14ac:dyDescent="0.2">
      <c r="A11506" s="1135" t="str">
        <f>CONCATENATE(Programme!C11507,Programme!D11507,Programme!E11507,Programme!F11507,Programme!G11507,Programme!H11507,Programme!I11507)</f>
        <v>&lt;cellule&gt;</v>
      </c>
    </row>
    <row r="11507" spans="1:1" x14ac:dyDescent="0.2">
      <c r="A11507" s="1135" t="str">
        <f>CONCATENATE(Programme!C11508,Programme!D11508,Programme!E11508,Programme!F11508,Programme!G11508,Programme!H11508,Programme!I11508)</f>
        <v>&lt;codeEdi&gt;1774&lt;/codeEdi&gt;</v>
      </c>
    </row>
    <row r="11508" spans="1:1" x14ac:dyDescent="0.2">
      <c r="A11508" s="1135" t="str">
        <f>CONCATENATE(Programme!C11509,Programme!D11509,Programme!E11509,Programme!F11509,Programme!G11509,Programme!H11509,Programme!I11509)</f>
        <v>&lt;/cellule&gt;</v>
      </c>
    </row>
    <row r="11509" spans="1:1" x14ac:dyDescent="0.2">
      <c r="A11509" s="1135" t="str">
        <f>CONCATENATE(Programme!C11510,Programme!D11510,Programme!E11510,Programme!F11510,Programme!G11510,Programme!H11510,Programme!I11510)</f>
        <v>&lt;valeur&gt;0&lt;/valeur&gt;</v>
      </c>
    </row>
    <row r="11510" spans="1:1" x14ac:dyDescent="0.2">
      <c r="A11510" s="1135" t="str">
        <f>CONCATENATE(Programme!C11511,Programme!D11511,Programme!E11511,Programme!F11511,Programme!G11511,Programme!H11511,Programme!I11511)</f>
        <v>&lt;/ValeurCellule&gt;</v>
      </c>
    </row>
    <row r="11511" spans="1:1" x14ac:dyDescent="0.2">
      <c r="A11511" s="1135" t="str">
        <f>CONCATENATE(Programme!C11512,Programme!D11512,Programme!E11512,Programme!F11512,Programme!G11512,Programme!H11512,Programme!I11512)</f>
        <v>&lt;ValeurCellule&gt;</v>
      </c>
    </row>
    <row r="11512" spans="1:1" x14ac:dyDescent="0.2">
      <c r="A11512" s="1135" t="str">
        <f>CONCATENATE(Programme!C11513,Programme!D11513,Programme!E11513,Programme!F11513,Programme!G11513,Programme!H11513,Programme!I11513)</f>
        <v>&lt;cellule&gt;</v>
      </c>
    </row>
    <row r="11513" spans="1:1" x14ac:dyDescent="0.2">
      <c r="A11513" s="1135" t="str">
        <f>CONCATENATE(Programme!C11514,Programme!D11514,Programme!E11514,Programme!F11514,Programme!G11514,Programme!H11514,Programme!I11514)</f>
        <v>&lt;codeEdi&gt;1805&lt;/codeEdi&gt;</v>
      </c>
    </row>
    <row r="11514" spans="1:1" x14ac:dyDescent="0.2">
      <c r="A11514" s="1135" t="str">
        <f>CONCATENATE(Programme!C11515,Programme!D11515,Programme!E11515,Programme!F11515,Programme!G11515,Programme!H11515,Programme!I11515)</f>
        <v>&lt;/cellule&gt;</v>
      </c>
    </row>
    <row r="11515" spans="1:1" x14ac:dyDescent="0.2">
      <c r="A11515" s="1135" t="str">
        <f>CONCATENATE(Programme!C11516,Programme!D11516,Programme!E11516,Programme!F11516,Programme!G11516,Programme!H11516,Programme!I11516)</f>
        <v>&lt;valeur&gt;0&lt;/valeur&gt;</v>
      </c>
    </row>
    <row r="11516" spans="1:1" x14ac:dyDescent="0.2">
      <c r="A11516" s="1135" t="str">
        <f>CONCATENATE(Programme!C11517,Programme!D11517,Programme!E11517,Programme!F11517,Programme!G11517,Programme!H11517,Programme!I11517)</f>
        <v>&lt;/ValeurCellule&gt;</v>
      </c>
    </row>
    <row r="11517" spans="1:1" x14ac:dyDescent="0.2">
      <c r="A11517" s="1135" t="str">
        <f>CONCATENATE(Programme!C11518,Programme!D11518,Programme!E11518,Programme!F11518,Programme!G11518,Programme!H11518,Programme!I11518)</f>
        <v>&lt;ValeurCellule&gt;</v>
      </c>
    </row>
    <row r="11518" spans="1:1" x14ac:dyDescent="0.2">
      <c r="A11518" s="1135" t="str">
        <f>CONCATENATE(Programme!C11519,Programme!D11519,Programme!E11519,Programme!F11519,Programme!G11519,Programme!H11519,Programme!I11519)</f>
        <v>&lt;cellule&gt;</v>
      </c>
    </row>
    <row r="11519" spans="1:1" x14ac:dyDescent="0.2">
      <c r="A11519" s="1135" t="str">
        <f>CONCATENATE(Programme!C11520,Programme!D11520,Programme!E11520,Programme!F11520,Programme!G11520,Programme!H11520,Programme!I11520)</f>
        <v>&lt;codeEdi&gt;1824&lt;/codeEdi&gt;</v>
      </c>
    </row>
    <row r="11520" spans="1:1" x14ac:dyDescent="0.2">
      <c r="A11520" s="1135" t="str">
        <f>CONCATENATE(Programme!C11521,Programme!D11521,Programme!E11521,Programme!F11521,Programme!G11521,Programme!H11521,Programme!I11521)</f>
        <v>&lt;/cellule&gt;</v>
      </c>
    </row>
    <row r="11521" spans="1:1" x14ac:dyDescent="0.2">
      <c r="A11521" s="1135" t="str">
        <f>CONCATENATE(Programme!C11522,Programme!D11522,Programme!E11522,Programme!F11522,Programme!G11522,Programme!H11522,Programme!I11522)</f>
        <v>&lt;valeur&gt;&lt;/valeur&gt;</v>
      </c>
    </row>
    <row r="11522" spans="1:1" x14ac:dyDescent="0.2">
      <c r="A11522" s="1135" t="str">
        <f>CONCATENATE(Programme!C11523,Programme!D11523,Programme!E11523,Programme!F11523,Programme!G11523,Programme!H11523,Programme!I11523)</f>
        <v>&lt;/ValeurCellule&gt;</v>
      </c>
    </row>
    <row r="11523" spans="1:1" x14ac:dyDescent="0.2">
      <c r="A11523" s="1135" t="str">
        <f>CONCATENATE(Programme!C11524,Programme!D11524,Programme!E11524,Programme!F11524,Programme!G11524,Programme!H11524,Programme!I11524)</f>
        <v>&lt;ValeurCellule&gt;</v>
      </c>
    </row>
    <row r="11524" spans="1:1" x14ac:dyDescent="0.2">
      <c r="A11524" s="1135" t="str">
        <f>CONCATENATE(Programme!C11525,Programme!D11525,Programme!E11525,Programme!F11525,Programme!G11525,Programme!H11525,Programme!I11525)</f>
        <v>&lt;cellule&gt;</v>
      </c>
    </row>
    <row r="11525" spans="1:1" x14ac:dyDescent="0.2">
      <c r="A11525" s="1135" t="str">
        <f>CONCATENATE(Programme!C11526,Programme!D11526,Programme!E11526,Programme!F11526,Programme!G11526,Programme!H11526,Programme!I11526)</f>
        <v>&lt;codeEdi&gt;1841&lt;/codeEdi&gt;</v>
      </c>
    </row>
    <row r="11526" spans="1:1" x14ac:dyDescent="0.2">
      <c r="A11526" s="1135" t="str">
        <f>CONCATENATE(Programme!C11527,Programme!D11527,Programme!E11527,Programme!F11527,Programme!G11527,Programme!H11527,Programme!I11527)</f>
        <v>&lt;/cellule&gt;</v>
      </c>
    </row>
    <row r="11527" spans="1:1" x14ac:dyDescent="0.2">
      <c r="A11527" s="1135" t="str">
        <f>CONCATENATE(Programme!C11528,Programme!D11528,Programme!E11528,Programme!F11528,Programme!G11528,Programme!H11528,Programme!I11528)</f>
        <v>&lt;valeur&gt;0&lt;/valeur&gt;</v>
      </c>
    </row>
    <row r="11528" spans="1:1" x14ac:dyDescent="0.2">
      <c r="A11528" s="1135" t="str">
        <f>CONCATENATE(Programme!C11529,Programme!D11529,Programme!E11529,Programme!F11529,Programme!G11529,Programme!H11529,Programme!I11529)</f>
        <v>&lt;/ValeurCellule&gt;</v>
      </c>
    </row>
    <row r="11529" spans="1:1" x14ac:dyDescent="0.2">
      <c r="A11529" s="1135" t="str">
        <f>CONCATENATE(Programme!C11530,Programme!D11530,Programme!E11530,Programme!F11530,Programme!G11530,Programme!H11530,Programme!I11530)</f>
        <v>&lt;ValeurCellule&gt;</v>
      </c>
    </row>
    <row r="11530" spans="1:1" x14ac:dyDescent="0.2">
      <c r="A11530" s="1135" t="str">
        <f>CONCATENATE(Programme!C11531,Programme!D11531,Programme!E11531,Programme!F11531,Programme!G11531,Programme!H11531,Programme!I11531)</f>
        <v>&lt;cellule&gt;</v>
      </c>
    </row>
    <row r="11531" spans="1:1" x14ac:dyDescent="0.2">
      <c r="A11531" s="1135" t="str">
        <f>CONCATENATE(Programme!C11532,Programme!D11532,Programme!E11532,Programme!F11532,Programme!G11532,Programme!H11532,Programme!I11532)</f>
        <v>&lt;codeEdi&gt;1858&lt;/codeEdi&gt;</v>
      </c>
    </row>
    <row r="11532" spans="1:1" x14ac:dyDescent="0.2">
      <c r="A11532" s="1135" t="str">
        <f>CONCATENATE(Programme!C11533,Programme!D11533,Programme!E11533,Programme!F11533,Programme!G11533,Programme!H11533,Programme!I11533)</f>
        <v>&lt;/cellule&gt;</v>
      </c>
    </row>
    <row r="11533" spans="1:1" x14ac:dyDescent="0.2">
      <c r="A11533" s="1135" t="str">
        <f>CONCATENATE(Programme!C11534,Programme!D11534,Programme!E11534,Programme!F11534,Programme!G11534,Programme!H11534,Programme!I11534)</f>
        <v>&lt;valeur&gt;0&lt;/valeur&gt;</v>
      </c>
    </row>
    <row r="11534" spans="1:1" x14ac:dyDescent="0.2">
      <c r="A11534" s="1135" t="str">
        <f>CONCATENATE(Programme!C11535,Programme!D11535,Programme!E11535,Programme!F11535,Programme!G11535,Programme!H11535,Programme!I11535)</f>
        <v>&lt;/ValeurCellule&gt;</v>
      </c>
    </row>
    <row r="11535" spans="1:1" x14ac:dyDescent="0.2">
      <c r="A11535" s="1135" t="str">
        <f>CONCATENATE(Programme!C11536,Programme!D11536,Programme!E11536,Programme!F11536,Programme!G11536,Programme!H11536,Programme!I11536)</f>
        <v>&lt;ValeurCellule&gt;</v>
      </c>
    </row>
    <row r="11536" spans="1:1" x14ac:dyDescent="0.2">
      <c r="A11536" s="1135" t="str">
        <f>CONCATENATE(Programme!C11537,Programme!D11537,Programme!E11537,Programme!F11537,Programme!G11537,Programme!H11537,Programme!I11537)</f>
        <v>&lt;cellule&gt;</v>
      </c>
    </row>
    <row r="11537" spans="1:1" x14ac:dyDescent="0.2">
      <c r="A11537" s="1135" t="str">
        <f>CONCATENATE(Programme!C11538,Programme!D11538,Programme!E11538,Programme!F11538,Programme!G11538,Programme!H11538,Programme!I11538)</f>
        <v>&lt;codeEdi&gt;1866&lt;/codeEdi&gt;</v>
      </c>
    </row>
    <row r="11538" spans="1:1" x14ac:dyDescent="0.2">
      <c r="A11538" s="1135" t="str">
        <f>CONCATENATE(Programme!C11539,Programme!D11539,Programme!E11539,Programme!F11539,Programme!G11539,Programme!H11539,Programme!I11539)</f>
        <v>&lt;/cellule&gt;</v>
      </c>
    </row>
    <row r="11539" spans="1:1" x14ac:dyDescent="0.2">
      <c r="A11539" s="1135" t="str">
        <f>CONCATENATE(Programme!C11540,Programme!D11540,Programme!E11540,Programme!F11540,Programme!G11540,Programme!H11540,Programme!I11540)</f>
        <v>&lt;valeur&gt;0&lt;/valeur&gt;</v>
      </c>
    </row>
    <row r="11540" spans="1:1" x14ac:dyDescent="0.2">
      <c r="A11540" s="1135" t="str">
        <f>CONCATENATE(Programme!C11541,Programme!D11541,Programme!E11541,Programme!F11541,Programme!G11541,Programme!H11541,Programme!I11541)</f>
        <v>&lt;/ValeurCellule&gt;</v>
      </c>
    </row>
    <row r="11541" spans="1:1" x14ac:dyDescent="0.2">
      <c r="A11541" s="1135" t="str">
        <f>CONCATENATE(Programme!C11542,Programme!D11542,Programme!E11542,Programme!F11542,Programme!G11542,Programme!H11542,Programme!I11542)</f>
        <v>&lt;ValeurCellule&gt;</v>
      </c>
    </row>
    <row r="11542" spans="1:1" x14ac:dyDescent="0.2">
      <c r="A11542" s="1135" t="str">
        <f>CONCATENATE(Programme!C11543,Programme!D11543,Programme!E11543,Programme!F11543,Programme!G11543,Programme!H11543,Programme!I11543)</f>
        <v>&lt;cellule&gt;</v>
      </c>
    </row>
    <row r="11543" spans="1:1" x14ac:dyDescent="0.2">
      <c r="A11543" s="1135" t="str">
        <f>CONCATENATE(Programme!C11544,Programme!D11544,Programme!E11544,Programme!F11544,Programme!G11544,Programme!H11544,Programme!I11544)</f>
        <v>&lt;codeEdi&gt;1874&lt;/codeEdi&gt;</v>
      </c>
    </row>
    <row r="11544" spans="1:1" x14ac:dyDescent="0.2">
      <c r="A11544" s="1135" t="str">
        <f>CONCATENATE(Programme!C11545,Programme!D11545,Programme!E11545,Programme!F11545,Programme!G11545,Programme!H11545,Programme!I11545)</f>
        <v>&lt;/cellule&gt;</v>
      </c>
    </row>
    <row r="11545" spans="1:1" x14ac:dyDescent="0.2">
      <c r="A11545" s="1135" t="str">
        <f>CONCATENATE(Programme!C11546,Programme!D11546,Programme!E11546,Programme!F11546,Programme!G11546,Programme!H11546,Programme!I11546)</f>
        <v>&lt;valeur&gt;0&lt;/valeur&gt;</v>
      </c>
    </row>
    <row r="11546" spans="1:1" x14ac:dyDescent="0.2">
      <c r="A11546" s="1135" t="str">
        <f>CONCATENATE(Programme!C11547,Programme!D11547,Programme!E11547,Programme!F11547,Programme!G11547,Programme!H11547,Programme!I11547)</f>
        <v>&lt;/ValeurCellule&gt;</v>
      </c>
    </row>
    <row r="11547" spans="1:1" x14ac:dyDescent="0.2">
      <c r="A11547" s="1135" t="str">
        <f>CONCATENATE(Programme!C11548,Programme!D11548,Programme!E11548,Programme!F11548,Programme!G11548,Programme!H11548,Programme!I11548)</f>
        <v>&lt;ValeurCellule&gt;</v>
      </c>
    </row>
    <row r="11548" spans="1:1" x14ac:dyDescent="0.2">
      <c r="A11548" s="1135" t="str">
        <f>CONCATENATE(Programme!C11549,Programme!D11549,Programme!E11549,Programme!F11549,Programme!G11549,Programme!H11549,Programme!I11549)</f>
        <v>&lt;cellule&gt;</v>
      </c>
    </row>
    <row r="11549" spans="1:1" x14ac:dyDescent="0.2">
      <c r="A11549" s="1135" t="str">
        <f>CONCATENATE(Programme!C11550,Programme!D11550,Programme!E11550,Programme!F11550,Programme!G11550,Programme!H11550,Programme!I11550)</f>
        <v>&lt;codeEdi&gt;1891&lt;/codeEdi&gt;</v>
      </c>
    </row>
    <row r="11550" spans="1:1" x14ac:dyDescent="0.2">
      <c r="A11550" s="1135" t="str">
        <f>CONCATENATE(Programme!C11551,Programme!D11551,Programme!E11551,Programme!F11551,Programme!G11551,Programme!H11551,Programme!I11551)</f>
        <v>&lt;/cellule&gt;</v>
      </c>
    </row>
    <row r="11551" spans="1:1" x14ac:dyDescent="0.2">
      <c r="A11551" s="1135" t="str">
        <f>CONCATENATE(Programme!C11552,Programme!D11552,Programme!E11552,Programme!F11552,Programme!G11552,Programme!H11552,Programme!I11552)</f>
        <v>&lt;valeur&gt;0&lt;/valeur&gt;</v>
      </c>
    </row>
    <row r="11552" spans="1:1" x14ac:dyDescent="0.2">
      <c r="A11552" s="1135" t="str">
        <f>CONCATENATE(Programme!C11553,Programme!D11553,Programme!E11553,Programme!F11553,Programme!G11553,Programme!H11553,Programme!I11553)</f>
        <v>&lt;/ValeurCellule&gt;</v>
      </c>
    </row>
    <row r="11553" spans="1:1" x14ac:dyDescent="0.2">
      <c r="A11553" s="1135" t="str">
        <f>CONCATENATE(Programme!C11554,Programme!D11554,Programme!E11554,Programme!F11554,Programme!G11554,Programme!H11554,Programme!I11554)</f>
        <v>&lt;ValeurCellule&gt;</v>
      </c>
    </row>
    <row r="11554" spans="1:1" x14ac:dyDescent="0.2">
      <c r="A11554" s="1135" t="str">
        <f>CONCATENATE(Programme!C11555,Programme!D11555,Programme!E11555,Programme!F11555,Programme!G11555,Programme!H11555,Programme!I11555)</f>
        <v>&lt;cellule&gt;</v>
      </c>
    </row>
    <row r="11555" spans="1:1" x14ac:dyDescent="0.2">
      <c r="A11555" s="1135" t="str">
        <f>CONCATENATE(Programme!C11556,Programme!D11556,Programme!E11556,Programme!F11556,Programme!G11556,Programme!H11556,Programme!I11556)</f>
        <v>&lt;codeEdi&gt;1407&lt;/codeEdi&gt;</v>
      </c>
    </row>
    <row r="11556" spans="1:1" x14ac:dyDescent="0.2">
      <c r="A11556" s="1135" t="str">
        <f>CONCATENATE(Programme!C11557,Programme!D11557,Programme!E11557,Programme!F11557,Programme!G11557,Programme!H11557,Programme!I11557)</f>
        <v>&lt;/cellule&gt;</v>
      </c>
    </row>
    <row r="11557" spans="1:1" x14ac:dyDescent="0.2">
      <c r="A11557" s="1135" t="str">
        <f>CONCATENATE(Programme!C11558,Programme!D11558,Programme!E11558,Programme!F11558,Programme!G11558,Programme!H11558,Programme!I11558)</f>
        <v>&lt;valeur&gt;0&lt;/valeur&gt;</v>
      </c>
    </row>
    <row r="11558" spans="1:1" x14ac:dyDescent="0.2">
      <c r="A11558" s="1135" t="str">
        <f>CONCATENATE(Programme!C11559,Programme!D11559,Programme!E11559,Programme!F11559,Programme!G11559,Programme!H11559,Programme!I11559)</f>
        <v>&lt;/ValeurCellule&gt;</v>
      </c>
    </row>
    <row r="11559" spans="1:1" x14ac:dyDescent="0.2">
      <c r="A11559" s="1135" t="str">
        <f>CONCATENATE(Programme!C11560,Programme!D11560,Programme!E11560,Programme!F11560,Programme!G11560,Programme!H11560,Programme!I11560)</f>
        <v>&lt;ValeurCellule&gt;</v>
      </c>
    </row>
    <row r="11560" spans="1:1" x14ac:dyDescent="0.2">
      <c r="A11560" s="1135" t="str">
        <f>CONCATENATE(Programme!C11561,Programme!D11561,Programme!E11561,Programme!F11561,Programme!G11561,Programme!H11561,Programme!I11561)</f>
        <v>&lt;cellule&gt;</v>
      </c>
    </row>
    <row r="11561" spans="1:1" x14ac:dyDescent="0.2">
      <c r="A11561" s="1135" t="str">
        <f>CONCATENATE(Programme!C11562,Programme!D11562,Programme!E11562,Programme!F11562,Programme!G11562,Programme!H11562,Programme!I11562)</f>
        <v>&lt;codeEdi&gt;1415&lt;/codeEdi&gt;</v>
      </c>
    </row>
    <row r="11562" spans="1:1" x14ac:dyDescent="0.2">
      <c r="A11562" s="1135" t="str">
        <f>CONCATENATE(Programme!C11563,Programme!D11563,Programme!E11563,Programme!F11563,Programme!G11563,Programme!H11563,Programme!I11563)</f>
        <v>&lt;/cellule&gt;</v>
      </c>
    </row>
    <row r="11563" spans="1:1" x14ac:dyDescent="0.2">
      <c r="A11563" s="1135" t="str">
        <f>CONCATENATE(Programme!C11564,Programme!D11564,Programme!E11564,Programme!F11564,Programme!G11564,Programme!H11564,Programme!I11564)</f>
        <v>&lt;valeur&gt;0&lt;/valeur&gt;</v>
      </c>
    </row>
    <row r="11564" spans="1:1" x14ac:dyDescent="0.2">
      <c r="A11564" s="1135" t="str">
        <f>CONCATENATE(Programme!C11565,Programme!D11565,Programme!E11565,Programme!F11565,Programme!G11565,Programme!H11565,Programme!I11565)</f>
        <v>&lt;/ValeurCellule&gt;</v>
      </c>
    </row>
    <row r="11565" spans="1:1" x14ac:dyDescent="0.2">
      <c r="A11565" s="1135" t="str">
        <f>CONCATENATE(Programme!C11566,Programme!D11566,Programme!E11566,Programme!F11566,Programme!G11566,Programme!H11566,Programme!I11566)</f>
        <v>&lt;ValeurCellule&gt;</v>
      </c>
    </row>
    <row r="11566" spans="1:1" x14ac:dyDescent="0.2">
      <c r="A11566" s="1135" t="str">
        <f>CONCATENATE(Programme!C11567,Programme!D11567,Programme!E11567,Programme!F11567,Programme!G11567,Programme!H11567,Programme!I11567)</f>
        <v>&lt;cellule&gt;</v>
      </c>
    </row>
    <row r="11567" spans="1:1" x14ac:dyDescent="0.2">
      <c r="A11567" s="1135" t="str">
        <f>CONCATENATE(Programme!C11568,Programme!D11568,Programme!E11568,Programme!F11568,Programme!G11568,Programme!H11568,Programme!I11568)</f>
        <v>&lt;codeEdi&gt;1431&lt;/codeEdi&gt;</v>
      </c>
    </row>
    <row r="11568" spans="1:1" x14ac:dyDescent="0.2">
      <c r="A11568" s="1135" t="str">
        <f>CONCATENATE(Programme!C11569,Programme!D11569,Programme!E11569,Programme!F11569,Programme!G11569,Programme!H11569,Programme!I11569)</f>
        <v>&lt;/cellule&gt;</v>
      </c>
    </row>
    <row r="11569" spans="1:1" x14ac:dyDescent="0.2">
      <c r="A11569" s="1135" t="str">
        <f>CONCATENATE(Programme!C11570,Programme!D11570,Programme!E11570,Programme!F11570,Programme!G11570,Programme!H11570,Programme!I11570)</f>
        <v>&lt;valeur&gt;0&lt;/valeur&gt;</v>
      </c>
    </row>
    <row r="11570" spans="1:1" x14ac:dyDescent="0.2">
      <c r="A11570" s="1135" t="str">
        <f>CONCATENATE(Programme!C11571,Programme!D11571,Programme!E11571,Programme!F11571,Programme!G11571,Programme!H11571,Programme!I11571)</f>
        <v>&lt;/ValeurCellule&gt;</v>
      </c>
    </row>
    <row r="11571" spans="1:1" x14ac:dyDescent="0.2">
      <c r="A11571" s="1135" t="str">
        <f>CONCATENATE(Programme!C11572,Programme!D11572,Programme!E11572,Programme!F11572,Programme!G11572,Programme!H11572,Programme!I11572)</f>
        <v>&lt;ValeurCellule&gt;</v>
      </c>
    </row>
    <row r="11572" spans="1:1" x14ac:dyDescent="0.2">
      <c r="A11572" s="1135" t="str">
        <f>CONCATENATE(Programme!C11573,Programme!D11573,Programme!E11573,Programme!F11573,Programme!G11573,Programme!H11573,Programme!I11573)</f>
        <v>&lt;cellule&gt;</v>
      </c>
    </row>
    <row r="11573" spans="1:1" x14ac:dyDescent="0.2">
      <c r="A11573" s="1135" t="str">
        <f>CONCATENATE(Programme!C11574,Programme!D11574,Programme!E11574,Programme!F11574,Programme!G11574,Programme!H11574,Programme!I11574)</f>
        <v>&lt;codeEdi&gt;1439&lt;/codeEdi&gt;</v>
      </c>
    </row>
    <row r="11574" spans="1:1" x14ac:dyDescent="0.2">
      <c r="A11574" s="1135" t="str">
        <f>CONCATENATE(Programme!C11575,Programme!D11575,Programme!E11575,Programme!F11575,Programme!G11575,Programme!H11575,Programme!I11575)</f>
        <v>&lt;/cellule&gt;</v>
      </c>
    </row>
    <row r="11575" spans="1:1" x14ac:dyDescent="0.2">
      <c r="A11575" s="1135" t="str">
        <f>CONCATENATE(Programme!C11576,Programme!D11576,Programme!E11576,Programme!F11576,Programme!G11576,Programme!H11576,Programme!I11576)</f>
        <v>&lt;valeur&gt;0&lt;/valeur&gt;</v>
      </c>
    </row>
    <row r="11576" spans="1:1" x14ac:dyDescent="0.2">
      <c r="A11576" s="1135" t="str">
        <f>CONCATENATE(Programme!C11577,Programme!D11577,Programme!E11577,Programme!F11577,Programme!G11577,Programme!H11577,Programme!I11577)</f>
        <v>&lt;/ValeurCellule&gt;</v>
      </c>
    </row>
    <row r="11577" spans="1:1" x14ac:dyDescent="0.2">
      <c r="A11577" s="1135" t="str">
        <f>CONCATENATE(Programme!C11578,Programme!D11578,Programme!E11578,Programme!F11578,Programme!G11578,Programme!H11578,Programme!I11578)</f>
        <v>&lt;ValeurCellule&gt;</v>
      </c>
    </row>
    <row r="11578" spans="1:1" x14ac:dyDescent="0.2">
      <c r="A11578" s="1135" t="str">
        <f>CONCATENATE(Programme!C11579,Programme!D11579,Programme!E11579,Programme!F11579,Programme!G11579,Programme!H11579,Programme!I11579)</f>
        <v>&lt;cellule&gt;</v>
      </c>
    </row>
    <row r="11579" spans="1:1" x14ac:dyDescent="0.2">
      <c r="A11579" s="1135" t="str">
        <f>CONCATENATE(Programme!C11580,Programme!D11580,Programme!E11580,Programme!F11580,Programme!G11580,Programme!H11580,Programme!I11580)</f>
        <v>&lt;codeEdi&gt;1455&lt;/codeEdi&gt;</v>
      </c>
    </row>
    <row r="11580" spans="1:1" x14ac:dyDescent="0.2">
      <c r="A11580" s="1135" t="str">
        <f>CONCATENATE(Programme!C11581,Programme!D11581,Programme!E11581,Programme!F11581,Programme!G11581,Programme!H11581,Programme!I11581)</f>
        <v>&lt;/cellule&gt;</v>
      </c>
    </row>
    <row r="11581" spans="1:1" x14ac:dyDescent="0.2">
      <c r="A11581" s="1135" t="str">
        <f>CONCATENATE(Programme!C11582,Programme!D11582,Programme!E11582,Programme!F11582,Programme!G11582,Programme!H11582,Programme!I11582)</f>
        <v>&lt;valeur&gt;&lt;/valeur&gt;</v>
      </c>
    </row>
    <row r="11582" spans="1:1" x14ac:dyDescent="0.2">
      <c r="A11582" s="1135" t="str">
        <f>CONCATENATE(Programme!C11583,Programme!D11583,Programme!E11583,Programme!F11583,Programme!G11583,Programme!H11583,Programme!I11583)</f>
        <v>&lt;/ValeurCellule&gt;</v>
      </c>
    </row>
    <row r="11583" spans="1:1" x14ac:dyDescent="0.2">
      <c r="A11583" s="1135" t="str">
        <f>CONCATENATE(Programme!C11584,Programme!D11584,Programme!E11584,Programme!F11584,Programme!G11584,Programme!H11584,Programme!I11584)</f>
        <v>&lt;ValeurCellule&gt;</v>
      </c>
    </row>
    <row r="11584" spans="1:1" x14ac:dyDescent="0.2">
      <c r="A11584" s="1135" t="str">
        <f>CONCATENATE(Programme!C11585,Programme!D11585,Programme!E11585,Programme!F11585,Programme!G11585,Programme!H11585,Programme!I11585)</f>
        <v>&lt;cellule&gt;</v>
      </c>
    </row>
    <row r="11585" spans="1:1" x14ac:dyDescent="0.2">
      <c r="A11585" s="1135" t="str">
        <f>CONCATENATE(Programme!C11586,Programme!D11586,Programme!E11586,Programme!F11586,Programme!G11586,Programme!H11586,Programme!I11586)</f>
        <v>&lt;codeEdi&gt;1463&lt;/codeEdi&gt;</v>
      </c>
    </row>
    <row r="11586" spans="1:1" x14ac:dyDescent="0.2">
      <c r="A11586" s="1135" t="str">
        <f>CONCATENATE(Programme!C11587,Programme!D11587,Programme!E11587,Programme!F11587,Programme!G11587,Programme!H11587,Programme!I11587)</f>
        <v>&lt;/cellule&gt;</v>
      </c>
    </row>
    <row r="11587" spans="1:1" x14ac:dyDescent="0.2">
      <c r="A11587" s="1135" t="str">
        <f>CONCATENATE(Programme!C11588,Programme!D11588,Programme!E11588,Programme!F11588,Programme!G11588,Programme!H11588,Programme!I11588)</f>
        <v>&lt;valeur&gt;0&lt;/valeur&gt;</v>
      </c>
    </row>
    <row r="11588" spans="1:1" x14ac:dyDescent="0.2">
      <c r="A11588" s="1135" t="str">
        <f>CONCATENATE(Programme!C11589,Programme!D11589,Programme!E11589,Programme!F11589,Programme!G11589,Programme!H11589,Programme!I11589)</f>
        <v>&lt;/ValeurCellule&gt;</v>
      </c>
    </row>
    <row r="11589" spans="1:1" x14ac:dyDescent="0.2">
      <c r="A11589" s="1135" t="str">
        <f>CONCATENATE(Programme!C11590,Programme!D11590,Programme!E11590,Programme!F11590,Programme!G11590,Programme!H11590,Programme!I11590)</f>
        <v>&lt;ValeurCellule&gt;</v>
      </c>
    </row>
    <row r="11590" spans="1:1" x14ac:dyDescent="0.2">
      <c r="A11590" s="1135" t="str">
        <f>CONCATENATE(Programme!C11591,Programme!D11591,Programme!E11591,Programme!F11591,Programme!G11591,Programme!H11591,Programme!I11591)</f>
        <v>&lt;cellule&gt;</v>
      </c>
    </row>
    <row r="11591" spans="1:1" x14ac:dyDescent="0.2">
      <c r="A11591" s="1135" t="str">
        <f>CONCATENATE(Programme!C11592,Programme!D11592,Programme!E11592,Programme!F11592,Programme!G11592,Programme!H11592,Programme!I11592)</f>
        <v>&lt;codeEdi&gt;1471&lt;/codeEdi&gt;</v>
      </c>
    </row>
    <row r="11592" spans="1:1" x14ac:dyDescent="0.2">
      <c r="A11592" s="1135" t="str">
        <f>CONCATENATE(Programme!C11593,Programme!D11593,Programme!E11593,Programme!F11593,Programme!G11593,Programme!H11593,Programme!I11593)</f>
        <v>&lt;/cellule&gt;</v>
      </c>
    </row>
    <row r="11593" spans="1:1" x14ac:dyDescent="0.2">
      <c r="A11593" s="1135" t="str">
        <f>CONCATENATE(Programme!C11594,Programme!D11594,Programme!E11594,Programme!F11594,Programme!G11594,Programme!H11594,Programme!I11594)</f>
        <v>&lt;valeur&gt;0&lt;/valeur&gt;</v>
      </c>
    </row>
    <row r="11594" spans="1:1" x14ac:dyDescent="0.2">
      <c r="A11594" s="1135" t="str">
        <f>CONCATENATE(Programme!C11595,Programme!D11595,Programme!E11595,Programme!F11595,Programme!G11595,Programme!H11595,Programme!I11595)</f>
        <v>&lt;/ValeurCellule&gt;</v>
      </c>
    </row>
    <row r="11595" spans="1:1" x14ac:dyDescent="0.2">
      <c r="A11595" s="1135" t="str">
        <f>CONCATENATE(Programme!C11596,Programme!D11596,Programme!E11596,Programme!F11596,Programme!G11596,Programme!H11596,Programme!I11596)</f>
        <v>&lt;ValeurCellule&gt;</v>
      </c>
    </row>
    <row r="11596" spans="1:1" x14ac:dyDescent="0.2">
      <c r="A11596" s="1135" t="str">
        <f>CONCATENATE(Programme!C11597,Programme!D11597,Programme!E11597,Programme!F11597,Programme!G11597,Programme!H11597,Programme!I11597)</f>
        <v>&lt;cellule&gt;</v>
      </c>
    </row>
    <row r="11597" spans="1:1" x14ac:dyDescent="0.2">
      <c r="A11597" s="1135" t="str">
        <f>CONCATENATE(Programme!C11598,Programme!D11598,Programme!E11598,Programme!F11598,Programme!G11598,Programme!H11598,Programme!I11598)</f>
        <v>&lt;codeEdi&gt;1479&lt;/codeEdi&gt;</v>
      </c>
    </row>
    <row r="11598" spans="1:1" x14ac:dyDescent="0.2">
      <c r="A11598" s="1135" t="str">
        <f>CONCATENATE(Programme!C11599,Programme!D11599,Programme!E11599,Programme!F11599,Programme!G11599,Programme!H11599,Programme!I11599)</f>
        <v>&lt;/cellule&gt;</v>
      </c>
    </row>
    <row r="11599" spans="1:1" x14ac:dyDescent="0.2">
      <c r="A11599" s="1135" t="str">
        <f>CONCATENATE(Programme!C11600,Programme!D11600,Programme!E11600,Programme!F11600,Programme!G11600,Programme!H11600,Programme!I11600)</f>
        <v>&lt;valeur&gt;0&lt;/valeur&gt;</v>
      </c>
    </row>
    <row r="11600" spans="1:1" x14ac:dyDescent="0.2">
      <c r="A11600" s="1135" t="str">
        <f>CONCATENATE(Programme!C11601,Programme!D11601,Programme!E11601,Programme!F11601,Programme!G11601,Programme!H11601,Programme!I11601)</f>
        <v>&lt;/ValeurCellule&gt;</v>
      </c>
    </row>
    <row r="11601" spans="1:1" x14ac:dyDescent="0.2">
      <c r="A11601" s="1135" t="str">
        <f>CONCATENATE(Programme!C11602,Programme!D11602,Programme!E11602,Programme!F11602,Programme!G11602,Programme!H11602,Programme!I11602)</f>
        <v>&lt;ValeurCellule&gt;</v>
      </c>
    </row>
    <row r="11602" spans="1:1" x14ac:dyDescent="0.2">
      <c r="A11602" s="1135" t="str">
        <f>CONCATENATE(Programme!C11603,Programme!D11603,Programme!E11603,Programme!F11603,Programme!G11603,Programme!H11603,Programme!I11603)</f>
        <v>&lt;cellule&gt;</v>
      </c>
    </row>
    <row r="11603" spans="1:1" x14ac:dyDescent="0.2">
      <c r="A11603" s="1135" t="str">
        <f>CONCATENATE(Programme!C11604,Programme!D11604,Programme!E11604,Programme!F11604,Programme!G11604,Programme!H11604,Programme!I11604)</f>
        <v>&lt;codeEdi&gt;1487&lt;/codeEdi&gt;</v>
      </c>
    </row>
    <row r="11604" spans="1:1" x14ac:dyDescent="0.2">
      <c r="A11604" s="1135" t="str">
        <f>CONCATENATE(Programme!C11605,Programme!D11605,Programme!E11605,Programme!F11605,Programme!G11605,Programme!H11605,Programme!I11605)</f>
        <v>&lt;/cellule&gt;</v>
      </c>
    </row>
    <row r="11605" spans="1:1" x14ac:dyDescent="0.2">
      <c r="A11605" s="1135" t="str">
        <f>CONCATENATE(Programme!C11606,Programme!D11606,Programme!E11606,Programme!F11606,Programme!G11606,Programme!H11606,Programme!I11606)</f>
        <v>&lt;valeur&gt;0&lt;/valeur&gt;</v>
      </c>
    </row>
    <row r="11606" spans="1:1" x14ac:dyDescent="0.2">
      <c r="A11606" s="1135" t="str">
        <f>CONCATENATE(Programme!C11607,Programme!D11607,Programme!E11607,Programme!F11607,Programme!G11607,Programme!H11607,Programme!I11607)</f>
        <v>&lt;/ValeurCellule&gt;</v>
      </c>
    </row>
    <row r="11607" spans="1:1" x14ac:dyDescent="0.2">
      <c r="A11607" s="1135" t="str">
        <f>CONCATENATE(Programme!C11608,Programme!D11608,Programme!E11608,Programme!F11608,Programme!G11608,Programme!H11608,Programme!I11608)</f>
        <v>&lt;ValeurCellule&gt;</v>
      </c>
    </row>
    <row r="11608" spans="1:1" x14ac:dyDescent="0.2">
      <c r="A11608" s="1135" t="str">
        <f>CONCATENATE(Programme!C11609,Programme!D11609,Programme!E11609,Programme!F11609,Programme!G11609,Programme!H11609,Programme!I11609)</f>
        <v>&lt;cellule&gt;</v>
      </c>
    </row>
    <row r="11609" spans="1:1" x14ac:dyDescent="0.2">
      <c r="A11609" s="1135" t="str">
        <f>CONCATENATE(Programme!C11610,Programme!D11610,Programme!E11610,Programme!F11610,Programme!G11610,Programme!H11610,Programme!I11610)</f>
        <v>&lt;codeEdi&gt;1423&lt;/codeEdi&gt;</v>
      </c>
    </row>
    <row r="11610" spans="1:1" x14ac:dyDescent="0.2">
      <c r="A11610" s="1135" t="str">
        <f>CONCATENATE(Programme!C11611,Programme!D11611,Programme!E11611,Programme!F11611,Programme!G11611,Programme!H11611,Programme!I11611)</f>
        <v>&lt;/cellule&gt;</v>
      </c>
    </row>
    <row r="11611" spans="1:1" x14ac:dyDescent="0.2">
      <c r="A11611" s="1135" t="str">
        <f>CONCATENATE(Programme!C11612,Programme!D11612,Programme!E11612,Programme!F11612,Programme!G11612,Programme!H11612,Programme!I11612)</f>
        <v>&lt;valeur&gt;0&lt;/valeur&gt;</v>
      </c>
    </row>
    <row r="11612" spans="1:1" x14ac:dyDescent="0.2">
      <c r="A11612" s="1135" t="str">
        <f>CONCATENATE(Programme!C11613,Programme!D11613,Programme!E11613,Programme!F11613,Programme!G11613,Programme!H11613,Programme!I11613)</f>
        <v>&lt;/ValeurCellule&gt;</v>
      </c>
    </row>
    <row r="11613" spans="1:1" x14ac:dyDescent="0.2">
      <c r="A11613" s="1135" t="str">
        <f>CONCATENATE(Programme!C11614,Programme!D11614,Programme!E11614,Programme!F11614,Programme!G11614,Programme!H11614,Programme!I11614)</f>
        <v>&lt;ValeurCellule&gt;</v>
      </c>
    </row>
    <row r="11614" spans="1:1" x14ac:dyDescent="0.2">
      <c r="A11614" s="1135" t="str">
        <f>CONCATENATE(Programme!C11615,Programme!D11615,Programme!E11615,Programme!F11615,Programme!G11615,Programme!H11615,Programme!I11615)</f>
        <v>&lt;cellule&gt;</v>
      </c>
    </row>
    <row r="11615" spans="1:1" x14ac:dyDescent="0.2">
      <c r="A11615" s="1135" t="str">
        <f>CONCATENATE(Programme!C11616,Programme!D11616,Programme!E11616,Programme!F11616,Programme!G11616,Programme!H11616,Programme!I11616)</f>
        <v>&lt;codeEdi&gt;1561&lt;/codeEdi&gt;</v>
      </c>
    </row>
    <row r="11616" spans="1:1" x14ac:dyDescent="0.2">
      <c r="A11616" s="1135" t="str">
        <f>CONCATENATE(Programme!C11617,Programme!D11617,Programme!E11617,Programme!F11617,Programme!G11617,Programme!H11617,Programme!I11617)</f>
        <v>&lt;/cellule&gt;</v>
      </c>
    </row>
    <row r="11617" spans="1:1" x14ac:dyDescent="0.2">
      <c r="A11617" s="1135" t="str">
        <f>CONCATENATE(Programme!C11618,Programme!D11618,Programme!E11618,Programme!F11618,Programme!G11618,Programme!H11618,Programme!I11618)</f>
        <v>&lt;valeur&gt;0&lt;/valeur&gt;</v>
      </c>
    </row>
    <row r="11618" spans="1:1" x14ac:dyDescent="0.2">
      <c r="A11618" s="1135" t="str">
        <f>CONCATENATE(Programme!C11619,Programme!D11619,Programme!E11619,Programme!F11619,Programme!G11619,Programme!H11619,Programme!I11619)</f>
        <v>&lt;/ValeurCellule&gt;</v>
      </c>
    </row>
    <row r="11619" spans="1:1" x14ac:dyDescent="0.2">
      <c r="A11619" s="1135" t="str">
        <f>CONCATENATE(Programme!C11620,Programme!D11620,Programme!E11620,Programme!F11620,Programme!G11620,Programme!H11620,Programme!I11620)</f>
        <v>&lt;ValeurCellule&gt;</v>
      </c>
    </row>
    <row r="11620" spans="1:1" x14ac:dyDescent="0.2">
      <c r="A11620" s="1135" t="str">
        <f>CONCATENATE(Programme!C11621,Programme!D11621,Programme!E11621,Programme!F11621,Programme!G11621,Programme!H11621,Programme!I11621)</f>
        <v>&lt;cellule&gt;</v>
      </c>
    </row>
    <row r="11621" spans="1:1" x14ac:dyDescent="0.2">
      <c r="A11621" s="1135" t="str">
        <f>CONCATENATE(Programme!C11622,Programme!D11622,Programme!E11622,Programme!F11622,Programme!G11622,Programme!H11622,Programme!I11622)</f>
        <v>&lt;codeEdi&gt;1602&lt;/codeEdi&gt;</v>
      </c>
    </row>
    <row r="11622" spans="1:1" x14ac:dyDescent="0.2">
      <c r="A11622" s="1135" t="str">
        <f>CONCATENATE(Programme!C11623,Programme!D11623,Programme!E11623,Programme!F11623,Programme!G11623,Programme!H11623,Programme!I11623)</f>
        <v>&lt;/cellule&gt;</v>
      </c>
    </row>
    <row r="11623" spans="1:1" x14ac:dyDescent="0.2">
      <c r="A11623" s="1135" t="str">
        <f>CONCATENATE(Programme!C11624,Programme!D11624,Programme!E11624,Programme!F11624,Programme!G11624,Programme!H11624,Programme!I11624)</f>
        <v>&lt;valeur&gt;0&lt;/valeur&gt;</v>
      </c>
    </row>
    <row r="11624" spans="1:1" x14ac:dyDescent="0.2">
      <c r="A11624" s="1135" t="str">
        <f>CONCATENATE(Programme!C11625,Programme!D11625,Programme!E11625,Programme!F11625,Programme!G11625,Programme!H11625,Programme!I11625)</f>
        <v>&lt;/ValeurCellule&gt;</v>
      </c>
    </row>
    <row r="11625" spans="1:1" x14ac:dyDescent="0.2">
      <c r="A11625" s="1135" t="str">
        <f>CONCATENATE(Programme!C11626,Programme!D11626,Programme!E11626,Programme!F11626,Programme!G11626,Programme!H11626,Programme!I11626)</f>
        <v>&lt;ValeurCellule&gt;</v>
      </c>
    </row>
    <row r="11626" spans="1:1" x14ac:dyDescent="0.2">
      <c r="A11626" s="1135" t="str">
        <f>CONCATENATE(Programme!C11627,Programme!D11627,Programme!E11627,Programme!F11627,Programme!G11627,Programme!H11627,Programme!I11627)</f>
        <v>&lt;cellule&gt;</v>
      </c>
    </row>
    <row r="11627" spans="1:1" x14ac:dyDescent="0.2">
      <c r="A11627" s="1135" t="str">
        <f>CONCATENATE(Programme!C11628,Programme!D11628,Programme!E11628,Programme!F11628,Programme!G11628,Programme!H11628,Programme!I11628)</f>
        <v>&lt;codeEdi&gt;1610&lt;/codeEdi&gt;</v>
      </c>
    </row>
    <row r="11628" spans="1:1" x14ac:dyDescent="0.2">
      <c r="A11628" s="1135" t="str">
        <f>CONCATENATE(Programme!C11629,Programme!D11629,Programme!E11629,Programme!F11629,Programme!G11629,Programme!H11629,Programme!I11629)</f>
        <v>&lt;/cellule&gt;</v>
      </c>
    </row>
    <row r="11629" spans="1:1" x14ac:dyDescent="0.2">
      <c r="A11629" s="1135" t="str">
        <f>CONCATENATE(Programme!C11630,Programme!D11630,Programme!E11630,Programme!F11630,Programme!G11630,Programme!H11630,Programme!I11630)</f>
        <v>&lt;valeur&gt;0&lt;/valeur&gt;</v>
      </c>
    </row>
    <row r="11630" spans="1:1" x14ac:dyDescent="0.2">
      <c r="A11630" s="1135" t="str">
        <f>CONCATENATE(Programme!C11631,Programme!D11631,Programme!E11631,Programme!F11631,Programme!G11631,Programme!H11631,Programme!I11631)</f>
        <v>&lt;/ValeurCellule&gt;</v>
      </c>
    </row>
    <row r="11631" spans="1:1" x14ac:dyDescent="0.2">
      <c r="A11631" s="1135" t="str">
        <f>CONCATENATE(Programme!C11632,Programme!D11632,Programme!E11632,Programme!F11632,Programme!G11632,Programme!H11632,Programme!I11632)</f>
        <v>&lt;ValeurCellule&gt;</v>
      </c>
    </row>
    <row r="11632" spans="1:1" x14ac:dyDescent="0.2">
      <c r="A11632" s="1135" t="str">
        <f>CONCATENATE(Programme!C11633,Programme!D11633,Programme!E11633,Programme!F11633,Programme!G11633,Programme!H11633,Programme!I11633)</f>
        <v>&lt;cellule&gt;</v>
      </c>
    </row>
    <row r="11633" spans="1:1" x14ac:dyDescent="0.2">
      <c r="A11633" s="1135" t="str">
        <f>CONCATENATE(Programme!C11634,Programme!D11634,Programme!E11634,Programme!F11634,Programme!G11634,Programme!H11634,Programme!I11634)</f>
        <v>&lt;codeEdi&gt;1618&lt;/codeEdi&gt;</v>
      </c>
    </row>
    <row r="11634" spans="1:1" x14ac:dyDescent="0.2">
      <c r="A11634" s="1135" t="str">
        <f>CONCATENATE(Programme!C11635,Programme!D11635,Programme!E11635,Programme!F11635,Programme!G11635,Programme!H11635,Programme!I11635)</f>
        <v>&lt;/cellule&gt;</v>
      </c>
    </row>
    <row r="11635" spans="1:1" x14ac:dyDescent="0.2">
      <c r="A11635" s="1135" t="str">
        <f>CONCATENATE(Programme!C11636,Programme!D11636,Programme!E11636,Programme!F11636,Programme!G11636,Programme!H11636,Programme!I11636)</f>
        <v>&lt;valeur&gt;0&lt;/valeur&gt;</v>
      </c>
    </row>
    <row r="11636" spans="1:1" x14ac:dyDescent="0.2">
      <c r="A11636" s="1135" t="str">
        <f>CONCATENATE(Programme!C11637,Programme!D11637,Programme!E11637,Programme!F11637,Programme!G11637,Programme!H11637,Programme!I11637)</f>
        <v>&lt;/ValeurCellule&gt;</v>
      </c>
    </row>
    <row r="11637" spans="1:1" x14ac:dyDescent="0.2">
      <c r="A11637" s="1135" t="str">
        <f>CONCATENATE(Programme!C11638,Programme!D11638,Programme!E11638,Programme!F11638,Programme!G11638,Programme!H11638,Programme!I11638)</f>
        <v>&lt;ValeurCellule&gt;</v>
      </c>
    </row>
    <row r="11638" spans="1:1" x14ac:dyDescent="0.2">
      <c r="A11638" s="1135" t="str">
        <f>CONCATENATE(Programme!C11639,Programme!D11639,Programme!E11639,Programme!F11639,Programme!G11639,Programme!H11639,Programme!I11639)</f>
        <v>&lt;cellule&gt;</v>
      </c>
    </row>
    <row r="11639" spans="1:1" x14ac:dyDescent="0.2">
      <c r="A11639" s="1135" t="str">
        <f>CONCATENATE(Programme!C11640,Programme!D11640,Programme!E11640,Programme!F11640,Programme!G11640,Programme!H11640,Programme!I11640)</f>
        <v>&lt;codeEdi&gt;1641&lt;/codeEdi&gt;</v>
      </c>
    </row>
    <row r="11640" spans="1:1" x14ac:dyDescent="0.2">
      <c r="A11640" s="1135" t="str">
        <f>CONCATENATE(Programme!C11641,Programme!D11641,Programme!E11641,Programme!F11641,Programme!G11641,Programme!H11641,Programme!I11641)</f>
        <v>&lt;/cellule&gt;</v>
      </c>
    </row>
    <row r="11641" spans="1:1" x14ac:dyDescent="0.2">
      <c r="A11641" s="1135" t="str">
        <f>CONCATENATE(Programme!C11642,Programme!D11642,Programme!E11642,Programme!F11642,Programme!G11642,Programme!H11642,Programme!I11642)</f>
        <v>&lt;valeur&gt;&lt;/valeur&gt;</v>
      </c>
    </row>
    <row r="11642" spans="1:1" x14ac:dyDescent="0.2">
      <c r="A11642" s="1135" t="str">
        <f>CONCATENATE(Programme!C11643,Programme!D11643,Programme!E11643,Programme!F11643,Programme!G11643,Programme!H11643,Programme!I11643)</f>
        <v>&lt;/ValeurCellule&gt;</v>
      </c>
    </row>
    <row r="11643" spans="1:1" x14ac:dyDescent="0.2">
      <c r="A11643" s="1135" t="str">
        <f>CONCATENATE(Programme!C11644,Programme!D11644,Programme!E11644,Programme!F11644,Programme!G11644,Programme!H11644,Programme!I11644)</f>
        <v>&lt;ValeurCellule&gt;</v>
      </c>
    </row>
    <row r="11644" spans="1:1" x14ac:dyDescent="0.2">
      <c r="A11644" s="1135" t="str">
        <f>CONCATENATE(Programme!C11645,Programme!D11645,Programme!E11645,Programme!F11645,Programme!G11645,Programme!H11645,Programme!I11645)</f>
        <v>&lt;cellule&gt;</v>
      </c>
    </row>
    <row r="11645" spans="1:1" x14ac:dyDescent="0.2">
      <c r="A11645" s="1135" t="str">
        <f>CONCATENATE(Programme!C11646,Programme!D11646,Programme!E11646,Programme!F11646,Programme!G11646,Programme!H11646,Programme!I11646)</f>
        <v>&lt;codeEdi&gt;1649&lt;/codeEdi&gt;</v>
      </c>
    </row>
    <row r="11646" spans="1:1" x14ac:dyDescent="0.2">
      <c r="A11646" s="1135" t="str">
        <f>CONCATENATE(Programme!C11647,Programme!D11647,Programme!E11647,Programme!F11647,Programme!G11647,Programme!H11647,Programme!I11647)</f>
        <v>&lt;/cellule&gt;</v>
      </c>
    </row>
    <row r="11647" spans="1:1" x14ac:dyDescent="0.2">
      <c r="A11647" s="1135" t="str">
        <f>CONCATENATE(Programme!C11648,Programme!D11648,Programme!E11648,Programme!F11648,Programme!G11648,Programme!H11648,Programme!I11648)</f>
        <v>&lt;valeur&gt;0&lt;/valeur&gt;</v>
      </c>
    </row>
    <row r="11648" spans="1:1" x14ac:dyDescent="0.2">
      <c r="A11648" s="1135" t="str">
        <f>CONCATENATE(Programme!C11649,Programme!D11649,Programme!E11649,Programme!F11649,Programme!G11649,Programme!H11649,Programme!I11649)</f>
        <v>&lt;/ValeurCellule&gt;</v>
      </c>
    </row>
    <row r="11649" spans="1:1" x14ac:dyDescent="0.2">
      <c r="A11649" s="1135" t="str">
        <f>CONCATENATE(Programme!C11650,Programme!D11650,Programme!E11650,Programme!F11650,Programme!G11650,Programme!H11650,Programme!I11650)</f>
        <v>&lt;ValeurCellule&gt;</v>
      </c>
    </row>
    <row r="11650" spans="1:1" x14ac:dyDescent="0.2">
      <c r="A11650" s="1135" t="str">
        <f>CONCATENATE(Programme!C11651,Programme!D11651,Programme!E11651,Programme!F11651,Programme!G11651,Programme!H11651,Programme!I11651)</f>
        <v>&lt;cellule&gt;</v>
      </c>
    </row>
    <row r="11651" spans="1:1" x14ac:dyDescent="0.2">
      <c r="A11651" s="1135" t="str">
        <f>CONCATENATE(Programme!C11652,Programme!D11652,Programme!E11652,Programme!F11652,Programme!G11652,Programme!H11652,Programme!I11652)</f>
        <v>&lt;codeEdi&gt;1662&lt;/codeEdi&gt;</v>
      </c>
    </row>
    <row r="11652" spans="1:1" x14ac:dyDescent="0.2">
      <c r="A11652" s="1135" t="str">
        <f>CONCATENATE(Programme!C11653,Programme!D11653,Programme!E11653,Programme!F11653,Programme!G11653,Programme!H11653,Programme!I11653)</f>
        <v>&lt;/cellule&gt;</v>
      </c>
    </row>
    <row r="11653" spans="1:1" x14ac:dyDescent="0.2">
      <c r="A11653" s="1135" t="str">
        <f>CONCATENATE(Programme!C11654,Programme!D11654,Programme!E11654,Programme!F11654,Programme!G11654,Programme!H11654,Programme!I11654)</f>
        <v>&lt;valeur&gt;0&lt;/valeur&gt;</v>
      </c>
    </row>
    <row r="11654" spans="1:1" x14ac:dyDescent="0.2">
      <c r="A11654" s="1135" t="str">
        <f>CONCATENATE(Programme!C11655,Programme!D11655,Programme!E11655,Programme!F11655,Programme!G11655,Programme!H11655,Programme!I11655)</f>
        <v>&lt;/ValeurCellule&gt;</v>
      </c>
    </row>
    <row r="11655" spans="1:1" x14ac:dyDescent="0.2">
      <c r="A11655" s="1135" t="str">
        <f>CONCATENATE(Programme!C11656,Programme!D11656,Programme!E11656,Programme!F11656,Programme!G11656,Programme!H11656,Programme!I11656)</f>
        <v>&lt;ValeurCellule&gt;</v>
      </c>
    </row>
    <row r="11656" spans="1:1" x14ac:dyDescent="0.2">
      <c r="A11656" s="1135" t="str">
        <f>CONCATENATE(Programme!C11657,Programme!D11657,Programme!E11657,Programme!F11657,Programme!G11657,Programme!H11657,Programme!I11657)</f>
        <v>&lt;cellule&gt;</v>
      </c>
    </row>
    <row r="11657" spans="1:1" x14ac:dyDescent="0.2">
      <c r="A11657" s="1135" t="str">
        <f>CONCATENATE(Programme!C11658,Programme!D11658,Programme!E11658,Programme!F11658,Programme!G11658,Programme!H11658,Programme!I11658)</f>
        <v>&lt;codeEdi&gt;1670&lt;/codeEdi&gt;</v>
      </c>
    </row>
    <row r="11658" spans="1:1" x14ac:dyDescent="0.2">
      <c r="A11658" s="1135" t="str">
        <f>CONCATENATE(Programme!C11659,Programme!D11659,Programme!E11659,Programme!F11659,Programme!G11659,Programme!H11659,Programme!I11659)</f>
        <v>&lt;/cellule&gt;</v>
      </c>
    </row>
    <row r="11659" spans="1:1" x14ac:dyDescent="0.2">
      <c r="A11659" s="1135" t="str">
        <f>CONCATENATE(Programme!C11660,Programme!D11660,Programme!E11660,Programme!F11660,Programme!G11660,Programme!H11660,Programme!I11660)</f>
        <v>&lt;valeur&gt;0&lt;/valeur&gt;</v>
      </c>
    </row>
    <row r="11660" spans="1:1" x14ac:dyDescent="0.2">
      <c r="A11660" s="1135" t="str">
        <f>CONCATENATE(Programme!C11661,Programme!D11661,Programme!E11661,Programme!F11661,Programme!G11661,Programme!H11661,Programme!I11661)</f>
        <v>&lt;/ValeurCellule&gt;</v>
      </c>
    </row>
    <row r="11661" spans="1:1" x14ac:dyDescent="0.2">
      <c r="A11661" s="1135" t="str">
        <f>CONCATENATE(Programme!C11662,Programme!D11662,Programme!E11662,Programme!F11662,Programme!G11662,Programme!H11662,Programme!I11662)</f>
        <v>&lt;ValeurCellule&gt;</v>
      </c>
    </row>
    <row r="11662" spans="1:1" x14ac:dyDescent="0.2">
      <c r="A11662" s="1135" t="str">
        <f>CONCATENATE(Programme!C11663,Programme!D11663,Programme!E11663,Programme!F11663,Programme!G11663,Programme!H11663,Programme!I11663)</f>
        <v>&lt;cellule&gt;</v>
      </c>
    </row>
    <row r="11663" spans="1:1" x14ac:dyDescent="0.2">
      <c r="A11663" s="1135" t="str">
        <f>CONCATENATE(Programme!C11664,Programme!D11664,Programme!E11664,Programme!F11664,Programme!G11664,Programme!H11664,Programme!I11664)</f>
        <v>&lt;codeEdi&gt;1678&lt;/codeEdi&gt;</v>
      </c>
    </row>
    <row r="11664" spans="1:1" x14ac:dyDescent="0.2">
      <c r="A11664" s="1135" t="str">
        <f>CONCATENATE(Programme!C11665,Programme!D11665,Programme!E11665,Programme!F11665,Programme!G11665,Programme!H11665,Programme!I11665)</f>
        <v>&lt;/cellule&gt;</v>
      </c>
    </row>
    <row r="11665" spans="1:1" x14ac:dyDescent="0.2">
      <c r="A11665" s="1135" t="str">
        <f>CONCATENATE(Programme!C11666,Programme!D11666,Programme!E11666,Programme!F11666,Programme!G11666,Programme!H11666,Programme!I11666)</f>
        <v>&lt;valeur&gt;0&lt;/valeur&gt;</v>
      </c>
    </row>
    <row r="11666" spans="1:1" x14ac:dyDescent="0.2">
      <c r="A11666" s="1135" t="str">
        <f>CONCATENATE(Programme!C11667,Programme!D11667,Programme!E11667,Programme!F11667,Programme!G11667,Programme!H11667,Programme!I11667)</f>
        <v>&lt;/ValeurCellule&gt;</v>
      </c>
    </row>
    <row r="11667" spans="1:1" x14ac:dyDescent="0.2">
      <c r="A11667" s="1135" t="str">
        <f>CONCATENATE(Programme!C11668,Programme!D11668,Programme!E11668,Programme!F11668,Programme!G11668,Programme!H11668,Programme!I11668)</f>
        <v>&lt;ValeurCellule&gt;</v>
      </c>
    </row>
    <row r="11668" spans="1:1" x14ac:dyDescent="0.2">
      <c r="A11668" s="1135" t="str">
        <f>CONCATENATE(Programme!C11669,Programme!D11669,Programme!E11669,Programme!F11669,Programme!G11669,Programme!H11669,Programme!I11669)</f>
        <v>&lt;cellule&gt;</v>
      </c>
    </row>
    <row r="11669" spans="1:1" x14ac:dyDescent="0.2">
      <c r="A11669" s="1135" t="str">
        <f>CONCATENATE(Programme!C11670,Programme!D11670,Programme!E11670,Programme!F11670,Programme!G11670,Programme!H11670,Programme!I11670)</f>
        <v>&lt;codeEdi&gt;1691&lt;/codeEdi&gt;</v>
      </c>
    </row>
    <row r="11670" spans="1:1" x14ac:dyDescent="0.2">
      <c r="A11670" s="1135" t="str">
        <f>CONCATENATE(Programme!C11671,Programme!D11671,Programme!E11671,Programme!F11671,Programme!G11671,Programme!H11671,Programme!I11671)</f>
        <v>&lt;/cellule&gt;</v>
      </c>
    </row>
    <row r="11671" spans="1:1" x14ac:dyDescent="0.2">
      <c r="A11671" s="1135" t="str">
        <f>CONCATENATE(Programme!C11672,Programme!D11672,Programme!E11672,Programme!F11672,Programme!G11672,Programme!H11672,Programme!I11672)</f>
        <v>&lt;valeur&gt;0&lt;/valeur&gt;</v>
      </c>
    </row>
    <row r="11672" spans="1:1" x14ac:dyDescent="0.2">
      <c r="A11672" s="1135" t="str">
        <f>CONCATENATE(Programme!C11673,Programme!D11673,Programme!E11673,Programme!F11673,Programme!G11673,Programme!H11673,Programme!I11673)</f>
        <v>&lt;/ValeurCellule&gt;</v>
      </c>
    </row>
    <row r="11673" spans="1:1" x14ac:dyDescent="0.2">
      <c r="A11673" s="1135" t="str">
        <f>CONCATENATE(Programme!C11674,Programme!D11674,Programme!E11674,Programme!F11674,Programme!G11674,Programme!H11674,Programme!I11674)</f>
        <v>&lt;ValeurCellule&gt;</v>
      </c>
    </row>
    <row r="11674" spans="1:1" x14ac:dyDescent="0.2">
      <c r="A11674" s="1135" t="str">
        <f>CONCATENATE(Programme!C11675,Programme!D11675,Programme!E11675,Programme!F11675,Programme!G11675,Programme!H11675,Programme!I11675)</f>
        <v>&lt;cellule&gt;</v>
      </c>
    </row>
    <row r="11675" spans="1:1" x14ac:dyDescent="0.2">
      <c r="A11675" s="1135" t="str">
        <f>CONCATENATE(Programme!C11676,Programme!D11676,Programme!E11676,Programme!F11676,Programme!G11676,Programme!H11676,Programme!I11676)</f>
        <v>&lt;codeEdi&gt;1742&lt;/codeEdi&gt;</v>
      </c>
    </row>
    <row r="11676" spans="1:1" x14ac:dyDescent="0.2">
      <c r="A11676" s="1135" t="str">
        <f>CONCATENATE(Programme!C11677,Programme!D11677,Programme!E11677,Programme!F11677,Programme!G11677,Programme!H11677,Programme!I11677)</f>
        <v>&lt;/cellule&gt;</v>
      </c>
    </row>
    <row r="11677" spans="1:1" x14ac:dyDescent="0.2">
      <c r="A11677" s="1135" t="str">
        <f>CONCATENATE(Programme!C11678,Programme!D11678,Programme!E11678,Programme!F11678,Programme!G11678,Programme!H11678,Programme!I11678)</f>
        <v>&lt;valeur&gt;0&lt;/valeur&gt;</v>
      </c>
    </row>
    <row r="11678" spans="1:1" x14ac:dyDescent="0.2">
      <c r="A11678" s="1135" t="str">
        <f>CONCATENATE(Programme!C11679,Programme!D11679,Programme!E11679,Programme!F11679,Programme!G11679,Programme!H11679,Programme!I11679)</f>
        <v>&lt;/ValeurCellule&gt;</v>
      </c>
    </row>
    <row r="11679" spans="1:1" x14ac:dyDescent="0.2">
      <c r="A11679" s="1135" t="str">
        <f>CONCATENATE(Programme!C11680,Programme!D11680,Programme!E11680,Programme!F11680,Programme!G11680,Programme!H11680,Programme!I11680)</f>
        <v>&lt;ValeurCellule&gt;</v>
      </c>
    </row>
    <row r="11680" spans="1:1" x14ac:dyDescent="0.2">
      <c r="A11680" s="1135" t="str">
        <f>CONCATENATE(Programme!C11681,Programme!D11681,Programme!E11681,Programme!F11681,Programme!G11681,Programme!H11681,Programme!I11681)</f>
        <v>&lt;cellule&gt;</v>
      </c>
    </row>
    <row r="11681" spans="1:1" x14ac:dyDescent="0.2">
      <c r="A11681" s="1135" t="str">
        <f>CONCATENATE(Programme!C11682,Programme!D11682,Programme!E11682,Programme!F11682,Programme!G11682,Programme!H11682,Programme!I11682)</f>
        <v>&lt;codeEdi&gt;1763&lt;/codeEdi&gt;</v>
      </c>
    </row>
    <row r="11682" spans="1:1" x14ac:dyDescent="0.2">
      <c r="A11682" s="1135" t="str">
        <f>CONCATENATE(Programme!C11683,Programme!D11683,Programme!E11683,Programme!F11683,Programme!G11683,Programme!H11683,Programme!I11683)</f>
        <v>&lt;/cellule&gt;</v>
      </c>
    </row>
    <row r="11683" spans="1:1" x14ac:dyDescent="0.2">
      <c r="A11683" s="1135" t="str">
        <f>CONCATENATE(Programme!C11684,Programme!D11684,Programme!E11684,Programme!F11684,Programme!G11684,Programme!H11684,Programme!I11684)</f>
        <v>&lt;valeur&gt;0&lt;/valeur&gt;</v>
      </c>
    </row>
    <row r="11684" spans="1:1" x14ac:dyDescent="0.2">
      <c r="A11684" s="1135" t="str">
        <f>CONCATENATE(Programme!C11685,Programme!D11685,Programme!E11685,Programme!F11685,Programme!G11685,Programme!H11685,Programme!I11685)</f>
        <v>&lt;/ValeurCellule&gt;</v>
      </c>
    </row>
    <row r="11685" spans="1:1" x14ac:dyDescent="0.2">
      <c r="A11685" s="1135" t="str">
        <f>CONCATENATE(Programme!C11686,Programme!D11686,Programme!E11686,Programme!F11686,Programme!G11686,Programme!H11686,Programme!I11686)</f>
        <v>&lt;ValeurCellule&gt;</v>
      </c>
    </row>
    <row r="11686" spans="1:1" x14ac:dyDescent="0.2">
      <c r="A11686" s="1135" t="str">
        <f>CONCATENATE(Programme!C11687,Programme!D11687,Programme!E11687,Programme!F11687,Programme!G11687,Programme!H11687,Programme!I11687)</f>
        <v>&lt;cellule&gt;</v>
      </c>
    </row>
    <row r="11687" spans="1:1" x14ac:dyDescent="0.2">
      <c r="A11687" s="1135" t="str">
        <f>CONCATENATE(Programme!C11688,Programme!D11688,Programme!E11688,Programme!F11688,Programme!G11688,Programme!H11688,Programme!I11688)</f>
        <v>&lt;codeEdi&gt;1775&lt;/codeEdi&gt;</v>
      </c>
    </row>
    <row r="11688" spans="1:1" x14ac:dyDescent="0.2">
      <c r="A11688" s="1135" t="str">
        <f>CONCATENATE(Programme!C11689,Programme!D11689,Programme!E11689,Programme!F11689,Programme!G11689,Programme!H11689,Programme!I11689)</f>
        <v>&lt;/cellule&gt;</v>
      </c>
    </row>
    <row r="11689" spans="1:1" x14ac:dyDescent="0.2">
      <c r="A11689" s="1135" t="str">
        <f>CONCATENATE(Programme!C11690,Programme!D11690,Programme!E11690,Programme!F11690,Programme!G11690,Programme!H11690,Programme!I11690)</f>
        <v>&lt;valeur&gt;0&lt;/valeur&gt;</v>
      </c>
    </row>
    <row r="11690" spans="1:1" x14ac:dyDescent="0.2">
      <c r="A11690" s="1135" t="str">
        <f>CONCATENATE(Programme!C11691,Programme!D11691,Programme!E11691,Programme!F11691,Programme!G11691,Programme!H11691,Programme!I11691)</f>
        <v>&lt;/ValeurCellule&gt;</v>
      </c>
    </row>
    <row r="11691" spans="1:1" x14ac:dyDescent="0.2">
      <c r="A11691" s="1135" t="str">
        <f>CONCATENATE(Programme!C11692,Programme!D11692,Programme!E11692,Programme!F11692,Programme!G11692,Programme!H11692,Programme!I11692)</f>
        <v>&lt;ValeurCellule&gt;</v>
      </c>
    </row>
    <row r="11692" spans="1:1" x14ac:dyDescent="0.2">
      <c r="A11692" s="1135" t="str">
        <f>CONCATENATE(Programme!C11693,Programme!D11693,Programme!E11693,Programme!F11693,Programme!G11693,Programme!H11693,Programme!I11693)</f>
        <v>&lt;cellule&gt;</v>
      </c>
    </row>
    <row r="11693" spans="1:1" x14ac:dyDescent="0.2">
      <c r="A11693" s="1135" t="str">
        <f>CONCATENATE(Programme!C11694,Programme!D11694,Programme!E11694,Programme!F11694,Programme!G11694,Programme!H11694,Programme!I11694)</f>
        <v>&lt;codeEdi&gt;1806&lt;/codeEdi&gt;</v>
      </c>
    </row>
    <row r="11694" spans="1:1" x14ac:dyDescent="0.2">
      <c r="A11694" s="1135" t="str">
        <f>CONCATENATE(Programme!C11695,Programme!D11695,Programme!E11695,Programme!F11695,Programme!G11695,Programme!H11695,Programme!I11695)</f>
        <v>&lt;/cellule&gt;</v>
      </c>
    </row>
    <row r="11695" spans="1:1" x14ac:dyDescent="0.2">
      <c r="A11695" s="1135" t="str">
        <f>CONCATENATE(Programme!C11696,Programme!D11696,Programme!E11696,Programme!F11696,Programme!G11696,Programme!H11696,Programme!I11696)</f>
        <v>&lt;valeur&gt;0&lt;/valeur&gt;</v>
      </c>
    </row>
    <row r="11696" spans="1:1" x14ac:dyDescent="0.2">
      <c r="A11696" s="1135" t="str">
        <f>CONCATENATE(Programme!C11697,Programme!D11697,Programme!E11697,Programme!F11697,Programme!G11697,Programme!H11697,Programme!I11697)</f>
        <v>&lt;/ValeurCellule&gt;</v>
      </c>
    </row>
    <row r="11697" spans="1:1" x14ac:dyDescent="0.2">
      <c r="A11697" s="1135" t="str">
        <f>CONCATENATE(Programme!C11698,Programme!D11698,Programme!E11698,Programme!F11698,Programme!G11698,Programme!H11698,Programme!I11698)</f>
        <v>&lt;ValeurCellule&gt;</v>
      </c>
    </row>
    <row r="11698" spans="1:1" x14ac:dyDescent="0.2">
      <c r="A11698" s="1135" t="str">
        <f>CONCATENATE(Programme!C11699,Programme!D11699,Programme!E11699,Programme!F11699,Programme!G11699,Programme!H11699,Programme!I11699)</f>
        <v>&lt;cellule&gt;</v>
      </c>
    </row>
    <row r="11699" spans="1:1" x14ac:dyDescent="0.2">
      <c r="A11699" s="1135" t="str">
        <f>CONCATENATE(Programme!C11700,Programme!D11700,Programme!E11700,Programme!F11700,Programme!G11700,Programme!H11700,Programme!I11700)</f>
        <v>&lt;codeEdi&gt;1825&lt;/codeEdi&gt;</v>
      </c>
    </row>
    <row r="11700" spans="1:1" x14ac:dyDescent="0.2">
      <c r="A11700" s="1135" t="str">
        <f>CONCATENATE(Programme!C11701,Programme!D11701,Programme!E11701,Programme!F11701,Programme!G11701,Programme!H11701,Programme!I11701)</f>
        <v>&lt;/cellule&gt;</v>
      </c>
    </row>
    <row r="11701" spans="1:1" x14ac:dyDescent="0.2">
      <c r="A11701" s="1135" t="str">
        <f>CONCATENATE(Programme!C11702,Programme!D11702,Programme!E11702,Programme!F11702,Programme!G11702,Programme!H11702,Programme!I11702)</f>
        <v>&lt;valeur&gt;0&lt;/valeur&gt;</v>
      </c>
    </row>
    <row r="11702" spans="1:1" x14ac:dyDescent="0.2">
      <c r="A11702" s="1135" t="str">
        <f>CONCATENATE(Programme!C11703,Programme!D11703,Programme!E11703,Programme!F11703,Programme!G11703,Programme!H11703,Programme!I11703)</f>
        <v>&lt;/ValeurCellule&gt;</v>
      </c>
    </row>
    <row r="11703" spans="1:1" x14ac:dyDescent="0.2">
      <c r="A11703" s="1135" t="str">
        <f>CONCATENATE(Programme!C11704,Programme!D11704,Programme!E11704,Programme!F11704,Programme!G11704,Programme!H11704,Programme!I11704)</f>
        <v>&lt;ValeurCellule&gt;</v>
      </c>
    </row>
    <row r="11704" spans="1:1" x14ac:dyDescent="0.2">
      <c r="A11704" s="1135" t="str">
        <f>CONCATENATE(Programme!C11705,Programme!D11705,Programme!E11705,Programme!F11705,Programme!G11705,Programme!H11705,Programme!I11705)</f>
        <v>&lt;cellule&gt;</v>
      </c>
    </row>
    <row r="11705" spans="1:1" x14ac:dyDescent="0.2">
      <c r="A11705" s="1135" t="str">
        <f>CONCATENATE(Programme!C11706,Programme!D11706,Programme!E11706,Programme!F11706,Programme!G11706,Programme!H11706,Programme!I11706)</f>
        <v>&lt;codeEdi&gt;1842&lt;/codeEdi&gt;</v>
      </c>
    </row>
    <row r="11706" spans="1:1" x14ac:dyDescent="0.2">
      <c r="A11706" s="1135" t="str">
        <f>CONCATENATE(Programme!C11707,Programme!D11707,Programme!E11707,Programme!F11707,Programme!G11707,Programme!H11707,Programme!I11707)</f>
        <v>&lt;/cellule&gt;</v>
      </c>
    </row>
    <row r="11707" spans="1:1" x14ac:dyDescent="0.2">
      <c r="A11707" s="1135" t="str">
        <f>CONCATENATE(Programme!C11708,Programme!D11708,Programme!E11708,Programme!F11708,Programme!G11708,Programme!H11708,Programme!I11708)</f>
        <v>&lt;valeur&gt;0&lt;/valeur&gt;</v>
      </c>
    </row>
    <row r="11708" spans="1:1" x14ac:dyDescent="0.2">
      <c r="A11708" s="1135" t="str">
        <f>CONCATENATE(Programme!C11709,Programme!D11709,Programme!E11709,Programme!F11709,Programme!G11709,Programme!H11709,Programme!I11709)</f>
        <v>&lt;/ValeurCellule&gt;</v>
      </c>
    </row>
    <row r="11709" spans="1:1" x14ac:dyDescent="0.2">
      <c r="A11709" s="1135" t="str">
        <f>CONCATENATE(Programme!C11710,Programme!D11710,Programme!E11710,Programme!F11710,Programme!G11710,Programme!H11710,Programme!I11710)</f>
        <v>&lt;ValeurCellule&gt;</v>
      </c>
    </row>
    <row r="11710" spans="1:1" x14ac:dyDescent="0.2">
      <c r="A11710" s="1135" t="str">
        <f>CONCATENATE(Programme!C11711,Programme!D11711,Programme!E11711,Programme!F11711,Programme!G11711,Programme!H11711,Programme!I11711)</f>
        <v>&lt;cellule&gt;</v>
      </c>
    </row>
    <row r="11711" spans="1:1" x14ac:dyDescent="0.2">
      <c r="A11711" s="1135" t="str">
        <f>CONCATENATE(Programme!C11712,Programme!D11712,Programme!E11712,Programme!F11712,Programme!G11712,Programme!H11712,Programme!I11712)</f>
        <v>&lt;codeEdi&gt;1859&lt;/codeEdi&gt;</v>
      </c>
    </row>
    <row r="11712" spans="1:1" x14ac:dyDescent="0.2">
      <c r="A11712" s="1135" t="str">
        <f>CONCATENATE(Programme!C11713,Programme!D11713,Programme!E11713,Programme!F11713,Programme!G11713,Programme!H11713,Programme!I11713)</f>
        <v>&lt;/cellule&gt;</v>
      </c>
    </row>
    <row r="11713" spans="1:1" x14ac:dyDescent="0.2">
      <c r="A11713" s="1135" t="str">
        <f>CONCATENATE(Programme!C11714,Programme!D11714,Programme!E11714,Programme!F11714,Programme!G11714,Programme!H11714,Programme!I11714)</f>
        <v>&lt;valeur&gt;0&lt;/valeur&gt;</v>
      </c>
    </row>
    <row r="11714" spans="1:1" x14ac:dyDescent="0.2">
      <c r="A11714" s="1135" t="str">
        <f>CONCATENATE(Programme!C11715,Programme!D11715,Programme!E11715,Programme!F11715,Programme!G11715,Programme!H11715,Programme!I11715)</f>
        <v>&lt;/ValeurCellule&gt;</v>
      </c>
    </row>
    <row r="11715" spans="1:1" x14ac:dyDescent="0.2">
      <c r="A11715" s="1135" t="str">
        <f>CONCATENATE(Programme!C11716,Programme!D11716,Programme!E11716,Programme!F11716,Programme!G11716,Programme!H11716,Programme!I11716)</f>
        <v>&lt;ValeurCellule&gt;</v>
      </c>
    </row>
    <row r="11716" spans="1:1" x14ac:dyDescent="0.2">
      <c r="A11716" s="1135" t="str">
        <f>CONCATENATE(Programme!C11717,Programme!D11717,Programme!E11717,Programme!F11717,Programme!G11717,Programme!H11717,Programme!I11717)</f>
        <v>&lt;cellule&gt;</v>
      </c>
    </row>
    <row r="11717" spans="1:1" x14ac:dyDescent="0.2">
      <c r="A11717" s="1135" t="str">
        <f>CONCATENATE(Programme!C11718,Programme!D11718,Programme!E11718,Programme!F11718,Programme!G11718,Programme!H11718,Programme!I11718)</f>
        <v>&lt;codeEdi&gt;1867&lt;/codeEdi&gt;</v>
      </c>
    </row>
    <row r="11718" spans="1:1" x14ac:dyDescent="0.2">
      <c r="A11718" s="1135" t="str">
        <f>CONCATENATE(Programme!C11719,Programme!D11719,Programme!E11719,Programme!F11719,Programme!G11719,Programme!H11719,Programme!I11719)</f>
        <v>&lt;/cellule&gt;</v>
      </c>
    </row>
    <row r="11719" spans="1:1" x14ac:dyDescent="0.2">
      <c r="A11719" s="1135" t="str">
        <f>CONCATENATE(Programme!C11720,Programme!D11720,Programme!E11720,Programme!F11720,Programme!G11720,Programme!H11720,Programme!I11720)</f>
        <v>&lt;valeur&gt;0&lt;/valeur&gt;</v>
      </c>
    </row>
    <row r="11720" spans="1:1" x14ac:dyDescent="0.2">
      <c r="A11720" s="1135" t="str">
        <f>CONCATENATE(Programme!C11721,Programme!D11721,Programme!E11721,Programme!F11721,Programme!G11721,Programme!H11721,Programme!I11721)</f>
        <v>&lt;/ValeurCellule&gt;</v>
      </c>
    </row>
    <row r="11721" spans="1:1" x14ac:dyDescent="0.2">
      <c r="A11721" s="1135" t="str">
        <f>CONCATENATE(Programme!C11722,Programme!D11722,Programme!E11722,Programme!F11722,Programme!G11722,Programme!H11722,Programme!I11722)</f>
        <v>&lt;ValeurCellule&gt;</v>
      </c>
    </row>
    <row r="11722" spans="1:1" x14ac:dyDescent="0.2">
      <c r="A11722" s="1135" t="str">
        <f>CONCATENATE(Programme!C11723,Programme!D11723,Programme!E11723,Programme!F11723,Programme!G11723,Programme!H11723,Programme!I11723)</f>
        <v>&lt;cellule&gt;</v>
      </c>
    </row>
    <row r="11723" spans="1:1" x14ac:dyDescent="0.2">
      <c r="A11723" s="1135" t="str">
        <f>CONCATENATE(Programme!C11724,Programme!D11724,Programme!E11724,Programme!F11724,Programme!G11724,Programme!H11724,Programme!I11724)</f>
        <v>&lt;codeEdi&gt;1875&lt;/codeEdi&gt;</v>
      </c>
    </row>
    <row r="11724" spans="1:1" x14ac:dyDescent="0.2">
      <c r="A11724" s="1135" t="str">
        <f>CONCATENATE(Programme!C11725,Programme!D11725,Programme!E11725,Programme!F11725,Programme!G11725,Programme!H11725,Programme!I11725)</f>
        <v>&lt;/cellule&gt;</v>
      </c>
    </row>
    <row r="11725" spans="1:1" x14ac:dyDescent="0.2">
      <c r="A11725" s="1135" t="str">
        <f>CONCATENATE(Programme!C11726,Programme!D11726,Programme!E11726,Programme!F11726,Programme!G11726,Programme!H11726,Programme!I11726)</f>
        <v>&lt;valeur&gt;0&lt;/valeur&gt;</v>
      </c>
    </row>
    <row r="11726" spans="1:1" x14ac:dyDescent="0.2">
      <c r="A11726" s="1135" t="str">
        <f>CONCATENATE(Programme!C11727,Programme!D11727,Programme!E11727,Programme!F11727,Programme!G11727,Programme!H11727,Programme!I11727)</f>
        <v>&lt;/ValeurCellule&gt;</v>
      </c>
    </row>
    <row r="11727" spans="1:1" x14ac:dyDescent="0.2">
      <c r="A11727" s="1135" t="str">
        <f>CONCATENATE(Programme!C11728,Programme!D11728,Programme!E11728,Programme!F11728,Programme!G11728,Programme!H11728,Programme!I11728)</f>
        <v>&lt;ValeurCellule&gt;</v>
      </c>
    </row>
    <row r="11728" spans="1:1" x14ac:dyDescent="0.2">
      <c r="A11728" s="1135" t="str">
        <f>CONCATENATE(Programme!C11729,Programme!D11729,Programme!E11729,Programme!F11729,Programme!G11729,Programme!H11729,Programme!I11729)</f>
        <v>&lt;cellule&gt;</v>
      </c>
    </row>
    <row r="11729" spans="1:1" x14ac:dyDescent="0.2">
      <c r="A11729" s="1135" t="str">
        <f>CONCATENATE(Programme!C11730,Programme!D11730,Programme!E11730,Programme!F11730,Programme!G11730,Programme!H11730,Programme!I11730)</f>
        <v>&lt;codeEdi&gt;1892&lt;/codeEdi&gt;</v>
      </c>
    </row>
    <row r="11730" spans="1:1" x14ac:dyDescent="0.2">
      <c r="A11730" s="1135" t="str">
        <f>CONCATENATE(Programme!C11731,Programme!D11731,Programme!E11731,Programme!F11731,Programme!G11731,Programme!H11731,Programme!I11731)</f>
        <v>&lt;/cellule&gt;</v>
      </c>
    </row>
    <row r="11731" spans="1:1" x14ac:dyDescent="0.2">
      <c r="A11731" s="1135" t="str">
        <f>CONCATENATE(Programme!C11732,Programme!D11732,Programme!E11732,Programme!F11732,Programme!G11732,Programme!H11732,Programme!I11732)</f>
        <v>&lt;valeur&gt;0&lt;/valeur&gt;</v>
      </c>
    </row>
    <row r="11732" spans="1:1" x14ac:dyDescent="0.2">
      <c r="A11732" s="1135" t="str">
        <f>CONCATENATE(Programme!C11733,Programme!D11733,Programme!E11733,Programme!F11733,Programme!G11733,Programme!H11733,Programme!I11733)</f>
        <v>&lt;/ValeurCellule&gt;</v>
      </c>
    </row>
    <row r="11733" spans="1:1" x14ac:dyDescent="0.2">
      <c r="A11733" s="1135" t="str">
        <f>CONCATENATE(Programme!C11734,Programme!D11734,Programme!E11734,Programme!F11734,Programme!G11734,Programme!H11734,Programme!I11734)</f>
        <v>&lt;/groupeValeurs&gt;</v>
      </c>
    </row>
    <row r="11734" spans="1:1" x14ac:dyDescent="0.2">
      <c r="A11734" s="1135" t="str">
        <f>CONCATENATE(Programme!C11735,Programme!D11735,Programme!E11735,Programme!F11735,Programme!G11735,Programme!H11735,Programme!I11735)</f>
        <v>&lt;extraFieldvaleurs&gt;</v>
      </c>
    </row>
    <row r="11735" spans="1:1" x14ac:dyDescent="0.2">
      <c r="A11735" s="1135" t="str">
        <f>CONCATENATE(Programme!C11736,Programme!D11736,Programme!E11736,Programme!F11736,Programme!G11736,Programme!H11736,Programme!I11736)</f>
        <v>&lt;/extraFieldvaleurs&gt;</v>
      </c>
    </row>
    <row r="11736" spans="1:1" x14ac:dyDescent="0.2">
      <c r="A11736" s="1135" t="str">
        <f>CONCATENATE(Programme!C11737,Programme!D11737,Programme!E11737,Programme!F11737,Programme!G11737,Programme!H11737,Programme!I11737)</f>
        <v>&lt;/ValeursTableau&gt;</v>
      </c>
    </row>
    <row r="11737" spans="1:1" x14ac:dyDescent="0.2">
      <c r="A11737" s="1135" t="str">
        <f>CONCATENATE(Programme!C11738,Programme!D11738,Programme!E11738,Programme!F11738,Programme!G11738,Programme!H11738,Programme!I11738)</f>
        <v>&lt;/groupeValeursTableau&gt;</v>
      </c>
    </row>
    <row r="11738" spans="1:1" x14ac:dyDescent="0.2">
      <c r="A11738" s="1135" t="str">
        <f>CONCATENATE(Programme!C11739,Programme!D11739,Programme!E11739,Programme!F11739,Programme!G11739,Programme!H11739,Programme!I11739)</f>
        <v>&lt;/Liasse&gt;</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pageSetUpPr fitToPage="1"/>
  </sheetPr>
  <dimension ref="A1:G155"/>
  <sheetViews>
    <sheetView zoomScale="70" zoomScaleNormal="70" workbookViewId="0">
      <selection activeCell="E34" sqref="E34"/>
    </sheetView>
  </sheetViews>
  <sheetFormatPr baseColWidth="10" defaultColWidth="12" defaultRowHeight="12.75" x14ac:dyDescent="0.2"/>
  <cols>
    <col min="1" max="1" width="18.5" style="2" customWidth="1"/>
    <col min="2" max="2" width="58" style="2" bestFit="1" customWidth="1"/>
    <col min="3" max="3" width="20.33203125" style="16" bestFit="1" customWidth="1"/>
    <col min="4" max="4" width="21.1640625" style="16" bestFit="1" customWidth="1"/>
    <col min="5" max="5" width="20.1640625" style="16" bestFit="1" customWidth="1"/>
    <col min="6" max="6" width="20.83203125" style="16" bestFit="1" customWidth="1"/>
    <col min="7" max="7" width="20.6640625" style="16" bestFit="1" customWidth="1"/>
    <col min="8" max="8" width="6.33203125" style="2" bestFit="1" customWidth="1"/>
    <col min="9" max="9" width="12" style="2"/>
    <col min="10" max="10" width="16" style="2" bestFit="1" customWidth="1"/>
    <col min="11" max="16384" width="12" style="2"/>
  </cols>
  <sheetData>
    <row r="1" spans="1:6" x14ac:dyDescent="0.2">
      <c r="A1" s="2" t="s">
        <v>915</v>
      </c>
      <c r="B1" s="2" t="s">
        <v>295</v>
      </c>
      <c r="C1" s="16" t="s">
        <v>2813</v>
      </c>
      <c r="D1" s="16" t="s">
        <v>2814</v>
      </c>
      <c r="E1" s="16" t="s">
        <v>2815</v>
      </c>
      <c r="F1" s="16" t="s">
        <v>2816</v>
      </c>
    </row>
    <row r="2" spans="1:6" x14ac:dyDescent="0.2">
      <c r="A2" s="833">
        <v>11110000</v>
      </c>
      <c r="B2" s="2" t="s">
        <v>2817</v>
      </c>
      <c r="C2" s="16">
        <v>0</v>
      </c>
      <c r="D2" s="16">
        <v>100000</v>
      </c>
      <c r="E2" s="16">
        <v>0</v>
      </c>
      <c r="F2" s="16">
        <v>100000</v>
      </c>
    </row>
    <row r="3" spans="1:6" x14ac:dyDescent="0.2">
      <c r="A3" s="833">
        <v>11690000</v>
      </c>
      <c r="B3" s="2" t="s">
        <v>2833</v>
      </c>
      <c r="C3" s="16">
        <v>18918.669999999998</v>
      </c>
      <c r="D3" s="16">
        <v>0</v>
      </c>
      <c r="E3" s="16">
        <v>18918.669999999998</v>
      </c>
      <c r="F3" s="16">
        <v>0</v>
      </c>
    </row>
    <row r="4" spans="1:6" x14ac:dyDescent="0.2">
      <c r="A4" s="833">
        <v>14810000</v>
      </c>
      <c r="B4" s="2" t="s">
        <v>2834</v>
      </c>
      <c r="C4" s="16">
        <v>93239.76</v>
      </c>
      <c r="D4" s="16">
        <v>928651.92</v>
      </c>
      <c r="E4" s="16">
        <v>0</v>
      </c>
      <c r="F4" s="16">
        <v>835412.16</v>
      </c>
    </row>
    <row r="5" spans="1:6" x14ac:dyDescent="0.2">
      <c r="A5" s="833">
        <v>14810100</v>
      </c>
      <c r="B5" s="2" t="s">
        <v>2835</v>
      </c>
      <c r="C5" s="16">
        <v>11938.55</v>
      </c>
      <c r="D5" s="16">
        <v>100000</v>
      </c>
      <c r="E5" s="16">
        <v>0</v>
      </c>
      <c r="F5" s="16">
        <v>88061.45</v>
      </c>
    </row>
    <row r="6" spans="1:6" x14ac:dyDescent="0.2">
      <c r="A6" s="833">
        <v>14820300</v>
      </c>
      <c r="B6" s="2" t="s">
        <v>2836</v>
      </c>
      <c r="C6" s="16">
        <v>0</v>
      </c>
      <c r="D6" s="16">
        <v>81942</v>
      </c>
      <c r="E6" s="16">
        <v>0</v>
      </c>
      <c r="F6" s="16">
        <v>81942</v>
      </c>
    </row>
    <row r="7" spans="1:6" x14ac:dyDescent="0.2">
      <c r="A7" s="833">
        <v>21110000</v>
      </c>
      <c r="B7" s="2" t="s">
        <v>2818</v>
      </c>
      <c r="C7" s="16">
        <v>5000</v>
      </c>
      <c r="D7" s="16">
        <v>0</v>
      </c>
      <c r="E7" s="16">
        <v>5000</v>
      </c>
      <c r="F7" s="16">
        <v>0</v>
      </c>
    </row>
    <row r="8" spans="1:6" x14ac:dyDescent="0.2">
      <c r="A8" s="833">
        <v>23232000</v>
      </c>
      <c r="B8" s="2" t="s">
        <v>2837</v>
      </c>
      <c r="C8" s="16">
        <v>9700</v>
      </c>
      <c r="D8" s="16">
        <v>0</v>
      </c>
      <c r="E8" s="16">
        <v>9700</v>
      </c>
      <c r="F8" s="16">
        <v>0</v>
      </c>
    </row>
    <row r="9" spans="1:6" x14ac:dyDescent="0.2">
      <c r="A9" s="833">
        <v>23400000</v>
      </c>
      <c r="B9" s="2" t="s">
        <v>2838</v>
      </c>
      <c r="C9" s="16">
        <v>1578827.58</v>
      </c>
      <c r="D9" s="16">
        <v>0</v>
      </c>
      <c r="E9" s="16">
        <v>1578827.58</v>
      </c>
      <c r="F9" s="16">
        <v>0</v>
      </c>
    </row>
    <row r="10" spans="1:6" x14ac:dyDescent="0.2">
      <c r="A10" s="833">
        <v>28110000</v>
      </c>
      <c r="B10" s="2" t="s">
        <v>2819</v>
      </c>
      <c r="C10" s="16">
        <v>0</v>
      </c>
      <c r="D10" s="16">
        <v>2360.87</v>
      </c>
      <c r="E10" s="16">
        <v>0</v>
      </c>
      <c r="F10" s="16">
        <v>2360.87</v>
      </c>
    </row>
    <row r="11" spans="1:6" x14ac:dyDescent="0.2">
      <c r="A11" s="833">
        <v>28322000</v>
      </c>
      <c r="B11" s="2" t="s">
        <v>2839</v>
      </c>
      <c r="C11" s="16">
        <v>0</v>
      </c>
      <c r="D11" s="16">
        <v>1215</v>
      </c>
      <c r="E11" s="16">
        <v>0</v>
      </c>
      <c r="F11" s="16">
        <v>1215</v>
      </c>
    </row>
    <row r="12" spans="1:6" x14ac:dyDescent="0.2">
      <c r="A12" s="833">
        <v>28340000</v>
      </c>
      <c r="B12" s="2" t="s">
        <v>2840</v>
      </c>
      <c r="C12" s="16">
        <v>0</v>
      </c>
      <c r="D12" s="16">
        <v>169962.26</v>
      </c>
      <c r="E12" s="16">
        <v>0</v>
      </c>
      <c r="F12" s="16">
        <v>169962.26</v>
      </c>
    </row>
    <row r="13" spans="1:6" x14ac:dyDescent="0.2">
      <c r="A13" s="833">
        <v>34110000</v>
      </c>
      <c r="B13" s="2" t="s">
        <v>2841</v>
      </c>
      <c r="C13" s="16">
        <v>504198.25</v>
      </c>
      <c r="D13" s="16">
        <v>504198.25</v>
      </c>
      <c r="E13" s="16">
        <v>0</v>
      </c>
      <c r="F13" s="16">
        <v>0</v>
      </c>
    </row>
    <row r="14" spans="1:6" x14ac:dyDescent="0.2">
      <c r="A14" s="833">
        <v>34210000</v>
      </c>
      <c r="B14" s="2" t="s">
        <v>2842</v>
      </c>
      <c r="C14" s="16">
        <v>483000</v>
      </c>
      <c r="D14" s="16">
        <v>195000</v>
      </c>
      <c r="E14" s="16">
        <v>288000</v>
      </c>
      <c r="F14" s="16">
        <v>0</v>
      </c>
    </row>
    <row r="15" spans="1:6" x14ac:dyDescent="0.2">
      <c r="A15" s="833">
        <v>34550100</v>
      </c>
      <c r="B15" s="2" t="s">
        <v>2843</v>
      </c>
      <c r="C15" s="16">
        <v>42169.66</v>
      </c>
      <c r="D15" s="16">
        <v>22567.97</v>
      </c>
      <c r="E15" s="16">
        <v>19601.689999999999</v>
      </c>
      <c r="F15" s="16">
        <v>0</v>
      </c>
    </row>
    <row r="16" spans="1:6" x14ac:dyDescent="0.2">
      <c r="A16" s="833">
        <v>34550300</v>
      </c>
      <c r="B16" s="2" t="s">
        <v>2820</v>
      </c>
      <c r="C16" s="16">
        <v>4690.3500000000004</v>
      </c>
      <c r="D16" s="16">
        <v>3491.32</v>
      </c>
      <c r="E16" s="16">
        <v>1199.03</v>
      </c>
      <c r="F16" s="16">
        <v>0</v>
      </c>
    </row>
    <row r="17" spans="1:6" x14ac:dyDescent="0.2">
      <c r="A17" s="833">
        <v>34560000</v>
      </c>
      <c r="B17" s="2" t="s">
        <v>2844</v>
      </c>
      <c r="C17" s="16">
        <v>3385.76</v>
      </c>
      <c r="D17" s="16">
        <v>3385.76</v>
      </c>
      <c r="E17" s="16">
        <v>0</v>
      </c>
      <c r="F17" s="16">
        <v>0</v>
      </c>
    </row>
    <row r="18" spans="1:6" x14ac:dyDescent="0.2">
      <c r="A18" s="833">
        <v>44110100</v>
      </c>
      <c r="B18" s="2" t="s">
        <v>2845</v>
      </c>
      <c r="C18" s="16">
        <v>1636170.08</v>
      </c>
      <c r="D18" s="16">
        <v>1643743.28</v>
      </c>
      <c r="E18" s="16">
        <v>0</v>
      </c>
      <c r="F18" s="16">
        <v>7573.2</v>
      </c>
    </row>
    <row r="19" spans="1:6" x14ac:dyDescent="0.2">
      <c r="A19" s="833">
        <v>44320000</v>
      </c>
      <c r="B19" s="2" t="s">
        <v>2821</v>
      </c>
      <c r="C19" s="16">
        <v>26727</v>
      </c>
      <c r="D19" s="16">
        <v>26727</v>
      </c>
      <c r="E19" s="16">
        <v>0</v>
      </c>
      <c r="F19" s="16">
        <v>0</v>
      </c>
    </row>
    <row r="20" spans="1:6" x14ac:dyDescent="0.2">
      <c r="A20" s="833">
        <v>44410000</v>
      </c>
      <c r="B20" s="2" t="s">
        <v>2822</v>
      </c>
      <c r="C20" s="16">
        <v>6006.57</v>
      </c>
      <c r="D20" s="16">
        <v>6620.41</v>
      </c>
      <c r="E20" s="16">
        <v>0</v>
      </c>
      <c r="F20" s="16">
        <v>613.84</v>
      </c>
    </row>
    <row r="21" spans="1:6" x14ac:dyDescent="0.2">
      <c r="A21" s="833">
        <v>44450000</v>
      </c>
      <c r="B21" s="2" t="s">
        <v>2823</v>
      </c>
      <c r="C21" s="16">
        <v>1782.97</v>
      </c>
      <c r="D21" s="16">
        <v>1965.15</v>
      </c>
      <c r="E21" s="16">
        <v>0</v>
      </c>
      <c r="F21" s="16">
        <v>182.18</v>
      </c>
    </row>
    <row r="22" spans="1:6" x14ac:dyDescent="0.2">
      <c r="A22" s="833">
        <v>44525000</v>
      </c>
      <c r="B22" s="2" t="s">
        <v>2824</v>
      </c>
      <c r="C22" s="16">
        <v>0</v>
      </c>
      <c r="D22" s="16">
        <v>343.49</v>
      </c>
      <c r="E22" s="16">
        <v>0</v>
      </c>
      <c r="F22" s="16">
        <v>343.49</v>
      </c>
    </row>
    <row r="23" spans="1:6" x14ac:dyDescent="0.2">
      <c r="A23" s="833">
        <v>44530000</v>
      </c>
      <c r="B23" s="2" t="s">
        <v>2846</v>
      </c>
      <c r="C23" s="16">
        <v>0</v>
      </c>
      <c r="D23" s="16">
        <v>2384</v>
      </c>
      <c r="E23" s="16">
        <v>0</v>
      </c>
      <c r="F23" s="16">
        <v>2384</v>
      </c>
    </row>
    <row r="24" spans="1:6" x14ac:dyDescent="0.2">
      <c r="A24" s="833">
        <v>44550000</v>
      </c>
      <c r="B24" s="2" t="s">
        <v>2847</v>
      </c>
      <c r="C24" s="16">
        <v>28334</v>
      </c>
      <c r="D24" s="16">
        <v>76333.33</v>
      </c>
      <c r="E24" s="16">
        <v>0</v>
      </c>
      <c r="F24" s="16">
        <v>47999.33</v>
      </c>
    </row>
    <row r="25" spans="1:6" x14ac:dyDescent="0.2">
      <c r="A25" s="833">
        <v>44560000</v>
      </c>
      <c r="B25" s="2" t="s">
        <v>2848</v>
      </c>
      <c r="C25" s="16">
        <v>0</v>
      </c>
      <c r="D25" s="16">
        <v>2275</v>
      </c>
      <c r="E25" s="16">
        <v>0</v>
      </c>
      <c r="F25" s="16">
        <v>2275</v>
      </c>
    </row>
    <row r="26" spans="1:6" x14ac:dyDescent="0.2">
      <c r="A26" s="833">
        <v>44630000</v>
      </c>
      <c r="B26" s="2" t="s">
        <v>2825</v>
      </c>
      <c r="C26" s="16">
        <v>193818.2</v>
      </c>
      <c r="D26" s="16">
        <v>753780.49</v>
      </c>
      <c r="E26" s="16">
        <v>0</v>
      </c>
      <c r="F26" s="16">
        <v>559962.29</v>
      </c>
    </row>
    <row r="27" spans="1:6" x14ac:dyDescent="0.2">
      <c r="A27" s="833">
        <v>51410000</v>
      </c>
      <c r="B27" s="2" t="s">
        <v>2826</v>
      </c>
      <c r="C27" s="16">
        <v>868754.1</v>
      </c>
      <c r="D27" s="16">
        <v>868430.99</v>
      </c>
      <c r="E27" s="16">
        <v>323.11</v>
      </c>
      <c r="F27" s="16">
        <v>0</v>
      </c>
    </row>
    <row r="28" spans="1:6" x14ac:dyDescent="0.2">
      <c r="A28" s="833">
        <v>51610000</v>
      </c>
      <c r="B28" s="2" t="s">
        <v>2827</v>
      </c>
      <c r="C28" s="16">
        <v>362761.49</v>
      </c>
      <c r="D28" s="16">
        <v>362592.06</v>
      </c>
      <c r="E28" s="16">
        <v>169.43</v>
      </c>
      <c r="F28" s="16">
        <v>0</v>
      </c>
    </row>
    <row r="29" spans="1:6" x14ac:dyDescent="0.2">
      <c r="A29" s="833">
        <v>61312000</v>
      </c>
      <c r="B29" s="2" t="s">
        <v>2828</v>
      </c>
      <c r="C29" s="16">
        <v>12000</v>
      </c>
      <c r="D29" s="16">
        <v>0</v>
      </c>
      <c r="E29" s="16">
        <v>12000</v>
      </c>
      <c r="F29" s="16">
        <v>0</v>
      </c>
    </row>
    <row r="30" spans="1:6" x14ac:dyDescent="0.2">
      <c r="A30" s="833">
        <v>61331000</v>
      </c>
      <c r="B30" s="2" t="s">
        <v>2849</v>
      </c>
      <c r="C30" s="16">
        <v>6438.04</v>
      </c>
      <c r="D30" s="16">
        <v>0</v>
      </c>
      <c r="E30" s="16">
        <v>6438.04</v>
      </c>
      <c r="F30" s="16">
        <v>0</v>
      </c>
    </row>
    <row r="31" spans="1:6" x14ac:dyDescent="0.2">
      <c r="A31" s="833">
        <v>61340000</v>
      </c>
      <c r="B31" s="2" t="s">
        <v>2850</v>
      </c>
      <c r="C31" s="16">
        <v>49315.47</v>
      </c>
      <c r="D31" s="16">
        <v>0</v>
      </c>
      <c r="E31" s="16">
        <v>49315.47</v>
      </c>
      <c r="F31" s="16">
        <v>0</v>
      </c>
    </row>
    <row r="32" spans="1:6" x14ac:dyDescent="0.2">
      <c r="A32" s="833">
        <v>61455000</v>
      </c>
      <c r="B32" s="2" t="s">
        <v>2851</v>
      </c>
      <c r="C32" s="16">
        <v>3306</v>
      </c>
      <c r="D32" s="16">
        <v>0</v>
      </c>
      <c r="E32" s="16">
        <v>3306</v>
      </c>
      <c r="F32" s="16">
        <v>0</v>
      </c>
    </row>
    <row r="33" spans="1:6" x14ac:dyDescent="0.2">
      <c r="A33" s="833">
        <v>61470000</v>
      </c>
      <c r="B33" s="2" t="s">
        <v>2829</v>
      </c>
      <c r="C33" s="16">
        <f>6139.91+1466.39</f>
        <v>7606.3</v>
      </c>
      <c r="D33" s="16">
        <v>0</v>
      </c>
      <c r="E33" s="16">
        <v>7606.3</v>
      </c>
      <c r="F33" s="16">
        <v>0</v>
      </c>
    </row>
    <row r="34" spans="1:6" x14ac:dyDescent="0.2">
      <c r="A34" s="833">
        <v>61610000</v>
      </c>
      <c r="B34" s="2" t="s">
        <v>2852</v>
      </c>
      <c r="C34" s="16">
        <v>17477</v>
      </c>
      <c r="D34" s="16">
        <v>0</v>
      </c>
      <c r="E34" s="16">
        <v>17477</v>
      </c>
      <c r="F34" s="16">
        <v>0</v>
      </c>
    </row>
    <row r="35" spans="1:6" x14ac:dyDescent="0.2">
      <c r="A35" s="833">
        <v>61673000</v>
      </c>
      <c r="B35" s="2" t="s">
        <v>2853</v>
      </c>
      <c r="C35" s="16">
        <v>10710</v>
      </c>
      <c r="D35" s="16">
        <v>0</v>
      </c>
      <c r="E35" s="16">
        <v>10710</v>
      </c>
      <c r="F35" s="16">
        <v>0</v>
      </c>
    </row>
    <row r="36" spans="1:6" x14ac:dyDescent="0.2">
      <c r="A36" s="833">
        <v>61710000</v>
      </c>
      <c r="B36" s="2" t="s">
        <v>2830</v>
      </c>
      <c r="C36" s="16">
        <v>28731</v>
      </c>
      <c r="D36" s="16">
        <v>0</v>
      </c>
      <c r="E36" s="16">
        <v>28731</v>
      </c>
      <c r="F36" s="16">
        <v>0</v>
      </c>
    </row>
    <row r="37" spans="1:6" x14ac:dyDescent="0.2">
      <c r="A37" s="833">
        <v>61740000</v>
      </c>
      <c r="B37" s="2" t="s">
        <v>2831</v>
      </c>
      <c r="C37" s="16">
        <v>5445.55</v>
      </c>
      <c r="D37" s="16">
        <v>0</v>
      </c>
      <c r="E37" s="16">
        <v>5445.55</v>
      </c>
      <c r="F37" s="16">
        <v>0</v>
      </c>
    </row>
    <row r="38" spans="1:6" x14ac:dyDescent="0.2">
      <c r="A38" s="833">
        <v>61911000</v>
      </c>
      <c r="B38" s="2" t="s">
        <v>2832</v>
      </c>
      <c r="C38" s="16">
        <v>1666.5</v>
      </c>
      <c r="D38" s="16">
        <v>0</v>
      </c>
      <c r="E38" s="16">
        <v>1666.5</v>
      </c>
      <c r="F38" s="16">
        <v>0</v>
      </c>
    </row>
    <row r="39" spans="1:6" x14ac:dyDescent="0.2">
      <c r="A39" s="833">
        <v>61940000</v>
      </c>
      <c r="B39" s="2" t="s">
        <v>2854</v>
      </c>
      <c r="C39" s="16">
        <v>171177.26</v>
      </c>
      <c r="D39" s="16">
        <v>0</v>
      </c>
      <c r="E39" s="16">
        <v>171177.26</v>
      </c>
      <c r="F39" s="16">
        <v>0</v>
      </c>
    </row>
    <row r="40" spans="1:6" x14ac:dyDescent="0.2">
      <c r="A40" s="833">
        <v>63111000</v>
      </c>
      <c r="B40" s="2" t="s">
        <v>2855</v>
      </c>
      <c r="C40" s="16">
        <v>43957.11</v>
      </c>
      <c r="D40" s="16">
        <v>0</v>
      </c>
      <c r="E40" s="16">
        <v>43957.11</v>
      </c>
      <c r="F40" s="16">
        <v>0</v>
      </c>
    </row>
    <row r="41" spans="1:6" x14ac:dyDescent="0.2">
      <c r="A41" s="833"/>
    </row>
    <row r="42" spans="1:6" x14ac:dyDescent="0.2">
      <c r="A42" s="833">
        <v>67010000</v>
      </c>
      <c r="B42" s="2" t="s">
        <v>2856</v>
      </c>
      <c r="C42" s="16">
        <v>2384</v>
      </c>
      <c r="D42" s="16">
        <v>0</v>
      </c>
      <c r="E42" s="16">
        <v>2384</v>
      </c>
      <c r="F42" s="16">
        <v>0</v>
      </c>
    </row>
    <row r="43" spans="1:6" x14ac:dyDescent="0.2">
      <c r="A43" s="833">
        <v>71240000</v>
      </c>
      <c r="B43" s="2" t="s">
        <v>2857</v>
      </c>
      <c r="C43" s="16">
        <v>0</v>
      </c>
      <c r="D43" s="16">
        <v>381666.67</v>
      </c>
      <c r="E43" s="16">
        <v>0</v>
      </c>
      <c r="F43" s="16">
        <v>381666.67</v>
      </c>
    </row>
    <row r="44" spans="1:6" x14ac:dyDescent="0.2">
      <c r="A44" s="833">
        <v>89000000</v>
      </c>
      <c r="B44" s="2" t="s">
        <v>2858</v>
      </c>
      <c r="C44" s="16">
        <v>18918.669999999998</v>
      </c>
      <c r="D44" s="16">
        <v>18918.669999999998</v>
      </c>
      <c r="E44" s="16">
        <v>0</v>
      </c>
      <c r="F44" s="16">
        <v>0</v>
      </c>
    </row>
    <row r="45" spans="1:6" x14ac:dyDescent="0.2">
      <c r="A45" s="833"/>
    </row>
    <row r="46" spans="1:6" x14ac:dyDescent="0.2">
      <c r="A46" s="833"/>
    </row>
    <row r="47" spans="1:6" x14ac:dyDescent="0.2">
      <c r="A47" s="833"/>
    </row>
    <row r="48" spans="1:6" x14ac:dyDescent="0.2">
      <c r="A48" s="833"/>
    </row>
    <row r="49" spans="1:1" x14ac:dyDescent="0.2">
      <c r="A49" s="833"/>
    </row>
    <row r="50" spans="1:1" x14ac:dyDescent="0.2">
      <c r="A50" s="833"/>
    </row>
    <row r="51" spans="1:1" x14ac:dyDescent="0.2">
      <c r="A51" s="833"/>
    </row>
    <row r="52" spans="1:1" x14ac:dyDescent="0.2">
      <c r="A52" s="833"/>
    </row>
    <row r="53" spans="1:1" x14ac:dyDescent="0.2">
      <c r="A53" s="833"/>
    </row>
    <row r="54" spans="1:1" x14ac:dyDescent="0.2">
      <c r="A54" s="833"/>
    </row>
    <row r="55" spans="1:1" x14ac:dyDescent="0.2">
      <c r="A55" s="833"/>
    </row>
    <row r="56" spans="1:1" x14ac:dyDescent="0.2">
      <c r="A56" s="833"/>
    </row>
    <row r="57" spans="1:1" x14ac:dyDescent="0.2">
      <c r="A57" s="833"/>
    </row>
    <row r="58" spans="1:1" x14ac:dyDescent="0.2">
      <c r="A58" s="833"/>
    </row>
    <row r="59" spans="1:1" x14ac:dyDescent="0.2">
      <c r="A59" s="833"/>
    </row>
    <row r="60" spans="1:1" x14ac:dyDescent="0.2">
      <c r="A60" s="833"/>
    </row>
    <row r="61" spans="1:1" x14ac:dyDescent="0.2">
      <c r="A61" s="833"/>
    </row>
    <row r="62" spans="1:1" x14ac:dyDescent="0.2">
      <c r="A62" s="833"/>
    </row>
    <row r="63" spans="1:1" x14ac:dyDescent="0.2">
      <c r="A63" s="833"/>
    </row>
    <row r="64" spans="1:1" x14ac:dyDescent="0.2">
      <c r="A64" s="833"/>
    </row>
    <row r="65" spans="1:1" x14ac:dyDescent="0.2">
      <c r="A65" s="833"/>
    </row>
    <row r="66" spans="1:1" x14ac:dyDescent="0.2">
      <c r="A66" s="833"/>
    </row>
    <row r="67" spans="1:1" x14ac:dyDescent="0.2">
      <c r="A67" s="833"/>
    </row>
    <row r="68" spans="1:1" x14ac:dyDescent="0.2">
      <c r="A68" s="833"/>
    </row>
    <row r="69" spans="1:1" x14ac:dyDescent="0.2">
      <c r="A69" s="833"/>
    </row>
    <row r="70" spans="1:1" x14ac:dyDescent="0.2">
      <c r="A70" s="833"/>
    </row>
    <row r="71" spans="1:1" x14ac:dyDescent="0.2">
      <c r="A71" s="833"/>
    </row>
    <row r="72" spans="1:1" x14ac:dyDescent="0.2">
      <c r="A72" s="833"/>
    </row>
    <row r="73" spans="1:1" x14ac:dyDescent="0.2">
      <c r="A73" s="833"/>
    </row>
    <row r="74" spans="1:1" x14ac:dyDescent="0.2">
      <c r="A74" s="833"/>
    </row>
    <row r="75" spans="1:1" x14ac:dyDescent="0.2">
      <c r="A75" s="833"/>
    </row>
    <row r="76" spans="1:1" x14ac:dyDescent="0.2">
      <c r="A76" s="833"/>
    </row>
    <row r="77" spans="1:1" x14ac:dyDescent="0.2">
      <c r="A77" s="833"/>
    </row>
    <row r="78" spans="1:1" x14ac:dyDescent="0.2">
      <c r="A78" s="833"/>
    </row>
    <row r="79" spans="1:1" x14ac:dyDescent="0.2">
      <c r="A79" s="833"/>
    </row>
    <row r="80" spans="1:1" x14ac:dyDescent="0.2">
      <c r="A80" s="833"/>
    </row>
    <row r="81" spans="1:1" x14ac:dyDescent="0.2">
      <c r="A81" s="833"/>
    </row>
    <row r="82" spans="1:1" x14ac:dyDescent="0.2">
      <c r="A82" s="833"/>
    </row>
    <row r="83" spans="1:1" x14ac:dyDescent="0.2">
      <c r="A83" s="833"/>
    </row>
    <row r="84" spans="1:1" x14ac:dyDescent="0.2">
      <c r="A84" s="833"/>
    </row>
    <row r="85" spans="1:1" x14ac:dyDescent="0.2">
      <c r="A85" s="833"/>
    </row>
    <row r="86" spans="1:1" x14ac:dyDescent="0.2">
      <c r="A86" s="833"/>
    </row>
    <row r="87" spans="1:1" x14ac:dyDescent="0.2">
      <c r="A87" s="833"/>
    </row>
    <row r="88" spans="1:1" x14ac:dyDescent="0.2">
      <c r="A88" s="833"/>
    </row>
    <row r="89" spans="1:1" x14ac:dyDescent="0.2">
      <c r="A89" s="833"/>
    </row>
    <row r="90" spans="1:1" x14ac:dyDescent="0.2">
      <c r="A90" s="833"/>
    </row>
    <row r="91" spans="1:1" x14ac:dyDescent="0.2">
      <c r="A91" s="833"/>
    </row>
    <row r="92" spans="1:1" x14ac:dyDescent="0.2">
      <c r="A92" s="833"/>
    </row>
    <row r="93" spans="1:1" x14ac:dyDescent="0.2">
      <c r="A93" s="833"/>
    </row>
    <row r="94" spans="1:1" x14ac:dyDescent="0.2">
      <c r="A94" s="833"/>
    </row>
    <row r="95" spans="1:1" x14ac:dyDescent="0.2">
      <c r="A95" s="833"/>
    </row>
    <row r="96" spans="1:1" x14ac:dyDescent="0.2">
      <c r="A96" s="833"/>
    </row>
    <row r="97" spans="1:1" x14ac:dyDescent="0.2">
      <c r="A97" s="833"/>
    </row>
    <row r="98" spans="1:1" x14ac:dyDescent="0.2">
      <c r="A98" s="833"/>
    </row>
    <row r="99" spans="1:1" x14ac:dyDescent="0.2">
      <c r="A99" s="833"/>
    </row>
    <row r="100" spans="1:1" x14ac:dyDescent="0.2">
      <c r="A100" s="833"/>
    </row>
    <row r="101" spans="1:1" x14ac:dyDescent="0.2">
      <c r="A101" s="833"/>
    </row>
    <row r="102" spans="1:1" x14ac:dyDescent="0.2">
      <c r="A102" s="833"/>
    </row>
    <row r="103" spans="1:1" x14ac:dyDescent="0.2">
      <c r="A103" s="833"/>
    </row>
    <row r="104" spans="1:1" x14ac:dyDescent="0.2">
      <c r="A104" s="833"/>
    </row>
    <row r="105" spans="1:1" x14ac:dyDescent="0.2">
      <c r="A105" s="833"/>
    </row>
    <row r="106" spans="1:1" x14ac:dyDescent="0.2">
      <c r="A106" s="833"/>
    </row>
    <row r="107" spans="1:1" x14ac:dyDescent="0.2">
      <c r="A107" s="833"/>
    </row>
    <row r="108" spans="1:1" x14ac:dyDescent="0.2">
      <c r="A108" s="833"/>
    </row>
    <row r="109" spans="1:1" x14ac:dyDescent="0.2">
      <c r="A109" s="833"/>
    </row>
    <row r="110" spans="1:1" x14ac:dyDescent="0.2">
      <c r="A110" s="833"/>
    </row>
    <row r="111" spans="1:1" x14ac:dyDescent="0.2">
      <c r="A111" s="833"/>
    </row>
    <row r="112" spans="1:1" x14ac:dyDescent="0.2">
      <c r="A112" s="833"/>
    </row>
    <row r="113" spans="1:1" x14ac:dyDescent="0.2">
      <c r="A113" s="833"/>
    </row>
    <row r="114" spans="1:1" x14ac:dyDescent="0.2">
      <c r="A114" s="833"/>
    </row>
    <row r="115" spans="1:1" x14ac:dyDescent="0.2">
      <c r="A115" s="833"/>
    </row>
    <row r="116" spans="1:1" x14ac:dyDescent="0.2">
      <c r="A116" s="833"/>
    </row>
    <row r="117" spans="1:1" x14ac:dyDescent="0.2">
      <c r="A117" s="833"/>
    </row>
    <row r="118" spans="1:1" x14ac:dyDescent="0.2">
      <c r="A118" s="833"/>
    </row>
    <row r="119" spans="1:1" x14ac:dyDescent="0.2">
      <c r="A119" s="833"/>
    </row>
    <row r="120" spans="1:1" x14ac:dyDescent="0.2">
      <c r="A120" s="833"/>
    </row>
    <row r="121" spans="1:1" x14ac:dyDescent="0.2">
      <c r="A121" s="833"/>
    </row>
    <row r="122" spans="1:1" x14ac:dyDescent="0.2">
      <c r="A122" s="833"/>
    </row>
    <row r="123" spans="1:1" x14ac:dyDescent="0.2">
      <c r="A123" s="833"/>
    </row>
    <row r="124" spans="1:1" x14ac:dyDescent="0.2">
      <c r="A124" s="833"/>
    </row>
    <row r="125" spans="1:1" x14ac:dyDescent="0.2">
      <c r="A125" s="833"/>
    </row>
    <row r="126" spans="1:1" x14ac:dyDescent="0.2">
      <c r="A126" s="833"/>
    </row>
    <row r="127" spans="1:1" x14ac:dyDescent="0.2">
      <c r="A127" s="833"/>
    </row>
    <row r="128" spans="1:1" x14ac:dyDescent="0.2">
      <c r="A128" s="833"/>
    </row>
    <row r="129" spans="1:1" x14ac:dyDescent="0.2">
      <c r="A129" s="833"/>
    </row>
    <row r="130" spans="1:1" x14ac:dyDescent="0.2">
      <c r="A130" s="833"/>
    </row>
    <row r="131" spans="1:1" x14ac:dyDescent="0.2">
      <c r="A131" s="833"/>
    </row>
    <row r="132" spans="1:1" x14ac:dyDescent="0.2">
      <c r="A132" s="833"/>
    </row>
    <row r="133" spans="1:1" x14ac:dyDescent="0.2">
      <c r="A133" s="833"/>
    </row>
    <row r="134" spans="1:1" x14ac:dyDescent="0.2">
      <c r="A134" s="833"/>
    </row>
    <row r="135" spans="1:1" x14ac:dyDescent="0.2">
      <c r="A135" s="833"/>
    </row>
    <row r="136" spans="1:1" x14ac:dyDescent="0.2">
      <c r="A136" s="833"/>
    </row>
    <row r="137" spans="1:1" x14ac:dyDescent="0.2">
      <c r="A137" s="833"/>
    </row>
    <row r="138" spans="1:1" x14ac:dyDescent="0.2">
      <c r="A138" s="833"/>
    </row>
    <row r="139" spans="1:1" x14ac:dyDescent="0.2">
      <c r="A139" s="833"/>
    </row>
    <row r="140" spans="1:1" x14ac:dyDescent="0.2">
      <c r="A140" s="833"/>
    </row>
    <row r="141" spans="1:1" x14ac:dyDescent="0.2">
      <c r="A141" s="833"/>
    </row>
    <row r="142" spans="1:1" x14ac:dyDescent="0.2">
      <c r="A142" s="833"/>
    </row>
    <row r="143" spans="1:1" x14ac:dyDescent="0.2">
      <c r="A143" s="833"/>
    </row>
    <row r="144" spans="1:1" x14ac:dyDescent="0.2">
      <c r="A144" s="833"/>
    </row>
    <row r="145" spans="1:1" x14ac:dyDescent="0.2">
      <c r="A145" s="833"/>
    </row>
    <row r="146" spans="1:1" x14ac:dyDescent="0.2">
      <c r="A146" s="833"/>
    </row>
    <row r="147" spans="1:1" x14ac:dyDescent="0.2">
      <c r="A147" s="833"/>
    </row>
    <row r="148" spans="1:1" x14ac:dyDescent="0.2">
      <c r="A148" s="833"/>
    </row>
    <row r="149" spans="1:1" x14ac:dyDescent="0.2">
      <c r="A149" s="833"/>
    </row>
    <row r="150" spans="1:1" x14ac:dyDescent="0.2">
      <c r="A150" s="833"/>
    </row>
    <row r="151" spans="1:1" x14ac:dyDescent="0.2">
      <c r="A151" s="833"/>
    </row>
    <row r="152" spans="1:1" x14ac:dyDescent="0.2">
      <c r="A152" s="833"/>
    </row>
    <row r="153" spans="1:1" x14ac:dyDescent="0.2">
      <c r="A153" s="833"/>
    </row>
    <row r="154" spans="1:1" x14ac:dyDescent="0.2">
      <c r="A154" s="833"/>
    </row>
    <row r="155" spans="1:1" x14ac:dyDescent="0.2">
      <c r="A155" s="833"/>
    </row>
  </sheetData>
  <autoFilter ref="A1:G598"/>
  <phoneticPr fontId="0" type="noConversion"/>
  <pageMargins left="0.78740157499999996" right="0.78740157499999996" top="0.984251969" bottom="0.984251969" header="0.4921259845" footer="0.4921259845"/>
  <pageSetup paperSize="9" scale="32" orientation="portrait" horizontalDpi="300" verticalDpi="300"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3">
    <pageSetUpPr fitToPage="1"/>
  </sheetPr>
  <dimension ref="A1:G148"/>
  <sheetViews>
    <sheetView zoomScale="70" zoomScaleNormal="70" workbookViewId="0">
      <selection activeCell="G26" sqref="G26"/>
    </sheetView>
  </sheetViews>
  <sheetFormatPr baseColWidth="10" defaultColWidth="12" defaultRowHeight="12.75" x14ac:dyDescent="0.2"/>
  <cols>
    <col min="1" max="1" width="16" style="2" bestFit="1" customWidth="1"/>
    <col min="2" max="2" width="57.5" style="2" bestFit="1" customWidth="1"/>
    <col min="3" max="3" width="20.5" style="16" bestFit="1" customWidth="1"/>
    <col min="4" max="4" width="20.6640625" style="16" bestFit="1" customWidth="1"/>
    <col min="5" max="5" width="20.5" style="16" bestFit="1" customWidth="1"/>
    <col min="6" max="6" width="19.83203125" style="16" bestFit="1" customWidth="1"/>
    <col min="7" max="7" width="19.6640625" style="16" bestFit="1" customWidth="1"/>
    <col min="8" max="8" width="6.33203125" style="2" bestFit="1" customWidth="1"/>
    <col min="9" max="9" width="12" style="2"/>
    <col min="10" max="10" width="16" style="2" bestFit="1" customWidth="1"/>
    <col min="11" max="16384" width="12" style="2"/>
  </cols>
  <sheetData>
    <row r="1" spans="1:7" x14ac:dyDescent="0.2">
      <c r="A1" s="2" t="s">
        <v>915</v>
      </c>
      <c r="B1" s="2" t="s">
        <v>295</v>
      </c>
      <c r="C1" s="16" t="s">
        <v>291</v>
      </c>
      <c r="D1" s="16" t="s">
        <v>292</v>
      </c>
      <c r="E1" s="16" t="s">
        <v>65</v>
      </c>
      <c r="F1" s="16" t="s">
        <v>66</v>
      </c>
      <c r="G1" s="16" t="s">
        <v>67</v>
      </c>
    </row>
    <row r="2" spans="1:7" x14ac:dyDescent="0.2">
      <c r="A2" s="833">
        <v>11110000</v>
      </c>
      <c r="B2" s="2" t="s">
        <v>2817</v>
      </c>
      <c r="C2" s="16">
        <v>0</v>
      </c>
      <c r="D2" s="16">
        <v>100000</v>
      </c>
      <c r="E2" s="16">
        <v>0</v>
      </c>
      <c r="F2" s="16">
        <v>100000</v>
      </c>
    </row>
    <row r="3" spans="1:7" x14ac:dyDescent="0.2">
      <c r="A3" s="833">
        <v>21110000</v>
      </c>
      <c r="B3" s="2" t="s">
        <v>2818</v>
      </c>
      <c r="C3" s="16">
        <v>5000</v>
      </c>
      <c r="D3" s="16">
        <v>0</v>
      </c>
      <c r="E3" s="16">
        <v>5000</v>
      </c>
      <c r="F3" s="16">
        <v>0</v>
      </c>
    </row>
    <row r="4" spans="1:7" x14ac:dyDescent="0.2">
      <c r="A4" s="833">
        <v>28110000</v>
      </c>
      <c r="B4" s="2" t="s">
        <v>2819</v>
      </c>
      <c r="C4" s="16">
        <v>0</v>
      </c>
      <c r="D4" s="16">
        <v>694.37</v>
      </c>
      <c r="E4" s="16">
        <v>0</v>
      </c>
      <c r="F4" s="16">
        <v>694.37</v>
      </c>
    </row>
    <row r="5" spans="1:7" x14ac:dyDescent="0.2">
      <c r="A5" s="833">
        <v>34550300</v>
      </c>
      <c r="B5" s="2" t="s">
        <v>2820</v>
      </c>
      <c r="C5" s="16">
        <v>34.53</v>
      </c>
      <c r="D5" s="16">
        <v>0</v>
      </c>
      <c r="E5" s="16">
        <v>34.53</v>
      </c>
      <c r="F5" s="16">
        <v>0</v>
      </c>
    </row>
    <row r="6" spans="1:7" x14ac:dyDescent="0.2">
      <c r="A6" s="833">
        <v>44320000</v>
      </c>
      <c r="B6" s="2" t="s">
        <v>2821</v>
      </c>
      <c r="C6" s="16">
        <v>10000</v>
      </c>
      <c r="D6" s="16">
        <v>10000</v>
      </c>
      <c r="E6" s="16">
        <v>0</v>
      </c>
      <c r="F6" s="16">
        <v>0</v>
      </c>
    </row>
    <row r="7" spans="1:7" x14ac:dyDescent="0.2">
      <c r="A7" s="833">
        <v>44410000</v>
      </c>
      <c r="B7" s="2" t="s">
        <v>2822</v>
      </c>
      <c r="C7" s="16">
        <v>1073</v>
      </c>
      <c r="D7" s="16">
        <v>2146</v>
      </c>
      <c r="E7" s="16">
        <v>0</v>
      </c>
      <c r="F7" s="16">
        <v>1073</v>
      </c>
    </row>
    <row r="8" spans="1:7" x14ac:dyDescent="0.2">
      <c r="A8" s="833">
        <v>44450000</v>
      </c>
      <c r="B8" s="2" t="s">
        <v>2823</v>
      </c>
      <c r="C8" s="16">
        <v>318.5</v>
      </c>
      <c r="D8" s="16">
        <v>637</v>
      </c>
      <c r="E8" s="16">
        <v>0</v>
      </c>
      <c r="F8" s="16">
        <v>318.5</v>
      </c>
    </row>
    <row r="9" spans="1:7" x14ac:dyDescent="0.2">
      <c r="A9" s="833">
        <v>44525000</v>
      </c>
      <c r="B9" s="2" t="s">
        <v>2824</v>
      </c>
      <c r="C9" s="16">
        <v>0</v>
      </c>
      <c r="D9" s="16">
        <v>88</v>
      </c>
      <c r="E9" s="16">
        <v>0</v>
      </c>
      <c r="F9" s="16">
        <v>88</v>
      </c>
    </row>
    <row r="10" spans="1:7" x14ac:dyDescent="0.2">
      <c r="A10" s="833">
        <v>44630000</v>
      </c>
      <c r="B10" s="2" t="s">
        <v>2825</v>
      </c>
      <c r="C10" s="16">
        <v>340475.8</v>
      </c>
      <c r="D10" s="16">
        <v>574000.80000000005</v>
      </c>
      <c r="E10" s="16">
        <v>0</v>
      </c>
      <c r="F10" s="16">
        <v>233525</v>
      </c>
    </row>
    <row r="11" spans="1:7" x14ac:dyDescent="0.2">
      <c r="A11" s="833">
        <v>51410000</v>
      </c>
      <c r="B11" s="2" t="s">
        <v>2826</v>
      </c>
      <c r="C11" s="16">
        <v>469000.8</v>
      </c>
      <c r="D11" s="16">
        <v>246155.13</v>
      </c>
      <c r="E11" s="16">
        <v>222845.67</v>
      </c>
      <c r="F11" s="16">
        <v>0</v>
      </c>
    </row>
    <row r="12" spans="1:7" x14ac:dyDescent="0.2">
      <c r="A12" s="833">
        <v>51610000</v>
      </c>
      <c r="B12" s="2" t="s">
        <v>2827</v>
      </c>
      <c r="C12" s="16">
        <v>108900</v>
      </c>
      <c r="D12" s="16">
        <v>20000</v>
      </c>
      <c r="E12" s="16">
        <v>88900</v>
      </c>
      <c r="F12" s="16">
        <v>0</v>
      </c>
    </row>
    <row r="13" spans="1:7" x14ac:dyDescent="0.2">
      <c r="A13" s="833">
        <v>61312000</v>
      </c>
      <c r="B13" s="2" t="s">
        <v>2828</v>
      </c>
      <c r="C13" s="16">
        <v>5000</v>
      </c>
      <c r="D13" s="16">
        <v>0</v>
      </c>
      <c r="E13" s="16">
        <v>5000</v>
      </c>
      <c r="F13" s="16">
        <v>0</v>
      </c>
    </row>
    <row r="14" spans="1:7" x14ac:dyDescent="0.2">
      <c r="A14" s="833">
        <v>61470000</v>
      </c>
      <c r="B14" s="2" t="s">
        <v>2829</v>
      </c>
      <c r="C14" s="16">
        <v>353.3</v>
      </c>
      <c r="D14" s="16">
        <v>0</v>
      </c>
      <c r="E14" s="16">
        <v>353.3</v>
      </c>
      <c r="F14" s="16">
        <v>0</v>
      </c>
    </row>
    <row r="15" spans="1:7" x14ac:dyDescent="0.2">
      <c r="A15" s="833">
        <v>61710000</v>
      </c>
      <c r="B15" s="2" t="s">
        <v>2830</v>
      </c>
      <c r="C15" s="16">
        <v>10762</v>
      </c>
      <c r="D15" s="16">
        <v>0</v>
      </c>
      <c r="E15" s="16">
        <v>10762</v>
      </c>
      <c r="F15" s="16">
        <v>0</v>
      </c>
    </row>
    <row r="16" spans="1:7" x14ac:dyDescent="0.2">
      <c r="A16" s="833">
        <v>61740000</v>
      </c>
      <c r="B16" s="2" t="s">
        <v>2831</v>
      </c>
      <c r="C16" s="16">
        <v>2109</v>
      </c>
      <c r="D16" s="16">
        <v>0</v>
      </c>
      <c r="E16" s="16">
        <v>2109</v>
      </c>
      <c r="F16" s="16">
        <v>0</v>
      </c>
    </row>
    <row r="17" spans="1:6" x14ac:dyDescent="0.2">
      <c r="A17" s="833">
        <v>61911000</v>
      </c>
      <c r="B17" s="2" t="s">
        <v>2832</v>
      </c>
      <c r="C17" s="16">
        <v>694.37</v>
      </c>
      <c r="D17" s="16">
        <v>0</v>
      </c>
      <c r="E17" s="16">
        <v>694.37</v>
      </c>
      <c r="F17" s="16">
        <v>0</v>
      </c>
    </row>
    <row r="18" spans="1:6" x14ac:dyDescent="0.2">
      <c r="A18" s="833"/>
    </row>
    <row r="19" spans="1:6" x14ac:dyDescent="0.2">
      <c r="A19" s="833"/>
    </row>
    <row r="20" spans="1:6" x14ac:dyDescent="0.2">
      <c r="A20" s="833"/>
    </row>
    <row r="21" spans="1:6" x14ac:dyDescent="0.2">
      <c r="A21" s="833"/>
    </row>
    <row r="22" spans="1:6" x14ac:dyDescent="0.2">
      <c r="A22" s="833"/>
    </row>
    <row r="23" spans="1:6" x14ac:dyDescent="0.2">
      <c r="A23" s="833"/>
    </row>
    <row r="24" spans="1:6" x14ac:dyDescent="0.2">
      <c r="A24" s="833"/>
    </row>
    <row r="25" spans="1:6" x14ac:dyDescent="0.2">
      <c r="A25" s="833"/>
    </row>
    <row r="26" spans="1:6" x14ac:dyDescent="0.2">
      <c r="A26" s="833"/>
    </row>
    <row r="27" spans="1:6" x14ac:dyDescent="0.2">
      <c r="A27" s="833"/>
    </row>
    <row r="28" spans="1:6" x14ac:dyDescent="0.2">
      <c r="A28" s="833"/>
    </row>
    <row r="29" spans="1:6" x14ac:dyDescent="0.2">
      <c r="A29" s="833"/>
    </row>
    <row r="30" spans="1:6" x14ac:dyDescent="0.2">
      <c r="A30" s="833"/>
    </row>
    <row r="31" spans="1:6" x14ac:dyDescent="0.2">
      <c r="A31" s="833"/>
    </row>
    <row r="32" spans="1:6" x14ac:dyDescent="0.2">
      <c r="A32" s="833"/>
    </row>
    <row r="33" spans="1:1" x14ac:dyDescent="0.2">
      <c r="A33" s="833"/>
    </row>
    <row r="34" spans="1:1" x14ac:dyDescent="0.2">
      <c r="A34" s="833"/>
    </row>
    <row r="35" spans="1:1" x14ac:dyDescent="0.2">
      <c r="A35" s="833"/>
    </row>
    <row r="36" spans="1:1" x14ac:dyDescent="0.2">
      <c r="A36" s="833"/>
    </row>
    <row r="37" spans="1:1" x14ac:dyDescent="0.2">
      <c r="A37" s="833"/>
    </row>
    <row r="38" spans="1:1" x14ac:dyDescent="0.2">
      <c r="A38" s="833"/>
    </row>
    <row r="39" spans="1:1" x14ac:dyDescent="0.2">
      <c r="A39" s="833"/>
    </row>
    <row r="40" spans="1:1" x14ac:dyDescent="0.2">
      <c r="A40" s="833"/>
    </row>
    <row r="41" spans="1:1" x14ac:dyDescent="0.2">
      <c r="A41" s="833"/>
    </row>
    <row r="42" spans="1:1" x14ac:dyDescent="0.2">
      <c r="A42" s="833"/>
    </row>
    <row r="43" spans="1:1" x14ac:dyDescent="0.2">
      <c r="A43" s="833"/>
    </row>
    <row r="44" spans="1:1" x14ac:dyDescent="0.2">
      <c r="A44" s="833"/>
    </row>
    <row r="45" spans="1:1" x14ac:dyDescent="0.2">
      <c r="A45" s="833"/>
    </row>
    <row r="46" spans="1:1" x14ac:dyDescent="0.2">
      <c r="A46" s="833"/>
    </row>
    <row r="47" spans="1:1" x14ac:dyDescent="0.2">
      <c r="A47" s="833"/>
    </row>
    <row r="48" spans="1:1" x14ac:dyDescent="0.2">
      <c r="A48" s="833"/>
    </row>
    <row r="49" spans="1:1" x14ac:dyDescent="0.2">
      <c r="A49" s="833"/>
    </row>
    <row r="50" spans="1:1" x14ac:dyDescent="0.2">
      <c r="A50" s="833"/>
    </row>
    <row r="51" spans="1:1" x14ac:dyDescent="0.2">
      <c r="A51" s="833"/>
    </row>
    <row r="52" spans="1:1" x14ac:dyDescent="0.2">
      <c r="A52" s="833"/>
    </row>
    <row r="53" spans="1:1" x14ac:dyDescent="0.2">
      <c r="A53" s="833"/>
    </row>
    <row r="54" spans="1:1" x14ac:dyDescent="0.2">
      <c r="A54" s="833"/>
    </row>
    <row r="55" spans="1:1" x14ac:dyDescent="0.2">
      <c r="A55" s="833"/>
    </row>
    <row r="56" spans="1:1" x14ac:dyDescent="0.2">
      <c r="A56" s="833"/>
    </row>
    <row r="57" spans="1:1" x14ac:dyDescent="0.2">
      <c r="A57" s="833"/>
    </row>
    <row r="58" spans="1:1" x14ac:dyDescent="0.2">
      <c r="A58" s="833"/>
    </row>
    <row r="59" spans="1:1" x14ac:dyDescent="0.2">
      <c r="A59" s="833"/>
    </row>
    <row r="60" spans="1:1" x14ac:dyDescent="0.2">
      <c r="A60" s="833"/>
    </row>
    <row r="61" spans="1:1" x14ac:dyDescent="0.2">
      <c r="A61" s="833"/>
    </row>
    <row r="62" spans="1:1" x14ac:dyDescent="0.2">
      <c r="A62" s="833"/>
    </row>
    <row r="63" spans="1:1" x14ac:dyDescent="0.2">
      <c r="A63" s="833"/>
    </row>
    <row r="64" spans="1:1" x14ac:dyDescent="0.2">
      <c r="A64" s="833"/>
    </row>
    <row r="65" spans="1:1" x14ac:dyDescent="0.2">
      <c r="A65" s="833"/>
    </row>
    <row r="66" spans="1:1" x14ac:dyDescent="0.2">
      <c r="A66" s="833"/>
    </row>
    <row r="67" spans="1:1" x14ac:dyDescent="0.2">
      <c r="A67" s="833"/>
    </row>
    <row r="68" spans="1:1" x14ac:dyDescent="0.2">
      <c r="A68" s="833"/>
    </row>
    <row r="69" spans="1:1" x14ac:dyDescent="0.2">
      <c r="A69" s="833"/>
    </row>
    <row r="70" spans="1:1" x14ac:dyDescent="0.2">
      <c r="A70" s="833"/>
    </row>
    <row r="71" spans="1:1" x14ac:dyDescent="0.2">
      <c r="A71" s="833"/>
    </row>
    <row r="72" spans="1:1" x14ac:dyDescent="0.2">
      <c r="A72" s="833"/>
    </row>
    <row r="73" spans="1:1" x14ac:dyDescent="0.2">
      <c r="A73" s="833"/>
    </row>
    <row r="74" spans="1:1" x14ac:dyDescent="0.2">
      <c r="A74" s="833"/>
    </row>
    <row r="75" spans="1:1" x14ac:dyDescent="0.2">
      <c r="A75" s="833"/>
    </row>
    <row r="76" spans="1:1" x14ac:dyDescent="0.2">
      <c r="A76" s="833"/>
    </row>
    <row r="77" spans="1:1" x14ac:dyDescent="0.2">
      <c r="A77" s="833"/>
    </row>
    <row r="78" spans="1:1" x14ac:dyDescent="0.2">
      <c r="A78" s="833"/>
    </row>
    <row r="79" spans="1:1" x14ac:dyDescent="0.2">
      <c r="A79" s="833"/>
    </row>
    <row r="80" spans="1:1" x14ac:dyDescent="0.2">
      <c r="A80" s="833"/>
    </row>
    <row r="81" spans="1:1" x14ac:dyDescent="0.2">
      <c r="A81" s="833"/>
    </row>
    <row r="82" spans="1:1" x14ac:dyDescent="0.2">
      <c r="A82" s="833"/>
    </row>
    <row r="83" spans="1:1" x14ac:dyDescent="0.2">
      <c r="A83" s="833"/>
    </row>
    <row r="84" spans="1:1" x14ac:dyDescent="0.2">
      <c r="A84" s="833"/>
    </row>
    <row r="85" spans="1:1" x14ac:dyDescent="0.2">
      <c r="A85" s="833"/>
    </row>
    <row r="86" spans="1:1" x14ac:dyDescent="0.2">
      <c r="A86" s="833"/>
    </row>
    <row r="87" spans="1:1" x14ac:dyDescent="0.2">
      <c r="A87" s="833"/>
    </row>
    <row r="88" spans="1:1" x14ac:dyDescent="0.2">
      <c r="A88" s="833"/>
    </row>
    <row r="89" spans="1:1" x14ac:dyDescent="0.2">
      <c r="A89" s="833"/>
    </row>
    <row r="90" spans="1:1" x14ac:dyDescent="0.2">
      <c r="A90" s="833"/>
    </row>
    <row r="91" spans="1:1" x14ac:dyDescent="0.2">
      <c r="A91" s="833"/>
    </row>
    <row r="92" spans="1:1" x14ac:dyDescent="0.2">
      <c r="A92" s="833"/>
    </row>
    <row r="93" spans="1:1" x14ac:dyDescent="0.2">
      <c r="A93" s="833"/>
    </row>
    <row r="94" spans="1:1" x14ac:dyDescent="0.2">
      <c r="A94" s="833"/>
    </row>
    <row r="95" spans="1:1" x14ac:dyDescent="0.2">
      <c r="A95" s="833"/>
    </row>
    <row r="96" spans="1:1" x14ac:dyDescent="0.2">
      <c r="A96" s="833"/>
    </row>
    <row r="97" spans="1:1" x14ac:dyDescent="0.2">
      <c r="A97" s="833"/>
    </row>
    <row r="98" spans="1:1" x14ac:dyDescent="0.2">
      <c r="A98" s="833"/>
    </row>
    <row r="99" spans="1:1" x14ac:dyDescent="0.2">
      <c r="A99" s="833"/>
    </row>
    <row r="100" spans="1:1" x14ac:dyDescent="0.2">
      <c r="A100" s="833"/>
    </row>
    <row r="101" spans="1:1" x14ac:dyDescent="0.2">
      <c r="A101" s="833"/>
    </row>
    <row r="102" spans="1:1" x14ac:dyDescent="0.2">
      <c r="A102" s="833"/>
    </row>
    <row r="103" spans="1:1" x14ac:dyDescent="0.2">
      <c r="A103" s="833"/>
    </row>
    <row r="104" spans="1:1" x14ac:dyDescent="0.2">
      <c r="A104" s="833"/>
    </row>
    <row r="105" spans="1:1" x14ac:dyDescent="0.2">
      <c r="A105" s="833"/>
    </row>
    <row r="106" spans="1:1" x14ac:dyDescent="0.2">
      <c r="A106" s="833"/>
    </row>
    <row r="107" spans="1:1" x14ac:dyDescent="0.2">
      <c r="A107" s="833"/>
    </row>
    <row r="108" spans="1:1" x14ac:dyDescent="0.2">
      <c r="A108" s="833"/>
    </row>
    <row r="109" spans="1:1" x14ac:dyDescent="0.2">
      <c r="A109" s="833"/>
    </row>
    <row r="110" spans="1:1" x14ac:dyDescent="0.2">
      <c r="A110" s="833"/>
    </row>
    <row r="111" spans="1:1" x14ac:dyDescent="0.2">
      <c r="A111" s="833"/>
    </row>
    <row r="112" spans="1:1" x14ac:dyDescent="0.2">
      <c r="A112" s="833"/>
    </row>
    <row r="113" spans="1:1" x14ac:dyDescent="0.2">
      <c r="A113" s="833"/>
    </row>
    <row r="114" spans="1:1" x14ac:dyDescent="0.2">
      <c r="A114" s="833"/>
    </row>
    <row r="115" spans="1:1" x14ac:dyDescent="0.2">
      <c r="A115" s="833"/>
    </row>
    <row r="116" spans="1:1" x14ac:dyDescent="0.2">
      <c r="A116" s="833"/>
    </row>
    <row r="117" spans="1:1" x14ac:dyDescent="0.2">
      <c r="A117" s="833"/>
    </row>
    <row r="118" spans="1:1" x14ac:dyDescent="0.2">
      <c r="A118" s="833"/>
    </row>
    <row r="119" spans="1:1" x14ac:dyDescent="0.2">
      <c r="A119" s="833"/>
    </row>
    <row r="120" spans="1:1" x14ac:dyDescent="0.2">
      <c r="A120" s="833"/>
    </row>
    <row r="121" spans="1:1" x14ac:dyDescent="0.2">
      <c r="A121" s="833"/>
    </row>
    <row r="122" spans="1:1" x14ac:dyDescent="0.2">
      <c r="A122" s="833"/>
    </row>
    <row r="123" spans="1:1" x14ac:dyDescent="0.2">
      <c r="A123" s="833"/>
    </row>
    <row r="124" spans="1:1" x14ac:dyDescent="0.2">
      <c r="A124" s="833"/>
    </row>
    <row r="125" spans="1:1" x14ac:dyDescent="0.2">
      <c r="A125" s="833"/>
    </row>
    <row r="126" spans="1:1" x14ac:dyDescent="0.2">
      <c r="A126" s="833"/>
    </row>
    <row r="127" spans="1:1" x14ac:dyDescent="0.2">
      <c r="A127" s="833"/>
    </row>
    <row r="128" spans="1:1" x14ac:dyDescent="0.2">
      <c r="A128" s="833"/>
    </row>
    <row r="129" spans="1:1" x14ac:dyDescent="0.2">
      <c r="A129" s="833"/>
    </row>
    <row r="130" spans="1:1" x14ac:dyDescent="0.2">
      <c r="A130" s="833"/>
    </row>
    <row r="131" spans="1:1" x14ac:dyDescent="0.2">
      <c r="A131" s="833"/>
    </row>
    <row r="132" spans="1:1" x14ac:dyDescent="0.2">
      <c r="A132" s="833"/>
    </row>
    <row r="133" spans="1:1" x14ac:dyDescent="0.2">
      <c r="A133" s="833"/>
    </row>
    <row r="134" spans="1:1" x14ac:dyDescent="0.2">
      <c r="A134" s="833"/>
    </row>
    <row r="135" spans="1:1" x14ac:dyDescent="0.2">
      <c r="A135" s="833"/>
    </row>
    <row r="136" spans="1:1" x14ac:dyDescent="0.2">
      <c r="A136" s="833"/>
    </row>
    <row r="137" spans="1:1" x14ac:dyDescent="0.2">
      <c r="A137" s="833"/>
    </row>
    <row r="138" spans="1:1" x14ac:dyDescent="0.2">
      <c r="A138" s="833"/>
    </row>
    <row r="139" spans="1:1" x14ac:dyDescent="0.2">
      <c r="A139" s="833"/>
    </row>
    <row r="140" spans="1:1" x14ac:dyDescent="0.2">
      <c r="A140" s="833"/>
    </row>
    <row r="141" spans="1:1" x14ac:dyDescent="0.2">
      <c r="A141" s="833"/>
    </row>
    <row r="142" spans="1:1" x14ac:dyDescent="0.2">
      <c r="A142" s="833"/>
    </row>
    <row r="143" spans="1:1" x14ac:dyDescent="0.2">
      <c r="A143" s="833"/>
    </row>
    <row r="144" spans="1:1" x14ac:dyDescent="0.2">
      <c r="A144" s="833"/>
    </row>
    <row r="145" spans="1:1" x14ac:dyDescent="0.2">
      <c r="A145" s="833"/>
    </row>
    <row r="146" spans="1:1" x14ac:dyDescent="0.2">
      <c r="A146" s="833"/>
    </row>
    <row r="147" spans="1:1" x14ac:dyDescent="0.2">
      <c r="A147" s="833"/>
    </row>
    <row r="148" spans="1:1" x14ac:dyDescent="0.2">
      <c r="A148" s="833"/>
    </row>
  </sheetData>
  <phoneticPr fontId="0" type="noConversion"/>
  <pageMargins left="0.78740157499999996" right="0.78740157499999996" top="0.984251969" bottom="0.984251969" header="0.4921259845" footer="0.4921259845"/>
  <pageSetup paperSize="9" scale="34" orientation="portrait" horizontalDpi="300" verticalDpi="300"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pageSetUpPr fitToPage="1"/>
  </sheetPr>
  <dimension ref="A1:Q615"/>
  <sheetViews>
    <sheetView workbookViewId="0">
      <selection activeCell="I17" sqref="I17"/>
    </sheetView>
  </sheetViews>
  <sheetFormatPr baseColWidth="10" defaultColWidth="12" defaultRowHeight="12.75" x14ac:dyDescent="0.2"/>
  <cols>
    <col min="1" max="1" width="8.5" style="2" bestFit="1" customWidth="1"/>
    <col min="2" max="2" width="31" style="2" customWidth="1"/>
    <col min="3" max="3" width="19" style="16" bestFit="1" customWidth="1"/>
    <col min="4" max="4" width="18.6640625" style="16" bestFit="1" customWidth="1"/>
    <col min="5" max="5" width="20.1640625" style="16" bestFit="1" customWidth="1"/>
    <col min="6" max="6" width="19.33203125" style="16" bestFit="1" customWidth="1"/>
    <col min="7" max="7" width="19" style="16" bestFit="1" customWidth="1"/>
    <col min="8" max="8" width="17.33203125" style="16" bestFit="1" customWidth="1"/>
    <col min="9" max="10" width="12" style="2"/>
    <col min="11" max="12" width="21.1640625" style="306" bestFit="1" customWidth="1"/>
    <col min="13" max="13" width="19.5" style="306" bestFit="1" customWidth="1"/>
    <col min="14" max="14" width="13.33203125" style="2" bestFit="1" customWidth="1"/>
    <col min="15" max="16" width="17.33203125" style="2" bestFit="1" customWidth="1"/>
    <col min="17" max="17" width="15" style="2" bestFit="1" customWidth="1"/>
    <col min="18" max="16384" width="12" style="2"/>
  </cols>
  <sheetData>
    <row r="1" spans="1:17" s="570" customFormat="1" ht="13.5" x14ac:dyDescent="0.25">
      <c r="A1" s="569" t="s">
        <v>294</v>
      </c>
      <c r="B1" s="569" t="s">
        <v>295</v>
      </c>
      <c r="C1" s="678" t="s">
        <v>1038</v>
      </c>
      <c r="D1" s="678" t="s">
        <v>1039</v>
      </c>
      <c r="E1" s="678" t="s">
        <v>291</v>
      </c>
      <c r="F1" s="678" t="s">
        <v>292</v>
      </c>
      <c r="G1" s="678" t="s">
        <v>1040</v>
      </c>
      <c r="H1" s="678" t="s">
        <v>1041</v>
      </c>
      <c r="K1" s="571" t="s">
        <v>996</v>
      </c>
      <c r="L1" s="571" t="s">
        <v>997</v>
      </c>
      <c r="M1" s="571" t="s">
        <v>293</v>
      </c>
    </row>
    <row r="2" spans="1:17" x14ac:dyDescent="0.2">
      <c r="A2" s="573" t="str">
        <f>FIXED('Balance N'!A2,0,1)</f>
        <v>11110000</v>
      </c>
      <c r="B2" s="572" t="str">
        <f>+'Balance N'!B2</f>
        <v>CAPITAL</v>
      </c>
      <c r="C2" s="679" t="e">
        <f>ROUND('Balance N'!#REF!,2)</f>
        <v>#REF!</v>
      </c>
      <c r="D2" s="679" t="e">
        <f>ROUND('Balance N'!#REF!,2)</f>
        <v>#REF!</v>
      </c>
      <c r="E2" s="679">
        <f>ROUND('Balance N'!C2,2)</f>
        <v>0</v>
      </c>
      <c r="F2" s="679">
        <f>ROUND('Balance N'!D2,2)</f>
        <v>100000</v>
      </c>
      <c r="G2" s="679">
        <f>ROUND('Balance N'!E2,2)</f>
        <v>0</v>
      </c>
      <c r="H2" s="679">
        <f>ROUND('Balance N'!F2,2)</f>
        <v>100000</v>
      </c>
      <c r="I2" s="2" t="str">
        <f>MID(A2,1,1)</f>
        <v>1</v>
      </c>
      <c r="J2" s="574">
        <v>1</v>
      </c>
      <c r="K2" s="719" t="e">
        <f t="shared" ref="K2:K9" si="0">SUMIF(I:I,J2,C:C)</f>
        <v>#REF!</v>
      </c>
      <c r="L2" s="719" t="e">
        <f t="shared" ref="L2:L9" si="1">SUMIF(I:I,J2,D:D)</f>
        <v>#REF!</v>
      </c>
      <c r="M2" s="719" t="e">
        <f>+K2-L2</f>
        <v>#REF!</v>
      </c>
      <c r="N2" s="306" t="e">
        <f>+M2</f>
        <v>#REF!</v>
      </c>
    </row>
    <row r="3" spans="1:17" x14ac:dyDescent="0.2">
      <c r="A3" s="573" t="str">
        <f>FIXED('Balance N'!A3,0,1)</f>
        <v>11690000</v>
      </c>
      <c r="B3" s="572" t="str">
        <f>+'Balance N'!B3</f>
        <v>ANV DEBITEUR</v>
      </c>
      <c r="C3" s="679" t="e">
        <f>ROUND('Balance N'!#REF!,2)</f>
        <v>#REF!</v>
      </c>
      <c r="D3" s="679" t="e">
        <f>ROUND('Balance N'!#REF!,2)</f>
        <v>#REF!</v>
      </c>
      <c r="E3" s="679">
        <f>ROUND('Balance N'!C3,2)</f>
        <v>18918.669999999998</v>
      </c>
      <c r="F3" s="679">
        <f>ROUND('Balance N'!D3,2)</f>
        <v>0</v>
      </c>
      <c r="G3" s="679">
        <f>ROUND('Balance N'!E3,2)</f>
        <v>18918.669999999998</v>
      </c>
      <c r="H3" s="679">
        <f>ROUND('Balance N'!F3,2)</f>
        <v>0</v>
      </c>
      <c r="I3" s="2" t="str">
        <f t="shared" ref="I3:I66" si="2">MID(A3,1,1)</f>
        <v>1</v>
      </c>
      <c r="J3" s="574">
        <v>2</v>
      </c>
      <c r="K3" s="719" t="e">
        <f t="shared" si="0"/>
        <v>#REF!</v>
      </c>
      <c r="L3" s="719" t="e">
        <f t="shared" si="1"/>
        <v>#REF!</v>
      </c>
      <c r="M3" s="719" t="e">
        <f t="shared" ref="M3:M9" si="3">+K3-L3</f>
        <v>#REF!</v>
      </c>
      <c r="N3" s="306" t="e">
        <f>+N2+M3</f>
        <v>#REF!</v>
      </c>
    </row>
    <row r="4" spans="1:17" x14ac:dyDescent="0.2">
      <c r="A4" s="573" t="str">
        <f>FIXED('Balance N'!A4,0,1)</f>
        <v>14810000</v>
      </c>
      <c r="B4" s="572" t="str">
        <f>+'Balance N'!B4</f>
        <v>WAFASALAF</v>
      </c>
      <c r="C4" s="679" t="e">
        <f>ROUND('Balance N'!#REF!,2)</f>
        <v>#REF!</v>
      </c>
      <c r="D4" s="679" t="e">
        <f>ROUND('Balance N'!#REF!,2)</f>
        <v>#REF!</v>
      </c>
      <c r="E4" s="679">
        <f>ROUND('Balance N'!C4,2)</f>
        <v>93239.76</v>
      </c>
      <c r="F4" s="679">
        <f>ROUND('Balance N'!D4,2)</f>
        <v>928651.92</v>
      </c>
      <c r="G4" s="679">
        <f>ROUND('Balance N'!E4,2)</f>
        <v>0</v>
      </c>
      <c r="H4" s="679">
        <f>ROUND('Balance N'!F4,2)</f>
        <v>835412.16</v>
      </c>
      <c r="I4" s="2" t="str">
        <f t="shared" si="2"/>
        <v>1</v>
      </c>
      <c r="J4" s="574">
        <v>3</v>
      </c>
      <c r="K4" s="719" t="e">
        <f t="shared" si="0"/>
        <v>#REF!</v>
      </c>
      <c r="L4" s="719" t="e">
        <f t="shared" si="1"/>
        <v>#REF!</v>
      </c>
      <c r="M4" s="719" t="e">
        <f t="shared" si="3"/>
        <v>#REF!</v>
      </c>
      <c r="N4" s="306" t="e">
        <f>+N3+M4</f>
        <v>#REF!</v>
      </c>
    </row>
    <row r="5" spans="1:17" x14ac:dyDescent="0.2">
      <c r="A5" s="573" t="str">
        <f>FIXED('Balance N'!A5,0,1)</f>
        <v>14810100</v>
      </c>
      <c r="B5" s="572" t="str">
        <f>+'Balance N'!B5</f>
        <v>RCI FIN</v>
      </c>
      <c r="C5" s="679" t="e">
        <f>ROUND('Balance N'!#REF!,2)</f>
        <v>#REF!</v>
      </c>
      <c r="D5" s="679" t="e">
        <f>ROUND('Balance N'!#REF!,2)</f>
        <v>#REF!</v>
      </c>
      <c r="E5" s="679">
        <f>ROUND('Balance N'!C5,2)</f>
        <v>11938.55</v>
      </c>
      <c r="F5" s="679">
        <f>ROUND('Balance N'!D5,2)</f>
        <v>100000</v>
      </c>
      <c r="G5" s="679">
        <f>ROUND('Balance N'!E5,2)</f>
        <v>0</v>
      </c>
      <c r="H5" s="679">
        <f>ROUND('Balance N'!F5,2)</f>
        <v>88061.45</v>
      </c>
      <c r="I5" s="2" t="str">
        <f t="shared" si="2"/>
        <v>1</v>
      </c>
      <c r="J5" s="574">
        <v>4</v>
      </c>
      <c r="K5" s="719" t="e">
        <f t="shared" si="0"/>
        <v>#REF!</v>
      </c>
      <c r="L5" s="719" t="e">
        <f t="shared" si="1"/>
        <v>#REF!</v>
      </c>
      <c r="M5" s="719" t="e">
        <f t="shared" si="3"/>
        <v>#REF!</v>
      </c>
      <c r="N5" s="306" t="e">
        <f>+N4+M5</f>
        <v>#REF!</v>
      </c>
    </row>
    <row r="6" spans="1:17" x14ac:dyDescent="0.2">
      <c r="A6" s="573" t="str">
        <f>FIXED('Balance N'!A6,0,1)</f>
        <v>14820300</v>
      </c>
      <c r="B6" s="572" t="str">
        <f>+'Balance N'!B6</f>
        <v>SOFAC CREDIT</v>
      </c>
      <c r="C6" s="679" t="e">
        <f>ROUND('Balance N'!#REF!,2)</f>
        <v>#REF!</v>
      </c>
      <c r="D6" s="679" t="e">
        <f>ROUND('Balance N'!#REF!,2)</f>
        <v>#REF!</v>
      </c>
      <c r="E6" s="679">
        <f>ROUND('Balance N'!C6,2)</f>
        <v>0</v>
      </c>
      <c r="F6" s="679">
        <f>ROUND('Balance N'!D6,2)</f>
        <v>81942</v>
      </c>
      <c r="G6" s="679">
        <f>ROUND('Balance N'!E6,2)</f>
        <v>0</v>
      </c>
      <c r="H6" s="679">
        <f>ROUND('Balance N'!F6,2)</f>
        <v>81942</v>
      </c>
      <c r="I6" s="2" t="str">
        <f t="shared" si="2"/>
        <v>1</v>
      </c>
      <c r="J6" s="574">
        <v>5</v>
      </c>
      <c r="K6" s="719" t="e">
        <f t="shared" si="0"/>
        <v>#REF!</v>
      </c>
      <c r="L6" s="719" t="e">
        <f t="shared" si="1"/>
        <v>#REF!</v>
      </c>
      <c r="M6" s="719" t="e">
        <f t="shared" si="3"/>
        <v>#REF!</v>
      </c>
      <c r="N6" s="306" t="e">
        <f>+N5+M6</f>
        <v>#REF!</v>
      </c>
      <c r="O6" s="575" t="e">
        <f>SUM(K2:K6)</f>
        <v>#REF!</v>
      </c>
      <c r="P6" s="575" t="e">
        <f>SUM(L2:L6)</f>
        <v>#REF!</v>
      </c>
      <c r="Q6" s="575" t="e">
        <f>+O6-P6</f>
        <v>#REF!</v>
      </c>
    </row>
    <row r="7" spans="1:17" x14ac:dyDescent="0.2">
      <c r="A7" s="573" t="str">
        <f>FIXED('Balance N'!A7,0,1)</f>
        <v>21110000</v>
      </c>
      <c r="B7" s="572" t="str">
        <f>+'Balance N'!B7</f>
        <v>Frais  constitution</v>
      </c>
      <c r="C7" s="679" t="e">
        <f>ROUND('Balance N'!#REF!,2)</f>
        <v>#REF!</v>
      </c>
      <c r="D7" s="679" t="e">
        <f>ROUND('Balance N'!#REF!,2)</f>
        <v>#REF!</v>
      </c>
      <c r="E7" s="679">
        <f>ROUND('Balance N'!C7,2)</f>
        <v>5000</v>
      </c>
      <c r="F7" s="679">
        <f>ROUND('Balance N'!D7,2)</f>
        <v>0</v>
      </c>
      <c r="G7" s="679">
        <f>ROUND('Balance N'!E7,2)</f>
        <v>5000</v>
      </c>
      <c r="H7" s="679">
        <f>ROUND('Balance N'!F7,2)</f>
        <v>0</v>
      </c>
      <c r="I7" s="2" t="str">
        <f t="shared" si="2"/>
        <v>2</v>
      </c>
      <c r="J7" s="574">
        <v>6</v>
      </c>
      <c r="K7" s="719" t="e">
        <f t="shared" si="0"/>
        <v>#REF!</v>
      </c>
      <c r="L7" s="719" t="e">
        <f t="shared" si="1"/>
        <v>#REF!</v>
      </c>
      <c r="M7" s="719" t="e">
        <f>+K7-L7</f>
        <v>#REF!</v>
      </c>
      <c r="N7" s="306" t="e">
        <f>M7</f>
        <v>#REF!</v>
      </c>
    </row>
    <row r="8" spans="1:17" x14ac:dyDescent="0.2">
      <c r="A8" s="573" t="str">
        <f>FIXED('Balance N'!A8,0,1)</f>
        <v>23232000</v>
      </c>
      <c r="B8" s="572" t="str">
        <f>+'Balance N'!B8</f>
        <v>MATERIEL ET OUTILLAGE</v>
      </c>
      <c r="C8" s="679" t="e">
        <f>ROUND('Balance N'!#REF!,2)</f>
        <v>#REF!</v>
      </c>
      <c r="D8" s="679" t="e">
        <f>ROUND('Balance N'!#REF!,2)</f>
        <v>#REF!</v>
      </c>
      <c r="E8" s="679">
        <f>ROUND('Balance N'!C8,2)</f>
        <v>9700</v>
      </c>
      <c r="F8" s="679">
        <f>ROUND('Balance N'!D8,2)</f>
        <v>0</v>
      </c>
      <c r="G8" s="679">
        <f>ROUND('Balance N'!E8,2)</f>
        <v>9700</v>
      </c>
      <c r="H8" s="679">
        <f>ROUND('Balance N'!F8,2)</f>
        <v>0</v>
      </c>
      <c r="I8" s="2" t="str">
        <f t="shared" si="2"/>
        <v>2</v>
      </c>
      <c r="J8" s="574">
        <v>7</v>
      </c>
      <c r="K8" s="719" t="e">
        <f t="shared" si="0"/>
        <v>#REF!</v>
      </c>
      <c r="L8" s="719" t="e">
        <f t="shared" si="1"/>
        <v>#REF!</v>
      </c>
      <c r="M8" s="719" t="e">
        <f t="shared" si="3"/>
        <v>#REF!</v>
      </c>
      <c r="N8" s="306" t="e">
        <f>+N7+M8</f>
        <v>#REF!</v>
      </c>
    </row>
    <row r="9" spans="1:17" x14ac:dyDescent="0.2">
      <c r="A9" s="573" t="str">
        <f>FIXED('Balance N'!A9,0,1)</f>
        <v>23400000</v>
      </c>
      <c r="B9" s="572" t="str">
        <f>+'Balance N'!B9</f>
        <v>MATRIEL DE TRANSPORT</v>
      </c>
      <c r="C9" s="679" t="e">
        <f>ROUND('Balance N'!#REF!,2)</f>
        <v>#REF!</v>
      </c>
      <c r="D9" s="679" t="e">
        <f>ROUND('Balance N'!#REF!,2)</f>
        <v>#REF!</v>
      </c>
      <c r="E9" s="679">
        <f>ROUND('Balance N'!C9,2)</f>
        <v>1578827.58</v>
      </c>
      <c r="F9" s="679">
        <f>ROUND('Balance N'!D9,2)</f>
        <v>0</v>
      </c>
      <c r="G9" s="679">
        <f>ROUND('Balance N'!E9,2)</f>
        <v>1578827.58</v>
      </c>
      <c r="H9" s="679">
        <f>ROUND('Balance N'!F9,2)</f>
        <v>0</v>
      </c>
      <c r="I9" s="2" t="str">
        <f t="shared" si="2"/>
        <v>2</v>
      </c>
      <c r="J9" s="574">
        <v>8</v>
      </c>
      <c r="K9" s="719" t="e">
        <f t="shared" si="0"/>
        <v>#REF!</v>
      </c>
      <c r="L9" s="719" t="e">
        <f t="shared" si="1"/>
        <v>#REF!</v>
      </c>
      <c r="M9" s="719" t="e">
        <f t="shared" si="3"/>
        <v>#REF!</v>
      </c>
      <c r="O9" s="575" t="e">
        <f>SUM(K7:K9)</f>
        <v>#REF!</v>
      </c>
      <c r="P9" s="575" t="e">
        <f>SUM(L7:L9)</f>
        <v>#REF!</v>
      </c>
      <c r="Q9" s="575" t="e">
        <f>+O9-P9</f>
        <v>#REF!</v>
      </c>
    </row>
    <row r="10" spans="1:17" x14ac:dyDescent="0.2">
      <c r="A10" s="573" t="str">
        <f>FIXED('Balance N'!A10,0,1)</f>
        <v>28110000</v>
      </c>
      <c r="B10" s="572" t="str">
        <f>+'Balance N'!B10</f>
        <v>Amort  frais constitution</v>
      </c>
      <c r="C10" s="679" t="e">
        <f>ROUND('Balance N'!#REF!,2)</f>
        <v>#REF!</v>
      </c>
      <c r="D10" s="679" t="e">
        <f>ROUND('Balance N'!#REF!,2)</f>
        <v>#REF!</v>
      </c>
      <c r="E10" s="679">
        <f>ROUND('Balance N'!C10,2)</f>
        <v>0</v>
      </c>
      <c r="F10" s="679">
        <f>ROUND('Balance N'!D10,2)</f>
        <v>2360.87</v>
      </c>
      <c r="G10" s="679">
        <f>ROUND('Balance N'!E10,2)</f>
        <v>0</v>
      </c>
      <c r="H10" s="679">
        <f>ROUND('Balance N'!F10,2)</f>
        <v>2360.87</v>
      </c>
      <c r="I10" s="2" t="str">
        <f t="shared" si="2"/>
        <v>2</v>
      </c>
      <c r="J10" s="574" t="s">
        <v>558</v>
      </c>
      <c r="K10" s="719" t="e">
        <f>SUM(K2:K9)</f>
        <v>#REF!</v>
      </c>
      <c r="L10" s="719" t="e">
        <f>SUM(L2:L9)</f>
        <v>#REF!</v>
      </c>
      <c r="M10" s="719" t="e">
        <f>SUM(M2:M9)</f>
        <v>#REF!</v>
      </c>
    </row>
    <row r="11" spans="1:17" x14ac:dyDescent="0.2">
      <c r="A11" s="573" t="str">
        <f>FIXED('Balance N'!A11,0,1)</f>
        <v>28322000</v>
      </c>
      <c r="B11" s="572" t="str">
        <f>+'Balance N'!B11</f>
        <v>AMOT MATERIEL ET OULILLAGE</v>
      </c>
      <c r="C11" s="679" t="e">
        <f>ROUND('Balance N'!#REF!,2)</f>
        <v>#REF!</v>
      </c>
      <c r="D11" s="679" t="e">
        <f>ROUND('Balance N'!#REF!,2)</f>
        <v>#REF!</v>
      </c>
      <c r="E11" s="679">
        <f>ROUND('Balance N'!C11,2)</f>
        <v>0</v>
      </c>
      <c r="F11" s="679">
        <f>ROUND('Balance N'!D11,2)</f>
        <v>1215</v>
      </c>
      <c r="G11" s="679">
        <f>ROUND('Balance N'!E11,2)</f>
        <v>0</v>
      </c>
      <c r="H11" s="679">
        <f>ROUND('Balance N'!F11,2)</f>
        <v>1215</v>
      </c>
      <c r="I11" s="2" t="str">
        <f t="shared" si="2"/>
        <v>2</v>
      </c>
    </row>
    <row r="12" spans="1:17" x14ac:dyDescent="0.2">
      <c r="A12" s="573" t="str">
        <f>FIXED('Balance N'!A12,0,1)</f>
        <v>28340000</v>
      </c>
      <c r="B12" s="572" t="str">
        <f>+'Balance N'!B12</f>
        <v>AMPORT MAT DE TRANSP</v>
      </c>
      <c r="C12" s="679" t="e">
        <f>ROUND('Balance N'!#REF!,2)</f>
        <v>#REF!</v>
      </c>
      <c r="D12" s="679" t="e">
        <f>ROUND('Balance N'!#REF!,2)</f>
        <v>#REF!</v>
      </c>
      <c r="E12" s="679">
        <f>ROUND('Balance N'!C12,2)</f>
        <v>0</v>
      </c>
      <c r="F12" s="679">
        <f>ROUND('Balance N'!D12,2)</f>
        <v>169962.26</v>
      </c>
      <c r="G12" s="679">
        <f>ROUND('Balance N'!E12,2)</f>
        <v>0</v>
      </c>
      <c r="H12" s="679">
        <f>ROUND('Balance N'!F12,2)</f>
        <v>169962.26</v>
      </c>
      <c r="I12" s="2" t="str">
        <f t="shared" si="2"/>
        <v>2</v>
      </c>
    </row>
    <row r="13" spans="1:17" x14ac:dyDescent="0.2">
      <c r="A13" s="573" t="str">
        <f>FIXED('Balance N'!A13,0,1)</f>
        <v>34110000</v>
      </c>
      <c r="B13" s="572" t="str">
        <f>+'Balance N'!B13</f>
        <v>Frs avances et acompte</v>
      </c>
      <c r="C13" s="679" t="e">
        <f>ROUND('Balance N'!#REF!,2)</f>
        <v>#REF!</v>
      </c>
      <c r="D13" s="679" t="e">
        <f>ROUND('Balance N'!#REF!,2)</f>
        <v>#REF!</v>
      </c>
      <c r="E13" s="679">
        <f>ROUND('Balance N'!C13,2)</f>
        <v>504198.25</v>
      </c>
      <c r="F13" s="679">
        <f>ROUND('Balance N'!D13,2)</f>
        <v>504198.25</v>
      </c>
      <c r="G13" s="679">
        <f>ROUND('Balance N'!E13,2)</f>
        <v>0</v>
      </c>
      <c r="H13" s="679">
        <f>ROUND('Balance N'!F13,2)</f>
        <v>0</v>
      </c>
      <c r="I13" s="2" t="str">
        <f t="shared" si="2"/>
        <v>3</v>
      </c>
    </row>
    <row r="14" spans="1:17" x14ac:dyDescent="0.2">
      <c r="A14" s="573" t="str">
        <f>FIXED('Balance N'!A14,0,1)</f>
        <v>34210000</v>
      </c>
      <c r="B14" s="572" t="str">
        <f>+'Balance N'!B14</f>
        <v>clients collectiive</v>
      </c>
      <c r="C14" s="679" t="e">
        <f>ROUND('Balance N'!#REF!,2)</f>
        <v>#REF!</v>
      </c>
      <c r="D14" s="679" t="e">
        <f>ROUND('Balance N'!#REF!,2)</f>
        <v>#REF!</v>
      </c>
      <c r="E14" s="679">
        <f>ROUND('Balance N'!C14,2)</f>
        <v>483000</v>
      </c>
      <c r="F14" s="679">
        <f>ROUND('Balance N'!D14,2)</f>
        <v>195000</v>
      </c>
      <c r="G14" s="679">
        <f>ROUND('Balance N'!E14,2)</f>
        <v>288000</v>
      </c>
      <c r="H14" s="679">
        <f>ROUND('Balance N'!F14,2)</f>
        <v>0</v>
      </c>
      <c r="I14" s="2" t="str">
        <f t="shared" si="2"/>
        <v>3</v>
      </c>
    </row>
    <row r="15" spans="1:17" x14ac:dyDescent="0.2">
      <c r="A15" s="573" t="str">
        <f>FIXED('Balance N'!A15,0,1)</f>
        <v>34550100</v>
      </c>
      <c r="B15" s="572" t="str">
        <f>+'Balance N'!B15</f>
        <v>tva 20%</v>
      </c>
      <c r="C15" s="679" t="e">
        <f>ROUND('Balance N'!#REF!,2)</f>
        <v>#REF!</v>
      </c>
      <c r="D15" s="679" t="e">
        <f>ROUND('Balance N'!#REF!,2)</f>
        <v>#REF!</v>
      </c>
      <c r="E15" s="679">
        <f>ROUND('Balance N'!C15,2)</f>
        <v>42169.66</v>
      </c>
      <c r="F15" s="679">
        <f>ROUND('Balance N'!D15,2)</f>
        <v>22567.97</v>
      </c>
      <c r="G15" s="679">
        <f>ROUND('Balance N'!E15,2)</f>
        <v>19601.689999999999</v>
      </c>
      <c r="H15" s="679">
        <f>ROUND('Balance N'!F15,2)</f>
        <v>0</v>
      </c>
      <c r="I15" s="2" t="str">
        <f t="shared" si="2"/>
        <v>3</v>
      </c>
    </row>
    <row r="16" spans="1:17" x14ac:dyDescent="0.2">
      <c r="A16" s="573" t="str">
        <f>FIXED('Balance N'!A16,0,1)</f>
        <v>34550300</v>
      </c>
      <c r="B16" s="572" t="str">
        <f>+'Balance N'!B16</f>
        <v>TVA10 %</v>
      </c>
      <c r="C16" s="679" t="e">
        <f>ROUND('Balance N'!#REF!,2)</f>
        <v>#REF!</v>
      </c>
      <c r="D16" s="679" t="e">
        <f>ROUND('Balance N'!#REF!,2)</f>
        <v>#REF!</v>
      </c>
      <c r="E16" s="679">
        <f>ROUND('Balance N'!C16,2)</f>
        <v>4690.3500000000004</v>
      </c>
      <c r="F16" s="679">
        <f>ROUND('Balance N'!D16,2)</f>
        <v>3491.32</v>
      </c>
      <c r="G16" s="679">
        <f>ROUND('Balance N'!E16,2)</f>
        <v>1199.03</v>
      </c>
      <c r="H16" s="679">
        <f>ROUND('Balance N'!F16,2)</f>
        <v>0</v>
      </c>
      <c r="I16" s="2" t="str">
        <f t="shared" si="2"/>
        <v>3</v>
      </c>
    </row>
    <row r="17" spans="1:9" x14ac:dyDescent="0.2">
      <c r="A17" s="573" t="str">
        <f>FIXED('Balance N'!A17,0,1)</f>
        <v>34560000</v>
      </c>
      <c r="B17" s="572" t="str">
        <f>+'Balance N'!B17</f>
        <v>CREDIT TVA</v>
      </c>
      <c r="C17" s="679" t="e">
        <f>ROUND('Balance N'!#REF!,2)</f>
        <v>#REF!</v>
      </c>
      <c r="D17" s="679" t="e">
        <f>ROUND('Balance N'!#REF!,2)</f>
        <v>#REF!</v>
      </c>
      <c r="E17" s="679">
        <f>ROUND('Balance N'!C17,2)</f>
        <v>3385.76</v>
      </c>
      <c r="F17" s="679">
        <f>ROUND('Balance N'!D17,2)</f>
        <v>3385.76</v>
      </c>
      <c r="G17" s="679">
        <f>ROUND('Balance N'!E17,2)</f>
        <v>0</v>
      </c>
      <c r="H17" s="679">
        <f>ROUND('Balance N'!F17,2)</f>
        <v>0</v>
      </c>
      <c r="I17" s="2" t="str">
        <f t="shared" si="2"/>
        <v>3</v>
      </c>
    </row>
    <row r="18" spans="1:9" x14ac:dyDescent="0.2">
      <c r="A18" s="573" t="str">
        <f>FIXED('Balance N'!A18,0,1)</f>
        <v>44110100</v>
      </c>
      <c r="B18" s="572" t="str">
        <f>+'Balance N'!B18</f>
        <v>FOURNISSEUR LOCAUX</v>
      </c>
      <c r="C18" s="679" t="e">
        <f>ROUND('Balance N'!#REF!,2)</f>
        <v>#REF!</v>
      </c>
      <c r="D18" s="679" t="e">
        <f>ROUND('Balance N'!#REF!,2)</f>
        <v>#REF!</v>
      </c>
      <c r="E18" s="679">
        <f>ROUND('Balance N'!C18,2)</f>
        <v>1636170.08</v>
      </c>
      <c r="F18" s="679">
        <f>ROUND('Balance N'!D18,2)</f>
        <v>1643743.28</v>
      </c>
      <c r="G18" s="679">
        <f>ROUND('Balance N'!E18,2)</f>
        <v>0</v>
      </c>
      <c r="H18" s="679">
        <f>ROUND('Balance N'!F18,2)</f>
        <v>7573.2</v>
      </c>
      <c r="I18" s="2" t="str">
        <f t="shared" si="2"/>
        <v>4</v>
      </c>
    </row>
    <row r="19" spans="1:9" x14ac:dyDescent="0.2">
      <c r="A19" s="573" t="str">
        <f>FIXED('Balance N'!A19,0,1)</f>
        <v>44320000</v>
      </c>
      <c r="B19" s="572" t="str">
        <f>+'Balance N'!B19</f>
        <v>SALAIRE NET</v>
      </c>
      <c r="C19" s="679" t="e">
        <f>ROUND('Balance N'!#REF!,2)</f>
        <v>#REF!</v>
      </c>
      <c r="D19" s="679" t="e">
        <f>ROUND('Balance N'!#REF!,2)</f>
        <v>#REF!</v>
      </c>
      <c r="E19" s="679">
        <f>ROUND('Balance N'!C19,2)</f>
        <v>26727</v>
      </c>
      <c r="F19" s="679">
        <f>ROUND('Balance N'!D19,2)</f>
        <v>26727</v>
      </c>
      <c r="G19" s="679">
        <f>ROUND('Balance N'!E19,2)</f>
        <v>0</v>
      </c>
      <c r="H19" s="679">
        <f>ROUND('Balance N'!F19,2)</f>
        <v>0</v>
      </c>
      <c r="I19" s="2" t="str">
        <f t="shared" si="2"/>
        <v>4</v>
      </c>
    </row>
    <row r="20" spans="1:9" x14ac:dyDescent="0.2">
      <c r="A20" s="573" t="str">
        <f>FIXED('Balance N'!A20,0,1)</f>
        <v>44410000</v>
      </c>
      <c r="B20" s="572" t="str">
        <f>+'Balance N'!B20</f>
        <v>COT CNSS</v>
      </c>
      <c r="C20" s="679" t="e">
        <f>ROUND('Balance N'!#REF!,2)</f>
        <v>#REF!</v>
      </c>
      <c r="D20" s="679" t="e">
        <f>ROUND('Balance N'!#REF!,2)</f>
        <v>#REF!</v>
      </c>
      <c r="E20" s="679">
        <f>ROUND('Balance N'!C20,2)</f>
        <v>6006.57</v>
      </c>
      <c r="F20" s="679">
        <f>ROUND('Balance N'!D20,2)</f>
        <v>6620.41</v>
      </c>
      <c r="G20" s="679">
        <f>ROUND('Balance N'!E20,2)</f>
        <v>0</v>
      </c>
      <c r="H20" s="679">
        <f>ROUND('Balance N'!F20,2)</f>
        <v>613.84</v>
      </c>
      <c r="I20" s="2" t="str">
        <f t="shared" si="2"/>
        <v>4</v>
      </c>
    </row>
    <row r="21" spans="1:9" x14ac:dyDescent="0.2">
      <c r="A21" s="573" t="str">
        <f>FIXED('Balance N'!A21,0,1)</f>
        <v>44450000</v>
      </c>
      <c r="B21" s="572" t="str">
        <f>+'Balance N'!B21</f>
        <v>COT AMO</v>
      </c>
      <c r="C21" s="679" t="e">
        <f>ROUND('Balance N'!#REF!,2)</f>
        <v>#REF!</v>
      </c>
      <c r="D21" s="679" t="e">
        <f>ROUND('Balance N'!#REF!,2)</f>
        <v>#REF!</v>
      </c>
      <c r="E21" s="679">
        <f>ROUND('Balance N'!C21,2)</f>
        <v>1782.97</v>
      </c>
      <c r="F21" s="679">
        <f>ROUND('Balance N'!D21,2)</f>
        <v>1965.15</v>
      </c>
      <c r="G21" s="679">
        <f>ROUND('Balance N'!E21,2)</f>
        <v>0</v>
      </c>
      <c r="H21" s="679">
        <f>ROUND('Balance N'!F21,2)</f>
        <v>182.18</v>
      </c>
      <c r="I21" s="2" t="str">
        <f t="shared" si="2"/>
        <v>4</v>
      </c>
    </row>
    <row r="22" spans="1:9" x14ac:dyDescent="0.2">
      <c r="A22" s="573" t="str">
        <f>FIXED('Balance N'!A22,0,1)</f>
        <v>44525000</v>
      </c>
      <c r="B22" s="572" t="str">
        <f>+'Balance N'!B22</f>
        <v>IR</v>
      </c>
      <c r="C22" s="679" t="e">
        <f>ROUND('Balance N'!#REF!,2)</f>
        <v>#REF!</v>
      </c>
      <c r="D22" s="679" t="e">
        <f>ROUND('Balance N'!#REF!,2)</f>
        <v>#REF!</v>
      </c>
      <c r="E22" s="679">
        <f>ROUND('Balance N'!C22,2)</f>
        <v>0</v>
      </c>
      <c r="F22" s="679">
        <f>ROUND('Balance N'!D22,2)</f>
        <v>343.49</v>
      </c>
      <c r="G22" s="679">
        <f>ROUND('Balance N'!E22,2)</f>
        <v>0</v>
      </c>
      <c r="H22" s="679">
        <f>ROUND('Balance N'!F22,2)</f>
        <v>343.49</v>
      </c>
      <c r="I22" s="2" t="str">
        <f t="shared" si="2"/>
        <v>4</v>
      </c>
    </row>
    <row r="23" spans="1:9" x14ac:dyDescent="0.2">
      <c r="A23" s="573" t="str">
        <f>FIXED('Balance N'!A23,0,1)</f>
        <v>44530000</v>
      </c>
      <c r="B23" s="572" t="str">
        <f>+'Balance N'!B23</f>
        <v>IMPOT IS DUE</v>
      </c>
      <c r="C23" s="679" t="e">
        <f>ROUND('Balance N'!#REF!,2)</f>
        <v>#REF!</v>
      </c>
      <c r="D23" s="679" t="e">
        <f>ROUND('Balance N'!#REF!,2)</f>
        <v>#REF!</v>
      </c>
      <c r="E23" s="679">
        <f>ROUND('Balance N'!C23,2)</f>
        <v>0</v>
      </c>
      <c r="F23" s="679">
        <f>ROUND('Balance N'!D23,2)</f>
        <v>2384</v>
      </c>
      <c r="G23" s="679">
        <f>ROUND('Balance N'!E23,2)</f>
        <v>0</v>
      </c>
      <c r="H23" s="679">
        <f>ROUND('Balance N'!F23,2)</f>
        <v>2384</v>
      </c>
      <c r="I23" s="2" t="str">
        <f t="shared" si="2"/>
        <v>4</v>
      </c>
    </row>
    <row r="24" spans="1:9" x14ac:dyDescent="0.2">
      <c r="A24" s="573" t="str">
        <f>FIXED('Balance N'!A24,0,1)</f>
        <v>44550000</v>
      </c>
      <c r="B24" s="572" t="str">
        <f>+'Balance N'!B24</f>
        <v>TVA FACTURE</v>
      </c>
      <c r="C24" s="679" t="e">
        <f>ROUND('Balance N'!#REF!,2)</f>
        <v>#REF!</v>
      </c>
      <c r="D24" s="679" t="e">
        <f>ROUND('Balance N'!#REF!,2)</f>
        <v>#REF!</v>
      </c>
      <c r="E24" s="679">
        <f>ROUND('Balance N'!C24,2)</f>
        <v>28334</v>
      </c>
      <c r="F24" s="679">
        <f>ROUND('Balance N'!D24,2)</f>
        <v>76333.33</v>
      </c>
      <c r="G24" s="679">
        <f>ROUND('Balance N'!E24,2)</f>
        <v>0</v>
      </c>
      <c r="H24" s="679">
        <f>ROUND('Balance N'!F24,2)</f>
        <v>47999.33</v>
      </c>
      <c r="I24" s="2" t="str">
        <f t="shared" si="2"/>
        <v>4</v>
      </c>
    </row>
    <row r="25" spans="1:9" x14ac:dyDescent="0.2">
      <c r="A25" s="573" t="str">
        <f>FIXED('Balance N'!A25,0,1)</f>
        <v>44560000</v>
      </c>
      <c r="B25" s="572" t="str">
        <f>+'Balance N'!B25</f>
        <v>TVA DUE</v>
      </c>
      <c r="C25" s="679" t="e">
        <f>ROUND('Balance N'!#REF!,2)</f>
        <v>#REF!</v>
      </c>
      <c r="D25" s="679" t="e">
        <f>ROUND('Balance N'!#REF!,2)</f>
        <v>#REF!</v>
      </c>
      <c r="E25" s="679">
        <f>ROUND('Balance N'!C25,2)</f>
        <v>0</v>
      </c>
      <c r="F25" s="679">
        <f>ROUND('Balance N'!D25,2)</f>
        <v>2275</v>
      </c>
      <c r="G25" s="679">
        <f>ROUND('Balance N'!E25,2)</f>
        <v>0</v>
      </c>
      <c r="H25" s="679">
        <f>ROUND('Balance N'!F25,2)</f>
        <v>2275</v>
      </c>
      <c r="I25" s="2" t="str">
        <f t="shared" si="2"/>
        <v>4</v>
      </c>
    </row>
    <row r="26" spans="1:9" x14ac:dyDescent="0.2">
      <c r="A26" s="573" t="str">
        <f>FIXED('Balance N'!A26,0,1)</f>
        <v>44630000</v>
      </c>
      <c r="B26" s="572" t="str">
        <f>+'Balance N'!B26</f>
        <v>COMPTE COURANT D'ASSOCIE</v>
      </c>
      <c r="C26" s="679" t="e">
        <f>ROUND('Balance N'!#REF!,2)</f>
        <v>#REF!</v>
      </c>
      <c r="D26" s="679" t="e">
        <f>ROUND('Balance N'!#REF!,2)</f>
        <v>#REF!</v>
      </c>
      <c r="E26" s="679">
        <f>ROUND('Balance N'!C26,2)</f>
        <v>193818.2</v>
      </c>
      <c r="F26" s="679">
        <f>ROUND('Balance N'!D26,2)</f>
        <v>753780.49</v>
      </c>
      <c r="G26" s="679">
        <f>ROUND('Balance N'!E26,2)</f>
        <v>0</v>
      </c>
      <c r="H26" s="679">
        <f>ROUND('Balance N'!F26,2)</f>
        <v>559962.29</v>
      </c>
      <c r="I26" s="2" t="str">
        <f t="shared" si="2"/>
        <v>4</v>
      </c>
    </row>
    <row r="27" spans="1:9" x14ac:dyDescent="0.2">
      <c r="A27" s="573" t="str">
        <f>FIXED('Balance N'!A27,0,1)</f>
        <v>51410000</v>
      </c>
      <c r="B27" s="572" t="str">
        <f>+'Balance N'!B27</f>
        <v>ATTIJARIWAFA BANK</v>
      </c>
      <c r="C27" s="679" t="e">
        <f>ROUND('Balance N'!#REF!,2)</f>
        <v>#REF!</v>
      </c>
      <c r="D27" s="679" t="e">
        <f>ROUND('Balance N'!#REF!,2)</f>
        <v>#REF!</v>
      </c>
      <c r="E27" s="679">
        <f>ROUND('Balance N'!C27,2)</f>
        <v>868754.1</v>
      </c>
      <c r="F27" s="679">
        <f>ROUND('Balance N'!D27,2)</f>
        <v>868430.99</v>
      </c>
      <c r="G27" s="679">
        <f>ROUND('Balance N'!E27,2)</f>
        <v>323.11</v>
      </c>
      <c r="H27" s="679">
        <f>ROUND('Balance N'!F27,2)</f>
        <v>0</v>
      </c>
      <c r="I27" s="2" t="str">
        <f t="shared" si="2"/>
        <v>5</v>
      </c>
    </row>
    <row r="28" spans="1:9" x14ac:dyDescent="0.2">
      <c r="A28" s="573" t="str">
        <f>FIXED('Balance N'!A28,0,1)</f>
        <v>51610000</v>
      </c>
      <c r="B28" s="572" t="str">
        <f>+'Balance N'!B28</f>
        <v>CAISSE</v>
      </c>
      <c r="C28" s="679" t="e">
        <f>ROUND('Balance N'!#REF!,2)</f>
        <v>#REF!</v>
      </c>
      <c r="D28" s="679" t="e">
        <f>ROUND('Balance N'!#REF!,2)</f>
        <v>#REF!</v>
      </c>
      <c r="E28" s="679">
        <f>ROUND('Balance N'!C28,2)</f>
        <v>362761.49</v>
      </c>
      <c r="F28" s="679">
        <f>ROUND('Balance N'!D28,2)</f>
        <v>362592.06</v>
      </c>
      <c r="G28" s="679">
        <f>ROUND('Balance N'!E28,2)</f>
        <v>169.43</v>
      </c>
      <c r="H28" s="679">
        <f>ROUND('Balance N'!F28,2)</f>
        <v>0</v>
      </c>
      <c r="I28" s="2" t="str">
        <f t="shared" si="2"/>
        <v>5</v>
      </c>
    </row>
    <row r="29" spans="1:9" x14ac:dyDescent="0.2">
      <c r="A29" s="573" t="str">
        <f>FIXED('Balance N'!A29,0,1)</f>
        <v>61312000</v>
      </c>
      <c r="B29" s="572" t="str">
        <f>+'Balance N'!B29</f>
        <v>loyer</v>
      </c>
      <c r="C29" s="679" t="e">
        <f>ROUND('Balance N'!#REF!,2)</f>
        <v>#REF!</v>
      </c>
      <c r="D29" s="679" t="e">
        <f>ROUND('Balance N'!#REF!,2)</f>
        <v>#REF!</v>
      </c>
      <c r="E29" s="679">
        <f>ROUND('Balance N'!C29,2)</f>
        <v>12000</v>
      </c>
      <c r="F29" s="679">
        <f>ROUND('Balance N'!D29,2)</f>
        <v>0</v>
      </c>
      <c r="G29" s="679">
        <f>ROUND('Balance N'!E29,2)</f>
        <v>12000</v>
      </c>
      <c r="H29" s="679">
        <f>ROUND('Balance N'!F29,2)</f>
        <v>0</v>
      </c>
      <c r="I29" s="2" t="str">
        <f t="shared" si="2"/>
        <v>6</v>
      </c>
    </row>
    <row r="30" spans="1:9" x14ac:dyDescent="0.2">
      <c r="A30" s="573" t="str">
        <f>FIXED('Balance N'!A30,0,1)</f>
        <v>61331000</v>
      </c>
      <c r="B30" s="572" t="str">
        <f>+'Balance N'!B30</f>
        <v>ENTRETIEN ET REPARATION</v>
      </c>
      <c r="C30" s="679" t="e">
        <f>ROUND('Balance N'!#REF!,2)</f>
        <v>#REF!</v>
      </c>
      <c r="D30" s="679" t="e">
        <f>ROUND('Balance N'!#REF!,2)</f>
        <v>#REF!</v>
      </c>
      <c r="E30" s="679">
        <f>ROUND('Balance N'!C30,2)</f>
        <v>6438.04</v>
      </c>
      <c r="F30" s="679">
        <f>ROUND('Balance N'!D30,2)</f>
        <v>0</v>
      </c>
      <c r="G30" s="679">
        <f>ROUND('Balance N'!E30,2)</f>
        <v>6438.04</v>
      </c>
      <c r="H30" s="679">
        <f>ROUND('Balance N'!F30,2)</f>
        <v>0</v>
      </c>
      <c r="I30" s="2" t="str">
        <f t="shared" si="2"/>
        <v>6</v>
      </c>
    </row>
    <row r="31" spans="1:9" x14ac:dyDescent="0.2">
      <c r="A31" s="573" t="str">
        <f>FIXED('Balance N'!A31,0,1)</f>
        <v>61340000</v>
      </c>
      <c r="B31" s="572" t="str">
        <f>+'Balance N'!B31</f>
        <v>PRIME ASSURANCE</v>
      </c>
      <c r="C31" s="679" t="e">
        <f>ROUND('Balance N'!#REF!,2)</f>
        <v>#REF!</v>
      </c>
      <c r="D31" s="679" t="e">
        <f>ROUND('Balance N'!#REF!,2)</f>
        <v>#REF!</v>
      </c>
      <c r="E31" s="679">
        <f>ROUND('Balance N'!C31,2)</f>
        <v>49315.47</v>
      </c>
      <c r="F31" s="679">
        <f>ROUND('Balance N'!D31,2)</f>
        <v>0</v>
      </c>
      <c r="G31" s="679">
        <f>ROUND('Balance N'!E31,2)</f>
        <v>49315.47</v>
      </c>
      <c r="H31" s="679">
        <f>ROUND('Balance N'!F31,2)</f>
        <v>0</v>
      </c>
      <c r="I31" s="2" t="str">
        <f t="shared" si="2"/>
        <v>6</v>
      </c>
    </row>
    <row r="32" spans="1:9" x14ac:dyDescent="0.2">
      <c r="A32" s="573" t="str">
        <f>FIXED('Balance N'!A32,0,1)</f>
        <v>61455000</v>
      </c>
      <c r="B32" s="572" t="str">
        <f>+'Balance N'!B32</f>
        <v>TELEPHONE</v>
      </c>
      <c r="C32" s="679" t="e">
        <f>ROUND('Balance N'!#REF!,2)</f>
        <v>#REF!</v>
      </c>
      <c r="D32" s="679" t="e">
        <f>ROUND('Balance N'!#REF!,2)</f>
        <v>#REF!</v>
      </c>
      <c r="E32" s="679">
        <f>ROUND('Balance N'!C32,2)</f>
        <v>3306</v>
      </c>
      <c r="F32" s="679">
        <f>ROUND('Balance N'!D32,2)</f>
        <v>0</v>
      </c>
      <c r="G32" s="679">
        <f>ROUND('Balance N'!E32,2)</f>
        <v>3306</v>
      </c>
      <c r="H32" s="679">
        <f>ROUND('Balance N'!F32,2)</f>
        <v>0</v>
      </c>
      <c r="I32" s="2" t="str">
        <f t="shared" si="2"/>
        <v>6</v>
      </c>
    </row>
    <row r="33" spans="1:9" x14ac:dyDescent="0.2">
      <c r="A33" s="573" t="str">
        <f>FIXED('Balance N'!A33,0,1)</f>
        <v>61470000</v>
      </c>
      <c r="B33" s="572" t="str">
        <f>+'Balance N'!B33</f>
        <v>frais bancaire</v>
      </c>
      <c r="C33" s="679" t="e">
        <f>ROUND('Balance N'!#REF!,2)</f>
        <v>#REF!</v>
      </c>
      <c r="D33" s="679" t="e">
        <f>ROUND('Balance N'!#REF!,2)</f>
        <v>#REF!</v>
      </c>
      <c r="E33" s="679">
        <f>ROUND('Balance N'!C33,2)</f>
        <v>7606.3</v>
      </c>
      <c r="F33" s="679">
        <f>ROUND('Balance N'!D33,2)</f>
        <v>0</v>
      </c>
      <c r="G33" s="679">
        <f>ROUND('Balance N'!E33,2)</f>
        <v>7606.3</v>
      </c>
      <c r="H33" s="679">
        <f>ROUND('Balance N'!F33,2)</f>
        <v>0</v>
      </c>
      <c r="I33" s="2" t="str">
        <f t="shared" si="2"/>
        <v>6</v>
      </c>
    </row>
    <row r="34" spans="1:9" x14ac:dyDescent="0.2">
      <c r="A34" s="573" t="str">
        <f>FIXED('Balance N'!A34,0,1)</f>
        <v>61610000</v>
      </c>
      <c r="B34" s="572" t="str">
        <f>+'Balance N'!B34</f>
        <v>impot et taxes</v>
      </c>
      <c r="C34" s="679" t="e">
        <f>ROUND('Balance N'!#REF!,2)</f>
        <v>#REF!</v>
      </c>
      <c r="D34" s="679" t="e">
        <f>ROUND('Balance N'!#REF!,2)</f>
        <v>#REF!</v>
      </c>
      <c r="E34" s="679">
        <f>ROUND('Balance N'!C34,2)</f>
        <v>17477</v>
      </c>
      <c r="F34" s="679">
        <f>ROUND('Balance N'!D34,2)</f>
        <v>0</v>
      </c>
      <c r="G34" s="679">
        <f>ROUND('Balance N'!E34,2)</f>
        <v>17477</v>
      </c>
      <c r="H34" s="679">
        <f>ROUND('Balance N'!F34,2)</f>
        <v>0</v>
      </c>
      <c r="I34" s="2" t="str">
        <f t="shared" si="2"/>
        <v>6</v>
      </c>
    </row>
    <row r="35" spans="1:9" x14ac:dyDescent="0.2">
      <c r="A35" s="573" t="str">
        <f>FIXED('Balance N'!A35,0,1)</f>
        <v>61673000</v>
      </c>
      <c r="B35" s="572" t="str">
        <f>+'Balance N'!B35</f>
        <v>VIGNETTE</v>
      </c>
      <c r="C35" s="679" t="e">
        <f>ROUND('Balance N'!#REF!,2)</f>
        <v>#REF!</v>
      </c>
      <c r="D35" s="679" t="e">
        <f>ROUND('Balance N'!#REF!,2)</f>
        <v>#REF!</v>
      </c>
      <c r="E35" s="679">
        <f>ROUND('Balance N'!C35,2)</f>
        <v>10710</v>
      </c>
      <c r="F35" s="679">
        <f>ROUND('Balance N'!D35,2)</f>
        <v>0</v>
      </c>
      <c r="G35" s="679">
        <f>ROUND('Balance N'!E35,2)</f>
        <v>10710</v>
      </c>
      <c r="H35" s="679">
        <f>ROUND('Balance N'!F35,2)</f>
        <v>0</v>
      </c>
      <c r="I35" s="2" t="str">
        <f t="shared" si="2"/>
        <v>6</v>
      </c>
    </row>
    <row r="36" spans="1:9" x14ac:dyDescent="0.2">
      <c r="A36" s="573" t="str">
        <f>FIXED('Balance N'!A36,0,1)</f>
        <v>61710000</v>
      </c>
      <c r="B36" s="572" t="str">
        <f>+'Balance N'!B36</f>
        <v>SALAIRE BRUT</v>
      </c>
      <c r="C36" s="679" t="e">
        <f>ROUND('Balance N'!#REF!,2)</f>
        <v>#REF!</v>
      </c>
      <c r="D36" s="679" t="e">
        <f>ROUND('Balance N'!#REF!,2)</f>
        <v>#REF!</v>
      </c>
      <c r="E36" s="679">
        <f>ROUND('Balance N'!C36,2)</f>
        <v>28731</v>
      </c>
      <c r="F36" s="679">
        <f>ROUND('Balance N'!D36,2)</f>
        <v>0</v>
      </c>
      <c r="G36" s="679">
        <f>ROUND('Balance N'!E36,2)</f>
        <v>28731</v>
      </c>
      <c r="H36" s="679">
        <f>ROUND('Balance N'!F36,2)</f>
        <v>0</v>
      </c>
      <c r="I36" s="2" t="str">
        <f t="shared" si="2"/>
        <v>6</v>
      </c>
    </row>
    <row r="37" spans="1:9" x14ac:dyDescent="0.2">
      <c r="A37" s="573" t="str">
        <f>FIXED('Balance N'!A37,0,1)</f>
        <v>61740000</v>
      </c>
      <c r="B37" s="572" t="str">
        <f>+'Balance N'!B37</f>
        <v>COT P P</v>
      </c>
      <c r="C37" s="679" t="e">
        <f>ROUND('Balance N'!#REF!,2)</f>
        <v>#REF!</v>
      </c>
      <c r="D37" s="679" t="e">
        <f>ROUND('Balance N'!#REF!,2)</f>
        <v>#REF!</v>
      </c>
      <c r="E37" s="679">
        <f>ROUND('Balance N'!C37,2)</f>
        <v>5445.55</v>
      </c>
      <c r="F37" s="679">
        <f>ROUND('Balance N'!D37,2)</f>
        <v>0</v>
      </c>
      <c r="G37" s="679">
        <f>ROUND('Balance N'!E37,2)</f>
        <v>5445.55</v>
      </c>
      <c r="H37" s="679">
        <f>ROUND('Balance N'!F37,2)</f>
        <v>0</v>
      </c>
      <c r="I37" s="2" t="str">
        <f t="shared" si="2"/>
        <v>6</v>
      </c>
    </row>
    <row r="38" spans="1:9" x14ac:dyDescent="0.2">
      <c r="A38" s="573" t="str">
        <f>FIXED('Balance N'!A38,0,1)</f>
        <v>61911000</v>
      </c>
      <c r="B38" s="572" t="str">
        <f>+'Balance N'!B38</f>
        <v>DEA FRAIS CONSTITUTION</v>
      </c>
      <c r="C38" s="679" t="e">
        <f>ROUND('Balance N'!#REF!,2)</f>
        <v>#REF!</v>
      </c>
      <c r="D38" s="679" t="e">
        <f>ROUND('Balance N'!#REF!,2)</f>
        <v>#REF!</v>
      </c>
      <c r="E38" s="679">
        <f>ROUND('Balance N'!C38,2)</f>
        <v>1666.5</v>
      </c>
      <c r="F38" s="679">
        <f>ROUND('Balance N'!D38,2)</f>
        <v>0</v>
      </c>
      <c r="G38" s="679">
        <f>ROUND('Balance N'!E38,2)</f>
        <v>1666.5</v>
      </c>
      <c r="H38" s="679">
        <f>ROUND('Balance N'!F38,2)</f>
        <v>0</v>
      </c>
      <c r="I38" s="2" t="str">
        <f t="shared" si="2"/>
        <v>6</v>
      </c>
    </row>
    <row r="39" spans="1:9" x14ac:dyDescent="0.2">
      <c r="A39" s="573" t="str">
        <f>FIXED('Balance N'!A39,0,1)</f>
        <v>61940000</v>
      </c>
      <c r="B39" s="572" t="str">
        <f>+'Balance N'!B39</f>
        <v>AMORT MAT CORPORELLE</v>
      </c>
      <c r="C39" s="679" t="e">
        <f>ROUND('Balance N'!#REF!,2)</f>
        <v>#REF!</v>
      </c>
      <c r="D39" s="679" t="e">
        <f>ROUND('Balance N'!#REF!,2)</f>
        <v>#REF!</v>
      </c>
      <c r="E39" s="679">
        <f>ROUND('Balance N'!C39,2)</f>
        <v>171177.26</v>
      </c>
      <c r="F39" s="679">
        <f>ROUND('Balance N'!D39,2)</f>
        <v>0</v>
      </c>
      <c r="G39" s="679">
        <f>ROUND('Balance N'!E39,2)</f>
        <v>171177.26</v>
      </c>
      <c r="H39" s="679">
        <f>ROUND('Balance N'!F39,2)</f>
        <v>0</v>
      </c>
      <c r="I39" s="2" t="str">
        <f t="shared" si="2"/>
        <v>6</v>
      </c>
    </row>
    <row r="40" spans="1:9" x14ac:dyDescent="0.2">
      <c r="A40" s="573" t="str">
        <f>FIXED('Balance N'!A40,0,1)</f>
        <v>63111000</v>
      </c>
      <c r="B40" s="572" t="str">
        <f>+'Balance N'!B40</f>
        <v>INTERETS SUR EMPRUNETS</v>
      </c>
      <c r="C40" s="679" t="e">
        <f>ROUND('Balance N'!#REF!,2)</f>
        <v>#REF!</v>
      </c>
      <c r="D40" s="679" t="e">
        <f>ROUND('Balance N'!#REF!,2)</f>
        <v>#REF!</v>
      </c>
      <c r="E40" s="679">
        <f>ROUND('Balance N'!C40,2)</f>
        <v>43957.11</v>
      </c>
      <c r="F40" s="679">
        <f>ROUND('Balance N'!D40,2)</f>
        <v>0</v>
      </c>
      <c r="G40" s="679">
        <f>ROUND('Balance N'!E40,2)</f>
        <v>43957.11</v>
      </c>
      <c r="H40" s="679">
        <f>ROUND('Balance N'!F40,2)</f>
        <v>0</v>
      </c>
      <c r="I40" s="2" t="str">
        <f t="shared" si="2"/>
        <v>6</v>
      </c>
    </row>
    <row r="41" spans="1:9" x14ac:dyDescent="0.2">
      <c r="A41" s="573" t="str">
        <f>FIXED('Balance N'!A41,0,1)</f>
        <v>0</v>
      </c>
      <c r="B41" s="572">
        <f>+'Balance N'!B41</f>
        <v>0</v>
      </c>
      <c r="C41" s="679" t="e">
        <f>ROUND('Balance N'!#REF!,2)</f>
        <v>#REF!</v>
      </c>
      <c r="D41" s="679" t="e">
        <f>ROUND('Balance N'!#REF!,2)</f>
        <v>#REF!</v>
      </c>
      <c r="E41" s="679">
        <f>ROUND('Balance N'!C41,2)</f>
        <v>0</v>
      </c>
      <c r="F41" s="679">
        <f>ROUND('Balance N'!D41,2)</f>
        <v>0</v>
      </c>
      <c r="G41" s="679">
        <f>ROUND('Balance N'!E41,2)</f>
        <v>0</v>
      </c>
      <c r="H41" s="679">
        <f>ROUND('Balance N'!F41,2)</f>
        <v>0</v>
      </c>
      <c r="I41" s="2" t="str">
        <f t="shared" si="2"/>
        <v>0</v>
      </c>
    </row>
    <row r="42" spans="1:9" x14ac:dyDescent="0.2">
      <c r="A42" s="573" t="str">
        <f>FIXED('Balance N'!A42,0,1)</f>
        <v>67010000</v>
      </c>
      <c r="B42" s="572" t="str">
        <f>+'Balance N'!B42</f>
        <v>IMPOT SUR LE BENIFICE</v>
      </c>
      <c r="C42" s="679" t="e">
        <f>ROUND('Balance N'!#REF!,2)</f>
        <v>#REF!</v>
      </c>
      <c r="D42" s="679" t="e">
        <f>ROUND('Balance N'!#REF!,2)</f>
        <v>#REF!</v>
      </c>
      <c r="E42" s="679">
        <f>ROUND('Balance N'!C42,2)</f>
        <v>2384</v>
      </c>
      <c r="F42" s="679">
        <f>ROUND('Balance N'!D42,2)</f>
        <v>0</v>
      </c>
      <c r="G42" s="679">
        <f>ROUND('Balance N'!E42,2)</f>
        <v>2384</v>
      </c>
      <c r="H42" s="679">
        <f>ROUND('Balance N'!F42,2)</f>
        <v>0</v>
      </c>
      <c r="I42" s="2" t="str">
        <f t="shared" si="2"/>
        <v>6</v>
      </c>
    </row>
    <row r="43" spans="1:9" x14ac:dyDescent="0.2">
      <c r="A43" s="573" t="str">
        <f>FIXED('Balance N'!A43,0,1)</f>
        <v>71240000</v>
      </c>
      <c r="B43" s="572" t="str">
        <f>+'Balance N'!B43</f>
        <v>vente  prod prestation  de services</v>
      </c>
      <c r="C43" s="679" t="e">
        <f>ROUND('Balance N'!#REF!,2)</f>
        <v>#REF!</v>
      </c>
      <c r="D43" s="679" t="e">
        <f>ROUND('Balance N'!#REF!,2)</f>
        <v>#REF!</v>
      </c>
      <c r="E43" s="679">
        <f>ROUND('Balance N'!C43,2)</f>
        <v>0</v>
      </c>
      <c r="F43" s="679">
        <f>ROUND('Balance N'!D43,2)</f>
        <v>381666.67</v>
      </c>
      <c r="G43" s="679">
        <f>ROUND('Balance N'!E43,2)</f>
        <v>0</v>
      </c>
      <c r="H43" s="679">
        <f>ROUND('Balance N'!F43,2)</f>
        <v>381666.67</v>
      </c>
      <c r="I43" s="2" t="str">
        <f t="shared" si="2"/>
        <v>7</v>
      </c>
    </row>
    <row r="44" spans="1:9" x14ac:dyDescent="0.2">
      <c r="A44" s="573" t="str">
        <f>FIXED('Balance N'!A44,0,1)</f>
        <v>89000000</v>
      </c>
      <c r="B44" s="572" t="str">
        <f>+'Balance N'!B44</f>
        <v>Bilan d'ouverture</v>
      </c>
      <c r="C44" s="679" t="e">
        <f>ROUND('Balance N'!#REF!,2)</f>
        <v>#REF!</v>
      </c>
      <c r="D44" s="679" t="e">
        <f>ROUND('Balance N'!#REF!,2)</f>
        <v>#REF!</v>
      </c>
      <c r="E44" s="679">
        <f>ROUND('Balance N'!C44,2)</f>
        <v>18918.669999999998</v>
      </c>
      <c r="F44" s="679">
        <f>ROUND('Balance N'!D44,2)</f>
        <v>18918.669999999998</v>
      </c>
      <c r="G44" s="679">
        <f>ROUND('Balance N'!E44,2)</f>
        <v>0</v>
      </c>
      <c r="H44" s="679">
        <f>ROUND('Balance N'!F44,2)</f>
        <v>0</v>
      </c>
      <c r="I44" s="2" t="str">
        <f t="shared" si="2"/>
        <v>8</v>
      </c>
    </row>
    <row r="45" spans="1:9" x14ac:dyDescent="0.2">
      <c r="A45" s="573" t="str">
        <f>FIXED('Balance N'!A45,0,1)</f>
        <v>0</v>
      </c>
      <c r="B45" s="572">
        <f>+'Balance N'!B45</f>
        <v>0</v>
      </c>
      <c r="C45" s="679" t="e">
        <f>ROUND('Balance N'!#REF!,2)</f>
        <v>#REF!</v>
      </c>
      <c r="D45" s="679" t="e">
        <f>ROUND('Balance N'!#REF!,2)</f>
        <v>#REF!</v>
      </c>
      <c r="E45" s="679">
        <f>ROUND('Balance N'!C45,2)</f>
        <v>0</v>
      </c>
      <c r="F45" s="679">
        <f>ROUND('Balance N'!D45,2)</f>
        <v>0</v>
      </c>
      <c r="G45" s="679">
        <f>ROUND('Balance N'!E45,2)</f>
        <v>0</v>
      </c>
      <c r="H45" s="679">
        <f>ROUND('Balance N'!F45,2)</f>
        <v>0</v>
      </c>
      <c r="I45" s="2" t="str">
        <f t="shared" si="2"/>
        <v>0</v>
      </c>
    </row>
    <row r="46" spans="1:9" x14ac:dyDescent="0.2">
      <c r="A46" s="573" t="str">
        <f>FIXED('Balance N'!A46,0,1)</f>
        <v>0</v>
      </c>
      <c r="B46" s="572">
        <f>+'Balance N'!B46</f>
        <v>0</v>
      </c>
      <c r="C46" s="679" t="e">
        <f>ROUND('Balance N'!#REF!,2)</f>
        <v>#REF!</v>
      </c>
      <c r="D46" s="679" t="e">
        <f>ROUND('Balance N'!#REF!,2)</f>
        <v>#REF!</v>
      </c>
      <c r="E46" s="679">
        <f>ROUND('Balance N'!C46,2)</f>
        <v>0</v>
      </c>
      <c r="F46" s="679">
        <f>ROUND('Balance N'!D46,2)</f>
        <v>0</v>
      </c>
      <c r="G46" s="679">
        <f>ROUND('Balance N'!E46,2)</f>
        <v>0</v>
      </c>
      <c r="H46" s="679">
        <f>ROUND('Balance N'!F46,2)</f>
        <v>0</v>
      </c>
      <c r="I46" s="2" t="str">
        <f t="shared" si="2"/>
        <v>0</v>
      </c>
    </row>
    <row r="47" spans="1:9" x14ac:dyDescent="0.2">
      <c r="A47" s="573" t="str">
        <f>FIXED('Balance N'!A47,0,1)</f>
        <v>0</v>
      </c>
      <c r="B47" s="572">
        <f>+'Balance N'!B47</f>
        <v>0</v>
      </c>
      <c r="C47" s="679" t="e">
        <f>ROUND('Balance N'!#REF!,2)</f>
        <v>#REF!</v>
      </c>
      <c r="D47" s="679" t="e">
        <f>ROUND('Balance N'!#REF!,2)</f>
        <v>#REF!</v>
      </c>
      <c r="E47" s="679">
        <f>ROUND('Balance N'!C47,2)</f>
        <v>0</v>
      </c>
      <c r="F47" s="679">
        <f>ROUND('Balance N'!D47,2)</f>
        <v>0</v>
      </c>
      <c r="G47" s="679">
        <f>ROUND('Balance N'!E47,2)</f>
        <v>0</v>
      </c>
      <c r="H47" s="679">
        <f>ROUND('Balance N'!F47,2)</f>
        <v>0</v>
      </c>
      <c r="I47" s="2" t="str">
        <f t="shared" si="2"/>
        <v>0</v>
      </c>
    </row>
    <row r="48" spans="1:9" x14ac:dyDescent="0.2">
      <c r="A48" s="573" t="str">
        <f>FIXED('Balance N'!A48,0,1)</f>
        <v>0</v>
      </c>
      <c r="B48" s="572">
        <f>+'Balance N'!B48</f>
        <v>0</v>
      </c>
      <c r="C48" s="679" t="e">
        <f>ROUND('Balance N'!#REF!,2)</f>
        <v>#REF!</v>
      </c>
      <c r="D48" s="679" t="e">
        <f>ROUND('Balance N'!#REF!,2)</f>
        <v>#REF!</v>
      </c>
      <c r="E48" s="679">
        <f>ROUND('Balance N'!C48,2)</f>
        <v>0</v>
      </c>
      <c r="F48" s="679">
        <f>ROUND('Balance N'!D48,2)</f>
        <v>0</v>
      </c>
      <c r="G48" s="679">
        <f>ROUND('Balance N'!E48,2)</f>
        <v>0</v>
      </c>
      <c r="H48" s="679">
        <f>ROUND('Balance N'!F48,2)</f>
        <v>0</v>
      </c>
      <c r="I48" s="2" t="str">
        <f t="shared" si="2"/>
        <v>0</v>
      </c>
    </row>
    <row r="49" spans="1:9" x14ac:dyDescent="0.2">
      <c r="A49" s="573" t="str">
        <f>FIXED('Balance N'!A49,0,1)</f>
        <v>0</v>
      </c>
      <c r="B49" s="572">
        <f>+'Balance N'!B49</f>
        <v>0</v>
      </c>
      <c r="C49" s="679" t="e">
        <f>ROUND('Balance N'!#REF!,2)</f>
        <v>#REF!</v>
      </c>
      <c r="D49" s="679" t="e">
        <f>ROUND('Balance N'!#REF!,2)</f>
        <v>#REF!</v>
      </c>
      <c r="E49" s="679">
        <f>ROUND('Balance N'!C49,2)</f>
        <v>0</v>
      </c>
      <c r="F49" s="679">
        <f>ROUND('Balance N'!D49,2)</f>
        <v>0</v>
      </c>
      <c r="G49" s="679">
        <f>ROUND('Balance N'!E49,2)</f>
        <v>0</v>
      </c>
      <c r="H49" s="679">
        <f>ROUND('Balance N'!F49,2)</f>
        <v>0</v>
      </c>
      <c r="I49" s="2" t="str">
        <f t="shared" si="2"/>
        <v>0</v>
      </c>
    </row>
    <row r="50" spans="1:9" x14ac:dyDescent="0.2">
      <c r="A50" s="573" t="str">
        <f>FIXED('Balance N'!A50,0,1)</f>
        <v>0</v>
      </c>
      <c r="B50" s="572">
        <f>+'Balance N'!B50</f>
        <v>0</v>
      </c>
      <c r="C50" s="679" t="e">
        <f>ROUND('Balance N'!#REF!,2)</f>
        <v>#REF!</v>
      </c>
      <c r="D50" s="679" t="e">
        <f>ROUND('Balance N'!#REF!,2)</f>
        <v>#REF!</v>
      </c>
      <c r="E50" s="679">
        <f>ROUND('Balance N'!C50,2)</f>
        <v>0</v>
      </c>
      <c r="F50" s="679">
        <f>ROUND('Balance N'!D50,2)</f>
        <v>0</v>
      </c>
      <c r="G50" s="679">
        <f>ROUND('Balance N'!E50,2)</f>
        <v>0</v>
      </c>
      <c r="H50" s="679">
        <f>ROUND('Balance N'!F50,2)</f>
        <v>0</v>
      </c>
      <c r="I50" s="2" t="str">
        <f t="shared" si="2"/>
        <v>0</v>
      </c>
    </row>
    <row r="51" spans="1:9" x14ac:dyDescent="0.2">
      <c r="A51" s="573" t="str">
        <f>FIXED('Balance N'!A51,0,1)</f>
        <v>0</v>
      </c>
      <c r="B51" s="572">
        <f>+'Balance N'!B51</f>
        <v>0</v>
      </c>
      <c r="C51" s="679" t="e">
        <f>ROUND('Balance N'!#REF!,2)</f>
        <v>#REF!</v>
      </c>
      <c r="D51" s="679" t="e">
        <f>ROUND('Balance N'!#REF!,2)</f>
        <v>#REF!</v>
      </c>
      <c r="E51" s="679">
        <f>ROUND('Balance N'!C51,2)</f>
        <v>0</v>
      </c>
      <c r="F51" s="679">
        <f>ROUND('Balance N'!D51,2)</f>
        <v>0</v>
      </c>
      <c r="G51" s="679">
        <f>ROUND('Balance N'!E51,2)</f>
        <v>0</v>
      </c>
      <c r="H51" s="679">
        <f>ROUND('Balance N'!F51,2)</f>
        <v>0</v>
      </c>
      <c r="I51" s="2" t="str">
        <f t="shared" si="2"/>
        <v>0</v>
      </c>
    </row>
    <row r="52" spans="1:9" x14ac:dyDescent="0.2">
      <c r="A52" s="573" t="str">
        <f>FIXED('Balance N'!A52,0,1)</f>
        <v>0</v>
      </c>
      <c r="B52" s="572">
        <f>+'Balance N'!B52</f>
        <v>0</v>
      </c>
      <c r="C52" s="679" t="e">
        <f>ROUND('Balance N'!#REF!,2)</f>
        <v>#REF!</v>
      </c>
      <c r="D52" s="679" t="e">
        <f>ROUND('Balance N'!#REF!,2)</f>
        <v>#REF!</v>
      </c>
      <c r="E52" s="679">
        <f>ROUND('Balance N'!C52,2)</f>
        <v>0</v>
      </c>
      <c r="F52" s="679">
        <f>ROUND('Balance N'!D52,2)</f>
        <v>0</v>
      </c>
      <c r="G52" s="679">
        <f>ROUND('Balance N'!E52,2)</f>
        <v>0</v>
      </c>
      <c r="H52" s="679">
        <f>ROUND('Balance N'!F52,2)</f>
        <v>0</v>
      </c>
      <c r="I52" s="2" t="str">
        <f t="shared" si="2"/>
        <v>0</v>
      </c>
    </row>
    <row r="53" spans="1:9" x14ac:dyDescent="0.2">
      <c r="A53" s="573" t="str">
        <f>FIXED('Balance N'!A53,0,1)</f>
        <v>0</v>
      </c>
      <c r="B53" s="572">
        <f>+'Balance N'!B53</f>
        <v>0</v>
      </c>
      <c r="C53" s="679" t="e">
        <f>ROUND('Balance N'!#REF!,2)</f>
        <v>#REF!</v>
      </c>
      <c r="D53" s="679" t="e">
        <f>ROUND('Balance N'!#REF!,2)</f>
        <v>#REF!</v>
      </c>
      <c r="E53" s="679">
        <f>ROUND('Balance N'!C53,2)</f>
        <v>0</v>
      </c>
      <c r="F53" s="679">
        <f>ROUND('Balance N'!D53,2)</f>
        <v>0</v>
      </c>
      <c r="G53" s="679">
        <f>ROUND('Balance N'!E53,2)</f>
        <v>0</v>
      </c>
      <c r="H53" s="679">
        <f>ROUND('Balance N'!F53,2)</f>
        <v>0</v>
      </c>
      <c r="I53" s="2" t="str">
        <f t="shared" si="2"/>
        <v>0</v>
      </c>
    </row>
    <row r="54" spans="1:9" x14ac:dyDescent="0.2">
      <c r="A54" s="573" t="str">
        <f>FIXED('Balance N'!A54,0,1)</f>
        <v>0</v>
      </c>
      <c r="B54" s="572">
        <f>+'Balance N'!B54</f>
        <v>0</v>
      </c>
      <c r="C54" s="679" t="e">
        <f>ROUND('Balance N'!#REF!,2)</f>
        <v>#REF!</v>
      </c>
      <c r="D54" s="679" t="e">
        <f>ROUND('Balance N'!#REF!,2)</f>
        <v>#REF!</v>
      </c>
      <c r="E54" s="679">
        <f>ROUND('Balance N'!C54,2)</f>
        <v>0</v>
      </c>
      <c r="F54" s="679">
        <f>ROUND('Balance N'!D54,2)</f>
        <v>0</v>
      </c>
      <c r="G54" s="679">
        <f>ROUND('Balance N'!E54,2)</f>
        <v>0</v>
      </c>
      <c r="H54" s="679">
        <f>ROUND('Balance N'!F54,2)</f>
        <v>0</v>
      </c>
      <c r="I54" s="2" t="str">
        <f t="shared" si="2"/>
        <v>0</v>
      </c>
    </row>
    <row r="55" spans="1:9" x14ac:dyDescent="0.2">
      <c r="A55" s="573" t="str">
        <f>FIXED('Balance N'!A55,0,1)</f>
        <v>0</v>
      </c>
      <c r="B55" s="572">
        <f>+'Balance N'!B55</f>
        <v>0</v>
      </c>
      <c r="C55" s="679" t="e">
        <f>ROUND('Balance N'!#REF!,2)</f>
        <v>#REF!</v>
      </c>
      <c r="D55" s="679" t="e">
        <f>ROUND('Balance N'!#REF!,2)</f>
        <v>#REF!</v>
      </c>
      <c r="E55" s="679">
        <f>ROUND('Balance N'!C55,2)</f>
        <v>0</v>
      </c>
      <c r="F55" s="679">
        <f>ROUND('Balance N'!D55,2)</f>
        <v>0</v>
      </c>
      <c r="G55" s="679">
        <f>ROUND('Balance N'!E55,2)</f>
        <v>0</v>
      </c>
      <c r="H55" s="679">
        <f>ROUND('Balance N'!F55,2)</f>
        <v>0</v>
      </c>
      <c r="I55" s="2" t="str">
        <f t="shared" si="2"/>
        <v>0</v>
      </c>
    </row>
    <row r="56" spans="1:9" x14ac:dyDescent="0.2">
      <c r="A56" s="573" t="str">
        <f>FIXED('Balance N'!A56,0,1)</f>
        <v>0</v>
      </c>
      <c r="B56" s="572">
        <f>+'Balance N'!B56</f>
        <v>0</v>
      </c>
      <c r="C56" s="679" t="e">
        <f>ROUND('Balance N'!#REF!,2)</f>
        <v>#REF!</v>
      </c>
      <c r="D56" s="679" t="e">
        <f>ROUND('Balance N'!#REF!,2)</f>
        <v>#REF!</v>
      </c>
      <c r="E56" s="679">
        <f>ROUND('Balance N'!C56,2)</f>
        <v>0</v>
      </c>
      <c r="F56" s="679">
        <f>ROUND('Balance N'!D56,2)</f>
        <v>0</v>
      </c>
      <c r="G56" s="679">
        <f>ROUND('Balance N'!E56,2)</f>
        <v>0</v>
      </c>
      <c r="H56" s="679">
        <f>ROUND('Balance N'!F56,2)</f>
        <v>0</v>
      </c>
      <c r="I56" s="2" t="str">
        <f t="shared" si="2"/>
        <v>0</v>
      </c>
    </row>
    <row r="57" spans="1:9" x14ac:dyDescent="0.2">
      <c r="A57" s="573" t="str">
        <f>FIXED('Balance N'!A57,0,1)</f>
        <v>0</v>
      </c>
      <c r="B57" s="572">
        <f>+'Balance N'!B57</f>
        <v>0</v>
      </c>
      <c r="C57" s="679" t="e">
        <f>ROUND('Balance N'!#REF!,2)</f>
        <v>#REF!</v>
      </c>
      <c r="D57" s="679" t="e">
        <f>ROUND('Balance N'!#REF!,2)</f>
        <v>#REF!</v>
      </c>
      <c r="E57" s="679">
        <f>ROUND('Balance N'!C57,2)</f>
        <v>0</v>
      </c>
      <c r="F57" s="679">
        <f>ROUND('Balance N'!D57,2)</f>
        <v>0</v>
      </c>
      <c r="G57" s="679">
        <f>ROUND('Balance N'!E57,2)</f>
        <v>0</v>
      </c>
      <c r="H57" s="679">
        <f>ROUND('Balance N'!F57,2)</f>
        <v>0</v>
      </c>
      <c r="I57" s="2" t="str">
        <f t="shared" si="2"/>
        <v>0</v>
      </c>
    </row>
    <row r="58" spans="1:9" x14ac:dyDescent="0.2">
      <c r="A58" s="573" t="str">
        <f>FIXED('Balance N'!A58,0,1)</f>
        <v>0</v>
      </c>
      <c r="B58" s="572">
        <f>+'Balance N'!B58</f>
        <v>0</v>
      </c>
      <c r="C58" s="679" t="e">
        <f>ROUND('Balance N'!#REF!,2)</f>
        <v>#REF!</v>
      </c>
      <c r="D58" s="679" t="e">
        <f>ROUND('Balance N'!#REF!,2)</f>
        <v>#REF!</v>
      </c>
      <c r="E58" s="679">
        <f>ROUND('Balance N'!C58,2)</f>
        <v>0</v>
      </c>
      <c r="F58" s="679">
        <f>ROUND('Balance N'!D58,2)</f>
        <v>0</v>
      </c>
      <c r="G58" s="679">
        <f>ROUND('Balance N'!E58,2)</f>
        <v>0</v>
      </c>
      <c r="H58" s="679">
        <f>ROUND('Balance N'!F58,2)</f>
        <v>0</v>
      </c>
      <c r="I58" s="2" t="str">
        <f t="shared" si="2"/>
        <v>0</v>
      </c>
    </row>
    <row r="59" spans="1:9" x14ac:dyDescent="0.2">
      <c r="A59" s="573" t="str">
        <f>FIXED('Balance N'!A59,0,1)</f>
        <v>0</v>
      </c>
      <c r="B59" s="572">
        <f>+'Balance N'!B59</f>
        <v>0</v>
      </c>
      <c r="C59" s="679" t="e">
        <f>ROUND('Balance N'!#REF!,2)</f>
        <v>#REF!</v>
      </c>
      <c r="D59" s="679" t="e">
        <f>ROUND('Balance N'!#REF!,2)</f>
        <v>#REF!</v>
      </c>
      <c r="E59" s="679">
        <f>ROUND('Balance N'!C59,2)</f>
        <v>0</v>
      </c>
      <c r="F59" s="679">
        <f>ROUND('Balance N'!D59,2)</f>
        <v>0</v>
      </c>
      <c r="G59" s="679">
        <f>ROUND('Balance N'!E59,2)</f>
        <v>0</v>
      </c>
      <c r="H59" s="679">
        <f>ROUND('Balance N'!F59,2)</f>
        <v>0</v>
      </c>
      <c r="I59" s="2" t="str">
        <f t="shared" si="2"/>
        <v>0</v>
      </c>
    </row>
    <row r="60" spans="1:9" x14ac:dyDescent="0.2">
      <c r="A60" s="573" t="str">
        <f>FIXED('Balance N'!A60,0,1)</f>
        <v>0</v>
      </c>
      <c r="B60" s="572">
        <f>+'Balance N'!B60</f>
        <v>0</v>
      </c>
      <c r="C60" s="679" t="e">
        <f>ROUND('Balance N'!#REF!,2)</f>
        <v>#REF!</v>
      </c>
      <c r="D60" s="679" t="e">
        <f>ROUND('Balance N'!#REF!,2)</f>
        <v>#REF!</v>
      </c>
      <c r="E60" s="679">
        <f>ROUND('Balance N'!C60,2)</f>
        <v>0</v>
      </c>
      <c r="F60" s="679">
        <f>ROUND('Balance N'!D60,2)</f>
        <v>0</v>
      </c>
      <c r="G60" s="679">
        <f>ROUND('Balance N'!E60,2)</f>
        <v>0</v>
      </c>
      <c r="H60" s="679">
        <f>ROUND('Balance N'!F60,2)</f>
        <v>0</v>
      </c>
      <c r="I60" s="2" t="str">
        <f t="shared" si="2"/>
        <v>0</v>
      </c>
    </row>
    <row r="61" spans="1:9" x14ac:dyDescent="0.2">
      <c r="A61" s="573" t="str">
        <f>FIXED('Balance N'!A61,0,1)</f>
        <v>0</v>
      </c>
      <c r="B61" s="572">
        <f>+'Balance N'!B61</f>
        <v>0</v>
      </c>
      <c r="C61" s="679" t="e">
        <f>ROUND('Balance N'!#REF!,2)</f>
        <v>#REF!</v>
      </c>
      <c r="D61" s="679" t="e">
        <f>ROUND('Balance N'!#REF!,2)</f>
        <v>#REF!</v>
      </c>
      <c r="E61" s="679">
        <f>ROUND('Balance N'!C61,2)</f>
        <v>0</v>
      </c>
      <c r="F61" s="679">
        <f>ROUND('Balance N'!D61,2)</f>
        <v>0</v>
      </c>
      <c r="G61" s="679">
        <f>ROUND('Balance N'!E61,2)</f>
        <v>0</v>
      </c>
      <c r="H61" s="679">
        <f>ROUND('Balance N'!F61,2)</f>
        <v>0</v>
      </c>
      <c r="I61" s="2" t="str">
        <f t="shared" si="2"/>
        <v>0</v>
      </c>
    </row>
    <row r="62" spans="1:9" x14ac:dyDescent="0.2">
      <c r="A62" s="573" t="str">
        <f>FIXED('Balance N'!A62,0,1)</f>
        <v>0</v>
      </c>
      <c r="B62" s="572">
        <f>+'Balance N'!B62</f>
        <v>0</v>
      </c>
      <c r="C62" s="679" t="e">
        <f>ROUND('Balance N'!#REF!,2)</f>
        <v>#REF!</v>
      </c>
      <c r="D62" s="679" t="e">
        <f>ROUND('Balance N'!#REF!,2)</f>
        <v>#REF!</v>
      </c>
      <c r="E62" s="679">
        <f>ROUND('Balance N'!C62,2)</f>
        <v>0</v>
      </c>
      <c r="F62" s="679">
        <f>ROUND('Balance N'!D62,2)</f>
        <v>0</v>
      </c>
      <c r="G62" s="679">
        <f>ROUND('Balance N'!E62,2)</f>
        <v>0</v>
      </c>
      <c r="H62" s="679">
        <f>ROUND('Balance N'!F62,2)</f>
        <v>0</v>
      </c>
      <c r="I62" s="2" t="str">
        <f t="shared" si="2"/>
        <v>0</v>
      </c>
    </row>
    <row r="63" spans="1:9" x14ac:dyDescent="0.2">
      <c r="A63" s="573" t="str">
        <f>FIXED('Balance N'!A63,0,1)</f>
        <v>0</v>
      </c>
      <c r="B63" s="572">
        <f>+'Balance N'!B63</f>
        <v>0</v>
      </c>
      <c r="C63" s="679" t="e">
        <f>ROUND('Balance N'!#REF!,2)</f>
        <v>#REF!</v>
      </c>
      <c r="D63" s="679" t="e">
        <f>ROUND('Balance N'!#REF!,2)</f>
        <v>#REF!</v>
      </c>
      <c r="E63" s="679">
        <f>ROUND('Balance N'!C63,2)</f>
        <v>0</v>
      </c>
      <c r="F63" s="679">
        <f>ROUND('Balance N'!D63,2)</f>
        <v>0</v>
      </c>
      <c r="G63" s="679">
        <f>ROUND('Balance N'!E63,2)</f>
        <v>0</v>
      </c>
      <c r="H63" s="679">
        <f>ROUND('Balance N'!F63,2)</f>
        <v>0</v>
      </c>
      <c r="I63" s="2" t="str">
        <f t="shared" si="2"/>
        <v>0</v>
      </c>
    </row>
    <row r="64" spans="1:9" x14ac:dyDescent="0.2">
      <c r="A64" s="573" t="str">
        <f>FIXED('Balance N'!A64,0,1)</f>
        <v>0</v>
      </c>
      <c r="B64" s="572">
        <f>+'Balance N'!B64</f>
        <v>0</v>
      </c>
      <c r="C64" s="679" t="e">
        <f>ROUND('Balance N'!#REF!,2)</f>
        <v>#REF!</v>
      </c>
      <c r="D64" s="679" t="e">
        <f>ROUND('Balance N'!#REF!,2)</f>
        <v>#REF!</v>
      </c>
      <c r="E64" s="679">
        <f>ROUND('Balance N'!C64,2)</f>
        <v>0</v>
      </c>
      <c r="F64" s="679">
        <f>ROUND('Balance N'!D64,2)</f>
        <v>0</v>
      </c>
      <c r="G64" s="679">
        <f>ROUND('Balance N'!E64,2)</f>
        <v>0</v>
      </c>
      <c r="H64" s="679">
        <f>ROUND('Balance N'!F64,2)</f>
        <v>0</v>
      </c>
      <c r="I64" s="2" t="str">
        <f t="shared" si="2"/>
        <v>0</v>
      </c>
    </row>
    <row r="65" spans="1:9" x14ac:dyDescent="0.2">
      <c r="A65" s="573" t="str">
        <f>FIXED('Balance N'!A65,0,1)</f>
        <v>0</v>
      </c>
      <c r="B65" s="572">
        <f>+'Balance N'!B65</f>
        <v>0</v>
      </c>
      <c r="C65" s="679" t="e">
        <f>ROUND('Balance N'!#REF!,2)</f>
        <v>#REF!</v>
      </c>
      <c r="D65" s="679" t="e">
        <f>ROUND('Balance N'!#REF!,2)</f>
        <v>#REF!</v>
      </c>
      <c r="E65" s="679">
        <f>ROUND('Balance N'!C65,2)</f>
        <v>0</v>
      </c>
      <c r="F65" s="679">
        <f>ROUND('Balance N'!D65,2)</f>
        <v>0</v>
      </c>
      <c r="G65" s="679">
        <f>ROUND('Balance N'!E65,2)</f>
        <v>0</v>
      </c>
      <c r="H65" s="679">
        <f>ROUND('Balance N'!F65,2)</f>
        <v>0</v>
      </c>
      <c r="I65" s="2" t="str">
        <f t="shared" si="2"/>
        <v>0</v>
      </c>
    </row>
    <row r="66" spans="1:9" x14ac:dyDescent="0.2">
      <c r="A66" s="573" t="str">
        <f>FIXED('Balance N'!A66,0,1)</f>
        <v>0</v>
      </c>
      <c r="B66" s="572">
        <f>+'Balance N'!B66</f>
        <v>0</v>
      </c>
      <c r="C66" s="679" t="e">
        <f>ROUND('Balance N'!#REF!,2)</f>
        <v>#REF!</v>
      </c>
      <c r="D66" s="679" t="e">
        <f>ROUND('Balance N'!#REF!,2)</f>
        <v>#REF!</v>
      </c>
      <c r="E66" s="679">
        <f>ROUND('Balance N'!C66,2)</f>
        <v>0</v>
      </c>
      <c r="F66" s="679">
        <f>ROUND('Balance N'!D66,2)</f>
        <v>0</v>
      </c>
      <c r="G66" s="679">
        <f>ROUND('Balance N'!E66,2)</f>
        <v>0</v>
      </c>
      <c r="H66" s="679">
        <f>ROUND('Balance N'!F66,2)</f>
        <v>0</v>
      </c>
      <c r="I66" s="2" t="str">
        <f t="shared" si="2"/>
        <v>0</v>
      </c>
    </row>
    <row r="67" spans="1:9" x14ac:dyDescent="0.2">
      <c r="A67" s="573" t="str">
        <f>FIXED('Balance N'!A67,0,1)</f>
        <v>0</v>
      </c>
      <c r="B67" s="572">
        <f>+'Balance N'!B67</f>
        <v>0</v>
      </c>
      <c r="C67" s="679" t="e">
        <f>ROUND('Balance N'!#REF!,2)</f>
        <v>#REF!</v>
      </c>
      <c r="D67" s="679" t="e">
        <f>ROUND('Balance N'!#REF!,2)</f>
        <v>#REF!</v>
      </c>
      <c r="E67" s="679">
        <f>ROUND('Balance N'!C67,2)</f>
        <v>0</v>
      </c>
      <c r="F67" s="679">
        <f>ROUND('Balance N'!D67,2)</f>
        <v>0</v>
      </c>
      <c r="G67" s="679">
        <f>ROUND('Balance N'!E67,2)</f>
        <v>0</v>
      </c>
      <c r="H67" s="679">
        <f>ROUND('Balance N'!F67,2)</f>
        <v>0</v>
      </c>
      <c r="I67" s="2" t="str">
        <f t="shared" ref="I67:I130" si="4">MID(A67,1,1)</f>
        <v>0</v>
      </c>
    </row>
    <row r="68" spans="1:9" x14ac:dyDescent="0.2">
      <c r="A68" s="573" t="str">
        <f>FIXED('Balance N'!A68,0,1)</f>
        <v>0</v>
      </c>
      <c r="B68" s="572">
        <f>+'Balance N'!B68</f>
        <v>0</v>
      </c>
      <c r="C68" s="679" t="e">
        <f>ROUND('Balance N'!#REF!,2)</f>
        <v>#REF!</v>
      </c>
      <c r="D68" s="679" t="e">
        <f>ROUND('Balance N'!#REF!,2)</f>
        <v>#REF!</v>
      </c>
      <c r="E68" s="679">
        <f>ROUND('Balance N'!C68,2)</f>
        <v>0</v>
      </c>
      <c r="F68" s="679">
        <f>ROUND('Balance N'!D68,2)</f>
        <v>0</v>
      </c>
      <c r="G68" s="679">
        <f>ROUND('Balance N'!E68,2)</f>
        <v>0</v>
      </c>
      <c r="H68" s="679">
        <f>ROUND('Balance N'!F68,2)</f>
        <v>0</v>
      </c>
      <c r="I68" s="2" t="str">
        <f t="shared" si="4"/>
        <v>0</v>
      </c>
    </row>
    <row r="69" spans="1:9" x14ac:dyDescent="0.2">
      <c r="A69" s="573" t="str">
        <f>FIXED('Balance N'!A69,0,1)</f>
        <v>0</v>
      </c>
      <c r="B69" s="572">
        <f>+'Balance N'!B69</f>
        <v>0</v>
      </c>
      <c r="C69" s="679" t="e">
        <f>ROUND('Balance N'!#REF!,2)</f>
        <v>#REF!</v>
      </c>
      <c r="D69" s="679" t="e">
        <f>ROUND('Balance N'!#REF!,2)</f>
        <v>#REF!</v>
      </c>
      <c r="E69" s="679">
        <f>ROUND('Balance N'!C69,2)</f>
        <v>0</v>
      </c>
      <c r="F69" s="679">
        <f>ROUND('Balance N'!D69,2)</f>
        <v>0</v>
      </c>
      <c r="G69" s="679">
        <f>ROUND('Balance N'!E69,2)</f>
        <v>0</v>
      </c>
      <c r="H69" s="679">
        <f>ROUND('Balance N'!F69,2)</f>
        <v>0</v>
      </c>
      <c r="I69" s="2" t="str">
        <f t="shared" si="4"/>
        <v>0</v>
      </c>
    </row>
    <row r="70" spans="1:9" x14ac:dyDescent="0.2">
      <c r="A70" s="573" t="str">
        <f>FIXED('Balance N'!A70,0,1)</f>
        <v>0</v>
      </c>
      <c r="B70" s="572">
        <f>+'Balance N'!B70</f>
        <v>0</v>
      </c>
      <c r="C70" s="679" t="e">
        <f>ROUND('Balance N'!#REF!,2)</f>
        <v>#REF!</v>
      </c>
      <c r="D70" s="679" t="e">
        <f>ROUND('Balance N'!#REF!,2)</f>
        <v>#REF!</v>
      </c>
      <c r="E70" s="679">
        <f>ROUND('Balance N'!C70,2)</f>
        <v>0</v>
      </c>
      <c r="F70" s="679">
        <f>ROUND('Balance N'!D70,2)</f>
        <v>0</v>
      </c>
      <c r="G70" s="679">
        <f>ROUND('Balance N'!E70,2)</f>
        <v>0</v>
      </c>
      <c r="H70" s="679">
        <f>ROUND('Balance N'!F70,2)</f>
        <v>0</v>
      </c>
      <c r="I70" s="2" t="str">
        <f t="shared" si="4"/>
        <v>0</v>
      </c>
    </row>
    <row r="71" spans="1:9" x14ac:dyDescent="0.2">
      <c r="A71" s="573" t="str">
        <f>FIXED('Balance N'!A71,0,1)</f>
        <v>0</v>
      </c>
      <c r="B71" s="572">
        <f>+'Balance N'!B71</f>
        <v>0</v>
      </c>
      <c r="C71" s="679" t="e">
        <f>ROUND('Balance N'!#REF!,2)</f>
        <v>#REF!</v>
      </c>
      <c r="D71" s="679" t="e">
        <f>ROUND('Balance N'!#REF!,2)</f>
        <v>#REF!</v>
      </c>
      <c r="E71" s="679">
        <f>ROUND('Balance N'!C71,2)</f>
        <v>0</v>
      </c>
      <c r="F71" s="679">
        <f>ROUND('Balance N'!D71,2)</f>
        <v>0</v>
      </c>
      <c r="G71" s="679">
        <f>ROUND('Balance N'!E71,2)</f>
        <v>0</v>
      </c>
      <c r="H71" s="679">
        <f>ROUND('Balance N'!F71,2)</f>
        <v>0</v>
      </c>
      <c r="I71" s="2" t="str">
        <f t="shared" si="4"/>
        <v>0</v>
      </c>
    </row>
    <row r="72" spans="1:9" x14ac:dyDescent="0.2">
      <c r="A72" s="573" t="str">
        <f>FIXED('Balance N'!A72,0,1)</f>
        <v>0</v>
      </c>
      <c r="B72" s="572">
        <f>+'Balance N'!B72</f>
        <v>0</v>
      </c>
      <c r="C72" s="679" t="e">
        <f>ROUND('Balance N'!#REF!,2)</f>
        <v>#REF!</v>
      </c>
      <c r="D72" s="679" t="e">
        <f>ROUND('Balance N'!#REF!,2)</f>
        <v>#REF!</v>
      </c>
      <c r="E72" s="679">
        <f>ROUND('Balance N'!C72,2)</f>
        <v>0</v>
      </c>
      <c r="F72" s="679">
        <f>ROUND('Balance N'!D72,2)</f>
        <v>0</v>
      </c>
      <c r="G72" s="679">
        <f>ROUND('Balance N'!E72,2)</f>
        <v>0</v>
      </c>
      <c r="H72" s="679">
        <f>ROUND('Balance N'!F72,2)</f>
        <v>0</v>
      </c>
      <c r="I72" s="2" t="str">
        <f t="shared" si="4"/>
        <v>0</v>
      </c>
    </row>
    <row r="73" spans="1:9" x14ac:dyDescent="0.2">
      <c r="A73" s="573" t="str">
        <f>FIXED('Balance N'!A73,0,1)</f>
        <v>0</v>
      </c>
      <c r="B73" s="572">
        <f>+'Balance N'!B73</f>
        <v>0</v>
      </c>
      <c r="C73" s="679" t="e">
        <f>ROUND('Balance N'!#REF!,2)</f>
        <v>#REF!</v>
      </c>
      <c r="D73" s="679" t="e">
        <f>ROUND('Balance N'!#REF!,2)</f>
        <v>#REF!</v>
      </c>
      <c r="E73" s="679">
        <f>ROUND('Balance N'!C73,2)</f>
        <v>0</v>
      </c>
      <c r="F73" s="679">
        <f>ROUND('Balance N'!D73,2)</f>
        <v>0</v>
      </c>
      <c r="G73" s="679">
        <f>ROUND('Balance N'!E73,2)</f>
        <v>0</v>
      </c>
      <c r="H73" s="679">
        <f>ROUND('Balance N'!F73,2)</f>
        <v>0</v>
      </c>
      <c r="I73" s="2" t="str">
        <f t="shared" si="4"/>
        <v>0</v>
      </c>
    </row>
    <row r="74" spans="1:9" x14ac:dyDescent="0.2">
      <c r="A74" s="573" t="str">
        <f>FIXED('Balance N'!A74,0,1)</f>
        <v>0</v>
      </c>
      <c r="B74" s="572">
        <f>+'Balance N'!B74</f>
        <v>0</v>
      </c>
      <c r="C74" s="679" t="e">
        <f>ROUND('Balance N'!#REF!,2)</f>
        <v>#REF!</v>
      </c>
      <c r="D74" s="679" t="e">
        <f>ROUND('Balance N'!#REF!,2)</f>
        <v>#REF!</v>
      </c>
      <c r="E74" s="679">
        <f>ROUND('Balance N'!C74,2)</f>
        <v>0</v>
      </c>
      <c r="F74" s="679">
        <f>ROUND('Balance N'!D74,2)</f>
        <v>0</v>
      </c>
      <c r="G74" s="679">
        <f>ROUND('Balance N'!E74,2)</f>
        <v>0</v>
      </c>
      <c r="H74" s="679">
        <f>ROUND('Balance N'!F74,2)</f>
        <v>0</v>
      </c>
      <c r="I74" s="2" t="str">
        <f t="shared" si="4"/>
        <v>0</v>
      </c>
    </row>
    <row r="75" spans="1:9" x14ac:dyDescent="0.2">
      <c r="A75" s="573" t="str">
        <f>FIXED('Balance N'!A75,0,1)</f>
        <v>0</v>
      </c>
      <c r="B75" s="572">
        <f>+'Balance N'!B75</f>
        <v>0</v>
      </c>
      <c r="C75" s="679" t="e">
        <f>ROUND('Balance N'!#REF!,2)</f>
        <v>#REF!</v>
      </c>
      <c r="D75" s="679" t="e">
        <f>ROUND('Balance N'!#REF!,2)</f>
        <v>#REF!</v>
      </c>
      <c r="E75" s="679">
        <f>ROUND('Balance N'!C75,2)</f>
        <v>0</v>
      </c>
      <c r="F75" s="679">
        <f>ROUND('Balance N'!D75,2)</f>
        <v>0</v>
      </c>
      <c r="G75" s="679">
        <f>ROUND('Balance N'!E75,2)</f>
        <v>0</v>
      </c>
      <c r="H75" s="679">
        <f>ROUND('Balance N'!F75,2)</f>
        <v>0</v>
      </c>
      <c r="I75" s="2" t="str">
        <f t="shared" si="4"/>
        <v>0</v>
      </c>
    </row>
    <row r="76" spans="1:9" x14ac:dyDescent="0.2">
      <c r="A76" s="573" t="str">
        <f>FIXED('Balance N'!A76,0,1)</f>
        <v>0</v>
      </c>
      <c r="B76" s="572">
        <f>+'Balance N'!B76</f>
        <v>0</v>
      </c>
      <c r="C76" s="679" t="e">
        <f>ROUND('Balance N'!#REF!,2)</f>
        <v>#REF!</v>
      </c>
      <c r="D76" s="679" t="e">
        <f>ROUND('Balance N'!#REF!,2)</f>
        <v>#REF!</v>
      </c>
      <c r="E76" s="679">
        <f>ROUND('Balance N'!C76,2)</f>
        <v>0</v>
      </c>
      <c r="F76" s="679">
        <f>ROUND('Balance N'!D76,2)</f>
        <v>0</v>
      </c>
      <c r="G76" s="679">
        <f>ROUND('Balance N'!E76,2)</f>
        <v>0</v>
      </c>
      <c r="H76" s="679">
        <f>ROUND('Balance N'!F76,2)</f>
        <v>0</v>
      </c>
      <c r="I76" s="2" t="str">
        <f t="shared" si="4"/>
        <v>0</v>
      </c>
    </row>
    <row r="77" spans="1:9" x14ac:dyDescent="0.2">
      <c r="A77" s="573" t="str">
        <f>FIXED('Balance N'!A77,0,1)</f>
        <v>0</v>
      </c>
      <c r="B77" s="572">
        <f>+'Balance N'!B77</f>
        <v>0</v>
      </c>
      <c r="C77" s="679" t="e">
        <f>ROUND('Balance N'!#REF!,2)</f>
        <v>#REF!</v>
      </c>
      <c r="D77" s="679" t="e">
        <f>ROUND('Balance N'!#REF!,2)</f>
        <v>#REF!</v>
      </c>
      <c r="E77" s="679">
        <f>ROUND('Balance N'!C77,2)</f>
        <v>0</v>
      </c>
      <c r="F77" s="679">
        <f>ROUND('Balance N'!D77,2)</f>
        <v>0</v>
      </c>
      <c r="G77" s="679">
        <f>ROUND('Balance N'!E77,2)</f>
        <v>0</v>
      </c>
      <c r="H77" s="679">
        <f>ROUND('Balance N'!F77,2)</f>
        <v>0</v>
      </c>
      <c r="I77" s="2" t="str">
        <f t="shared" si="4"/>
        <v>0</v>
      </c>
    </row>
    <row r="78" spans="1:9" x14ac:dyDescent="0.2">
      <c r="A78" s="573" t="str">
        <f>FIXED('Balance N'!A78,0,1)</f>
        <v>0</v>
      </c>
      <c r="B78" s="572">
        <f>+'Balance N'!B78</f>
        <v>0</v>
      </c>
      <c r="C78" s="679" t="e">
        <f>ROUND('Balance N'!#REF!,2)</f>
        <v>#REF!</v>
      </c>
      <c r="D78" s="679" t="e">
        <f>ROUND('Balance N'!#REF!,2)</f>
        <v>#REF!</v>
      </c>
      <c r="E78" s="679">
        <f>ROUND('Balance N'!C78,2)</f>
        <v>0</v>
      </c>
      <c r="F78" s="679">
        <f>ROUND('Balance N'!D78,2)</f>
        <v>0</v>
      </c>
      <c r="G78" s="679">
        <f>ROUND('Balance N'!E78,2)</f>
        <v>0</v>
      </c>
      <c r="H78" s="679">
        <f>ROUND('Balance N'!F78,2)</f>
        <v>0</v>
      </c>
      <c r="I78" s="2" t="str">
        <f t="shared" si="4"/>
        <v>0</v>
      </c>
    </row>
    <row r="79" spans="1:9" x14ac:dyDescent="0.2">
      <c r="A79" s="573" t="str">
        <f>FIXED('Balance N'!A79,0,1)</f>
        <v>0</v>
      </c>
      <c r="B79" s="572">
        <f>+'Balance N'!B79</f>
        <v>0</v>
      </c>
      <c r="C79" s="679" t="e">
        <f>ROUND('Balance N'!#REF!,2)</f>
        <v>#REF!</v>
      </c>
      <c r="D79" s="679" t="e">
        <f>ROUND('Balance N'!#REF!,2)</f>
        <v>#REF!</v>
      </c>
      <c r="E79" s="679">
        <f>ROUND('Balance N'!C79,2)</f>
        <v>0</v>
      </c>
      <c r="F79" s="679">
        <f>ROUND('Balance N'!D79,2)</f>
        <v>0</v>
      </c>
      <c r="G79" s="679">
        <f>ROUND('Balance N'!E79,2)</f>
        <v>0</v>
      </c>
      <c r="H79" s="679">
        <f>ROUND('Balance N'!F79,2)</f>
        <v>0</v>
      </c>
      <c r="I79" s="2" t="str">
        <f t="shared" si="4"/>
        <v>0</v>
      </c>
    </row>
    <row r="80" spans="1:9" x14ac:dyDescent="0.2">
      <c r="A80" s="573" t="str">
        <f>FIXED('Balance N'!A80,0,1)</f>
        <v>0</v>
      </c>
      <c r="B80" s="572">
        <f>+'Balance N'!B80</f>
        <v>0</v>
      </c>
      <c r="C80" s="679" t="e">
        <f>ROUND('Balance N'!#REF!,2)</f>
        <v>#REF!</v>
      </c>
      <c r="D80" s="679" t="e">
        <f>ROUND('Balance N'!#REF!,2)</f>
        <v>#REF!</v>
      </c>
      <c r="E80" s="679">
        <f>ROUND('Balance N'!C80,2)</f>
        <v>0</v>
      </c>
      <c r="F80" s="679">
        <f>ROUND('Balance N'!D80,2)</f>
        <v>0</v>
      </c>
      <c r="G80" s="679">
        <f>ROUND('Balance N'!E80,2)</f>
        <v>0</v>
      </c>
      <c r="H80" s="679">
        <f>ROUND('Balance N'!F80,2)</f>
        <v>0</v>
      </c>
      <c r="I80" s="2" t="str">
        <f t="shared" si="4"/>
        <v>0</v>
      </c>
    </row>
    <row r="81" spans="1:9" x14ac:dyDescent="0.2">
      <c r="A81" s="573" t="str">
        <f>FIXED('Balance N'!A81,0,1)</f>
        <v>0</v>
      </c>
      <c r="B81" s="572">
        <f>+'Balance N'!B81</f>
        <v>0</v>
      </c>
      <c r="C81" s="679" t="e">
        <f>ROUND('Balance N'!#REF!,2)</f>
        <v>#REF!</v>
      </c>
      <c r="D81" s="679" t="e">
        <f>ROUND('Balance N'!#REF!,2)</f>
        <v>#REF!</v>
      </c>
      <c r="E81" s="679">
        <f>ROUND('Balance N'!C81,2)</f>
        <v>0</v>
      </c>
      <c r="F81" s="679">
        <f>ROUND('Balance N'!D81,2)</f>
        <v>0</v>
      </c>
      <c r="G81" s="679">
        <f>ROUND('Balance N'!E81,2)</f>
        <v>0</v>
      </c>
      <c r="H81" s="679">
        <f>ROUND('Balance N'!F81,2)</f>
        <v>0</v>
      </c>
      <c r="I81" s="2" t="str">
        <f t="shared" si="4"/>
        <v>0</v>
      </c>
    </row>
    <row r="82" spans="1:9" x14ac:dyDescent="0.2">
      <c r="A82" s="573" t="str">
        <f>FIXED('Balance N'!A82,0,1)</f>
        <v>0</v>
      </c>
      <c r="B82" s="572">
        <f>+'Balance N'!B82</f>
        <v>0</v>
      </c>
      <c r="C82" s="679" t="e">
        <f>ROUND('Balance N'!#REF!,2)</f>
        <v>#REF!</v>
      </c>
      <c r="D82" s="679" t="e">
        <f>ROUND('Balance N'!#REF!,2)</f>
        <v>#REF!</v>
      </c>
      <c r="E82" s="679">
        <f>ROUND('Balance N'!C82,2)</f>
        <v>0</v>
      </c>
      <c r="F82" s="679">
        <f>ROUND('Balance N'!D82,2)</f>
        <v>0</v>
      </c>
      <c r="G82" s="679">
        <f>ROUND('Balance N'!E82,2)</f>
        <v>0</v>
      </c>
      <c r="H82" s="679">
        <f>ROUND('Balance N'!F82,2)</f>
        <v>0</v>
      </c>
      <c r="I82" s="2" t="str">
        <f t="shared" si="4"/>
        <v>0</v>
      </c>
    </row>
    <row r="83" spans="1:9" x14ac:dyDescent="0.2">
      <c r="A83" s="573" t="str">
        <f>FIXED('Balance N'!A83,0,1)</f>
        <v>0</v>
      </c>
      <c r="B83" s="572">
        <f>+'Balance N'!B83</f>
        <v>0</v>
      </c>
      <c r="C83" s="679" t="e">
        <f>ROUND('Balance N'!#REF!,2)</f>
        <v>#REF!</v>
      </c>
      <c r="D83" s="679" t="e">
        <f>ROUND('Balance N'!#REF!,2)</f>
        <v>#REF!</v>
      </c>
      <c r="E83" s="679">
        <f>ROUND('Balance N'!C83,2)</f>
        <v>0</v>
      </c>
      <c r="F83" s="679">
        <f>ROUND('Balance N'!D83,2)</f>
        <v>0</v>
      </c>
      <c r="G83" s="679">
        <f>ROUND('Balance N'!E83,2)</f>
        <v>0</v>
      </c>
      <c r="H83" s="679">
        <f>ROUND('Balance N'!F83,2)</f>
        <v>0</v>
      </c>
      <c r="I83" s="2" t="str">
        <f t="shared" si="4"/>
        <v>0</v>
      </c>
    </row>
    <row r="84" spans="1:9" x14ac:dyDescent="0.2">
      <c r="A84" s="573" t="str">
        <f>FIXED('Balance N'!A84,0,1)</f>
        <v>0</v>
      </c>
      <c r="B84" s="572">
        <f>+'Balance N'!B84</f>
        <v>0</v>
      </c>
      <c r="C84" s="679" t="e">
        <f>ROUND('Balance N'!#REF!,2)</f>
        <v>#REF!</v>
      </c>
      <c r="D84" s="679" t="e">
        <f>ROUND('Balance N'!#REF!,2)</f>
        <v>#REF!</v>
      </c>
      <c r="E84" s="679">
        <f>ROUND('Balance N'!C84,2)</f>
        <v>0</v>
      </c>
      <c r="F84" s="679">
        <f>ROUND('Balance N'!D84,2)</f>
        <v>0</v>
      </c>
      <c r="G84" s="679">
        <f>ROUND('Balance N'!E84,2)</f>
        <v>0</v>
      </c>
      <c r="H84" s="679">
        <f>ROUND('Balance N'!F84,2)</f>
        <v>0</v>
      </c>
      <c r="I84" s="2" t="str">
        <f t="shared" si="4"/>
        <v>0</v>
      </c>
    </row>
    <row r="85" spans="1:9" x14ac:dyDescent="0.2">
      <c r="A85" s="573" t="str">
        <f>FIXED('Balance N'!A85,0,1)</f>
        <v>0</v>
      </c>
      <c r="B85" s="572">
        <f>+'Balance N'!B85</f>
        <v>0</v>
      </c>
      <c r="C85" s="679" t="e">
        <f>ROUND('Balance N'!#REF!,2)</f>
        <v>#REF!</v>
      </c>
      <c r="D85" s="679" t="e">
        <f>ROUND('Balance N'!#REF!,2)</f>
        <v>#REF!</v>
      </c>
      <c r="E85" s="679">
        <f>ROUND('Balance N'!C85,2)</f>
        <v>0</v>
      </c>
      <c r="F85" s="679">
        <f>ROUND('Balance N'!D85,2)</f>
        <v>0</v>
      </c>
      <c r="G85" s="679">
        <f>ROUND('Balance N'!E85,2)</f>
        <v>0</v>
      </c>
      <c r="H85" s="679">
        <f>ROUND('Balance N'!F85,2)</f>
        <v>0</v>
      </c>
      <c r="I85" s="2" t="str">
        <f t="shared" si="4"/>
        <v>0</v>
      </c>
    </row>
    <row r="86" spans="1:9" x14ac:dyDescent="0.2">
      <c r="A86" s="573" t="str">
        <f>FIXED('Balance N'!A86,0,1)</f>
        <v>0</v>
      </c>
      <c r="B86" s="572">
        <f>+'Balance N'!B86</f>
        <v>0</v>
      </c>
      <c r="C86" s="679" t="e">
        <f>ROUND('Balance N'!#REF!,2)</f>
        <v>#REF!</v>
      </c>
      <c r="D86" s="679" t="e">
        <f>ROUND('Balance N'!#REF!,2)</f>
        <v>#REF!</v>
      </c>
      <c r="E86" s="679">
        <f>ROUND('Balance N'!C86,2)</f>
        <v>0</v>
      </c>
      <c r="F86" s="679">
        <f>ROUND('Balance N'!D86,2)</f>
        <v>0</v>
      </c>
      <c r="G86" s="679">
        <f>ROUND('Balance N'!E86,2)</f>
        <v>0</v>
      </c>
      <c r="H86" s="679">
        <f>ROUND('Balance N'!F86,2)</f>
        <v>0</v>
      </c>
      <c r="I86" s="2" t="str">
        <f t="shared" si="4"/>
        <v>0</v>
      </c>
    </row>
    <row r="87" spans="1:9" x14ac:dyDescent="0.2">
      <c r="A87" s="573" t="str">
        <f>FIXED('Balance N'!A87,0,1)</f>
        <v>0</v>
      </c>
      <c r="B87" s="572">
        <f>+'Balance N'!B87</f>
        <v>0</v>
      </c>
      <c r="C87" s="679" t="e">
        <f>ROUND('Balance N'!#REF!,2)</f>
        <v>#REF!</v>
      </c>
      <c r="D87" s="679" t="e">
        <f>ROUND('Balance N'!#REF!,2)</f>
        <v>#REF!</v>
      </c>
      <c r="E87" s="679">
        <f>ROUND('Balance N'!C87,2)</f>
        <v>0</v>
      </c>
      <c r="F87" s="679">
        <f>ROUND('Balance N'!D87,2)</f>
        <v>0</v>
      </c>
      <c r="G87" s="679">
        <f>ROUND('Balance N'!E87,2)</f>
        <v>0</v>
      </c>
      <c r="H87" s="679">
        <f>ROUND('Balance N'!F87,2)</f>
        <v>0</v>
      </c>
      <c r="I87" s="2" t="str">
        <f t="shared" si="4"/>
        <v>0</v>
      </c>
    </row>
    <row r="88" spans="1:9" x14ac:dyDescent="0.2">
      <c r="A88" s="573" t="str">
        <f>FIXED('Balance N'!A88,0,1)</f>
        <v>0</v>
      </c>
      <c r="B88" s="572">
        <f>+'Balance N'!B88</f>
        <v>0</v>
      </c>
      <c r="C88" s="679" t="e">
        <f>ROUND('Balance N'!#REF!,2)</f>
        <v>#REF!</v>
      </c>
      <c r="D88" s="679" t="e">
        <f>ROUND('Balance N'!#REF!,2)</f>
        <v>#REF!</v>
      </c>
      <c r="E88" s="679">
        <f>ROUND('Balance N'!C88,2)</f>
        <v>0</v>
      </c>
      <c r="F88" s="679">
        <f>ROUND('Balance N'!D88,2)</f>
        <v>0</v>
      </c>
      <c r="G88" s="679">
        <f>ROUND('Balance N'!E88,2)</f>
        <v>0</v>
      </c>
      <c r="H88" s="679">
        <f>ROUND('Balance N'!F88,2)</f>
        <v>0</v>
      </c>
      <c r="I88" s="2" t="str">
        <f t="shared" si="4"/>
        <v>0</v>
      </c>
    </row>
    <row r="89" spans="1:9" x14ac:dyDescent="0.2">
      <c r="A89" s="573" t="str">
        <f>FIXED('Balance N'!A89,0,1)</f>
        <v>0</v>
      </c>
      <c r="B89" s="572">
        <f>+'Balance N'!B89</f>
        <v>0</v>
      </c>
      <c r="C89" s="679" t="e">
        <f>ROUND('Balance N'!#REF!,2)</f>
        <v>#REF!</v>
      </c>
      <c r="D89" s="679" t="e">
        <f>ROUND('Balance N'!#REF!,2)</f>
        <v>#REF!</v>
      </c>
      <c r="E89" s="679">
        <f>ROUND('Balance N'!C89,2)</f>
        <v>0</v>
      </c>
      <c r="F89" s="679">
        <f>ROUND('Balance N'!D89,2)</f>
        <v>0</v>
      </c>
      <c r="G89" s="679">
        <f>ROUND('Balance N'!E89,2)</f>
        <v>0</v>
      </c>
      <c r="H89" s="679">
        <f>ROUND('Balance N'!F89,2)</f>
        <v>0</v>
      </c>
      <c r="I89" s="2" t="str">
        <f t="shared" si="4"/>
        <v>0</v>
      </c>
    </row>
    <row r="90" spans="1:9" x14ac:dyDescent="0.2">
      <c r="A90" s="573" t="str">
        <f>FIXED('Balance N'!A90,0,1)</f>
        <v>0</v>
      </c>
      <c r="B90" s="572">
        <f>+'Balance N'!B90</f>
        <v>0</v>
      </c>
      <c r="C90" s="679" t="e">
        <f>ROUND('Balance N'!#REF!,2)</f>
        <v>#REF!</v>
      </c>
      <c r="D90" s="679" t="e">
        <f>ROUND('Balance N'!#REF!,2)</f>
        <v>#REF!</v>
      </c>
      <c r="E90" s="679">
        <f>ROUND('Balance N'!C90,2)</f>
        <v>0</v>
      </c>
      <c r="F90" s="679">
        <f>ROUND('Balance N'!D90,2)</f>
        <v>0</v>
      </c>
      <c r="G90" s="679">
        <f>ROUND('Balance N'!E90,2)</f>
        <v>0</v>
      </c>
      <c r="H90" s="679">
        <f>ROUND('Balance N'!F90,2)</f>
        <v>0</v>
      </c>
      <c r="I90" s="2" t="str">
        <f t="shared" si="4"/>
        <v>0</v>
      </c>
    </row>
    <row r="91" spans="1:9" x14ac:dyDescent="0.2">
      <c r="A91" s="573" t="str">
        <f>FIXED('Balance N'!A91,0,1)</f>
        <v>0</v>
      </c>
      <c r="B91" s="572">
        <f>+'Balance N'!B91</f>
        <v>0</v>
      </c>
      <c r="C91" s="679" t="e">
        <f>ROUND('Balance N'!#REF!,2)</f>
        <v>#REF!</v>
      </c>
      <c r="D91" s="679" t="e">
        <f>ROUND('Balance N'!#REF!,2)</f>
        <v>#REF!</v>
      </c>
      <c r="E91" s="679">
        <f>ROUND('Balance N'!C91,2)</f>
        <v>0</v>
      </c>
      <c r="F91" s="679">
        <f>ROUND('Balance N'!D91,2)</f>
        <v>0</v>
      </c>
      <c r="G91" s="679">
        <f>ROUND('Balance N'!E91,2)</f>
        <v>0</v>
      </c>
      <c r="H91" s="679">
        <f>ROUND('Balance N'!F91,2)</f>
        <v>0</v>
      </c>
      <c r="I91" s="2" t="str">
        <f t="shared" si="4"/>
        <v>0</v>
      </c>
    </row>
    <row r="92" spans="1:9" x14ac:dyDescent="0.2">
      <c r="A92" s="573" t="str">
        <f>FIXED('Balance N'!A92,0,1)</f>
        <v>0</v>
      </c>
      <c r="B92" s="572">
        <f>+'Balance N'!B92</f>
        <v>0</v>
      </c>
      <c r="C92" s="679" t="e">
        <f>ROUND('Balance N'!#REF!,2)</f>
        <v>#REF!</v>
      </c>
      <c r="D92" s="679" t="e">
        <f>ROUND('Balance N'!#REF!,2)</f>
        <v>#REF!</v>
      </c>
      <c r="E92" s="679">
        <f>ROUND('Balance N'!C92,2)</f>
        <v>0</v>
      </c>
      <c r="F92" s="679">
        <f>ROUND('Balance N'!D92,2)</f>
        <v>0</v>
      </c>
      <c r="G92" s="679">
        <f>ROUND('Balance N'!E92,2)</f>
        <v>0</v>
      </c>
      <c r="H92" s="679">
        <f>ROUND('Balance N'!F92,2)</f>
        <v>0</v>
      </c>
      <c r="I92" s="2" t="str">
        <f t="shared" si="4"/>
        <v>0</v>
      </c>
    </row>
    <row r="93" spans="1:9" x14ac:dyDescent="0.2">
      <c r="A93" s="573" t="str">
        <f>FIXED('Balance N'!A93,0,1)</f>
        <v>0</v>
      </c>
      <c r="B93" s="572">
        <f>+'Balance N'!B93</f>
        <v>0</v>
      </c>
      <c r="C93" s="679" t="e">
        <f>ROUND('Balance N'!#REF!,2)</f>
        <v>#REF!</v>
      </c>
      <c r="D93" s="679" t="e">
        <f>ROUND('Balance N'!#REF!,2)</f>
        <v>#REF!</v>
      </c>
      <c r="E93" s="679">
        <f>ROUND('Balance N'!C93,2)</f>
        <v>0</v>
      </c>
      <c r="F93" s="679">
        <f>ROUND('Balance N'!D93,2)</f>
        <v>0</v>
      </c>
      <c r="G93" s="679">
        <f>ROUND('Balance N'!E93,2)</f>
        <v>0</v>
      </c>
      <c r="H93" s="679">
        <f>ROUND('Balance N'!F93,2)</f>
        <v>0</v>
      </c>
      <c r="I93" s="2" t="str">
        <f t="shared" si="4"/>
        <v>0</v>
      </c>
    </row>
    <row r="94" spans="1:9" x14ac:dyDescent="0.2">
      <c r="A94" s="573" t="str">
        <f>FIXED('Balance N'!A94,0,1)</f>
        <v>0</v>
      </c>
      <c r="B94" s="572">
        <f>+'Balance N'!B94</f>
        <v>0</v>
      </c>
      <c r="C94" s="679" t="e">
        <f>ROUND('Balance N'!#REF!,2)</f>
        <v>#REF!</v>
      </c>
      <c r="D94" s="679" t="e">
        <f>ROUND('Balance N'!#REF!,2)</f>
        <v>#REF!</v>
      </c>
      <c r="E94" s="679">
        <f>ROUND('Balance N'!C94,2)</f>
        <v>0</v>
      </c>
      <c r="F94" s="679">
        <f>ROUND('Balance N'!D94,2)</f>
        <v>0</v>
      </c>
      <c r="G94" s="679">
        <f>ROUND('Balance N'!E94,2)</f>
        <v>0</v>
      </c>
      <c r="H94" s="679">
        <f>ROUND('Balance N'!F94,2)</f>
        <v>0</v>
      </c>
      <c r="I94" s="2" t="str">
        <f t="shared" si="4"/>
        <v>0</v>
      </c>
    </row>
    <row r="95" spans="1:9" x14ac:dyDescent="0.2">
      <c r="A95" s="573" t="str">
        <f>FIXED('Balance N'!A95,0,1)</f>
        <v>0</v>
      </c>
      <c r="B95" s="572">
        <f>+'Balance N'!B95</f>
        <v>0</v>
      </c>
      <c r="C95" s="679" t="e">
        <f>ROUND('Balance N'!#REF!,2)</f>
        <v>#REF!</v>
      </c>
      <c r="D95" s="679" t="e">
        <f>ROUND('Balance N'!#REF!,2)</f>
        <v>#REF!</v>
      </c>
      <c r="E95" s="679">
        <f>ROUND('Balance N'!C95,2)</f>
        <v>0</v>
      </c>
      <c r="F95" s="679">
        <f>ROUND('Balance N'!D95,2)</f>
        <v>0</v>
      </c>
      <c r="G95" s="679">
        <f>ROUND('Balance N'!E95,2)</f>
        <v>0</v>
      </c>
      <c r="H95" s="679">
        <f>ROUND('Balance N'!F95,2)</f>
        <v>0</v>
      </c>
      <c r="I95" s="2" t="str">
        <f t="shared" si="4"/>
        <v>0</v>
      </c>
    </row>
    <row r="96" spans="1:9" x14ac:dyDescent="0.2">
      <c r="A96" s="573" t="str">
        <f>FIXED('Balance N'!A96,0,1)</f>
        <v>0</v>
      </c>
      <c r="B96" s="572">
        <f>+'Balance N'!B96</f>
        <v>0</v>
      </c>
      <c r="C96" s="679" t="e">
        <f>ROUND('Balance N'!#REF!,2)</f>
        <v>#REF!</v>
      </c>
      <c r="D96" s="679" t="e">
        <f>ROUND('Balance N'!#REF!,2)</f>
        <v>#REF!</v>
      </c>
      <c r="E96" s="679">
        <f>ROUND('Balance N'!C96,2)</f>
        <v>0</v>
      </c>
      <c r="F96" s="679">
        <f>ROUND('Balance N'!D96,2)</f>
        <v>0</v>
      </c>
      <c r="G96" s="679">
        <f>ROUND('Balance N'!E96,2)</f>
        <v>0</v>
      </c>
      <c r="H96" s="679">
        <f>ROUND('Balance N'!F96,2)</f>
        <v>0</v>
      </c>
      <c r="I96" s="2" t="str">
        <f t="shared" si="4"/>
        <v>0</v>
      </c>
    </row>
    <row r="97" spans="1:9" x14ac:dyDescent="0.2">
      <c r="A97" s="573" t="str">
        <f>FIXED('Balance N'!A97,0,1)</f>
        <v>0</v>
      </c>
      <c r="B97" s="572">
        <f>+'Balance N'!B97</f>
        <v>0</v>
      </c>
      <c r="C97" s="679" t="e">
        <f>ROUND('Balance N'!#REF!,2)</f>
        <v>#REF!</v>
      </c>
      <c r="D97" s="679" t="e">
        <f>ROUND('Balance N'!#REF!,2)</f>
        <v>#REF!</v>
      </c>
      <c r="E97" s="679">
        <f>ROUND('Balance N'!C97,2)</f>
        <v>0</v>
      </c>
      <c r="F97" s="679">
        <f>ROUND('Balance N'!D97,2)</f>
        <v>0</v>
      </c>
      <c r="G97" s="679">
        <f>ROUND('Balance N'!E97,2)</f>
        <v>0</v>
      </c>
      <c r="H97" s="679">
        <f>ROUND('Balance N'!F97,2)</f>
        <v>0</v>
      </c>
      <c r="I97" s="2" t="str">
        <f t="shared" si="4"/>
        <v>0</v>
      </c>
    </row>
    <row r="98" spans="1:9" x14ac:dyDescent="0.2">
      <c r="A98" s="573" t="str">
        <f>FIXED('Balance N'!A98,0,1)</f>
        <v>0</v>
      </c>
      <c r="B98" s="572">
        <f>+'Balance N'!B98</f>
        <v>0</v>
      </c>
      <c r="C98" s="679" t="e">
        <f>ROUND('Balance N'!#REF!,2)</f>
        <v>#REF!</v>
      </c>
      <c r="D98" s="679" t="e">
        <f>ROUND('Balance N'!#REF!,2)</f>
        <v>#REF!</v>
      </c>
      <c r="E98" s="679">
        <f>ROUND('Balance N'!C98,2)</f>
        <v>0</v>
      </c>
      <c r="F98" s="679">
        <f>ROUND('Balance N'!D98,2)</f>
        <v>0</v>
      </c>
      <c r="G98" s="679">
        <f>ROUND('Balance N'!E98,2)</f>
        <v>0</v>
      </c>
      <c r="H98" s="679">
        <f>ROUND('Balance N'!F98,2)</f>
        <v>0</v>
      </c>
      <c r="I98" s="2" t="str">
        <f t="shared" si="4"/>
        <v>0</v>
      </c>
    </row>
    <row r="99" spans="1:9" x14ac:dyDescent="0.2">
      <c r="A99" s="573" t="str">
        <f>FIXED('Balance N'!A99,0,1)</f>
        <v>0</v>
      </c>
      <c r="B99" s="572">
        <f>+'Balance N'!B99</f>
        <v>0</v>
      </c>
      <c r="C99" s="679" t="e">
        <f>ROUND('Balance N'!#REF!,2)</f>
        <v>#REF!</v>
      </c>
      <c r="D99" s="679" t="e">
        <f>ROUND('Balance N'!#REF!,2)</f>
        <v>#REF!</v>
      </c>
      <c r="E99" s="679">
        <f>ROUND('Balance N'!C99,2)</f>
        <v>0</v>
      </c>
      <c r="F99" s="679">
        <f>ROUND('Balance N'!D99,2)</f>
        <v>0</v>
      </c>
      <c r="G99" s="679">
        <f>ROUND('Balance N'!E99,2)</f>
        <v>0</v>
      </c>
      <c r="H99" s="679">
        <f>ROUND('Balance N'!F99,2)</f>
        <v>0</v>
      </c>
      <c r="I99" s="2" t="str">
        <f t="shared" si="4"/>
        <v>0</v>
      </c>
    </row>
    <row r="100" spans="1:9" x14ac:dyDescent="0.2">
      <c r="A100" s="573" t="str">
        <f>FIXED('Balance N'!A100,0,1)</f>
        <v>0</v>
      </c>
      <c r="B100" s="572">
        <f>+'Balance N'!B100</f>
        <v>0</v>
      </c>
      <c r="C100" s="679" t="e">
        <f>ROUND('Balance N'!#REF!,2)</f>
        <v>#REF!</v>
      </c>
      <c r="D100" s="679" t="e">
        <f>ROUND('Balance N'!#REF!,2)</f>
        <v>#REF!</v>
      </c>
      <c r="E100" s="679">
        <f>ROUND('Balance N'!C100,2)</f>
        <v>0</v>
      </c>
      <c r="F100" s="679">
        <f>ROUND('Balance N'!D100,2)</f>
        <v>0</v>
      </c>
      <c r="G100" s="679">
        <f>ROUND('Balance N'!E100,2)</f>
        <v>0</v>
      </c>
      <c r="H100" s="679">
        <f>ROUND('Balance N'!F100,2)</f>
        <v>0</v>
      </c>
      <c r="I100" s="2" t="str">
        <f t="shared" si="4"/>
        <v>0</v>
      </c>
    </row>
    <row r="101" spans="1:9" x14ac:dyDescent="0.2">
      <c r="A101" s="573" t="str">
        <f>FIXED('Balance N'!A101,0,1)</f>
        <v>0</v>
      </c>
      <c r="B101" s="572">
        <f>+'Balance N'!B101</f>
        <v>0</v>
      </c>
      <c r="C101" s="679" t="e">
        <f>ROUND('Balance N'!#REF!,2)</f>
        <v>#REF!</v>
      </c>
      <c r="D101" s="679" t="e">
        <f>ROUND('Balance N'!#REF!,2)</f>
        <v>#REF!</v>
      </c>
      <c r="E101" s="679">
        <f>ROUND('Balance N'!C101,2)</f>
        <v>0</v>
      </c>
      <c r="F101" s="679">
        <f>ROUND('Balance N'!D101,2)</f>
        <v>0</v>
      </c>
      <c r="G101" s="679">
        <f>ROUND('Balance N'!E101,2)</f>
        <v>0</v>
      </c>
      <c r="H101" s="679">
        <f>ROUND('Balance N'!F101,2)</f>
        <v>0</v>
      </c>
      <c r="I101" s="2" t="str">
        <f t="shared" si="4"/>
        <v>0</v>
      </c>
    </row>
    <row r="102" spans="1:9" x14ac:dyDescent="0.2">
      <c r="A102" s="573" t="str">
        <f>FIXED('Balance N'!A102,0,1)</f>
        <v>0</v>
      </c>
      <c r="B102" s="572">
        <f>+'Balance N'!B102</f>
        <v>0</v>
      </c>
      <c r="C102" s="679" t="e">
        <f>ROUND('Balance N'!#REF!,2)</f>
        <v>#REF!</v>
      </c>
      <c r="D102" s="679" t="e">
        <f>ROUND('Balance N'!#REF!,2)</f>
        <v>#REF!</v>
      </c>
      <c r="E102" s="679">
        <f>ROUND('Balance N'!C102,2)</f>
        <v>0</v>
      </c>
      <c r="F102" s="679">
        <f>ROUND('Balance N'!D102,2)</f>
        <v>0</v>
      </c>
      <c r="G102" s="679">
        <f>ROUND('Balance N'!E102,2)</f>
        <v>0</v>
      </c>
      <c r="H102" s="679">
        <f>ROUND('Balance N'!F102,2)</f>
        <v>0</v>
      </c>
      <c r="I102" s="2" t="str">
        <f t="shared" si="4"/>
        <v>0</v>
      </c>
    </row>
    <row r="103" spans="1:9" x14ac:dyDescent="0.2">
      <c r="A103" s="573" t="str">
        <f>FIXED('Balance N'!A103,0,1)</f>
        <v>0</v>
      </c>
      <c r="B103" s="572">
        <f>+'Balance N'!B103</f>
        <v>0</v>
      </c>
      <c r="C103" s="679" t="e">
        <f>ROUND('Balance N'!#REF!,2)</f>
        <v>#REF!</v>
      </c>
      <c r="D103" s="679" t="e">
        <f>ROUND('Balance N'!#REF!,2)</f>
        <v>#REF!</v>
      </c>
      <c r="E103" s="679">
        <f>ROUND('Balance N'!C103,2)</f>
        <v>0</v>
      </c>
      <c r="F103" s="679">
        <f>ROUND('Balance N'!D103,2)</f>
        <v>0</v>
      </c>
      <c r="G103" s="679">
        <f>ROUND('Balance N'!E103,2)</f>
        <v>0</v>
      </c>
      <c r="H103" s="679">
        <f>ROUND('Balance N'!F103,2)</f>
        <v>0</v>
      </c>
      <c r="I103" s="2" t="str">
        <f t="shared" si="4"/>
        <v>0</v>
      </c>
    </row>
    <row r="104" spans="1:9" x14ac:dyDescent="0.2">
      <c r="A104" s="573" t="str">
        <f>FIXED('Balance N'!A104,0,1)</f>
        <v>0</v>
      </c>
      <c r="B104" s="572">
        <f>+'Balance N'!B104</f>
        <v>0</v>
      </c>
      <c r="C104" s="679" t="e">
        <f>ROUND('Balance N'!#REF!,2)</f>
        <v>#REF!</v>
      </c>
      <c r="D104" s="679" t="e">
        <f>ROUND('Balance N'!#REF!,2)</f>
        <v>#REF!</v>
      </c>
      <c r="E104" s="679">
        <f>ROUND('Balance N'!C104,2)</f>
        <v>0</v>
      </c>
      <c r="F104" s="679">
        <f>ROUND('Balance N'!D104,2)</f>
        <v>0</v>
      </c>
      <c r="G104" s="679">
        <f>ROUND('Balance N'!E104,2)</f>
        <v>0</v>
      </c>
      <c r="H104" s="679">
        <f>ROUND('Balance N'!F104,2)</f>
        <v>0</v>
      </c>
      <c r="I104" s="2" t="str">
        <f t="shared" si="4"/>
        <v>0</v>
      </c>
    </row>
    <row r="105" spans="1:9" x14ac:dyDescent="0.2">
      <c r="A105" s="573" t="str">
        <f>FIXED('Balance N'!A105,0,1)</f>
        <v>0</v>
      </c>
      <c r="B105" s="572">
        <f>+'Balance N'!B105</f>
        <v>0</v>
      </c>
      <c r="C105" s="679" t="e">
        <f>ROUND('Balance N'!#REF!,2)</f>
        <v>#REF!</v>
      </c>
      <c r="D105" s="679" t="e">
        <f>ROUND('Balance N'!#REF!,2)</f>
        <v>#REF!</v>
      </c>
      <c r="E105" s="679">
        <f>ROUND('Balance N'!C105,2)</f>
        <v>0</v>
      </c>
      <c r="F105" s="679">
        <f>ROUND('Balance N'!D105,2)</f>
        <v>0</v>
      </c>
      <c r="G105" s="679">
        <f>ROUND('Balance N'!E105,2)</f>
        <v>0</v>
      </c>
      <c r="H105" s="679">
        <f>ROUND('Balance N'!F105,2)</f>
        <v>0</v>
      </c>
      <c r="I105" s="2" t="str">
        <f t="shared" si="4"/>
        <v>0</v>
      </c>
    </row>
    <row r="106" spans="1:9" x14ac:dyDescent="0.2">
      <c r="A106" s="573" t="str">
        <f>FIXED('Balance N'!A106,0,1)</f>
        <v>0</v>
      </c>
      <c r="B106" s="572">
        <f>+'Balance N'!B106</f>
        <v>0</v>
      </c>
      <c r="C106" s="679" t="e">
        <f>ROUND('Balance N'!#REF!,2)</f>
        <v>#REF!</v>
      </c>
      <c r="D106" s="679" t="e">
        <f>ROUND('Balance N'!#REF!,2)</f>
        <v>#REF!</v>
      </c>
      <c r="E106" s="679">
        <f>ROUND('Balance N'!C106,2)</f>
        <v>0</v>
      </c>
      <c r="F106" s="679">
        <f>ROUND('Balance N'!D106,2)</f>
        <v>0</v>
      </c>
      <c r="G106" s="679">
        <f>ROUND('Balance N'!E106,2)</f>
        <v>0</v>
      </c>
      <c r="H106" s="679">
        <f>ROUND('Balance N'!F106,2)</f>
        <v>0</v>
      </c>
      <c r="I106" s="2" t="str">
        <f t="shared" si="4"/>
        <v>0</v>
      </c>
    </row>
    <row r="107" spans="1:9" x14ac:dyDescent="0.2">
      <c r="A107" s="573" t="str">
        <f>FIXED('Balance N'!A107,0,1)</f>
        <v>0</v>
      </c>
      <c r="B107" s="572">
        <f>+'Balance N'!B107</f>
        <v>0</v>
      </c>
      <c r="C107" s="679" t="e">
        <f>ROUND('Balance N'!#REF!,2)</f>
        <v>#REF!</v>
      </c>
      <c r="D107" s="679" t="e">
        <f>ROUND('Balance N'!#REF!,2)</f>
        <v>#REF!</v>
      </c>
      <c r="E107" s="679">
        <f>ROUND('Balance N'!C107,2)</f>
        <v>0</v>
      </c>
      <c r="F107" s="679">
        <f>ROUND('Balance N'!D107,2)</f>
        <v>0</v>
      </c>
      <c r="G107" s="679">
        <f>ROUND('Balance N'!E107,2)</f>
        <v>0</v>
      </c>
      <c r="H107" s="679">
        <f>ROUND('Balance N'!F107,2)</f>
        <v>0</v>
      </c>
      <c r="I107" s="2" t="str">
        <f t="shared" si="4"/>
        <v>0</v>
      </c>
    </row>
    <row r="108" spans="1:9" x14ac:dyDescent="0.2">
      <c r="A108" s="573" t="str">
        <f>FIXED('Balance N'!A108,0,1)</f>
        <v>0</v>
      </c>
      <c r="B108" s="572">
        <f>+'Balance N'!B108</f>
        <v>0</v>
      </c>
      <c r="C108" s="679" t="e">
        <f>ROUND('Balance N'!#REF!,2)</f>
        <v>#REF!</v>
      </c>
      <c r="D108" s="679" t="e">
        <f>ROUND('Balance N'!#REF!,2)</f>
        <v>#REF!</v>
      </c>
      <c r="E108" s="679">
        <f>ROUND('Balance N'!C108,2)</f>
        <v>0</v>
      </c>
      <c r="F108" s="679">
        <f>ROUND('Balance N'!D108,2)</f>
        <v>0</v>
      </c>
      <c r="G108" s="679">
        <f>ROUND('Balance N'!E108,2)</f>
        <v>0</v>
      </c>
      <c r="H108" s="679">
        <f>ROUND('Balance N'!F108,2)</f>
        <v>0</v>
      </c>
      <c r="I108" s="2" t="str">
        <f t="shared" si="4"/>
        <v>0</v>
      </c>
    </row>
    <row r="109" spans="1:9" x14ac:dyDescent="0.2">
      <c r="A109" s="573" t="str">
        <f>FIXED('Balance N'!A109,0,1)</f>
        <v>0</v>
      </c>
      <c r="B109" s="572">
        <f>+'Balance N'!B109</f>
        <v>0</v>
      </c>
      <c r="C109" s="679" t="e">
        <f>ROUND('Balance N'!#REF!,2)</f>
        <v>#REF!</v>
      </c>
      <c r="D109" s="679" t="e">
        <f>ROUND('Balance N'!#REF!,2)</f>
        <v>#REF!</v>
      </c>
      <c r="E109" s="679">
        <f>ROUND('Balance N'!C109,2)</f>
        <v>0</v>
      </c>
      <c r="F109" s="679">
        <f>ROUND('Balance N'!D109,2)</f>
        <v>0</v>
      </c>
      <c r="G109" s="679">
        <f>ROUND('Balance N'!E109,2)</f>
        <v>0</v>
      </c>
      <c r="H109" s="679">
        <f>ROUND('Balance N'!F109,2)</f>
        <v>0</v>
      </c>
      <c r="I109" s="2" t="str">
        <f t="shared" si="4"/>
        <v>0</v>
      </c>
    </row>
    <row r="110" spans="1:9" x14ac:dyDescent="0.2">
      <c r="A110" s="573" t="str">
        <f>FIXED('Balance N'!A110,0,1)</f>
        <v>0</v>
      </c>
      <c r="B110" s="572">
        <f>+'Balance N'!B110</f>
        <v>0</v>
      </c>
      <c r="C110" s="679" t="e">
        <f>ROUND('Balance N'!#REF!,2)</f>
        <v>#REF!</v>
      </c>
      <c r="D110" s="679" t="e">
        <f>ROUND('Balance N'!#REF!,2)</f>
        <v>#REF!</v>
      </c>
      <c r="E110" s="679">
        <f>ROUND('Balance N'!C110,2)</f>
        <v>0</v>
      </c>
      <c r="F110" s="679">
        <f>ROUND('Balance N'!D110,2)</f>
        <v>0</v>
      </c>
      <c r="G110" s="679">
        <f>ROUND('Balance N'!E110,2)</f>
        <v>0</v>
      </c>
      <c r="H110" s="679">
        <f>ROUND('Balance N'!F110,2)</f>
        <v>0</v>
      </c>
      <c r="I110" s="2" t="str">
        <f t="shared" si="4"/>
        <v>0</v>
      </c>
    </row>
    <row r="111" spans="1:9" x14ac:dyDescent="0.2">
      <c r="A111" s="573" t="str">
        <f>FIXED('Balance N'!A111,0,1)</f>
        <v>0</v>
      </c>
      <c r="B111" s="572">
        <f>+'Balance N'!B111</f>
        <v>0</v>
      </c>
      <c r="C111" s="679" t="e">
        <f>ROUND('Balance N'!#REF!,2)</f>
        <v>#REF!</v>
      </c>
      <c r="D111" s="679" t="e">
        <f>ROUND('Balance N'!#REF!,2)</f>
        <v>#REF!</v>
      </c>
      <c r="E111" s="679">
        <f>ROUND('Balance N'!C111,2)</f>
        <v>0</v>
      </c>
      <c r="F111" s="679">
        <f>ROUND('Balance N'!D111,2)</f>
        <v>0</v>
      </c>
      <c r="G111" s="679">
        <f>ROUND('Balance N'!E111,2)</f>
        <v>0</v>
      </c>
      <c r="H111" s="679">
        <f>ROUND('Balance N'!F111,2)</f>
        <v>0</v>
      </c>
      <c r="I111" s="2" t="str">
        <f t="shared" si="4"/>
        <v>0</v>
      </c>
    </row>
    <row r="112" spans="1:9" x14ac:dyDescent="0.2">
      <c r="A112" s="573" t="str">
        <f>FIXED('Balance N'!A112,0,1)</f>
        <v>0</v>
      </c>
      <c r="B112" s="572">
        <f>+'Balance N'!B112</f>
        <v>0</v>
      </c>
      <c r="C112" s="679" t="e">
        <f>ROUND('Balance N'!#REF!,2)</f>
        <v>#REF!</v>
      </c>
      <c r="D112" s="679" t="e">
        <f>ROUND('Balance N'!#REF!,2)</f>
        <v>#REF!</v>
      </c>
      <c r="E112" s="679">
        <f>ROUND('Balance N'!C112,2)</f>
        <v>0</v>
      </c>
      <c r="F112" s="679">
        <f>ROUND('Balance N'!D112,2)</f>
        <v>0</v>
      </c>
      <c r="G112" s="679">
        <f>ROUND('Balance N'!E112,2)</f>
        <v>0</v>
      </c>
      <c r="H112" s="679">
        <f>ROUND('Balance N'!F112,2)</f>
        <v>0</v>
      </c>
      <c r="I112" s="2" t="str">
        <f t="shared" si="4"/>
        <v>0</v>
      </c>
    </row>
    <row r="113" spans="1:9" x14ac:dyDescent="0.2">
      <c r="A113" s="573" t="str">
        <f>FIXED('Balance N'!A113,0,1)</f>
        <v>0</v>
      </c>
      <c r="B113" s="572">
        <f>+'Balance N'!B113</f>
        <v>0</v>
      </c>
      <c r="C113" s="679" t="e">
        <f>ROUND('Balance N'!#REF!,2)</f>
        <v>#REF!</v>
      </c>
      <c r="D113" s="679" t="e">
        <f>ROUND('Balance N'!#REF!,2)</f>
        <v>#REF!</v>
      </c>
      <c r="E113" s="679">
        <f>ROUND('Balance N'!C113,2)</f>
        <v>0</v>
      </c>
      <c r="F113" s="679">
        <f>ROUND('Balance N'!D113,2)</f>
        <v>0</v>
      </c>
      <c r="G113" s="679">
        <f>ROUND('Balance N'!E113,2)</f>
        <v>0</v>
      </c>
      <c r="H113" s="679">
        <f>ROUND('Balance N'!F113,2)</f>
        <v>0</v>
      </c>
      <c r="I113" s="2" t="str">
        <f t="shared" si="4"/>
        <v>0</v>
      </c>
    </row>
    <row r="114" spans="1:9" x14ac:dyDescent="0.2">
      <c r="A114" s="573" t="str">
        <f>FIXED('Balance N'!A114,0,1)</f>
        <v>0</v>
      </c>
      <c r="B114" s="572">
        <f>+'Balance N'!B114</f>
        <v>0</v>
      </c>
      <c r="C114" s="679" t="e">
        <f>ROUND('Balance N'!#REF!,2)</f>
        <v>#REF!</v>
      </c>
      <c r="D114" s="679" t="e">
        <f>ROUND('Balance N'!#REF!,2)</f>
        <v>#REF!</v>
      </c>
      <c r="E114" s="679">
        <f>ROUND('Balance N'!C114,2)</f>
        <v>0</v>
      </c>
      <c r="F114" s="679">
        <f>ROUND('Balance N'!D114,2)</f>
        <v>0</v>
      </c>
      <c r="G114" s="679">
        <f>ROUND('Balance N'!E114,2)</f>
        <v>0</v>
      </c>
      <c r="H114" s="679">
        <f>ROUND('Balance N'!F114,2)</f>
        <v>0</v>
      </c>
      <c r="I114" s="2" t="str">
        <f t="shared" si="4"/>
        <v>0</v>
      </c>
    </row>
    <row r="115" spans="1:9" x14ac:dyDescent="0.2">
      <c r="A115" s="573" t="str">
        <f>FIXED('Balance N'!A115,0,1)</f>
        <v>0</v>
      </c>
      <c r="B115" s="572">
        <f>+'Balance N'!B115</f>
        <v>0</v>
      </c>
      <c r="C115" s="679" t="e">
        <f>ROUND('Balance N'!#REF!,2)</f>
        <v>#REF!</v>
      </c>
      <c r="D115" s="679" t="e">
        <f>ROUND('Balance N'!#REF!,2)</f>
        <v>#REF!</v>
      </c>
      <c r="E115" s="679">
        <f>ROUND('Balance N'!C115,2)</f>
        <v>0</v>
      </c>
      <c r="F115" s="679">
        <f>ROUND('Balance N'!D115,2)</f>
        <v>0</v>
      </c>
      <c r="G115" s="679">
        <f>ROUND('Balance N'!E115,2)</f>
        <v>0</v>
      </c>
      <c r="H115" s="679">
        <f>ROUND('Balance N'!F115,2)</f>
        <v>0</v>
      </c>
      <c r="I115" s="2" t="str">
        <f t="shared" si="4"/>
        <v>0</v>
      </c>
    </row>
    <row r="116" spans="1:9" x14ac:dyDescent="0.2">
      <c r="A116" s="573" t="str">
        <f>FIXED('Balance N'!A116,0,1)</f>
        <v>0</v>
      </c>
      <c r="B116" s="572">
        <f>+'Balance N'!B116</f>
        <v>0</v>
      </c>
      <c r="C116" s="679" t="e">
        <f>ROUND('Balance N'!#REF!,2)</f>
        <v>#REF!</v>
      </c>
      <c r="D116" s="679" t="e">
        <f>ROUND('Balance N'!#REF!,2)</f>
        <v>#REF!</v>
      </c>
      <c r="E116" s="679">
        <f>ROUND('Balance N'!C116,2)</f>
        <v>0</v>
      </c>
      <c r="F116" s="679">
        <f>ROUND('Balance N'!D116,2)</f>
        <v>0</v>
      </c>
      <c r="G116" s="679">
        <f>ROUND('Balance N'!E116,2)</f>
        <v>0</v>
      </c>
      <c r="H116" s="679">
        <f>ROUND('Balance N'!F116,2)</f>
        <v>0</v>
      </c>
      <c r="I116" s="2" t="str">
        <f t="shared" si="4"/>
        <v>0</v>
      </c>
    </row>
    <row r="117" spans="1:9" x14ac:dyDescent="0.2">
      <c r="A117" s="573" t="str">
        <f>FIXED('Balance N'!A117,0,1)</f>
        <v>0</v>
      </c>
      <c r="B117" s="572">
        <f>+'Balance N'!B117</f>
        <v>0</v>
      </c>
      <c r="C117" s="679" t="e">
        <f>ROUND('Balance N'!#REF!,2)</f>
        <v>#REF!</v>
      </c>
      <c r="D117" s="679" t="e">
        <f>ROUND('Balance N'!#REF!,2)</f>
        <v>#REF!</v>
      </c>
      <c r="E117" s="679">
        <f>ROUND('Balance N'!C117,2)</f>
        <v>0</v>
      </c>
      <c r="F117" s="679">
        <f>ROUND('Balance N'!D117,2)</f>
        <v>0</v>
      </c>
      <c r="G117" s="679">
        <f>ROUND('Balance N'!E117,2)</f>
        <v>0</v>
      </c>
      <c r="H117" s="679">
        <f>ROUND('Balance N'!F117,2)</f>
        <v>0</v>
      </c>
      <c r="I117" s="2" t="str">
        <f t="shared" si="4"/>
        <v>0</v>
      </c>
    </row>
    <row r="118" spans="1:9" x14ac:dyDescent="0.2">
      <c r="A118" s="573" t="str">
        <f>FIXED('Balance N'!A118,0,1)</f>
        <v>0</v>
      </c>
      <c r="B118" s="572">
        <f>+'Balance N'!B118</f>
        <v>0</v>
      </c>
      <c r="C118" s="679" t="e">
        <f>ROUND('Balance N'!#REF!,2)</f>
        <v>#REF!</v>
      </c>
      <c r="D118" s="679" t="e">
        <f>ROUND('Balance N'!#REF!,2)</f>
        <v>#REF!</v>
      </c>
      <c r="E118" s="679">
        <f>ROUND('Balance N'!C118,2)</f>
        <v>0</v>
      </c>
      <c r="F118" s="679">
        <f>ROUND('Balance N'!D118,2)</f>
        <v>0</v>
      </c>
      <c r="G118" s="679">
        <f>ROUND('Balance N'!E118,2)</f>
        <v>0</v>
      </c>
      <c r="H118" s="679">
        <f>ROUND('Balance N'!F118,2)</f>
        <v>0</v>
      </c>
      <c r="I118" s="2" t="str">
        <f t="shared" si="4"/>
        <v>0</v>
      </c>
    </row>
    <row r="119" spans="1:9" x14ac:dyDescent="0.2">
      <c r="A119" s="573" t="str">
        <f>FIXED('Balance N'!A119,0,1)</f>
        <v>0</v>
      </c>
      <c r="B119" s="572">
        <f>+'Balance N'!B119</f>
        <v>0</v>
      </c>
      <c r="C119" s="679" t="e">
        <f>ROUND('Balance N'!#REF!,2)</f>
        <v>#REF!</v>
      </c>
      <c r="D119" s="679" t="e">
        <f>ROUND('Balance N'!#REF!,2)</f>
        <v>#REF!</v>
      </c>
      <c r="E119" s="679">
        <f>ROUND('Balance N'!C119,2)</f>
        <v>0</v>
      </c>
      <c r="F119" s="679">
        <f>ROUND('Balance N'!D119,2)</f>
        <v>0</v>
      </c>
      <c r="G119" s="679">
        <f>ROUND('Balance N'!E119,2)</f>
        <v>0</v>
      </c>
      <c r="H119" s="679">
        <f>ROUND('Balance N'!F119,2)</f>
        <v>0</v>
      </c>
      <c r="I119" s="2" t="str">
        <f t="shared" si="4"/>
        <v>0</v>
      </c>
    </row>
    <row r="120" spans="1:9" x14ac:dyDescent="0.2">
      <c r="A120" s="573" t="str">
        <f>FIXED('Balance N'!A120,0,1)</f>
        <v>0</v>
      </c>
      <c r="B120" s="572">
        <f>+'Balance N'!B120</f>
        <v>0</v>
      </c>
      <c r="C120" s="679" t="e">
        <f>ROUND('Balance N'!#REF!,2)</f>
        <v>#REF!</v>
      </c>
      <c r="D120" s="679" t="e">
        <f>ROUND('Balance N'!#REF!,2)</f>
        <v>#REF!</v>
      </c>
      <c r="E120" s="679">
        <f>ROUND('Balance N'!C120,2)</f>
        <v>0</v>
      </c>
      <c r="F120" s="679">
        <f>ROUND('Balance N'!D120,2)</f>
        <v>0</v>
      </c>
      <c r="G120" s="679">
        <f>ROUND('Balance N'!E120,2)</f>
        <v>0</v>
      </c>
      <c r="H120" s="679">
        <f>ROUND('Balance N'!F120,2)</f>
        <v>0</v>
      </c>
      <c r="I120" s="2" t="str">
        <f t="shared" si="4"/>
        <v>0</v>
      </c>
    </row>
    <row r="121" spans="1:9" x14ac:dyDescent="0.2">
      <c r="A121" s="573" t="str">
        <f>FIXED('Balance N'!A121,0,1)</f>
        <v>0</v>
      </c>
      <c r="B121" s="572">
        <f>+'Balance N'!B121</f>
        <v>0</v>
      </c>
      <c r="C121" s="679" t="e">
        <f>ROUND('Balance N'!#REF!,2)</f>
        <v>#REF!</v>
      </c>
      <c r="D121" s="679" t="e">
        <f>ROUND('Balance N'!#REF!,2)</f>
        <v>#REF!</v>
      </c>
      <c r="E121" s="679">
        <f>ROUND('Balance N'!C121,2)</f>
        <v>0</v>
      </c>
      <c r="F121" s="679">
        <f>ROUND('Balance N'!D121,2)</f>
        <v>0</v>
      </c>
      <c r="G121" s="679">
        <f>ROUND('Balance N'!E121,2)</f>
        <v>0</v>
      </c>
      <c r="H121" s="679">
        <f>ROUND('Balance N'!F121,2)</f>
        <v>0</v>
      </c>
      <c r="I121" s="2" t="str">
        <f t="shared" si="4"/>
        <v>0</v>
      </c>
    </row>
    <row r="122" spans="1:9" x14ac:dyDescent="0.2">
      <c r="A122" s="573" t="str">
        <f>FIXED('Balance N'!A122,0,1)</f>
        <v>0</v>
      </c>
      <c r="B122" s="572">
        <f>+'Balance N'!B122</f>
        <v>0</v>
      </c>
      <c r="C122" s="679" t="e">
        <f>ROUND('Balance N'!#REF!,2)</f>
        <v>#REF!</v>
      </c>
      <c r="D122" s="679" t="e">
        <f>ROUND('Balance N'!#REF!,2)</f>
        <v>#REF!</v>
      </c>
      <c r="E122" s="679">
        <f>ROUND('Balance N'!C122,2)</f>
        <v>0</v>
      </c>
      <c r="F122" s="679">
        <f>ROUND('Balance N'!D122,2)</f>
        <v>0</v>
      </c>
      <c r="G122" s="679">
        <f>ROUND('Balance N'!E122,2)</f>
        <v>0</v>
      </c>
      <c r="H122" s="679">
        <f>ROUND('Balance N'!F122,2)</f>
        <v>0</v>
      </c>
      <c r="I122" s="2" t="str">
        <f t="shared" si="4"/>
        <v>0</v>
      </c>
    </row>
    <row r="123" spans="1:9" x14ac:dyDescent="0.2">
      <c r="A123" s="573" t="str">
        <f>FIXED('Balance N'!A123,0,1)</f>
        <v>0</v>
      </c>
      <c r="B123" s="572">
        <f>+'Balance N'!B123</f>
        <v>0</v>
      </c>
      <c r="C123" s="679" t="e">
        <f>ROUND('Balance N'!#REF!,2)</f>
        <v>#REF!</v>
      </c>
      <c r="D123" s="679" t="e">
        <f>ROUND('Balance N'!#REF!,2)</f>
        <v>#REF!</v>
      </c>
      <c r="E123" s="679">
        <f>ROUND('Balance N'!C123,2)</f>
        <v>0</v>
      </c>
      <c r="F123" s="679">
        <f>ROUND('Balance N'!D123,2)</f>
        <v>0</v>
      </c>
      <c r="G123" s="679">
        <f>ROUND('Balance N'!E123,2)</f>
        <v>0</v>
      </c>
      <c r="H123" s="679">
        <f>ROUND('Balance N'!F123,2)</f>
        <v>0</v>
      </c>
      <c r="I123" s="2" t="str">
        <f t="shared" si="4"/>
        <v>0</v>
      </c>
    </row>
    <row r="124" spans="1:9" x14ac:dyDescent="0.2">
      <c r="A124" s="573" t="str">
        <f>FIXED('Balance N'!A124,0,1)</f>
        <v>0</v>
      </c>
      <c r="B124" s="572">
        <f>+'Balance N'!B124</f>
        <v>0</v>
      </c>
      <c r="C124" s="679" t="e">
        <f>ROUND('Balance N'!#REF!,2)</f>
        <v>#REF!</v>
      </c>
      <c r="D124" s="679" t="e">
        <f>ROUND('Balance N'!#REF!,2)</f>
        <v>#REF!</v>
      </c>
      <c r="E124" s="679">
        <f>ROUND('Balance N'!C124,2)</f>
        <v>0</v>
      </c>
      <c r="F124" s="679">
        <f>ROUND('Balance N'!D124,2)</f>
        <v>0</v>
      </c>
      <c r="G124" s="679">
        <f>ROUND('Balance N'!E124,2)</f>
        <v>0</v>
      </c>
      <c r="H124" s="679">
        <f>ROUND('Balance N'!F124,2)</f>
        <v>0</v>
      </c>
      <c r="I124" s="2" t="str">
        <f t="shared" si="4"/>
        <v>0</v>
      </c>
    </row>
    <row r="125" spans="1:9" x14ac:dyDescent="0.2">
      <c r="A125" s="573" t="str">
        <f>FIXED('Balance N'!A125,0,1)</f>
        <v>0</v>
      </c>
      <c r="B125" s="572">
        <f>+'Balance N'!B125</f>
        <v>0</v>
      </c>
      <c r="C125" s="679" t="e">
        <f>ROUND('Balance N'!#REF!,2)</f>
        <v>#REF!</v>
      </c>
      <c r="D125" s="679" t="e">
        <f>ROUND('Balance N'!#REF!,2)</f>
        <v>#REF!</v>
      </c>
      <c r="E125" s="679">
        <f>ROUND('Balance N'!C125,2)</f>
        <v>0</v>
      </c>
      <c r="F125" s="679">
        <f>ROUND('Balance N'!D125,2)</f>
        <v>0</v>
      </c>
      <c r="G125" s="679">
        <f>ROUND('Balance N'!E125,2)</f>
        <v>0</v>
      </c>
      <c r="H125" s="679">
        <f>ROUND('Balance N'!F125,2)</f>
        <v>0</v>
      </c>
      <c r="I125" s="2" t="str">
        <f t="shared" si="4"/>
        <v>0</v>
      </c>
    </row>
    <row r="126" spans="1:9" x14ac:dyDescent="0.2">
      <c r="A126" s="573" t="str">
        <f>FIXED('Balance N'!A126,0,1)</f>
        <v>0</v>
      </c>
      <c r="B126" s="572">
        <f>+'Balance N'!B126</f>
        <v>0</v>
      </c>
      <c r="C126" s="679" t="e">
        <f>ROUND('Balance N'!#REF!,2)</f>
        <v>#REF!</v>
      </c>
      <c r="D126" s="679" t="e">
        <f>ROUND('Balance N'!#REF!,2)</f>
        <v>#REF!</v>
      </c>
      <c r="E126" s="679">
        <f>ROUND('Balance N'!C126,2)</f>
        <v>0</v>
      </c>
      <c r="F126" s="679">
        <f>ROUND('Balance N'!D126,2)</f>
        <v>0</v>
      </c>
      <c r="G126" s="679">
        <f>ROUND('Balance N'!E126,2)</f>
        <v>0</v>
      </c>
      <c r="H126" s="679">
        <f>ROUND('Balance N'!F126,2)</f>
        <v>0</v>
      </c>
      <c r="I126" s="2" t="str">
        <f t="shared" si="4"/>
        <v>0</v>
      </c>
    </row>
    <row r="127" spans="1:9" x14ac:dyDescent="0.2">
      <c r="A127" s="573" t="str">
        <f>FIXED('Balance N'!A127,0,1)</f>
        <v>0</v>
      </c>
      <c r="B127" s="572">
        <f>+'Balance N'!B127</f>
        <v>0</v>
      </c>
      <c r="C127" s="679" t="e">
        <f>ROUND('Balance N'!#REF!,2)</f>
        <v>#REF!</v>
      </c>
      <c r="D127" s="679" t="e">
        <f>ROUND('Balance N'!#REF!,2)</f>
        <v>#REF!</v>
      </c>
      <c r="E127" s="679">
        <f>ROUND('Balance N'!C127,2)</f>
        <v>0</v>
      </c>
      <c r="F127" s="679">
        <f>ROUND('Balance N'!D127,2)</f>
        <v>0</v>
      </c>
      <c r="G127" s="679">
        <f>ROUND('Balance N'!E127,2)</f>
        <v>0</v>
      </c>
      <c r="H127" s="679">
        <f>ROUND('Balance N'!F127,2)</f>
        <v>0</v>
      </c>
      <c r="I127" s="2" t="str">
        <f t="shared" si="4"/>
        <v>0</v>
      </c>
    </row>
    <row r="128" spans="1:9" x14ac:dyDescent="0.2">
      <c r="A128" s="573" t="str">
        <f>FIXED('Balance N'!A128,0,1)</f>
        <v>0</v>
      </c>
      <c r="B128" s="572">
        <f>+'Balance N'!B128</f>
        <v>0</v>
      </c>
      <c r="C128" s="679" t="e">
        <f>ROUND('Balance N'!#REF!,2)</f>
        <v>#REF!</v>
      </c>
      <c r="D128" s="679" t="e">
        <f>ROUND('Balance N'!#REF!,2)</f>
        <v>#REF!</v>
      </c>
      <c r="E128" s="679">
        <f>ROUND('Balance N'!C128,2)</f>
        <v>0</v>
      </c>
      <c r="F128" s="679">
        <f>ROUND('Balance N'!D128,2)</f>
        <v>0</v>
      </c>
      <c r="G128" s="679">
        <f>ROUND('Balance N'!E128,2)</f>
        <v>0</v>
      </c>
      <c r="H128" s="679">
        <f>ROUND('Balance N'!F128,2)</f>
        <v>0</v>
      </c>
      <c r="I128" s="2" t="str">
        <f t="shared" si="4"/>
        <v>0</v>
      </c>
    </row>
    <row r="129" spans="1:9" x14ac:dyDescent="0.2">
      <c r="A129" s="573" t="str">
        <f>FIXED('Balance N'!A129,0,1)</f>
        <v>0</v>
      </c>
      <c r="B129" s="572">
        <f>+'Balance N'!B129</f>
        <v>0</v>
      </c>
      <c r="C129" s="679" t="e">
        <f>ROUND('Balance N'!#REF!,2)</f>
        <v>#REF!</v>
      </c>
      <c r="D129" s="679" t="e">
        <f>ROUND('Balance N'!#REF!,2)</f>
        <v>#REF!</v>
      </c>
      <c r="E129" s="679">
        <f>ROUND('Balance N'!C129,2)</f>
        <v>0</v>
      </c>
      <c r="F129" s="679">
        <f>ROUND('Balance N'!D129,2)</f>
        <v>0</v>
      </c>
      <c r="G129" s="679">
        <f>ROUND('Balance N'!E129,2)</f>
        <v>0</v>
      </c>
      <c r="H129" s="679">
        <f>ROUND('Balance N'!F129,2)</f>
        <v>0</v>
      </c>
      <c r="I129" s="2" t="str">
        <f t="shared" si="4"/>
        <v>0</v>
      </c>
    </row>
    <row r="130" spans="1:9" x14ac:dyDescent="0.2">
      <c r="A130" s="573" t="str">
        <f>FIXED('Balance N'!A130,0,1)</f>
        <v>0</v>
      </c>
      <c r="B130" s="572">
        <f>+'Balance N'!B130</f>
        <v>0</v>
      </c>
      <c r="C130" s="679" t="e">
        <f>ROUND('Balance N'!#REF!,2)</f>
        <v>#REF!</v>
      </c>
      <c r="D130" s="679" t="e">
        <f>ROUND('Balance N'!#REF!,2)</f>
        <v>#REF!</v>
      </c>
      <c r="E130" s="679">
        <f>ROUND('Balance N'!C130,2)</f>
        <v>0</v>
      </c>
      <c r="F130" s="679">
        <f>ROUND('Balance N'!D130,2)</f>
        <v>0</v>
      </c>
      <c r="G130" s="679">
        <f>ROUND('Balance N'!E130,2)</f>
        <v>0</v>
      </c>
      <c r="H130" s="679">
        <f>ROUND('Balance N'!F130,2)</f>
        <v>0</v>
      </c>
      <c r="I130" s="2" t="str">
        <f t="shared" si="4"/>
        <v>0</v>
      </c>
    </row>
    <row r="131" spans="1:9" x14ac:dyDescent="0.2">
      <c r="A131" s="573" t="str">
        <f>FIXED('Balance N'!A131,0,1)</f>
        <v>0</v>
      </c>
      <c r="B131" s="572">
        <f>+'Balance N'!B131</f>
        <v>0</v>
      </c>
      <c r="C131" s="679" t="e">
        <f>ROUND('Balance N'!#REF!,2)</f>
        <v>#REF!</v>
      </c>
      <c r="D131" s="679" t="e">
        <f>ROUND('Balance N'!#REF!,2)</f>
        <v>#REF!</v>
      </c>
      <c r="E131" s="679">
        <f>ROUND('Balance N'!C131,2)</f>
        <v>0</v>
      </c>
      <c r="F131" s="679">
        <f>ROUND('Balance N'!D131,2)</f>
        <v>0</v>
      </c>
      <c r="G131" s="679">
        <f>ROUND('Balance N'!E131,2)</f>
        <v>0</v>
      </c>
      <c r="H131" s="679">
        <f>ROUND('Balance N'!F131,2)</f>
        <v>0</v>
      </c>
      <c r="I131" s="2" t="str">
        <f t="shared" ref="I131:I194" si="5">MID(A131,1,1)</f>
        <v>0</v>
      </c>
    </row>
    <row r="132" spans="1:9" x14ac:dyDescent="0.2">
      <c r="A132" s="573" t="str">
        <f>FIXED('Balance N'!A132,0,1)</f>
        <v>0</v>
      </c>
      <c r="B132" s="572">
        <f>+'Balance N'!B132</f>
        <v>0</v>
      </c>
      <c r="C132" s="679" t="e">
        <f>ROUND('Balance N'!#REF!,2)</f>
        <v>#REF!</v>
      </c>
      <c r="D132" s="679" t="e">
        <f>ROUND('Balance N'!#REF!,2)</f>
        <v>#REF!</v>
      </c>
      <c r="E132" s="679">
        <f>ROUND('Balance N'!C132,2)</f>
        <v>0</v>
      </c>
      <c r="F132" s="679">
        <f>ROUND('Balance N'!D132,2)</f>
        <v>0</v>
      </c>
      <c r="G132" s="679">
        <f>ROUND('Balance N'!E132,2)</f>
        <v>0</v>
      </c>
      <c r="H132" s="679">
        <f>ROUND('Balance N'!F132,2)</f>
        <v>0</v>
      </c>
      <c r="I132" s="2" t="str">
        <f t="shared" si="5"/>
        <v>0</v>
      </c>
    </row>
    <row r="133" spans="1:9" x14ac:dyDescent="0.2">
      <c r="A133" s="573" t="str">
        <f>FIXED('Balance N'!A133,0,1)</f>
        <v>0</v>
      </c>
      <c r="B133" s="572">
        <f>+'Balance N'!B133</f>
        <v>0</v>
      </c>
      <c r="C133" s="679" t="e">
        <f>ROUND('Balance N'!#REF!,2)</f>
        <v>#REF!</v>
      </c>
      <c r="D133" s="679" t="e">
        <f>ROUND('Balance N'!#REF!,2)</f>
        <v>#REF!</v>
      </c>
      <c r="E133" s="679">
        <f>ROUND('Balance N'!C133,2)</f>
        <v>0</v>
      </c>
      <c r="F133" s="679">
        <f>ROUND('Balance N'!D133,2)</f>
        <v>0</v>
      </c>
      <c r="G133" s="679">
        <f>ROUND('Balance N'!E133,2)</f>
        <v>0</v>
      </c>
      <c r="H133" s="679">
        <f>ROUND('Balance N'!F133,2)</f>
        <v>0</v>
      </c>
      <c r="I133" s="2" t="str">
        <f t="shared" si="5"/>
        <v>0</v>
      </c>
    </row>
    <row r="134" spans="1:9" x14ac:dyDescent="0.2">
      <c r="A134" s="573" t="str">
        <f>FIXED('Balance N'!A134,0,1)</f>
        <v>0</v>
      </c>
      <c r="B134" s="572">
        <f>+'Balance N'!B134</f>
        <v>0</v>
      </c>
      <c r="C134" s="679" t="e">
        <f>ROUND('Balance N'!#REF!,2)</f>
        <v>#REF!</v>
      </c>
      <c r="D134" s="679" t="e">
        <f>ROUND('Balance N'!#REF!,2)</f>
        <v>#REF!</v>
      </c>
      <c r="E134" s="679">
        <f>ROUND('Balance N'!C134,2)</f>
        <v>0</v>
      </c>
      <c r="F134" s="679">
        <f>ROUND('Balance N'!D134,2)</f>
        <v>0</v>
      </c>
      <c r="G134" s="679">
        <f>ROUND('Balance N'!E134,2)</f>
        <v>0</v>
      </c>
      <c r="H134" s="679">
        <f>ROUND('Balance N'!F134,2)</f>
        <v>0</v>
      </c>
      <c r="I134" s="2" t="str">
        <f t="shared" si="5"/>
        <v>0</v>
      </c>
    </row>
    <row r="135" spans="1:9" x14ac:dyDescent="0.2">
      <c r="A135" s="573" t="str">
        <f>FIXED('Balance N'!A135,0,1)</f>
        <v>0</v>
      </c>
      <c r="B135" s="572">
        <f>+'Balance N'!B135</f>
        <v>0</v>
      </c>
      <c r="C135" s="679" t="e">
        <f>ROUND('Balance N'!#REF!,2)</f>
        <v>#REF!</v>
      </c>
      <c r="D135" s="679" t="e">
        <f>ROUND('Balance N'!#REF!,2)</f>
        <v>#REF!</v>
      </c>
      <c r="E135" s="679">
        <f>ROUND('Balance N'!C135,2)</f>
        <v>0</v>
      </c>
      <c r="F135" s="679">
        <f>ROUND('Balance N'!D135,2)</f>
        <v>0</v>
      </c>
      <c r="G135" s="679">
        <f>ROUND('Balance N'!E135,2)</f>
        <v>0</v>
      </c>
      <c r="H135" s="679">
        <f>ROUND('Balance N'!F135,2)</f>
        <v>0</v>
      </c>
      <c r="I135" s="2" t="str">
        <f t="shared" si="5"/>
        <v>0</v>
      </c>
    </row>
    <row r="136" spans="1:9" x14ac:dyDescent="0.2">
      <c r="A136" s="573" t="str">
        <f>FIXED('Balance N'!A136,0,1)</f>
        <v>0</v>
      </c>
      <c r="B136" s="572">
        <f>+'Balance N'!B136</f>
        <v>0</v>
      </c>
      <c r="C136" s="679" t="e">
        <f>ROUND('Balance N'!#REF!,2)</f>
        <v>#REF!</v>
      </c>
      <c r="D136" s="679" t="e">
        <f>ROUND('Balance N'!#REF!,2)</f>
        <v>#REF!</v>
      </c>
      <c r="E136" s="679">
        <f>ROUND('Balance N'!C136,2)</f>
        <v>0</v>
      </c>
      <c r="F136" s="679">
        <f>ROUND('Balance N'!D136,2)</f>
        <v>0</v>
      </c>
      <c r="G136" s="679">
        <f>ROUND('Balance N'!E136,2)</f>
        <v>0</v>
      </c>
      <c r="H136" s="679">
        <f>ROUND('Balance N'!F136,2)</f>
        <v>0</v>
      </c>
      <c r="I136" s="2" t="str">
        <f t="shared" si="5"/>
        <v>0</v>
      </c>
    </row>
    <row r="137" spans="1:9" x14ac:dyDescent="0.2">
      <c r="A137" s="573" t="str">
        <f>FIXED('Balance N'!A137,0,1)</f>
        <v>0</v>
      </c>
      <c r="B137" s="572">
        <f>+'Balance N'!B137</f>
        <v>0</v>
      </c>
      <c r="C137" s="679" t="e">
        <f>ROUND('Balance N'!#REF!,2)</f>
        <v>#REF!</v>
      </c>
      <c r="D137" s="679" t="e">
        <f>ROUND('Balance N'!#REF!,2)</f>
        <v>#REF!</v>
      </c>
      <c r="E137" s="679">
        <f>ROUND('Balance N'!C137,2)</f>
        <v>0</v>
      </c>
      <c r="F137" s="679">
        <f>ROUND('Balance N'!D137,2)</f>
        <v>0</v>
      </c>
      <c r="G137" s="679">
        <f>ROUND('Balance N'!E137,2)</f>
        <v>0</v>
      </c>
      <c r="H137" s="679">
        <f>ROUND('Balance N'!F137,2)</f>
        <v>0</v>
      </c>
      <c r="I137" s="2" t="str">
        <f t="shared" si="5"/>
        <v>0</v>
      </c>
    </row>
    <row r="138" spans="1:9" x14ac:dyDescent="0.2">
      <c r="A138" s="573" t="str">
        <f>FIXED('Balance N'!A138,0,1)</f>
        <v>0</v>
      </c>
      <c r="B138" s="572">
        <f>+'Balance N'!B138</f>
        <v>0</v>
      </c>
      <c r="C138" s="679" t="e">
        <f>ROUND('Balance N'!#REF!,2)</f>
        <v>#REF!</v>
      </c>
      <c r="D138" s="679" t="e">
        <f>ROUND('Balance N'!#REF!,2)</f>
        <v>#REF!</v>
      </c>
      <c r="E138" s="679">
        <f>ROUND('Balance N'!C138,2)</f>
        <v>0</v>
      </c>
      <c r="F138" s="679">
        <f>ROUND('Balance N'!D138,2)</f>
        <v>0</v>
      </c>
      <c r="G138" s="679">
        <f>ROUND('Balance N'!E138,2)</f>
        <v>0</v>
      </c>
      <c r="H138" s="679">
        <f>ROUND('Balance N'!F138,2)</f>
        <v>0</v>
      </c>
      <c r="I138" s="2" t="str">
        <f t="shared" si="5"/>
        <v>0</v>
      </c>
    </row>
    <row r="139" spans="1:9" x14ac:dyDescent="0.2">
      <c r="A139" s="573" t="str">
        <f>FIXED('Balance N'!A139,0,1)</f>
        <v>0</v>
      </c>
      <c r="B139" s="572">
        <f>+'Balance N'!B139</f>
        <v>0</v>
      </c>
      <c r="C139" s="679" t="e">
        <f>ROUND('Balance N'!#REF!,2)</f>
        <v>#REF!</v>
      </c>
      <c r="D139" s="679" t="e">
        <f>ROUND('Balance N'!#REF!,2)</f>
        <v>#REF!</v>
      </c>
      <c r="E139" s="679">
        <f>ROUND('Balance N'!C139,2)</f>
        <v>0</v>
      </c>
      <c r="F139" s="679">
        <f>ROUND('Balance N'!D139,2)</f>
        <v>0</v>
      </c>
      <c r="G139" s="679">
        <f>ROUND('Balance N'!E139,2)</f>
        <v>0</v>
      </c>
      <c r="H139" s="679">
        <f>ROUND('Balance N'!F139,2)</f>
        <v>0</v>
      </c>
      <c r="I139" s="2" t="str">
        <f t="shared" si="5"/>
        <v>0</v>
      </c>
    </row>
    <row r="140" spans="1:9" x14ac:dyDescent="0.2">
      <c r="A140" s="573" t="str">
        <f>FIXED('Balance N'!A140,0,1)</f>
        <v>0</v>
      </c>
      <c r="B140" s="572">
        <f>+'Balance N'!B140</f>
        <v>0</v>
      </c>
      <c r="C140" s="679" t="e">
        <f>ROUND('Balance N'!#REF!,2)</f>
        <v>#REF!</v>
      </c>
      <c r="D140" s="679" t="e">
        <f>ROUND('Balance N'!#REF!,2)</f>
        <v>#REF!</v>
      </c>
      <c r="E140" s="679">
        <f>ROUND('Balance N'!C140,2)</f>
        <v>0</v>
      </c>
      <c r="F140" s="679">
        <f>ROUND('Balance N'!D140,2)</f>
        <v>0</v>
      </c>
      <c r="G140" s="679">
        <f>ROUND('Balance N'!E140,2)</f>
        <v>0</v>
      </c>
      <c r="H140" s="679">
        <f>ROUND('Balance N'!F140,2)</f>
        <v>0</v>
      </c>
      <c r="I140" s="2" t="str">
        <f t="shared" si="5"/>
        <v>0</v>
      </c>
    </row>
    <row r="141" spans="1:9" x14ac:dyDescent="0.2">
      <c r="A141" s="573" t="str">
        <f>FIXED('Balance N'!A141,0,1)</f>
        <v>0</v>
      </c>
      <c r="B141" s="572">
        <f>+'Balance N'!B141</f>
        <v>0</v>
      </c>
      <c r="C141" s="679" t="e">
        <f>ROUND('Balance N'!#REF!,2)</f>
        <v>#REF!</v>
      </c>
      <c r="D141" s="679" t="e">
        <f>ROUND('Balance N'!#REF!,2)</f>
        <v>#REF!</v>
      </c>
      <c r="E141" s="679">
        <f>ROUND('Balance N'!C141,2)</f>
        <v>0</v>
      </c>
      <c r="F141" s="679">
        <f>ROUND('Balance N'!D141,2)</f>
        <v>0</v>
      </c>
      <c r="G141" s="679">
        <f>ROUND('Balance N'!E141,2)</f>
        <v>0</v>
      </c>
      <c r="H141" s="679">
        <f>ROUND('Balance N'!F141,2)</f>
        <v>0</v>
      </c>
      <c r="I141" s="2" t="str">
        <f t="shared" si="5"/>
        <v>0</v>
      </c>
    </row>
    <row r="142" spans="1:9" x14ac:dyDescent="0.2">
      <c r="A142" s="573" t="str">
        <f>FIXED('Balance N'!A142,0,1)</f>
        <v>0</v>
      </c>
      <c r="B142" s="572">
        <f>+'Balance N'!B142</f>
        <v>0</v>
      </c>
      <c r="C142" s="679" t="e">
        <f>ROUND('Balance N'!#REF!,2)</f>
        <v>#REF!</v>
      </c>
      <c r="D142" s="679" t="e">
        <f>ROUND('Balance N'!#REF!,2)</f>
        <v>#REF!</v>
      </c>
      <c r="E142" s="679">
        <f>ROUND('Balance N'!C142,2)</f>
        <v>0</v>
      </c>
      <c r="F142" s="679">
        <f>ROUND('Balance N'!D142,2)</f>
        <v>0</v>
      </c>
      <c r="G142" s="679">
        <f>ROUND('Balance N'!E142,2)</f>
        <v>0</v>
      </c>
      <c r="H142" s="679">
        <f>ROUND('Balance N'!F142,2)</f>
        <v>0</v>
      </c>
      <c r="I142" s="2" t="str">
        <f t="shared" si="5"/>
        <v>0</v>
      </c>
    </row>
    <row r="143" spans="1:9" x14ac:dyDescent="0.2">
      <c r="A143" s="573" t="str">
        <f>FIXED('Balance N'!A143,0,1)</f>
        <v>0</v>
      </c>
      <c r="B143" s="572">
        <f>+'Balance N'!B143</f>
        <v>0</v>
      </c>
      <c r="C143" s="679" t="e">
        <f>ROUND('Balance N'!#REF!,2)</f>
        <v>#REF!</v>
      </c>
      <c r="D143" s="679" t="e">
        <f>ROUND('Balance N'!#REF!,2)</f>
        <v>#REF!</v>
      </c>
      <c r="E143" s="679">
        <f>ROUND('Balance N'!C143,2)</f>
        <v>0</v>
      </c>
      <c r="F143" s="679">
        <f>ROUND('Balance N'!D143,2)</f>
        <v>0</v>
      </c>
      <c r="G143" s="679">
        <f>ROUND('Balance N'!E143,2)</f>
        <v>0</v>
      </c>
      <c r="H143" s="679">
        <f>ROUND('Balance N'!F143,2)</f>
        <v>0</v>
      </c>
      <c r="I143" s="2" t="str">
        <f t="shared" si="5"/>
        <v>0</v>
      </c>
    </row>
    <row r="144" spans="1:9" x14ac:dyDescent="0.2">
      <c r="A144" s="573" t="str">
        <f>FIXED('Balance N'!A144,0,1)</f>
        <v>0</v>
      </c>
      <c r="B144" s="572">
        <f>+'Balance N'!B144</f>
        <v>0</v>
      </c>
      <c r="C144" s="679" t="e">
        <f>ROUND('Balance N'!#REF!,2)</f>
        <v>#REF!</v>
      </c>
      <c r="D144" s="679" t="e">
        <f>ROUND('Balance N'!#REF!,2)</f>
        <v>#REF!</v>
      </c>
      <c r="E144" s="679">
        <f>ROUND('Balance N'!C144,2)</f>
        <v>0</v>
      </c>
      <c r="F144" s="679">
        <f>ROUND('Balance N'!D144,2)</f>
        <v>0</v>
      </c>
      <c r="G144" s="679">
        <f>ROUND('Balance N'!E144,2)</f>
        <v>0</v>
      </c>
      <c r="H144" s="679">
        <f>ROUND('Balance N'!F144,2)</f>
        <v>0</v>
      </c>
      <c r="I144" s="2" t="str">
        <f t="shared" si="5"/>
        <v>0</v>
      </c>
    </row>
    <row r="145" spans="1:9" x14ac:dyDescent="0.2">
      <c r="A145" s="573" t="str">
        <f>FIXED('Balance N'!A145,0,1)</f>
        <v>0</v>
      </c>
      <c r="B145" s="572">
        <f>+'Balance N'!B145</f>
        <v>0</v>
      </c>
      <c r="C145" s="679" t="e">
        <f>ROUND('Balance N'!#REF!,2)</f>
        <v>#REF!</v>
      </c>
      <c r="D145" s="679" t="e">
        <f>ROUND('Balance N'!#REF!,2)</f>
        <v>#REF!</v>
      </c>
      <c r="E145" s="679">
        <f>ROUND('Balance N'!C145,2)</f>
        <v>0</v>
      </c>
      <c r="F145" s="679">
        <f>ROUND('Balance N'!D145,2)</f>
        <v>0</v>
      </c>
      <c r="G145" s="679">
        <f>ROUND('Balance N'!E145,2)</f>
        <v>0</v>
      </c>
      <c r="H145" s="679">
        <f>ROUND('Balance N'!F145,2)</f>
        <v>0</v>
      </c>
      <c r="I145" s="2" t="str">
        <f t="shared" si="5"/>
        <v>0</v>
      </c>
    </row>
    <row r="146" spans="1:9" x14ac:dyDescent="0.2">
      <c r="A146" s="573" t="str">
        <f>FIXED('Balance N'!A146,0,1)</f>
        <v>0</v>
      </c>
      <c r="B146" s="572">
        <f>+'Balance N'!B146</f>
        <v>0</v>
      </c>
      <c r="C146" s="679" t="e">
        <f>ROUND('Balance N'!#REF!,2)</f>
        <v>#REF!</v>
      </c>
      <c r="D146" s="679" t="e">
        <f>ROUND('Balance N'!#REF!,2)</f>
        <v>#REF!</v>
      </c>
      <c r="E146" s="679">
        <f>ROUND('Balance N'!C146,2)</f>
        <v>0</v>
      </c>
      <c r="F146" s="679">
        <f>ROUND('Balance N'!D146,2)</f>
        <v>0</v>
      </c>
      <c r="G146" s="679">
        <f>ROUND('Balance N'!E146,2)</f>
        <v>0</v>
      </c>
      <c r="H146" s="679">
        <f>ROUND('Balance N'!F146,2)</f>
        <v>0</v>
      </c>
      <c r="I146" s="2" t="str">
        <f t="shared" si="5"/>
        <v>0</v>
      </c>
    </row>
    <row r="147" spans="1:9" x14ac:dyDescent="0.2">
      <c r="A147" s="573" t="str">
        <f>FIXED('Balance N'!A147,0,1)</f>
        <v>0</v>
      </c>
      <c r="B147" s="572">
        <f>+'Balance N'!B147</f>
        <v>0</v>
      </c>
      <c r="C147" s="679" t="e">
        <f>ROUND('Balance N'!#REF!,2)</f>
        <v>#REF!</v>
      </c>
      <c r="D147" s="679" t="e">
        <f>ROUND('Balance N'!#REF!,2)</f>
        <v>#REF!</v>
      </c>
      <c r="E147" s="679">
        <f>ROUND('Balance N'!C147,2)</f>
        <v>0</v>
      </c>
      <c r="F147" s="679">
        <f>ROUND('Balance N'!D147,2)</f>
        <v>0</v>
      </c>
      <c r="G147" s="679">
        <f>ROUND('Balance N'!E147,2)</f>
        <v>0</v>
      </c>
      <c r="H147" s="679">
        <f>ROUND('Balance N'!F147,2)</f>
        <v>0</v>
      </c>
      <c r="I147" s="2" t="str">
        <f t="shared" si="5"/>
        <v>0</v>
      </c>
    </row>
    <row r="148" spans="1:9" x14ac:dyDescent="0.2">
      <c r="A148" s="573" t="str">
        <f>FIXED('Balance N'!A148,0,1)</f>
        <v>0</v>
      </c>
      <c r="B148" s="572">
        <f>+'Balance N'!B148</f>
        <v>0</v>
      </c>
      <c r="C148" s="679" t="e">
        <f>ROUND('Balance N'!#REF!,2)</f>
        <v>#REF!</v>
      </c>
      <c r="D148" s="679" t="e">
        <f>ROUND('Balance N'!#REF!,2)</f>
        <v>#REF!</v>
      </c>
      <c r="E148" s="679">
        <f>ROUND('Balance N'!C148,2)</f>
        <v>0</v>
      </c>
      <c r="F148" s="679">
        <f>ROUND('Balance N'!D148,2)</f>
        <v>0</v>
      </c>
      <c r="G148" s="679">
        <f>ROUND('Balance N'!E148,2)</f>
        <v>0</v>
      </c>
      <c r="H148" s="679">
        <f>ROUND('Balance N'!F148,2)</f>
        <v>0</v>
      </c>
      <c r="I148" s="2" t="str">
        <f t="shared" si="5"/>
        <v>0</v>
      </c>
    </row>
    <row r="149" spans="1:9" x14ac:dyDescent="0.2">
      <c r="A149" s="573" t="str">
        <f>FIXED('Balance N'!A149,0,1)</f>
        <v>0</v>
      </c>
      <c r="B149" s="572">
        <f>+'Balance N'!B149</f>
        <v>0</v>
      </c>
      <c r="C149" s="679" t="e">
        <f>ROUND('Balance N'!#REF!,2)</f>
        <v>#REF!</v>
      </c>
      <c r="D149" s="679" t="e">
        <f>ROUND('Balance N'!#REF!,2)</f>
        <v>#REF!</v>
      </c>
      <c r="E149" s="679">
        <f>ROUND('Balance N'!C149,2)</f>
        <v>0</v>
      </c>
      <c r="F149" s="679">
        <f>ROUND('Balance N'!D149,2)</f>
        <v>0</v>
      </c>
      <c r="G149" s="679">
        <f>ROUND('Balance N'!E149,2)</f>
        <v>0</v>
      </c>
      <c r="H149" s="679">
        <f>ROUND('Balance N'!F149,2)</f>
        <v>0</v>
      </c>
      <c r="I149" s="2" t="str">
        <f t="shared" si="5"/>
        <v>0</v>
      </c>
    </row>
    <row r="150" spans="1:9" x14ac:dyDescent="0.2">
      <c r="A150" s="573" t="str">
        <f>FIXED('Balance N'!A150,0,1)</f>
        <v>0</v>
      </c>
      <c r="B150" s="572">
        <f>+'Balance N'!B150</f>
        <v>0</v>
      </c>
      <c r="C150" s="679" t="e">
        <f>ROUND('Balance N'!#REF!,2)</f>
        <v>#REF!</v>
      </c>
      <c r="D150" s="679" t="e">
        <f>ROUND('Balance N'!#REF!,2)</f>
        <v>#REF!</v>
      </c>
      <c r="E150" s="679">
        <f>ROUND('Balance N'!C150,2)</f>
        <v>0</v>
      </c>
      <c r="F150" s="679">
        <f>ROUND('Balance N'!D150,2)</f>
        <v>0</v>
      </c>
      <c r="G150" s="679">
        <f>ROUND('Balance N'!E150,2)</f>
        <v>0</v>
      </c>
      <c r="H150" s="679">
        <f>ROUND('Balance N'!F150,2)</f>
        <v>0</v>
      </c>
      <c r="I150" s="2" t="str">
        <f t="shared" si="5"/>
        <v>0</v>
      </c>
    </row>
    <row r="151" spans="1:9" x14ac:dyDescent="0.2">
      <c r="A151" s="573" t="str">
        <f>FIXED('Balance N'!A151,0,1)</f>
        <v>0</v>
      </c>
      <c r="B151" s="572">
        <f>+'Balance N'!B151</f>
        <v>0</v>
      </c>
      <c r="C151" s="679" t="e">
        <f>ROUND('Balance N'!#REF!,2)</f>
        <v>#REF!</v>
      </c>
      <c r="D151" s="679" t="e">
        <f>ROUND('Balance N'!#REF!,2)</f>
        <v>#REF!</v>
      </c>
      <c r="E151" s="679">
        <f>ROUND('Balance N'!C151,2)</f>
        <v>0</v>
      </c>
      <c r="F151" s="679">
        <f>ROUND('Balance N'!D151,2)</f>
        <v>0</v>
      </c>
      <c r="G151" s="679">
        <f>ROUND('Balance N'!E151,2)</f>
        <v>0</v>
      </c>
      <c r="H151" s="679">
        <f>ROUND('Balance N'!F151,2)</f>
        <v>0</v>
      </c>
      <c r="I151" s="2" t="str">
        <f t="shared" si="5"/>
        <v>0</v>
      </c>
    </row>
    <row r="152" spans="1:9" x14ac:dyDescent="0.2">
      <c r="A152" s="573" t="str">
        <f>FIXED('Balance N'!A152,0,1)</f>
        <v>0</v>
      </c>
      <c r="B152" s="572">
        <f>+'Balance N'!B152</f>
        <v>0</v>
      </c>
      <c r="C152" s="679" t="e">
        <f>ROUND('Balance N'!#REF!,2)</f>
        <v>#REF!</v>
      </c>
      <c r="D152" s="679" t="e">
        <f>ROUND('Balance N'!#REF!,2)</f>
        <v>#REF!</v>
      </c>
      <c r="E152" s="679">
        <f>ROUND('Balance N'!C152,2)</f>
        <v>0</v>
      </c>
      <c r="F152" s="679">
        <f>ROUND('Balance N'!D152,2)</f>
        <v>0</v>
      </c>
      <c r="G152" s="679">
        <f>ROUND('Balance N'!E152,2)</f>
        <v>0</v>
      </c>
      <c r="H152" s="679">
        <f>ROUND('Balance N'!F152,2)</f>
        <v>0</v>
      </c>
      <c r="I152" s="2" t="str">
        <f t="shared" si="5"/>
        <v>0</v>
      </c>
    </row>
    <row r="153" spans="1:9" x14ac:dyDescent="0.2">
      <c r="A153" s="573" t="str">
        <f>FIXED('Balance N'!A153,0,1)</f>
        <v>0</v>
      </c>
      <c r="B153" s="572">
        <f>+'Balance N'!B153</f>
        <v>0</v>
      </c>
      <c r="C153" s="679" t="e">
        <f>ROUND('Balance N'!#REF!,2)</f>
        <v>#REF!</v>
      </c>
      <c r="D153" s="679" t="e">
        <f>ROUND('Balance N'!#REF!,2)</f>
        <v>#REF!</v>
      </c>
      <c r="E153" s="679">
        <f>ROUND('Balance N'!C153,2)</f>
        <v>0</v>
      </c>
      <c r="F153" s="679">
        <f>ROUND('Balance N'!D153,2)</f>
        <v>0</v>
      </c>
      <c r="G153" s="679">
        <f>ROUND('Balance N'!E153,2)</f>
        <v>0</v>
      </c>
      <c r="H153" s="679">
        <f>ROUND('Balance N'!F153,2)</f>
        <v>0</v>
      </c>
      <c r="I153" s="2" t="str">
        <f t="shared" si="5"/>
        <v>0</v>
      </c>
    </row>
    <row r="154" spans="1:9" x14ac:dyDescent="0.2">
      <c r="A154" s="573" t="str">
        <f>FIXED('Balance N'!A154,0,1)</f>
        <v>0</v>
      </c>
      <c r="B154" s="572">
        <f>+'Balance N'!B154</f>
        <v>0</v>
      </c>
      <c r="C154" s="679" t="e">
        <f>ROUND('Balance N'!#REF!,2)</f>
        <v>#REF!</v>
      </c>
      <c r="D154" s="679" t="e">
        <f>ROUND('Balance N'!#REF!,2)</f>
        <v>#REF!</v>
      </c>
      <c r="E154" s="679">
        <f>ROUND('Balance N'!C154,2)</f>
        <v>0</v>
      </c>
      <c r="F154" s="679">
        <f>ROUND('Balance N'!D154,2)</f>
        <v>0</v>
      </c>
      <c r="G154" s="679">
        <f>ROUND('Balance N'!E154,2)</f>
        <v>0</v>
      </c>
      <c r="H154" s="679">
        <f>ROUND('Balance N'!F154,2)</f>
        <v>0</v>
      </c>
      <c r="I154" s="2" t="str">
        <f t="shared" si="5"/>
        <v>0</v>
      </c>
    </row>
    <row r="155" spans="1:9" x14ac:dyDescent="0.2">
      <c r="A155" s="573" t="str">
        <f>FIXED('Balance N'!A155,0,1)</f>
        <v>0</v>
      </c>
      <c r="B155" s="572">
        <f>+'Balance N'!B155</f>
        <v>0</v>
      </c>
      <c r="C155" s="679" t="e">
        <f>ROUND('Balance N'!#REF!,2)</f>
        <v>#REF!</v>
      </c>
      <c r="D155" s="679" t="e">
        <f>ROUND('Balance N'!#REF!,2)</f>
        <v>#REF!</v>
      </c>
      <c r="E155" s="679">
        <f>ROUND('Balance N'!C155,2)</f>
        <v>0</v>
      </c>
      <c r="F155" s="679">
        <f>ROUND('Balance N'!D155,2)</f>
        <v>0</v>
      </c>
      <c r="G155" s="679">
        <f>ROUND('Balance N'!E155,2)</f>
        <v>0</v>
      </c>
      <c r="H155" s="679">
        <f>ROUND('Balance N'!F155,2)</f>
        <v>0</v>
      </c>
      <c r="I155" s="2" t="str">
        <f t="shared" si="5"/>
        <v>0</v>
      </c>
    </row>
    <row r="156" spans="1:9" x14ac:dyDescent="0.2">
      <c r="A156" s="573" t="str">
        <f>FIXED('Balance N'!A156,0,1)</f>
        <v>0</v>
      </c>
      <c r="B156" s="572">
        <f>+'Balance N'!B156</f>
        <v>0</v>
      </c>
      <c r="C156" s="679" t="e">
        <f>ROUND('Balance N'!#REF!,2)</f>
        <v>#REF!</v>
      </c>
      <c r="D156" s="679" t="e">
        <f>ROUND('Balance N'!#REF!,2)</f>
        <v>#REF!</v>
      </c>
      <c r="E156" s="679">
        <f>ROUND('Balance N'!C156,2)</f>
        <v>0</v>
      </c>
      <c r="F156" s="679">
        <f>ROUND('Balance N'!D156,2)</f>
        <v>0</v>
      </c>
      <c r="G156" s="679">
        <f>ROUND('Balance N'!E156,2)</f>
        <v>0</v>
      </c>
      <c r="H156" s="679">
        <f>ROUND('Balance N'!F156,2)</f>
        <v>0</v>
      </c>
      <c r="I156" s="2" t="str">
        <f t="shared" si="5"/>
        <v>0</v>
      </c>
    </row>
    <row r="157" spans="1:9" x14ac:dyDescent="0.2">
      <c r="A157" s="573" t="str">
        <f>FIXED('Balance N'!A157,0,1)</f>
        <v>0</v>
      </c>
      <c r="B157" s="572">
        <f>+'Balance N'!B157</f>
        <v>0</v>
      </c>
      <c r="C157" s="679" t="e">
        <f>ROUND('Balance N'!#REF!,2)</f>
        <v>#REF!</v>
      </c>
      <c r="D157" s="679" t="e">
        <f>ROUND('Balance N'!#REF!,2)</f>
        <v>#REF!</v>
      </c>
      <c r="E157" s="679">
        <f>ROUND('Balance N'!C157,2)</f>
        <v>0</v>
      </c>
      <c r="F157" s="679">
        <f>ROUND('Balance N'!D157,2)</f>
        <v>0</v>
      </c>
      <c r="G157" s="679">
        <f>ROUND('Balance N'!E157,2)</f>
        <v>0</v>
      </c>
      <c r="H157" s="679">
        <f>ROUND('Balance N'!F157,2)</f>
        <v>0</v>
      </c>
      <c r="I157" s="2" t="str">
        <f t="shared" si="5"/>
        <v>0</v>
      </c>
    </row>
    <row r="158" spans="1:9" x14ac:dyDescent="0.2">
      <c r="A158" s="573" t="str">
        <f>FIXED('Balance N'!A158,0,1)</f>
        <v>0</v>
      </c>
      <c r="B158" s="572">
        <f>+'Balance N'!B158</f>
        <v>0</v>
      </c>
      <c r="C158" s="679" t="e">
        <f>ROUND('Balance N'!#REF!,2)</f>
        <v>#REF!</v>
      </c>
      <c r="D158" s="679" t="e">
        <f>ROUND('Balance N'!#REF!,2)</f>
        <v>#REF!</v>
      </c>
      <c r="E158" s="679">
        <f>ROUND('Balance N'!C158,2)</f>
        <v>0</v>
      </c>
      <c r="F158" s="679">
        <f>ROUND('Balance N'!D158,2)</f>
        <v>0</v>
      </c>
      <c r="G158" s="679">
        <f>ROUND('Balance N'!E158,2)</f>
        <v>0</v>
      </c>
      <c r="H158" s="679">
        <f>ROUND('Balance N'!F158,2)</f>
        <v>0</v>
      </c>
      <c r="I158" s="2" t="str">
        <f t="shared" si="5"/>
        <v>0</v>
      </c>
    </row>
    <row r="159" spans="1:9" x14ac:dyDescent="0.2">
      <c r="A159" s="573" t="str">
        <f>FIXED('Balance N'!A159,0,1)</f>
        <v>0</v>
      </c>
      <c r="B159" s="572">
        <f>+'Balance N'!B159</f>
        <v>0</v>
      </c>
      <c r="C159" s="679" t="e">
        <f>ROUND('Balance N'!#REF!,2)</f>
        <v>#REF!</v>
      </c>
      <c r="D159" s="679" t="e">
        <f>ROUND('Balance N'!#REF!,2)</f>
        <v>#REF!</v>
      </c>
      <c r="E159" s="679">
        <f>ROUND('Balance N'!C159,2)</f>
        <v>0</v>
      </c>
      <c r="F159" s="679">
        <f>ROUND('Balance N'!D159,2)</f>
        <v>0</v>
      </c>
      <c r="G159" s="679">
        <f>ROUND('Balance N'!E159,2)</f>
        <v>0</v>
      </c>
      <c r="H159" s="679">
        <f>ROUND('Balance N'!F159,2)</f>
        <v>0</v>
      </c>
      <c r="I159" s="2" t="str">
        <f t="shared" si="5"/>
        <v>0</v>
      </c>
    </row>
    <row r="160" spans="1:9" x14ac:dyDescent="0.2">
      <c r="A160" s="573" t="str">
        <f>FIXED('Balance N'!A160,0,1)</f>
        <v>0</v>
      </c>
      <c r="B160" s="572">
        <f>+'Balance N'!B160</f>
        <v>0</v>
      </c>
      <c r="C160" s="679" t="e">
        <f>ROUND('Balance N'!#REF!,2)</f>
        <v>#REF!</v>
      </c>
      <c r="D160" s="679" t="e">
        <f>ROUND('Balance N'!#REF!,2)</f>
        <v>#REF!</v>
      </c>
      <c r="E160" s="679">
        <f>ROUND('Balance N'!C160,2)</f>
        <v>0</v>
      </c>
      <c r="F160" s="679">
        <f>ROUND('Balance N'!D160,2)</f>
        <v>0</v>
      </c>
      <c r="G160" s="679">
        <f>ROUND('Balance N'!E160,2)</f>
        <v>0</v>
      </c>
      <c r="H160" s="679">
        <f>ROUND('Balance N'!F160,2)</f>
        <v>0</v>
      </c>
      <c r="I160" s="2" t="str">
        <f t="shared" si="5"/>
        <v>0</v>
      </c>
    </row>
    <row r="161" spans="1:9" x14ac:dyDescent="0.2">
      <c r="A161" s="573" t="str">
        <f>FIXED('Balance N'!A161,0,1)</f>
        <v>0</v>
      </c>
      <c r="B161" s="572">
        <f>+'Balance N'!B161</f>
        <v>0</v>
      </c>
      <c r="C161" s="679" t="e">
        <f>ROUND('Balance N'!#REF!,2)</f>
        <v>#REF!</v>
      </c>
      <c r="D161" s="679" t="e">
        <f>ROUND('Balance N'!#REF!,2)</f>
        <v>#REF!</v>
      </c>
      <c r="E161" s="679">
        <f>ROUND('Balance N'!C161,2)</f>
        <v>0</v>
      </c>
      <c r="F161" s="679">
        <f>ROUND('Balance N'!D161,2)</f>
        <v>0</v>
      </c>
      <c r="G161" s="679">
        <f>ROUND('Balance N'!E161,2)</f>
        <v>0</v>
      </c>
      <c r="H161" s="679">
        <f>ROUND('Balance N'!F161,2)</f>
        <v>0</v>
      </c>
      <c r="I161" s="2" t="str">
        <f t="shared" si="5"/>
        <v>0</v>
      </c>
    </row>
    <row r="162" spans="1:9" x14ac:dyDescent="0.2">
      <c r="A162" s="573" t="str">
        <f>FIXED('Balance N'!A162,0,1)</f>
        <v>0</v>
      </c>
      <c r="B162" s="572">
        <f>+'Balance N'!B162</f>
        <v>0</v>
      </c>
      <c r="C162" s="679" t="e">
        <f>ROUND('Balance N'!#REF!,2)</f>
        <v>#REF!</v>
      </c>
      <c r="D162" s="679" t="e">
        <f>ROUND('Balance N'!#REF!,2)</f>
        <v>#REF!</v>
      </c>
      <c r="E162" s="679">
        <f>ROUND('Balance N'!C162,2)</f>
        <v>0</v>
      </c>
      <c r="F162" s="679">
        <f>ROUND('Balance N'!D162,2)</f>
        <v>0</v>
      </c>
      <c r="G162" s="679">
        <f>ROUND('Balance N'!E162,2)</f>
        <v>0</v>
      </c>
      <c r="H162" s="679">
        <f>ROUND('Balance N'!F162,2)</f>
        <v>0</v>
      </c>
      <c r="I162" s="2" t="str">
        <f t="shared" si="5"/>
        <v>0</v>
      </c>
    </row>
    <row r="163" spans="1:9" x14ac:dyDescent="0.2">
      <c r="A163" s="573" t="str">
        <f>FIXED('Balance N'!A163,0,1)</f>
        <v>0</v>
      </c>
      <c r="B163" s="572">
        <f>+'Balance N'!B163</f>
        <v>0</v>
      </c>
      <c r="C163" s="679" t="e">
        <f>ROUND('Balance N'!#REF!,2)</f>
        <v>#REF!</v>
      </c>
      <c r="D163" s="679" t="e">
        <f>ROUND('Balance N'!#REF!,2)</f>
        <v>#REF!</v>
      </c>
      <c r="E163" s="679">
        <f>ROUND('Balance N'!C163,2)</f>
        <v>0</v>
      </c>
      <c r="F163" s="679">
        <f>ROUND('Balance N'!D163,2)</f>
        <v>0</v>
      </c>
      <c r="G163" s="679">
        <f>ROUND('Balance N'!E163,2)</f>
        <v>0</v>
      </c>
      <c r="H163" s="679">
        <f>ROUND('Balance N'!F163,2)</f>
        <v>0</v>
      </c>
      <c r="I163" s="2" t="str">
        <f t="shared" si="5"/>
        <v>0</v>
      </c>
    </row>
    <row r="164" spans="1:9" x14ac:dyDescent="0.2">
      <c r="A164" s="573" t="str">
        <f>FIXED('Balance N'!A164,0,1)</f>
        <v>0</v>
      </c>
      <c r="B164" s="572">
        <f>+'Balance N'!B164</f>
        <v>0</v>
      </c>
      <c r="C164" s="679" t="e">
        <f>ROUND('Balance N'!#REF!,2)</f>
        <v>#REF!</v>
      </c>
      <c r="D164" s="679" t="e">
        <f>ROUND('Balance N'!#REF!,2)</f>
        <v>#REF!</v>
      </c>
      <c r="E164" s="679">
        <f>ROUND('Balance N'!C164,2)</f>
        <v>0</v>
      </c>
      <c r="F164" s="679">
        <f>ROUND('Balance N'!D164,2)</f>
        <v>0</v>
      </c>
      <c r="G164" s="679">
        <f>ROUND('Balance N'!E164,2)</f>
        <v>0</v>
      </c>
      <c r="H164" s="679">
        <f>ROUND('Balance N'!F164,2)</f>
        <v>0</v>
      </c>
      <c r="I164" s="2" t="str">
        <f t="shared" si="5"/>
        <v>0</v>
      </c>
    </row>
    <row r="165" spans="1:9" x14ac:dyDescent="0.2">
      <c r="A165" s="573" t="str">
        <f>FIXED('Balance N'!A165,0,1)</f>
        <v>0</v>
      </c>
      <c r="B165" s="572">
        <f>+'Balance N'!B165</f>
        <v>0</v>
      </c>
      <c r="C165" s="679" t="e">
        <f>ROUND('Balance N'!#REF!,2)</f>
        <v>#REF!</v>
      </c>
      <c r="D165" s="679" t="e">
        <f>ROUND('Balance N'!#REF!,2)</f>
        <v>#REF!</v>
      </c>
      <c r="E165" s="679">
        <f>ROUND('Balance N'!C165,2)</f>
        <v>0</v>
      </c>
      <c r="F165" s="679">
        <f>ROUND('Balance N'!D165,2)</f>
        <v>0</v>
      </c>
      <c r="G165" s="679">
        <f>ROUND('Balance N'!E165,2)</f>
        <v>0</v>
      </c>
      <c r="H165" s="679">
        <f>ROUND('Balance N'!F165,2)</f>
        <v>0</v>
      </c>
      <c r="I165" s="2" t="str">
        <f t="shared" si="5"/>
        <v>0</v>
      </c>
    </row>
    <row r="166" spans="1:9" x14ac:dyDescent="0.2">
      <c r="A166" s="573" t="str">
        <f>FIXED('Balance N'!A166,0,1)</f>
        <v>0</v>
      </c>
      <c r="B166" s="572">
        <f>+'Balance N'!B166</f>
        <v>0</v>
      </c>
      <c r="C166" s="679" t="e">
        <f>ROUND('Balance N'!#REF!,2)</f>
        <v>#REF!</v>
      </c>
      <c r="D166" s="679" t="e">
        <f>ROUND('Balance N'!#REF!,2)</f>
        <v>#REF!</v>
      </c>
      <c r="E166" s="679">
        <f>ROUND('Balance N'!C166,2)</f>
        <v>0</v>
      </c>
      <c r="F166" s="679">
        <f>ROUND('Balance N'!D166,2)</f>
        <v>0</v>
      </c>
      <c r="G166" s="679">
        <f>ROUND('Balance N'!E166,2)</f>
        <v>0</v>
      </c>
      <c r="H166" s="679">
        <f>ROUND('Balance N'!F166,2)</f>
        <v>0</v>
      </c>
      <c r="I166" s="2" t="str">
        <f t="shared" si="5"/>
        <v>0</v>
      </c>
    </row>
    <row r="167" spans="1:9" x14ac:dyDescent="0.2">
      <c r="A167" s="573" t="str">
        <f>FIXED('Balance N'!A167,0,1)</f>
        <v>0</v>
      </c>
      <c r="B167" s="572">
        <f>+'Balance N'!B167</f>
        <v>0</v>
      </c>
      <c r="C167" s="679" t="e">
        <f>ROUND('Balance N'!#REF!,2)</f>
        <v>#REF!</v>
      </c>
      <c r="D167" s="679" t="e">
        <f>ROUND('Balance N'!#REF!,2)</f>
        <v>#REF!</v>
      </c>
      <c r="E167" s="679">
        <f>ROUND('Balance N'!C167,2)</f>
        <v>0</v>
      </c>
      <c r="F167" s="679">
        <f>ROUND('Balance N'!D167,2)</f>
        <v>0</v>
      </c>
      <c r="G167" s="679">
        <f>ROUND('Balance N'!E167,2)</f>
        <v>0</v>
      </c>
      <c r="H167" s="679">
        <f>ROUND('Balance N'!F167,2)</f>
        <v>0</v>
      </c>
      <c r="I167" s="2" t="str">
        <f t="shared" si="5"/>
        <v>0</v>
      </c>
    </row>
    <row r="168" spans="1:9" x14ac:dyDescent="0.2">
      <c r="A168" s="573" t="str">
        <f>FIXED('Balance N'!A168,0,1)</f>
        <v>0</v>
      </c>
      <c r="B168" s="572">
        <f>+'Balance N'!B168</f>
        <v>0</v>
      </c>
      <c r="C168" s="679" t="e">
        <f>ROUND('Balance N'!#REF!,2)</f>
        <v>#REF!</v>
      </c>
      <c r="D168" s="679" t="e">
        <f>ROUND('Balance N'!#REF!,2)</f>
        <v>#REF!</v>
      </c>
      <c r="E168" s="679">
        <f>ROUND('Balance N'!C168,2)</f>
        <v>0</v>
      </c>
      <c r="F168" s="679">
        <f>ROUND('Balance N'!D168,2)</f>
        <v>0</v>
      </c>
      <c r="G168" s="679">
        <f>ROUND('Balance N'!E168,2)</f>
        <v>0</v>
      </c>
      <c r="H168" s="679">
        <f>ROUND('Balance N'!F168,2)</f>
        <v>0</v>
      </c>
      <c r="I168" s="2" t="str">
        <f t="shared" si="5"/>
        <v>0</v>
      </c>
    </row>
    <row r="169" spans="1:9" x14ac:dyDescent="0.2">
      <c r="A169" s="573" t="str">
        <f>FIXED('Balance N'!A169,0,1)</f>
        <v>0</v>
      </c>
      <c r="B169" s="572">
        <f>+'Balance N'!B169</f>
        <v>0</v>
      </c>
      <c r="C169" s="679" t="e">
        <f>ROUND('Balance N'!#REF!,2)</f>
        <v>#REF!</v>
      </c>
      <c r="D169" s="679" t="e">
        <f>ROUND('Balance N'!#REF!,2)</f>
        <v>#REF!</v>
      </c>
      <c r="E169" s="679">
        <f>ROUND('Balance N'!C169,2)</f>
        <v>0</v>
      </c>
      <c r="F169" s="679">
        <f>ROUND('Balance N'!D169,2)</f>
        <v>0</v>
      </c>
      <c r="G169" s="679">
        <f>ROUND('Balance N'!E169,2)</f>
        <v>0</v>
      </c>
      <c r="H169" s="679">
        <f>ROUND('Balance N'!F169,2)</f>
        <v>0</v>
      </c>
      <c r="I169" s="2" t="str">
        <f t="shared" si="5"/>
        <v>0</v>
      </c>
    </row>
    <row r="170" spans="1:9" x14ac:dyDescent="0.2">
      <c r="A170" s="573" t="str">
        <f>FIXED('Balance N'!A170,0,1)</f>
        <v>0</v>
      </c>
      <c r="B170" s="572">
        <f>+'Balance N'!B170</f>
        <v>0</v>
      </c>
      <c r="C170" s="679" t="e">
        <f>ROUND('Balance N'!#REF!,2)</f>
        <v>#REF!</v>
      </c>
      <c r="D170" s="679" t="e">
        <f>ROUND('Balance N'!#REF!,2)</f>
        <v>#REF!</v>
      </c>
      <c r="E170" s="679">
        <f>ROUND('Balance N'!C170,2)</f>
        <v>0</v>
      </c>
      <c r="F170" s="679">
        <f>ROUND('Balance N'!D170,2)</f>
        <v>0</v>
      </c>
      <c r="G170" s="679">
        <f>ROUND('Balance N'!E170,2)</f>
        <v>0</v>
      </c>
      <c r="H170" s="679">
        <f>ROUND('Balance N'!F170,2)</f>
        <v>0</v>
      </c>
      <c r="I170" s="2" t="str">
        <f t="shared" si="5"/>
        <v>0</v>
      </c>
    </row>
    <row r="171" spans="1:9" x14ac:dyDescent="0.2">
      <c r="A171" s="573" t="str">
        <f>FIXED('Balance N'!A171,0,1)</f>
        <v>0</v>
      </c>
      <c r="B171" s="572">
        <f>+'Balance N'!B171</f>
        <v>0</v>
      </c>
      <c r="C171" s="679" t="e">
        <f>ROUND('Balance N'!#REF!,2)</f>
        <v>#REF!</v>
      </c>
      <c r="D171" s="679" t="e">
        <f>ROUND('Balance N'!#REF!,2)</f>
        <v>#REF!</v>
      </c>
      <c r="E171" s="679">
        <f>ROUND('Balance N'!C171,2)</f>
        <v>0</v>
      </c>
      <c r="F171" s="679">
        <f>ROUND('Balance N'!D171,2)</f>
        <v>0</v>
      </c>
      <c r="G171" s="679">
        <f>ROUND('Balance N'!E171,2)</f>
        <v>0</v>
      </c>
      <c r="H171" s="679">
        <f>ROUND('Balance N'!F171,2)</f>
        <v>0</v>
      </c>
      <c r="I171" s="2" t="str">
        <f t="shared" si="5"/>
        <v>0</v>
      </c>
    </row>
    <row r="172" spans="1:9" x14ac:dyDescent="0.2">
      <c r="A172" s="573" t="str">
        <f>FIXED('Balance N'!A172,0,1)</f>
        <v>0</v>
      </c>
      <c r="B172" s="572">
        <f>+'Balance N'!B172</f>
        <v>0</v>
      </c>
      <c r="C172" s="679" t="e">
        <f>ROUND('Balance N'!#REF!,2)</f>
        <v>#REF!</v>
      </c>
      <c r="D172" s="679" t="e">
        <f>ROUND('Balance N'!#REF!,2)</f>
        <v>#REF!</v>
      </c>
      <c r="E172" s="679">
        <f>ROUND('Balance N'!C172,2)</f>
        <v>0</v>
      </c>
      <c r="F172" s="679">
        <f>ROUND('Balance N'!D172,2)</f>
        <v>0</v>
      </c>
      <c r="G172" s="679">
        <f>ROUND('Balance N'!E172,2)</f>
        <v>0</v>
      </c>
      <c r="H172" s="679">
        <f>ROUND('Balance N'!F172,2)</f>
        <v>0</v>
      </c>
      <c r="I172" s="2" t="str">
        <f t="shared" si="5"/>
        <v>0</v>
      </c>
    </row>
    <row r="173" spans="1:9" x14ac:dyDescent="0.2">
      <c r="A173" s="573" t="str">
        <f>FIXED('Balance N'!A173,0,1)</f>
        <v>0</v>
      </c>
      <c r="B173" s="572">
        <f>+'Balance N'!B173</f>
        <v>0</v>
      </c>
      <c r="C173" s="679" t="e">
        <f>ROUND('Balance N'!#REF!,2)</f>
        <v>#REF!</v>
      </c>
      <c r="D173" s="679" t="e">
        <f>ROUND('Balance N'!#REF!,2)</f>
        <v>#REF!</v>
      </c>
      <c r="E173" s="679">
        <f>ROUND('Balance N'!C173,2)</f>
        <v>0</v>
      </c>
      <c r="F173" s="679">
        <f>ROUND('Balance N'!D173,2)</f>
        <v>0</v>
      </c>
      <c r="G173" s="679">
        <f>ROUND('Balance N'!E173,2)</f>
        <v>0</v>
      </c>
      <c r="H173" s="679">
        <f>ROUND('Balance N'!F173,2)</f>
        <v>0</v>
      </c>
      <c r="I173" s="2" t="str">
        <f t="shared" si="5"/>
        <v>0</v>
      </c>
    </row>
    <row r="174" spans="1:9" x14ac:dyDescent="0.2">
      <c r="A174" s="573" t="str">
        <f>FIXED('Balance N'!A174,0,1)</f>
        <v>0</v>
      </c>
      <c r="B174" s="572">
        <f>+'Balance N'!B174</f>
        <v>0</v>
      </c>
      <c r="C174" s="679" t="e">
        <f>ROUND('Balance N'!#REF!,2)</f>
        <v>#REF!</v>
      </c>
      <c r="D174" s="679" t="e">
        <f>ROUND('Balance N'!#REF!,2)</f>
        <v>#REF!</v>
      </c>
      <c r="E174" s="679">
        <f>ROUND('Balance N'!C174,2)</f>
        <v>0</v>
      </c>
      <c r="F174" s="679">
        <f>ROUND('Balance N'!D174,2)</f>
        <v>0</v>
      </c>
      <c r="G174" s="679">
        <f>ROUND('Balance N'!E174,2)</f>
        <v>0</v>
      </c>
      <c r="H174" s="679">
        <f>ROUND('Balance N'!F174,2)</f>
        <v>0</v>
      </c>
      <c r="I174" s="2" t="str">
        <f t="shared" si="5"/>
        <v>0</v>
      </c>
    </row>
    <row r="175" spans="1:9" x14ac:dyDescent="0.2">
      <c r="A175" s="573" t="str">
        <f>FIXED('Balance N'!A175,0,1)</f>
        <v>0</v>
      </c>
      <c r="B175" s="572">
        <f>+'Balance N'!B175</f>
        <v>0</v>
      </c>
      <c r="C175" s="679" t="e">
        <f>ROUND('Balance N'!#REF!,2)</f>
        <v>#REF!</v>
      </c>
      <c r="D175" s="679" t="e">
        <f>ROUND('Balance N'!#REF!,2)</f>
        <v>#REF!</v>
      </c>
      <c r="E175" s="679">
        <f>ROUND('Balance N'!C175,2)</f>
        <v>0</v>
      </c>
      <c r="F175" s="679">
        <f>ROUND('Balance N'!D175,2)</f>
        <v>0</v>
      </c>
      <c r="G175" s="679">
        <f>ROUND('Balance N'!E175,2)</f>
        <v>0</v>
      </c>
      <c r="H175" s="679">
        <f>ROUND('Balance N'!F175,2)</f>
        <v>0</v>
      </c>
      <c r="I175" s="2" t="str">
        <f t="shared" si="5"/>
        <v>0</v>
      </c>
    </row>
    <row r="176" spans="1:9" x14ac:dyDescent="0.2">
      <c r="A176" s="573" t="str">
        <f>FIXED('Balance N'!A176,0,1)</f>
        <v>0</v>
      </c>
      <c r="B176" s="572">
        <f>+'Balance N'!B176</f>
        <v>0</v>
      </c>
      <c r="C176" s="679" t="e">
        <f>ROUND('Balance N'!#REF!,2)</f>
        <v>#REF!</v>
      </c>
      <c r="D176" s="679" t="e">
        <f>ROUND('Balance N'!#REF!,2)</f>
        <v>#REF!</v>
      </c>
      <c r="E176" s="679">
        <f>ROUND('Balance N'!C176,2)</f>
        <v>0</v>
      </c>
      <c r="F176" s="679">
        <f>ROUND('Balance N'!D176,2)</f>
        <v>0</v>
      </c>
      <c r="G176" s="679">
        <f>ROUND('Balance N'!E176,2)</f>
        <v>0</v>
      </c>
      <c r="H176" s="679">
        <f>ROUND('Balance N'!F176,2)</f>
        <v>0</v>
      </c>
      <c r="I176" s="2" t="str">
        <f t="shared" si="5"/>
        <v>0</v>
      </c>
    </row>
    <row r="177" spans="1:9" x14ac:dyDescent="0.2">
      <c r="A177" s="573" t="str">
        <f>FIXED('Balance N'!A177,0,1)</f>
        <v>0</v>
      </c>
      <c r="B177" s="572">
        <f>+'Balance N'!B177</f>
        <v>0</v>
      </c>
      <c r="C177" s="679" t="e">
        <f>ROUND('Balance N'!#REF!,2)</f>
        <v>#REF!</v>
      </c>
      <c r="D177" s="679" t="e">
        <f>ROUND('Balance N'!#REF!,2)</f>
        <v>#REF!</v>
      </c>
      <c r="E177" s="679">
        <f>ROUND('Balance N'!C177,2)</f>
        <v>0</v>
      </c>
      <c r="F177" s="679">
        <f>ROUND('Balance N'!D177,2)</f>
        <v>0</v>
      </c>
      <c r="G177" s="679">
        <f>ROUND('Balance N'!E177,2)</f>
        <v>0</v>
      </c>
      <c r="H177" s="679">
        <f>ROUND('Balance N'!F177,2)</f>
        <v>0</v>
      </c>
      <c r="I177" s="2" t="str">
        <f t="shared" si="5"/>
        <v>0</v>
      </c>
    </row>
    <row r="178" spans="1:9" x14ac:dyDescent="0.2">
      <c r="A178" s="573" t="str">
        <f>FIXED('Balance N'!A178,0,1)</f>
        <v>0</v>
      </c>
      <c r="B178" s="572">
        <f>+'Balance N'!B178</f>
        <v>0</v>
      </c>
      <c r="C178" s="679" t="e">
        <f>ROUND('Balance N'!#REF!,2)</f>
        <v>#REF!</v>
      </c>
      <c r="D178" s="679" t="e">
        <f>ROUND('Balance N'!#REF!,2)</f>
        <v>#REF!</v>
      </c>
      <c r="E178" s="679">
        <f>ROUND('Balance N'!C178,2)</f>
        <v>0</v>
      </c>
      <c r="F178" s="679">
        <f>ROUND('Balance N'!D178,2)</f>
        <v>0</v>
      </c>
      <c r="G178" s="679">
        <f>ROUND('Balance N'!E178,2)</f>
        <v>0</v>
      </c>
      <c r="H178" s="679">
        <f>ROUND('Balance N'!F178,2)</f>
        <v>0</v>
      </c>
      <c r="I178" s="2" t="str">
        <f t="shared" si="5"/>
        <v>0</v>
      </c>
    </row>
    <row r="179" spans="1:9" x14ac:dyDescent="0.2">
      <c r="A179" s="573" t="str">
        <f>FIXED('Balance N'!A179,0,1)</f>
        <v>0</v>
      </c>
      <c r="B179" s="572">
        <f>+'Balance N'!B179</f>
        <v>0</v>
      </c>
      <c r="C179" s="679" t="e">
        <f>ROUND('Balance N'!#REF!,2)</f>
        <v>#REF!</v>
      </c>
      <c r="D179" s="679" t="e">
        <f>ROUND('Balance N'!#REF!,2)</f>
        <v>#REF!</v>
      </c>
      <c r="E179" s="679">
        <f>ROUND('Balance N'!C179,2)</f>
        <v>0</v>
      </c>
      <c r="F179" s="679">
        <f>ROUND('Balance N'!D179,2)</f>
        <v>0</v>
      </c>
      <c r="G179" s="679">
        <f>ROUND('Balance N'!E179,2)</f>
        <v>0</v>
      </c>
      <c r="H179" s="679">
        <f>ROUND('Balance N'!F179,2)</f>
        <v>0</v>
      </c>
      <c r="I179" s="2" t="str">
        <f t="shared" si="5"/>
        <v>0</v>
      </c>
    </row>
    <row r="180" spans="1:9" x14ac:dyDescent="0.2">
      <c r="A180" s="573" t="str">
        <f>FIXED('Balance N'!A180,0,1)</f>
        <v>0</v>
      </c>
      <c r="B180" s="572">
        <f>+'Balance N'!B180</f>
        <v>0</v>
      </c>
      <c r="C180" s="679" t="e">
        <f>ROUND('Balance N'!#REF!,2)</f>
        <v>#REF!</v>
      </c>
      <c r="D180" s="679" t="e">
        <f>ROUND('Balance N'!#REF!,2)</f>
        <v>#REF!</v>
      </c>
      <c r="E180" s="679">
        <f>ROUND('Balance N'!C180,2)</f>
        <v>0</v>
      </c>
      <c r="F180" s="679">
        <f>ROUND('Balance N'!D180,2)</f>
        <v>0</v>
      </c>
      <c r="G180" s="679">
        <f>ROUND('Balance N'!E180,2)</f>
        <v>0</v>
      </c>
      <c r="H180" s="679">
        <f>ROUND('Balance N'!F180,2)</f>
        <v>0</v>
      </c>
      <c r="I180" s="2" t="str">
        <f t="shared" si="5"/>
        <v>0</v>
      </c>
    </row>
    <row r="181" spans="1:9" x14ac:dyDescent="0.2">
      <c r="A181" s="573" t="str">
        <f>FIXED('Balance N'!A181,0,1)</f>
        <v>0</v>
      </c>
      <c r="B181" s="572">
        <f>+'Balance N'!B181</f>
        <v>0</v>
      </c>
      <c r="C181" s="679" t="e">
        <f>ROUND('Balance N'!#REF!,2)</f>
        <v>#REF!</v>
      </c>
      <c r="D181" s="679" t="e">
        <f>ROUND('Balance N'!#REF!,2)</f>
        <v>#REF!</v>
      </c>
      <c r="E181" s="679">
        <f>ROUND('Balance N'!C181,2)</f>
        <v>0</v>
      </c>
      <c r="F181" s="679">
        <f>ROUND('Balance N'!D181,2)</f>
        <v>0</v>
      </c>
      <c r="G181" s="679">
        <f>ROUND('Balance N'!E181,2)</f>
        <v>0</v>
      </c>
      <c r="H181" s="679">
        <f>ROUND('Balance N'!F181,2)</f>
        <v>0</v>
      </c>
      <c r="I181" s="2" t="str">
        <f t="shared" si="5"/>
        <v>0</v>
      </c>
    </row>
    <row r="182" spans="1:9" x14ac:dyDescent="0.2">
      <c r="A182" s="573" t="str">
        <f>FIXED('Balance N'!A182,0,1)</f>
        <v>0</v>
      </c>
      <c r="B182" s="572">
        <f>+'Balance N'!B182</f>
        <v>0</v>
      </c>
      <c r="C182" s="679" t="e">
        <f>ROUND('Balance N'!#REF!,2)</f>
        <v>#REF!</v>
      </c>
      <c r="D182" s="679" t="e">
        <f>ROUND('Balance N'!#REF!,2)</f>
        <v>#REF!</v>
      </c>
      <c r="E182" s="679">
        <f>ROUND('Balance N'!C182,2)</f>
        <v>0</v>
      </c>
      <c r="F182" s="679">
        <f>ROUND('Balance N'!D182,2)</f>
        <v>0</v>
      </c>
      <c r="G182" s="679">
        <f>ROUND('Balance N'!E182,2)</f>
        <v>0</v>
      </c>
      <c r="H182" s="679">
        <f>ROUND('Balance N'!F182,2)</f>
        <v>0</v>
      </c>
      <c r="I182" s="2" t="str">
        <f t="shared" si="5"/>
        <v>0</v>
      </c>
    </row>
    <row r="183" spans="1:9" x14ac:dyDescent="0.2">
      <c r="A183" s="573" t="str">
        <f>FIXED('Balance N'!A183,0,1)</f>
        <v>0</v>
      </c>
      <c r="B183" s="572">
        <f>+'Balance N'!B183</f>
        <v>0</v>
      </c>
      <c r="C183" s="679" t="e">
        <f>ROUND('Balance N'!#REF!,2)</f>
        <v>#REF!</v>
      </c>
      <c r="D183" s="679" t="e">
        <f>ROUND('Balance N'!#REF!,2)</f>
        <v>#REF!</v>
      </c>
      <c r="E183" s="679">
        <f>ROUND('Balance N'!C183,2)</f>
        <v>0</v>
      </c>
      <c r="F183" s="679">
        <f>ROUND('Balance N'!D183,2)</f>
        <v>0</v>
      </c>
      <c r="G183" s="679">
        <f>ROUND('Balance N'!E183,2)</f>
        <v>0</v>
      </c>
      <c r="H183" s="679">
        <f>ROUND('Balance N'!F183,2)</f>
        <v>0</v>
      </c>
      <c r="I183" s="2" t="str">
        <f t="shared" si="5"/>
        <v>0</v>
      </c>
    </row>
    <row r="184" spans="1:9" x14ac:dyDescent="0.2">
      <c r="A184" s="573" t="str">
        <f>FIXED('Balance N'!A184,0,1)</f>
        <v>0</v>
      </c>
      <c r="B184" s="572">
        <f>+'Balance N'!B184</f>
        <v>0</v>
      </c>
      <c r="C184" s="679" t="e">
        <f>ROUND('Balance N'!#REF!,2)</f>
        <v>#REF!</v>
      </c>
      <c r="D184" s="679" t="e">
        <f>ROUND('Balance N'!#REF!,2)</f>
        <v>#REF!</v>
      </c>
      <c r="E184" s="679">
        <f>ROUND('Balance N'!C184,2)</f>
        <v>0</v>
      </c>
      <c r="F184" s="679">
        <f>ROUND('Balance N'!D184,2)</f>
        <v>0</v>
      </c>
      <c r="G184" s="679">
        <f>ROUND('Balance N'!E184,2)</f>
        <v>0</v>
      </c>
      <c r="H184" s="679">
        <f>ROUND('Balance N'!F184,2)</f>
        <v>0</v>
      </c>
      <c r="I184" s="2" t="str">
        <f t="shared" si="5"/>
        <v>0</v>
      </c>
    </row>
    <row r="185" spans="1:9" x14ac:dyDescent="0.2">
      <c r="A185" s="573" t="str">
        <f>FIXED('Balance N'!A185,0,1)</f>
        <v>0</v>
      </c>
      <c r="B185" s="572">
        <f>+'Balance N'!B185</f>
        <v>0</v>
      </c>
      <c r="C185" s="679" t="e">
        <f>ROUND('Balance N'!#REF!,2)</f>
        <v>#REF!</v>
      </c>
      <c r="D185" s="679" t="e">
        <f>ROUND('Balance N'!#REF!,2)</f>
        <v>#REF!</v>
      </c>
      <c r="E185" s="679">
        <f>ROUND('Balance N'!C185,2)</f>
        <v>0</v>
      </c>
      <c r="F185" s="679">
        <f>ROUND('Balance N'!D185,2)</f>
        <v>0</v>
      </c>
      <c r="G185" s="679">
        <f>ROUND('Balance N'!E185,2)</f>
        <v>0</v>
      </c>
      <c r="H185" s="679">
        <f>ROUND('Balance N'!F185,2)</f>
        <v>0</v>
      </c>
      <c r="I185" s="2" t="str">
        <f t="shared" si="5"/>
        <v>0</v>
      </c>
    </row>
    <row r="186" spans="1:9" x14ac:dyDescent="0.2">
      <c r="A186" s="573" t="str">
        <f>FIXED('Balance N'!A186,0,1)</f>
        <v>0</v>
      </c>
      <c r="B186" s="572">
        <f>+'Balance N'!B186</f>
        <v>0</v>
      </c>
      <c r="C186" s="679" t="e">
        <f>ROUND('Balance N'!#REF!,2)</f>
        <v>#REF!</v>
      </c>
      <c r="D186" s="679" t="e">
        <f>ROUND('Balance N'!#REF!,2)</f>
        <v>#REF!</v>
      </c>
      <c r="E186" s="679">
        <f>ROUND('Balance N'!C186,2)</f>
        <v>0</v>
      </c>
      <c r="F186" s="679">
        <f>ROUND('Balance N'!D186,2)</f>
        <v>0</v>
      </c>
      <c r="G186" s="679">
        <f>ROUND('Balance N'!E186,2)</f>
        <v>0</v>
      </c>
      <c r="H186" s="679">
        <f>ROUND('Balance N'!F186,2)</f>
        <v>0</v>
      </c>
      <c r="I186" s="2" t="str">
        <f t="shared" si="5"/>
        <v>0</v>
      </c>
    </row>
    <row r="187" spans="1:9" x14ac:dyDescent="0.2">
      <c r="A187" s="573" t="str">
        <f>FIXED('Balance N'!A187,0,1)</f>
        <v>0</v>
      </c>
      <c r="B187" s="572">
        <f>+'Balance N'!B187</f>
        <v>0</v>
      </c>
      <c r="C187" s="679" t="e">
        <f>ROUND('Balance N'!#REF!,2)</f>
        <v>#REF!</v>
      </c>
      <c r="D187" s="679" t="e">
        <f>ROUND('Balance N'!#REF!,2)</f>
        <v>#REF!</v>
      </c>
      <c r="E187" s="679">
        <f>ROUND('Balance N'!C187,2)</f>
        <v>0</v>
      </c>
      <c r="F187" s="679">
        <f>ROUND('Balance N'!D187,2)</f>
        <v>0</v>
      </c>
      <c r="G187" s="679">
        <f>ROUND('Balance N'!E187,2)</f>
        <v>0</v>
      </c>
      <c r="H187" s="679">
        <f>ROUND('Balance N'!F187,2)</f>
        <v>0</v>
      </c>
      <c r="I187" s="2" t="str">
        <f t="shared" si="5"/>
        <v>0</v>
      </c>
    </row>
    <row r="188" spans="1:9" x14ac:dyDescent="0.2">
      <c r="A188" s="573" t="str">
        <f>FIXED('Balance N'!A188,0,1)</f>
        <v>0</v>
      </c>
      <c r="B188" s="572">
        <f>+'Balance N'!B188</f>
        <v>0</v>
      </c>
      <c r="C188" s="679" t="e">
        <f>ROUND('Balance N'!#REF!,2)</f>
        <v>#REF!</v>
      </c>
      <c r="D188" s="679" t="e">
        <f>ROUND('Balance N'!#REF!,2)</f>
        <v>#REF!</v>
      </c>
      <c r="E188" s="679">
        <f>ROUND('Balance N'!C188,2)</f>
        <v>0</v>
      </c>
      <c r="F188" s="679">
        <f>ROUND('Balance N'!D188,2)</f>
        <v>0</v>
      </c>
      <c r="G188" s="679">
        <f>ROUND('Balance N'!E188,2)</f>
        <v>0</v>
      </c>
      <c r="H188" s="679">
        <f>ROUND('Balance N'!F188,2)</f>
        <v>0</v>
      </c>
      <c r="I188" s="2" t="str">
        <f t="shared" si="5"/>
        <v>0</v>
      </c>
    </row>
    <row r="189" spans="1:9" x14ac:dyDescent="0.2">
      <c r="A189" s="573" t="str">
        <f>FIXED('Balance N'!A189,0,1)</f>
        <v>0</v>
      </c>
      <c r="B189" s="572">
        <f>+'Balance N'!B189</f>
        <v>0</v>
      </c>
      <c r="C189" s="679" t="e">
        <f>ROUND('Balance N'!#REF!,2)</f>
        <v>#REF!</v>
      </c>
      <c r="D189" s="679" t="e">
        <f>ROUND('Balance N'!#REF!,2)</f>
        <v>#REF!</v>
      </c>
      <c r="E189" s="679">
        <f>ROUND('Balance N'!C189,2)</f>
        <v>0</v>
      </c>
      <c r="F189" s="679">
        <f>ROUND('Balance N'!D189,2)</f>
        <v>0</v>
      </c>
      <c r="G189" s="679">
        <f>ROUND('Balance N'!E189,2)</f>
        <v>0</v>
      </c>
      <c r="H189" s="679">
        <f>ROUND('Balance N'!F189,2)</f>
        <v>0</v>
      </c>
      <c r="I189" s="2" t="str">
        <f t="shared" si="5"/>
        <v>0</v>
      </c>
    </row>
    <row r="190" spans="1:9" x14ac:dyDescent="0.2">
      <c r="A190" s="573" t="str">
        <f>FIXED('Balance N'!A190,0,1)</f>
        <v>0</v>
      </c>
      <c r="B190" s="572">
        <f>+'Balance N'!B190</f>
        <v>0</v>
      </c>
      <c r="C190" s="679" t="e">
        <f>ROUND('Balance N'!#REF!,2)</f>
        <v>#REF!</v>
      </c>
      <c r="D190" s="679" t="e">
        <f>ROUND('Balance N'!#REF!,2)</f>
        <v>#REF!</v>
      </c>
      <c r="E190" s="679">
        <f>ROUND('Balance N'!C190,2)</f>
        <v>0</v>
      </c>
      <c r="F190" s="679">
        <f>ROUND('Balance N'!D190,2)</f>
        <v>0</v>
      </c>
      <c r="G190" s="679">
        <f>ROUND('Balance N'!E190,2)</f>
        <v>0</v>
      </c>
      <c r="H190" s="679">
        <f>ROUND('Balance N'!F190,2)</f>
        <v>0</v>
      </c>
      <c r="I190" s="2" t="str">
        <f t="shared" si="5"/>
        <v>0</v>
      </c>
    </row>
    <row r="191" spans="1:9" x14ac:dyDescent="0.2">
      <c r="A191" s="573" t="str">
        <f>FIXED('Balance N'!A191,0,1)</f>
        <v>0</v>
      </c>
      <c r="B191" s="572">
        <f>+'Balance N'!B191</f>
        <v>0</v>
      </c>
      <c r="C191" s="679" t="e">
        <f>ROUND('Balance N'!#REF!,2)</f>
        <v>#REF!</v>
      </c>
      <c r="D191" s="679" t="e">
        <f>ROUND('Balance N'!#REF!,2)</f>
        <v>#REF!</v>
      </c>
      <c r="E191" s="679">
        <f>ROUND('Balance N'!C191,2)</f>
        <v>0</v>
      </c>
      <c r="F191" s="679">
        <f>ROUND('Balance N'!D191,2)</f>
        <v>0</v>
      </c>
      <c r="G191" s="679">
        <f>ROUND('Balance N'!E191,2)</f>
        <v>0</v>
      </c>
      <c r="H191" s="679">
        <f>ROUND('Balance N'!F191,2)</f>
        <v>0</v>
      </c>
      <c r="I191" s="2" t="str">
        <f t="shared" si="5"/>
        <v>0</v>
      </c>
    </row>
    <row r="192" spans="1:9" x14ac:dyDescent="0.2">
      <c r="A192" s="573" t="str">
        <f>FIXED('Balance N'!A192,0,1)</f>
        <v>0</v>
      </c>
      <c r="B192" s="572">
        <f>+'Balance N'!B192</f>
        <v>0</v>
      </c>
      <c r="C192" s="679" t="e">
        <f>ROUND('Balance N'!#REF!,2)</f>
        <v>#REF!</v>
      </c>
      <c r="D192" s="679" t="e">
        <f>ROUND('Balance N'!#REF!,2)</f>
        <v>#REF!</v>
      </c>
      <c r="E192" s="679">
        <f>ROUND('Balance N'!C192,2)</f>
        <v>0</v>
      </c>
      <c r="F192" s="679">
        <f>ROUND('Balance N'!D192,2)</f>
        <v>0</v>
      </c>
      <c r="G192" s="679">
        <f>ROUND('Balance N'!E192,2)</f>
        <v>0</v>
      </c>
      <c r="H192" s="679">
        <f>ROUND('Balance N'!F192,2)</f>
        <v>0</v>
      </c>
      <c r="I192" s="2" t="str">
        <f t="shared" si="5"/>
        <v>0</v>
      </c>
    </row>
    <row r="193" spans="1:9" x14ac:dyDescent="0.2">
      <c r="A193" s="573" t="str">
        <f>FIXED('Balance N'!A193,0,1)</f>
        <v>0</v>
      </c>
      <c r="B193" s="572">
        <f>+'Balance N'!B193</f>
        <v>0</v>
      </c>
      <c r="C193" s="679" t="e">
        <f>ROUND('Balance N'!#REF!,2)</f>
        <v>#REF!</v>
      </c>
      <c r="D193" s="679" t="e">
        <f>ROUND('Balance N'!#REF!,2)</f>
        <v>#REF!</v>
      </c>
      <c r="E193" s="679">
        <f>ROUND('Balance N'!C193,2)</f>
        <v>0</v>
      </c>
      <c r="F193" s="679">
        <f>ROUND('Balance N'!D193,2)</f>
        <v>0</v>
      </c>
      <c r="G193" s="679">
        <f>ROUND('Balance N'!E193,2)</f>
        <v>0</v>
      </c>
      <c r="H193" s="679">
        <f>ROUND('Balance N'!F193,2)</f>
        <v>0</v>
      </c>
      <c r="I193" s="2" t="str">
        <f t="shared" si="5"/>
        <v>0</v>
      </c>
    </row>
    <row r="194" spans="1:9" x14ac:dyDescent="0.2">
      <c r="A194" s="573" t="str">
        <f>FIXED('Balance N'!A194,0,1)</f>
        <v>0</v>
      </c>
      <c r="B194" s="572">
        <f>+'Balance N'!B194</f>
        <v>0</v>
      </c>
      <c r="C194" s="679" t="e">
        <f>ROUND('Balance N'!#REF!,2)</f>
        <v>#REF!</v>
      </c>
      <c r="D194" s="679" t="e">
        <f>ROUND('Balance N'!#REF!,2)</f>
        <v>#REF!</v>
      </c>
      <c r="E194" s="679">
        <f>ROUND('Balance N'!C194,2)</f>
        <v>0</v>
      </c>
      <c r="F194" s="679">
        <f>ROUND('Balance N'!D194,2)</f>
        <v>0</v>
      </c>
      <c r="G194" s="679">
        <f>ROUND('Balance N'!E194,2)</f>
        <v>0</v>
      </c>
      <c r="H194" s="679">
        <f>ROUND('Balance N'!F194,2)</f>
        <v>0</v>
      </c>
      <c r="I194" s="2" t="str">
        <f t="shared" si="5"/>
        <v>0</v>
      </c>
    </row>
    <row r="195" spans="1:9" x14ac:dyDescent="0.2">
      <c r="A195" s="573" t="str">
        <f>FIXED('Balance N'!A195,0,1)</f>
        <v>0</v>
      </c>
      <c r="B195" s="572">
        <f>+'Balance N'!B195</f>
        <v>0</v>
      </c>
      <c r="C195" s="679" t="e">
        <f>ROUND('Balance N'!#REF!,2)</f>
        <v>#REF!</v>
      </c>
      <c r="D195" s="679" t="e">
        <f>ROUND('Balance N'!#REF!,2)</f>
        <v>#REF!</v>
      </c>
      <c r="E195" s="679">
        <f>ROUND('Balance N'!C195,2)</f>
        <v>0</v>
      </c>
      <c r="F195" s="679">
        <f>ROUND('Balance N'!D195,2)</f>
        <v>0</v>
      </c>
      <c r="G195" s="679">
        <f>ROUND('Balance N'!E195,2)</f>
        <v>0</v>
      </c>
      <c r="H195" s="679">
        <f>ROUND('Balance N'!F195,2)</f>
        <v>0</v>
      </c>
      <c r="I195" s="2" t="str">
        <f t="shared" ref="I195:I258" si="6">MID(A195,1,1)</f>
        <v>0</v>
      </c>
    </row>
    <row r="196" spans="1:9" x14ac:dyDescent="0.2">
      <c r="A196" s="573" t="str">
        <f>FIXED('Balance N'!A196,0,1)</f>
        <v>0</v>
      </c>
      <c r="B196" s="572">
        <f>+'Balance N'!B196</f>
        <v>0</v>
      </c>
      <c r="C196" s="679" t="e">
        <f>ROUND('Balance N'!#REF!,2)</f>
        <v>#REF!</v>
      </c>
      <c r="D196" s="679" t="e">
        <f>ROUND('Balance N'!#REF!,2)</f>
        <v>#REF!</v>
      </c>
      <c r="E196" s="679">
        <f>ROUND('Balance N'!C196,2)</f>
        <v>0</v>
      </c>
      <c r="F196" s="679">
        <f>ROUND('Balance N'!D196,2)</f>
        <v>0</v>
      </c>
      <c r="G196" s="679">
        <f>ROUND('Balance N'!E196,2)</f>
        <v>0</v>
      </c>
      <c r="H196" s="679">
        <f>ROUND('Balance N'!F196,2)</f>
        <v>0</v>
      </c>
      <c r="I196" s="2" t="str">
        <f t="shared" si="6"/>
        <v>0</v>
      </c>
    </row>
    <row r="197" spans="1:9" x14ac:dyDescent="0.2">
      <c r="A197" s="573" t="str">
        <f>FIXED('Balance N'!A197,0,1)</f>
        <v>0</v>
      </c>
      <c r="B197" s="572">
        <f>+'Balance N'!B197</f>
        <v>0</v>
      </c>
      <c r="C197" s="679" t="e">
        <f>ROUND('Balance N'!#REF!,2)</f>
        <v>#REF!</v>
      </c>
      <c r="D197" s="679" t="e">
        <f>ROUND('Balance N'!#REF!,2)</f>
        <v>#REF!</v>
      </c>
      <c r="E197" s="679">
        <f>ROUND('Balance N'!C197,2)</f>
        <v>0</v>
      </c>
      <c r="F197" s="679">
        <f>ROUND('Balance N'!D197,2)</f>
        <v>0</v>
      </c>
      <c r="G197" s="679">
        <f>ROUND('Balance N'!E197,2)</f>
        <v>0</v>
      </c>
      <c r="H197" s="679">
        <f>ROUND('Balance N'!F197,2)</f>
        <v>0</v>
      </c>
      <c r="I197" s="2" t="str">
        <f t="shared" si="6"/>
        <v>0</v>
      </c>
    </row>
    <row r="198" spans="1:9" x14ac:dyDescent="0.2">
      <c r="A198" s="573" t="str">
        <f>FIXED('Balance N'!A198,0,1)</f>
        <v>0</v>
      </c>
      <c r="B198" s="572">
        <f>+'Balance N'!B198</f>
        <v>0</v>
      </c>
      <c r="C198" s="679" t="e">
        <f>ROUND('Balance N'!#REF!,2)</f>
        <v>#REF!</v>
      </c>
      <c r="D198" s="679" t="e">
        <f>ROUND('Balance N'!#REF!,2)</f>
        <v>#REF!</v>
      </c>
      <c r="E198" s="679">
        <f>ROUND('Balance N'!C198,2)</f>
        <v>0</v>
      </c>
      <c r="F198" s="679">
        <f>ROUND('Balance N'!D198,2)</f>
        <v>0</v>
      </c>
      <c r="G198" s="679">
        <f>ROUND('Balance N'!E198,2)</f>
        <v>0</v>
      </c>
      <c r="H198" s="679">
        <f>ROUND('Balance N'!F198,2)</f>
        <v>0</v>
      </c>
      <c r="I198" s="2" t="str">
        <f t="shared" si="6"/>
        <v>0</v>
      </c>
    </row>
    <row r="199" spans="1:9" x14ac:dyDescent="0.2">
      <c r="A199" s="573" t="str">
        <f>FIXED('Balance N'!A199,0,1)</f>
        <v>0</v>
      </c>
      <c r="B199" s="572">
        <f>+'Balance N'!B199</f>
        <v>0</v>
      </c>
      <c r="C199" s="679" t="e">
        <f>ROUND('Balance N'!#REF!,2)</f>
        <v>#REF!</v>
      </c>
      <c r="D199" s="679" t="e">
        <f>ROUND('Balance N'!#REF!,2)</f>
        <v>#REF!</v>
      </c>
      <c r="E199" s="679">
        <f>ROUND('Balance N'!C199,2)</f>
        <v>0</v>
      </c>
      <c r="F199" s="679">
        <f>ROUND('Balance N'!D199,2)</f>
        <v>0</v>
      </c>
      <c r="G199" s="679">
        <f>ROUND('Balance N'!E199,2)</f>
        <v>0</v>
      </c>
      <c r="H199" s="679">
        <f>ROUND('Balance N'!F199,2)</f>
        <v>0</v>
      </c>
      <c r="I199" s="2" t="str">
        <f t="shared" si="6"/>
        <v>0</v>
      </c>
    </row>
    <row r="200" spans="1:9" x14ac:dyDescent="0.2">
      <c r="A200" s="573" t="str">
        <f>FIXED('Balance N'!A200,0,1)</f>
        <v>0</v>
      </c>
      <c r="B200" s="572">
        <f>+'Balance N'!B200</f>
        <v>0</v>
      </c>
      <c r="C200" s="679" t="e">
        <f>ROUND('Balance N'!#REF!,2)</f>
        <v>#REF!</v>
      </c>
      <c r="D200" s="679" t="e">
        <f>ROUND('Balance N'!#REF!,2)</f>
        <v>#REF!</v>
      </c>
      <c r="E200" s="679">
        <f>ROUND('Balance N'!C200,2)</f>
        <v>0</v>
      </c>
      <c r="F200" s="679">
        <f>ROUND('Balance N'!D200,2)</f>
        <v>0</v>
      </c>
      <c r="G200" s="679">
        <f>ROUND('Balance N'!E200,2)</f>
        <v>0</v>
      </c>
      <c r="H200" s="679">
        <f>ROUND('Balance N'!F200,2)</f>
        <v>0</v>
      </c>
      <c r="I200" s="2" t="str">
        <f t="shared" si="6"/>
        <v>0</v>
      </c>
    </row>
    <row r="201" spans="1:9" x14ac:dyDescent="0.2">
      <c r="A201" s="573" t="str">
        <f>FIXED('Balance N'!A201,0,1)</f>
        <v>0</v>
      </c>
      <c r="B201" s="572">
        <f>+'Balance N'!B201</f>
        <v>0</v>
      </c>
      <c r="C201" s="679" t="e">
        <f>ROUND('Balance N'!#REF!,2)</f>
        <v>#REF!</v>
      </c>
      <c r="D201" s="679" t="e">
        <f>ROUND('Balance N'!#REF!,2)</f>
        <v>#REF!</v>
      </c>
      <c r="E201" s="679">
        <f>ROUND('Balance N'!C201,2)</f>
        <v>0</v>
      </c>
      <c r="F201" s="679">
        <f>ROUND('Balance N'!D201,2)</f>
        <v>0</v>
      </c>
      <c r="G201" s="679">
        <f>ROUND('Balance N'!E201,2)</f>
        <v>0</v>
      </c>
      <c r="H201" s="679">
        <f>ROUND('Balance N'!F201,2)</f>
        <v>0</v>
      </c>
      <c r="I201" s="2" t="str">
        <f t="shared" si="6"/>
        <v>0</v>
      </c>
    </row>
    <row r="202" spans="1:9" x14ac:dyDescent="0.2">
      <c r="A202" s="573" t="str">
        <f>FIXED('Balance N'!A202,0,1)</f>
        <v>0</v>
      </c>
      <c r="B202" s="572">
        <f>+'Balance N'!B202</f>
        <v>0</v>
      </c>
      <c r="C202" s="679" t="e">
        <f>ROUND('Balance N'!#REF!,2)</f>
        <v>#REF!</v>
      </c>
      <c r="D202" s="679" t="e">
        <f>ROUND('Balance N'!#REF!,2)</f>
        <v>#REF!</v>
      </c>
      <c r="E202" s="679">
        <f>ROUND('Balance N'!C202,2)</f>
        <v>0</v>
      </c>
      <c r="F202" s="679">
        <f>ROUND('Balance N'!D202,2)</f>
        <v>0</v>
      </c>
      <c r="G202" s="679">
        <f>ROUND('Balance N'!E202,2)</f>
        <v>0</v>
      </c>
      <c r="H202" s="679">
        <f>ROUND('Balance N'!F202,2)</f>
        <v>0</v>
      </c>
      <c r="I202" s="2" t="str">
        <f t="shared" si="6"/>
        <v>0</v>
      </c>
    </row>
    <row r="203" spans="1:9" x14ac:dyDescent="0.2">
      <c r="A203" s="573" t="str">
        <f>FIXED('Balance N'!A203,0,1)</f>
        <v>0</v>
      </c>
      <c r="B203" s="572">
        <f>+'Balance N'!B203</f>
        <v>0</v>
      </c>
      <c r="C203" s="679" t="e">
        <f>ROUND('Balance N'!#REF!,2)</f>
        <v>#REF!</v>
      </c>
      <c r="D203" s="679" t="e">
        <f>ROUND('Balance N'!#REF!,2)</f>
        <v>#REF!</v>
      </c>
      <c r="E203" s="679">
        <f>ROUND('Balance N'!C203,2)</f>
        <v>0</v>
      </c>
      <c r="F203" s="679">
        <f>ROUND('Balance N'!D203,2)</f>
        <v>0</v>
      </c>
      <c r="G203" s="679">
        <f>ROUND('Balance N'!E203,2)</f>
        <v>0</v>
      </c>
      <c r="H203" s="679">
        <f>ROUND('Balance N'!F203,2)</f>
        <v>0</v>
      </c>
      <c r="I203" s="2" t="str">
        <f t="shared" si="6"/>
        <v>0</v>
      </c>
    </row>
    <row r="204" spans="1:9" x14ac:dyDescent="0.2">
      <c r="A204" s="573" t="str">
        <f>FIXED('Balance N'!A204,0,1)</f>
        <v>0</v>
      </c>
      <c r="B204" s="572">
        <f>+'Balance N'!B204</f>
        <v>0</v>
      </c>
      <c r="C204" s="679" t="e">
        <f>ROUND('Balance N'!#REF!,2)</f>
        <v>#REF!</v>
      </c>
      <c r="D204" s="679" t="e">
        <f>ROUND('Balance N'!#REF!,2)</f>
        <v>#REF!</v>
      </c>
      <c r="E204" s="679">
        <f>ROUND('Balance N'!C204,2)</f>
        <v>0</v>
      </c>
      <c r="F204" s="679">
        <f>ROUND('Balance N'!D204,2)</f>
        <v>0</v>
      </c>
      <c r="G204" s="679">
        <f>ROUND('Balance N'!E204,2)</f>
        <v>0</v>
      </c>
      <c r="H204" s="679">
        <f>ROUND('Balance N'!F204,2)</f>
        <v>0</v>
      </c>
      <c r="I204" s="2" t="str">
        <f t="shared" si="6"/>
        <v>0</v>
      </c>
    </row>
    <row r="205" spans="1:9" x14ac:dyDescent="0.2">
      <c r="A205" s="573" t="str">
        <f>FIXED('Balance N'!A205,0,1)</f>
        <v>0</v>
      </c>
      <c r="B205" s="572">
        <f>+'Balance N'!B205</f>
        <v>0</v>
      </c>
      <c r="C205" s="679" t="e">
        <f>ROUND('Balance N'!#REF!,2)</f>
        <v>#REF!</v>
      </c>
      <c r="D205" s="679" t="e">
        <f>ROUND('Balance N'!#REF!,2)</f>
        <v>#REF!</v>
      </c>
      <c r="E205" s="679">
        <f>ROUND('Balance N'!C205,2)</f>
        <v>0</v>
      </c>
      <c r="F205" s="679">
        <f>ROUND('Balance N'!D205,2)</f>
        <v>0</v>
      </c>
      <c r="G205" s="679">
        <f>ROUND('Balance N'!E205,2)</f>
        <v>0</v>
      </c>
      <c r="H205" s="679">
        <f>ROUND('Balance N'!F205,2)</f>
        <v>0</v>
      </c>
      <c r="I205" s="2" t="str">
        <f t="shared" si="6"/>
        <v>0</v>
      </c>
    </row>
    <row r="206" spans="1:9" x14ac:dyDescent="0.2">
      <c r="A206" s="573" t="str">
        <f>FIXED('Balance N'!A206,0,1)</f>
        <v>0</v>
      </c>
      <c r="B206" s="572">
        <f>+'Balance N'!B206</f>
        <v>0</v>
      </c>
      <c r="C206" s="679" t="e">
        <f>ROUND('Balance N'!#REF!,2)</f>
        <v>#REF!</v>
      </c>
      <c r="D206" s="679" t="e">
        <f>ROUND('Balance N'!#REF!,2)</f>
        <v>#REF!</v>
      </c>
      <c r="E206" s="679">
        <f>ROUND('Balance N'!C206,2)</f>
        <v>0</v>
      </c>
      <c r="F206" s="679">
        <f>ROUND('Balance N'!D206,2)</f>
        <v>0</v>
      </c>
      <c r="G206" s="679">
        <f>ROUND('Balance N'!E206,2)</f>
        <v>0</v>
      </c>
      <c r="H206" s="679">
        <f>ROUND('Balance N'!F206,2)</f>
        <v>0</v>
      </c>
      <c r="I206" s="2" t="str">
        <f t="shared" si="6"/>
        <v>0</v>
      </c>
    </row>
    <row r="207" spans="1:9" x14ac:dyDescent="0.2">
      <c r="A207" s="573" t="str">
        <f>FIXED('Balance N'!A207,0,1)</f>
        <v>0</v>
      </c>
      <c r="B207" s="572">
        <f>+'Balance N'!B207</f>
        <v>0</v>
      </c>
      <c r="C207" s="679" t="e">
        <f>ROUND('Balance N'!#REF!,2)</f>
        <v>#REF!</v>
      </c>
      <c r="D207" s="679" t="e">
        <f>ROUND('Balance N'!#REF!,2)</f>
        <v>#REF!</v>
      </c>
      <c r="E207" s="679">
        <f>ROUND('Balance N'!C207,2)</f>
        <v>0</v>
      </c>
      <c r="F207" s="679">
        <f>ROUND('Balance N'!D207,2)</f>
        <v>0</v>
      </c>
      <c r="G207" s="679">
        <f>ROUND('Balance N'!E207,2)</f>
        <v>0</v>
      </c>
      <c r="H207" s="679">
        <f>ROUND('Balance N'!F207,2)</f>
        <v>0</v>
      </c>
      <c r="I207" s="2" t="str">
        <f t="shared" si="6"/>
        <v>0</v>
      </c>
    </row>
    <row r="208" spans="1:9" x14ac:dyDescent="0.2">
      <c r="A208" s="573" t="str">
        <f>FIXED('Balance N'!A208,0,1)</f>
        <v>0</v>
      </c>
      <c r="B208" s="572">
        <f>+'Balance N'!B208</f>
        <v>0</v>
      </c>
      <c r="C208" s="679" t="e">
        <f>ROUND('Balance N'!#REF!,2)</f>
        <v>#REF!</v>
      </c>
      <c r="D208" s="679" t="e">
        <f>ROUND('Balance N'!#REF!,2)</f>
        <v>#REF!</v>
      </c>
      <c r="E208" s="679">
        <f>ROUND('Balance N'!C208,2)</f>
        <v>0</v>
      </c>
      <c r="F208" s="679">
        <f>ROUND('Balance N'!D208,2)</f>
        <v>0</v>
      </c>
      <c r="G208" s="679">
        <f>ROUND('Balance N'!E208,2)</f>
        <v>0</v>
      </c>
      <c r="H208" s="679">
        <f>ROUND('Balance N'!F208,2)</f>
        <v>0</v>
      </c>
      <c r="I208" s="2" t="str">
        <f t="shared" si="6"/>
        <v>0</v>
      </c>
    </row>
    <row r="209" spans="1:9" x14ac:dyDescent="0.2">
      <c r="A209" s="573" t="str">
        <f>FIXED('Balance N'!A209,0,1)</f>
        <v>0</v>
      </c>
      <c r="B209" s="572">
        <f>+'Balance N'!B209</f>
        <v>0</v>
      </c>
      <c r="C209" s="679" t="e">
        <f>ROUND('Balance N'!#REF!,2)</f>
        <v>#REF!</v>
      </c>
      <c r="D209" s="679" t="e">
        <f>ROUND('Balance N'!#REF!,2)</f>
        <v>#REF!</v>
      </c>
      <c r="E209" s="679">
        <f>ROUND('Balance N'!C209,2)</f>
        <v>0</v>
      </c>
      <c r="F209" s="679">
        <f>ROUND('Balance N'!D209,2)</f>
        <v>0</v>
      </c>
      <c r="G209" s="679">
        <f>ROUND('Balance N'!E209,2)</f>
        <v>0</v>
      </c>
      <c r="H209" s="679">
        <f>ROUND('Balance N'!F209,2)</f>
        <v>0</v>
      </c>
      <c r="I209" s="2" t="str">
        <f t="shared" si="6"/>
        <v>0</v>
      </c>
    </row>
    <row r="210" spans="1:9" x14ac:dyDescent="0.2">
      <c r="A210" s="573" t="str">
        <f>FIXED('Balance N'!A210,0,1)</f>
        <v>0</v>
      </c>
      <c r="B210" s="572">
        <f>+'Balance N'!B210</f>
        <v>0</v>
      </c>
      <c r="C210" s="679" t="e">
        <f>ROUND('Balance N'!#REF!,2)</f>
        <v>#REF!</v>
      </c>
      <c r="D210" s="679" t="e">
        <f>ROUND('Balance N'!#REF!,2)</f>
        <v>#REF!</v>
      </c>
      <c r="E210" s="679">
        <f>ROUND('Balance N'!C210,2)</f>
        <v>0</v>
      </c>
      <c r="F210" s="679">
        <f>ROUND('Balance N'!D210,2)</f>
        <v>0</v>
      </c>
      <c r="G210" s="679">
        <f>ROUND('Balance N'!E210,2)</f>
        <v>0</v>
      </c>
      <c r="H210" s="679">
        <f>ROUND('Balance N'!F210,2)</f>
        <v>0</v>
      </c>
      <c r="I210" s="2" t="str">
        <f t="shared" si="6"/>
        <v>0</v>
      </c>
    </row>
    <row r="211" spans="1:9" x14ac:dyDescent="0.2">
      <c r="A211" s="573" t="str">
        <f>FIXED('Balance N'!A211,0,1)</f>
        <v>0</v>
      </c>
      <c r="B211" s="572">
        <f>+'Balance N'!B211</f>
        <v>0</v>
      </c>
      <c r="C211" s="679" t="e">
        <f>ROUND('Balance N'!#REF!,2)</f>
        <v>#REF!</v>
      </c>
      <c r="D211" s="679" t="e">
        <f>ROUND('Balance N'!#REF!,2)</f>
        <v>#REF!</v>
      </c>
      <c r="E211" s="679">
        <f>ROUND('Balance N'!C211,2)</f>
        <v>0</v>
      </c>
      <c r="F211" s="679">
        <f>ROUND('Balance N'!D211,2)</f>
        <v>0</v>
      </c>
      <c r="G211" s="679">
        <f>ROUND('Balance N'!E211,2)</f>
        <v>0</v>
      </c>
      <c r="H211" s="679">
        <f>ROUND('Balance N'!F211,2)</f>
        <v>0</v>
      </c>
      <c r="I211" s="2" t="str">
        <f t="shared" si="6"/>
        <v>0</v>
      </c>
    </row>
    <row r="212" spans="1:9" x14ac:dyDescent="0.2">
      <c r="A212" s="573" t="str">
        <f>FIXED('Balance N'!A212,0,1)</f>
        <v>0</v>
      </c>
      <c r="B212" s="572">
        <f>+'Balance N'!B212</f>
        <v>0</v>
      </c>
      <c r="C212" s="679" t="e">
        <f>ROUND('Balance N'!#REF!,2)</f>
        <v>#REF!</v>
      </c>
      <c r="D212" s="679" t="e">
        <f>ROUND('Balance N'!#REF!,2)</f>
        <v>#REF!</v>
      </c>
      <c r="E212" s="679">
        <f>ROUND('Balance N'!C212,2)</f>
        <v>0</v>
      </c>
      <c r="F212" s="679">
        <f>ROUND('Balance N'!D212,2)</f>
        <v>0</v>
      </c>
      <c r="G212" s="679">
        <f>ROUND('Balance N'!E212,2)</f>
        <v>0</v>
      </c>
      <c r="H212" s="679">
        <f>ROUND('Balance N'!F212,2)</f>
        <v>0</v>
      </c>
      <c r="I212" s="2" t="str">
        <f t="shared" si="6"/>
        <v>0</v>
      </c>
    </row>
    <row r="213" spans="1:9" x14ac:dyDescent="0.2">
      <c r="A213" s="573" t="str">
        <f>FIXED('Balance N'!A213,0,1)</f>
        <v>0</v>
      </c>
      <c r="B213" s="572">
        <f>+'Balance N'!B213</f>
        <v>0</v>
      </c>
      <c r="C213" s="679" t="e">
        <f>ROUND('Balance N'!#REF!,2)</f>
        <v>#REF!</v>
      </c>
      <c r="D213" s="679" t="e">
        <f>ROUND('Balance N'!#REF!,2)</f>
        <v>#REF!</v>
      </c>
      <c r="E213" s="679">
        <f>ROUND('Balance N'!C213,2)</f>
        <v>0</v>
      </c>
      <c r="F213" s="679">
        <f>ROUND('Balance N'!D213,2)</f>
        <v>0</v>
      </c>
      <c r="G213" s="679">
        <f>ROUND('Balance N'!E213,2)</f>
        <v>0</v>
      </c>
      <c r="H213" s="679">
        <f>ROUND('Balance N'!F213,2)</f>
        <v>0</v>
      </c>
      <c r="I213" s="2" t="str">
        <f t="shared" si="6"/>
        <v>0</v>
      </c>
    </row>
    <row r="214" spans="1:9" x14ac:dyDescent="0.2">
      <c r="A214" s="573" t="str">
        <f>FIXED('Balance N'!A214,0,1)</f>
        <v>0</v>
      </c>
      <c r="B214" s="572">
        <f>+'Balance N'!B214</f>
        <v>0</v>
      </c>
      <c r="C214" s="679" t="e">
        <f>ROUND('Balance N'!#REF!,2)</f>
        <v>#REF!</v>
      </c>
      <c r="D214" s="679" t="e">
        <f>ROUND('Balance N'!#REF!,2)</f>
        <v>#REF!</v>
      </c>
      <c r="E214" s="679">
        <f>ROUND('Balance N'!C214,2)</f>
        <v>0</v>
      </c>
      <c r="F214" s="679">
        <f>ROUND('Balance N'!D214,2)</f>
        <v>0</v>
      </c>
      <c r="G214" s="679">
        <f>ROUND('Balance N'!E214,2)</f>
        <v>0</v>
      </c>
      <c r="H214" s="679">
        <f>ROUND('Balance N'!F214,2)</f>
        <v>0</v>
      </c>
      <c r="I214" s="2" t="str">
        <f t="shared" si="6"/>
        <v>0</v>
      </c>
    </row>
    <row r="215" spans="1:9" x14ac:dyDescent="0.2">
      <c r="A215" s="573" t="str">
        <f>FIXED('Balance N'!A215,0,1)</f>
        <v>0</v>
      </c>
      <c r="B215" s="572">
        <f>+'Balance N'!B215</f>
        <v>0</v>
      </c>
      <c r="C215" s="679" t="e">
        <f>ROUND('Balance N'!#REF!,2)</f>
        <v>#REF!</v>
      </c>
      <c r="D215" s="679" t="e">
        <f>ROUND('Balance N'!#REF!,2)</f>
        <v>#REF!</v>
      </c>
      <c r="E215" s="679">
        <f>ROUND('Balance N'!C215,2)</f>
        <v>0</v>
      </c>
      <c r="F215" s="679">
        <f>ROUND('Balance N'!D215,2)</f>
        <v>0</v>
      </c>
      <c r="G215" s="679">
        <f>ROUND('Balance N'!E215,2)</f>
        <v>0</v>
      </c>
      <c r="H215" s="679">
        <f>ROUND('Balance N'!F215,2)</f>
        <v>0</v>
      </c>
      <c r="I215" s="2" t="str">
        <f t="shared" si="6"/>
        <v>0</v>
      </c>
    </row>
    <row r="216" spans="1:9" x14ac:dyDescent="0.2">
      <c r="A216" s="573" t="str">
        <f>FIXED('Balance N'!A216,0,1)</f>
        <v>0</v>
      </c>
      <c r="B216" s="572">
        <f>+'Balance N'!B216</f>
        <v>0</v>
      </c>
      <c r="C216" s="679" t="e">
        <f>ROUND('Balance N'!#REF!,2)</f>
        <v>#REF!</v>
      </c>
      <c r="D216" s="679" t="e">
        <f>ROUND('Balance N'!#REF!,2)</f>
        <v>#REF!</v>
      </c>
      <c r="E216" s="679">
        <f>ROUND('Balance N'!C216,2)</f>
        <v>0</v>
      </c>
      <c r="F216" s="679">
        <f>ROUND('Balance N'!D216,2)</f>
        <v>0</v>
      </c>
      <c r="G216" s="679">
        <f>ROUND('Balance N'!E216,2)</f>
        <v>0</v>
      </c>
      <c r="H216" s="679">
        <f>ROUND('Balance N'!F216,2)</f>
        <v>0</v>
      </c>
      <c r="I216" s="2" t="str">
        <f t="shared" si="6"/>
        <v>0</v>
      </c>
    </row>
    <row r="217" spans="1:9" x14ac:dyDescent="0.2">
      <c r="A217" s="573" t="str">
        <f>FIXED('Balance N'!A217,0,1)</f>
        <v>0</v>
      </c>
      <c r="B217" s="572">
        <f>+'Balance N'!B217</f>
        <v>0</v>
      </c>
      <c r="C217" s="679" t="e">
        <f>ROUND('Balance N'!#REF!,2)</f>
        <v>#REF!</v>
      </c>
      <c r="D217" s="679" t="e">
        <f>ROUND('Balance N'!#REF!,2)</f>
        <v>#REF!</v>
      </c>
      <c r="E217" s="679">
        <f>ROUND('Balance N'!C217,2)</f>
        <v>0</v>
      </c>
      <c r="F217" s="679">
        <f>ROUND('Balance N'!D217,2)</f>
        <v>0</v>
      </c>
      <c r="G217" s="679">
        <f>ROUND('Balance N'!E217,2)</f>
        <v>0</v>
      </c>
      <c r="H217" s="679">
        <f>ROUND('Balance N'!F217,2)</f>
        <v>0</v>
      </c>
      <c r="I217" s="2" t="str">
        <f t="shared" si="6"/>
        <v>0</v>
      </c>
    </row>
    <row r="218" spans="1:9" x14ac:dyDescent="0.2">
      <c r="A218" s="573" t="str">
        <f>FIXED('Balance N'!A218,0,1)</f>
        <v>0</v>
      </c>
      <c r="B218" s="572">
        <f>+'Balance N'!B218</f>
        <v>0</v>
      </c>
      <c r="C218" s="679" t="e">
        <f>ROUND('Balance N'!#REF!,2)</f>
        <v>#REF!</v>
      </c>
      <c r="D218" s="679" t="e">
        <f>ROUND('Balance N'!#REF!,2)</f>
        <v>#REF!</v>
      </c>
      <c r="E218" s="679">
        <f>ROUND('Balance N'!C218,2)</f>
        <v>0</v>
      </c>
      <c r="F218" s="679">
        <f>ROUND('Balance N'!D218,2)</f>
        <v>0</v>
      </c>
      <c r="G218" s="679">
        <f>ROUND('Balance N'!E218,2)</f>
        <v>0</v>
      </c>
      <c r="H218" s="679">
        <f>ROUND('Balance N'!F218,2)</f>
        <v>0</v>
      </c>
      <c r="I218" s="2" t="str">
        <f t="shared" si="6"/>
        <v>0</v>
      </c>
    </row>
    <row r="219" spans="1:9" x14ac:dyDescent="0.2">
      <c r="A219" s="573" t="str">
        <f>FIXED('Balance N'!A219,0,1)</f>
        <v>0</v>
      </c>
      <c r="B219" s="572">
        <f>+'Balance N'!B219</f>
        <v>0</v>
      </c>
      <c r="C219" s="679" t="e">
        <f>ROUND('Balance N'!#REF!,2)</f>
        <v>#REF!</v>
      </c>
      <c r="D219" s="679" t="e">
        <f>ROUND('Balance N'!#REF!,2)</f>
        <v>#REF!</v>
      </c>
      <c r="E219" s="679">
        <f>ROUND('Balance N'!C219,2)</f>
        <v>0</v>
      </c>
      <c r="F219" s="679">
        <f>ROUND('Balance N'!D219,2)</f>
        <v>0</v>
      </c>
      <c r="G219" s="679">
        <f>ROUND('Balance N'!E219,2)</f>
        <v>0</v>
      </c>
      <c r="H219" s="679">
        <f>ROUND('Balance N'!F219,2)</f>
        <v>0</v>
      </c>
      <c r="I219" s="2" t="str">
        <f t="shared" si="6"/>
        <v>0</v>
      </c>
    </row>
    <row r="220" spans="1:9" x14ac:dyDescent="0.2">
      <c r="A220" s="573" t="str">
        <f>FIXED('Balance N'!A220,0,1)</f>
        <v>0</v>
      </c>
      <c r="B220" s="572">
        <f>+'Balance N'!B220</f>
        <v>0</v>
      </c>
      <c r="C220" s="679" t="e">
        <f>ROUND('Balance N'!#REF!,2)</f>
        <v>#REF!</v>
      </c>
      <c r="D220" s="679" t="e">
        <f>ROUND('Balance N'!#REF!,2)</f>
        <v>#REF!</v>
      </c>
      <c r="E220" s="679">
        <f>ROUND('Balance N'!C220,2)</f>
        <v>0</v>
      </c>
      <c r="F220" s="679">
        <f>ROUND('Balance N'!D220,2)</f>
        <v>0</v>
      </c>
      <c r="G220" s="679">
        <f>ROUND('Balance N'!E220,2)</f>
        <v>0</v>
      </c>
      <c r="H220" s="679">
        <f>ROUND('Balance N'!F220,2)</f>
        <v>0</v>
      </c>
      <c r="I220" s="2" t="str">
        <f t="shared" si="6"/>
        <v>0</v>
      </c>
    </row>
    <row r="221" spans="1:9" x14ac:dyDescent="0.2">
      <c r="A221" s="573" t="str">
        <f>FIXED('Balance N'!A221,0,1)</f>
        <v>0</v>
      </c>
      <c r="B221" s="572">
        <f>+'Balance N'!B221</f>
        <v>0</v>
      </c>
      <c r="C221" s="679" t="e">
        <f>ROUND('Balance N'!#REF!,2)</f>
        <v>#REF!</v>
      </c>
      <c r="D221" s="679" t="e">
        <f>ROUND('Balance N'!#REF!,2)</f>
        <v>#REF!</v>
      </c>
      <c r="E221" s="679">
        <f>ROUND('Balance N'!C221,2)</f>
        <v>0</v>
      </c>
      <c r="F221" s="679">
        <f>ROUND('Balance N'!D221,2)</f>
        <v>0</v>
      </c>
      <c r="G221" s="679">
        <f>ROUND('Balance N'!E221,2)</f>
        <v>0</v>
      </c>
      <c r="H221" s="679">
        <f>ROUND('Balance N'!F221,2)</f>
        <v>0</v>
      </c>
      <c r="I221" s="2" t="str">
        <f t="shared" si="6"/>
        <v>0</v>
      </c>
    </row>
    <row r="222" spans="1:9" x14ac:dyDescent="0.2">
      <c r="A222" s="573" t="str">
        <f>FIXED('Balance N'!A222,0,1)</f>
        <v>0</v>
      </c>
      <c r="B222" s="572">
        <f>+'Balance N'!B222</f>
        <v>0</v>
      </c>
      <c r="C222" s="679" t="e">
        <f>ROUND('Balance N'!#REF!,2)</f>
        <v>#REF!</v>
      </c>
      <c r="D222" s="679" t="e">
        <f>ROUND('Balance N'!#REF!,2)</f>
        <v>#REF!</v>
      </c>
      <c r="E222" s="679">
        <f>ROUND('Balance N'!C222,2)</f>
        <v>0</v>
      </c>
      <c r="F222" s="679">
        <f>ROUND('Balance N'!D222,2)</f>
        <v>0</v>
      </c>
      <c r="G222" s="679">
        <f>ROUND('Balance N'!E222,2)</f>
        <v>0</v>
      </c>
      <c r="H222" s="679">
        <f>ROUND('Balance N'!F222,2)</f>
        <v>0</v>
      </c>
      <c r="I222" s="2" t="str">
        <f t="shared" si="6"/>
        <v>0</v>
      </c>
    </row>
    <row r="223" spans="1:9" x14ac:dyDescent="0.2">
      <c r="A223" s="573" t="str">
        <f>FIXED('Balance N'!A223,0,1)</f>
        <v>0</v>
      </c>
      <c r="B223" s="572">
        <f>+'Balance N'!B223</f>
        <v>0</v>
      </c>
      <c r="C223" s="679" t="e">
        <f>ROUND('Balance N'!#REF!,2)</f>
        <v>#REF!</v>
      </c>
      <c r="D223" s="679" t="e">
        <f>ROUND('Balance N'!#REF!,2)</f>
        <v>#REF!</v>
      </c>
      <c r="E223" s="679">
        <f>ROUND('Balance N'!C223,2)</f>
        <v>0</v>
      </c>
      <c r="F223" s="679">
        <f>ROUND('Balance N'!D223,2)</f>
        <v>0</v>
      </c>
      <c r="G223" s="679">
        <f>ROUND('Balance N'!E223,2)</f>
        <v>0</v>
      </c>
      <c r="H223" s="679">
        <f>ROUND('Balance N'!F223,2)</f>
        <v>0</v>
      </c>
      <c r="I223" s="2" t="str">
        <f t="shared" si="6"/>
        <v>0</v>
      </c>
    </row>
    <row r="224" spans="1:9" x14ac:dyDescent="0.2">
      <c r="A224" s="573" t="str">
        <f>FIXED('Balance N'!A224,0,1)</f>
        <v>0</v>
      </c>
      <c r="B224" s="572">
        <f>+'Balance N'!B224</f>
        <v>0</v>
      </c>
      <c r="C224" s="679" t="e">
        <f>ROUND('Balance N'!#REF!,2)</f>
        <v>#REF!</v>
      </c>
      <c r="D224" s="679" t="e">
        <f>ROUND('Balance N'!#REF!,2)</f>
        <v>#REF!</v>
      </c>
      <c r="E224" s="679">
        <f>ROUND('Balance N'!C224,2)</f>
        <v>0</v>
      </c>
      <c r="F224" s="679">
        <f>ROUND('Balance N'!D224,2)</f>
        <v>0</v>
      </c>
      <c r="G224" s="679">
        <f>ROUND('Balance N'!E224,2)</f>
        <v>0</v>
      </c>
      <c r="H224" s="679">
        <f>ROUND('Balance N'!F224,2)</f>
        <v>0</v>
      </c>
      <c r="I224" s="2" t="str">
        <f t="shared" si="6"/>
        <v>0</v>
      </c>
    </row>
    <row r="225" spans="1:9" x14ac:dyDescent="0.2">
      <c r="A225" s="573" t="str">
        <f>FIXED('Balance N'!A225,0,1)</f>
        <v>0</v>
      </c>
      <c r="B225" s="572">
        <f>+'Balance N'!B225</f>
        <v>0</v>
      </c>
      <c r="C225" s="679" t="e">
        <f>ROUND('Balance N'!#REF!,2)</f>
        <v>#REF!</v>
      </c>
      <c r="D225" s="679" t="e">
        <f>ROUND('Balance N'!#REF!,2)</f>
        <v>#REF!</v>
      </c>
      <c r="E225" s="679">
        <f>ROUND('Balance N'!C225,2)</f>
        <v>0</v>
      </c>
      <c r="F225" s="679">
        <f>ROUND('Balance N'!D225,2)</f>
        <v>0</v>
      </c>
      <c r="G225" s="679">
        <f>ROUND('Balance N'!E225,2)</f>
        <v>0</v>
      </c>
      <c r="H225" s="679">
        <f>ROUND('Balance N'!F225,2)</f>
        <v>0</v>
      </c>
      <c r="I225" s="2" t="str">
        <f t="shared" si="6"/>
        <v>0</v>
      </c>
    </row>
    <row r="226" spans="1:9" x14ac:dyDescent="0.2">
      <c r="A226" s="573" t="str">
        <f>FIXED('Balance N'!A226,0,1)</f>
        <v>0</v>
      </c>
      <c r="B226" s="572">
        <f>+'Balance N'!B226</f>
        <v>0</v>
      </c>
      <c r="C226" s="679" t="e">
        <f>ROUND('Balance N'!#REF!,2)</f>
        <v>#REF!</v>
      </c>
      <c r="D226" s="679" t="e">
        <f>ROUND('Balance N'!#REF!,2)</f>
        <v>#REF!</v>
      </c>
      <c r="E226" s="679">
        <f>ROUND('Balance N'!C226,2)</f>
        <v>0</v>
      </c>
      <c r="F226" s="679">
        <f>ROUND('Balance N'!D226,2)</f>
        <v>0</v>
      </c>
      <c r="G226" s="679">
        <f>ROUND('Balance N'!E226,2)</f>
        <v>0</v>
      </c>
      <c r="H226" s="679">
        <f>ROUND('Balance N'!F226,2)</f>
        <v>0</v>
      </c>
      <c r="I226" s="2" t="str">
        <f t="shared" si="6"/>
        <v>0</v>
      </c>
    </row>
    <row r="227" spans="1:9" x14ac:dyDescent="0.2">
      <c r="A227" s="573" t="str">
        <f>FIXED('Balance N'!A227,0,1)</f>
        <v>0</v>
      </c>
      <c r="B227" s="572">
        <f>+'Balance N'!B227</f>
        <v>0</v>
      </c>
      <c r="C227" s="679" t="e">
        <f>ROUND('Balance N'!#REF!,2)</f>
        <v>#REF!</v>
      </c>
      <c r="D227" s="679" t="e">
        <f>ROUND('Balance N'!#REF!,2)</f>
        <v>#REF!</v>
      </c>
      <c r="E227" s="679">
        <f>ROUND('Balance N'!C227,2)</f>
        <v>0</v>
      </c>
      <c r="F227" s="679">
        <f>ROUND('Balance N'!D227,2)</f>
        <v>0</v>
      </c>
      <c r="G227" s="679">
        <f>ROUND('Balance N'!E227,2)</f>
        <v>0</v>
      </c>
      <c r="H227" s="679">
        <f>ROUND('Balance N'!F227,2)</f>
        <v>0</v>
      </c>
      <c r="I227" s="2" t="str">
        <f t="shared" si="6"/>
        <v>0</v>
      </c>
    </row>
    <row r="228" spans="1:9" x14ac:dyDescent="0.2">
      <c r="A228" s="573" t="str">
        <f>FIXED('Balance N'!A228,0,1)</f>
        <v>0</v>
      </c>
      <c r="B228" s="572">
        <f>+'Balance N'!B228</f>
        <v>0</v>
      </c>
      <c r="C228" s="679" t="e">
        <f>ROUND('Balance N'!#REF!,2)</f>
        <v>#REF!</v>
      </c>
      <c r="D228" s="679" t="e">
        <f>ROUND('Balance N'!#REF!,2)</f>
        <v>#REF!</v>
      </c>
      <c r="E228" s="679">
        <f>ROUND('Balance N'!C228,2)</f>
        <v>0</v>
      </c>
      <c r="F228" s="679">
        <f>ROUND('Balance N'!D228,2)</f>
        <v>0</v>
      </c>
      <c r="G228" s="679">
        <f>ROUND('Balance N'!E228,2)</f>
        <v>0</v>
      </c>
      <c r="H228" s="679">
        <f>ROUND('Balance N'!F228,2)</f>
        <v>0</v>
      </c>
      <c r="I228" s="2" t="str">
        <f t="shared" si="6"/>
        <v>0</v>
      </c>
    </row>
    <row r="229" spans="1:9" x14ac:dyDescent="0.2">
      <c r="A229" s="573" t="str">
        <f>FIXED('Balance N'!A229,0,1)</f>
        <v>0</v>
      </c>
      <c r="B229" s="572">
        <f>+'Balance N'!B229</f>
        <v>0</v>
      </c>
      <c r="C229" s="679" t="e">
        <f>ROUND('Balance N'!#REF!,2)</f>
        <v>#REF!</v>
      </c>
      <c r="D229" s="679" t="e">
        <f>ROUND('Balance N'!#REF!,2)</f>
        <v>#REF!</v>
      </c>
      <c r="E229" s="679">
        <f>ROUND('Balance N'!C229,2)</f>
        <v>0</v>
      </c>
      <c r="F229" s="679">
        <f>ROUND('Balance N'!D229,2)</f>
        <v>0</v>
      </c>
      <c r="G229" s="679">
        <f>ROUND('Balance N'!E229,2)</f>
        <v>0</v>
      </c>
      <c r="H229" s="679">
        <f>ROUND('Balance N'!F229,2)</f>
        <v>0</v>
      </c>
      <c r="I229" s="2" t="str">
        <f t="shared" si="6"/>
        <v>0</v>
      </c>
    </row>
    <row r="230" spans="1:9" x14ac:dyDescent="0.2">
      <c r="A230" s="573" t="str">
        <f>FIXED('Balance N'!A230,0,1)</f>
        <v>0</v>
      </c>
      <c r="B230" s="572">
        <f>+'Balance N'!B230</f>
        <v>0</v>
      </c>
      <c r="C230" s="679" t="e">
        <f>ROUND('Balance N'!#REF!,2)</f>
        <v>#REF!</v>
      </c>
      <c r="D230" s="679" t="e">
        <f>ROUND('Balance N'!#REF!,2)</f>
        <v>#REF!</v>
      </c>
      <c r="E230" s="679">
        <f>ROUND('Balance N'!C230,2)</f>
        <v>0</v>
      </c>
      <c r="F230" s="679">
        <f>ROUND('Balance N'!D230,2)</f>
        <v>0</v>
      </c>
      <c r="G230" s="679">
        <f>ROUND('Balance N'!E230,2)</f>
        <v>0</v>
      </c>
      <c r="H230" s="679">
        <f>ROUND('Balance N'!F230,2)</f>
        <v>0</v>
      </c>
      <c r="I230" s="2" t="str">
        <f t="shared" si="6"/>
        <v>0</v>
      </c>
    </row>
    <row r="231" spans="1:9" x14ac:dyDescent="0.2">
      <c r="A231" s="573" t="str">
        <f>FIXED('Balance N'!A231,0,1)</f>
        <v>0</v>
      </c>
      <c r="B231" s="572">
        <f>+'Balance N'!B231</f>
        <v>0</v>
      </c>
      <c r="C231" s="679" t="e">
        <f>ROUND('Balance N'!#REF!,2)</f>
        <v>#REF!</v>
      </c>
      <c r="D231" s="679" t="e">
        <f>ROUND('Balance N'!#REF!,2)</f>
        <v>#REF!</v>
      </c>
      <c r="E231" s="679">
        <f>ROUND('Balance N'!C231,2)</f>
        <v>0</v>
      </c>
      <c r="F231" s="679">
        <f>ROUND('Balance N'!D231,2)</f>
        <v>0</v>
      </c>
      <c r="G231" s="679">
        <f>ROUND('Balance N'!E231,2)</f>
        <v>0</v>
      </c>
      <c r="H231" s="679">
        <f>ROUND('Balance N'!F231,2)</f>
        <v>0</v>
      </c>
      <c r="I231" s="2" t="str">
        <f t="shared" si="6"/>
        <v>0</v>
      </c>
    </row>
    <row r="232" spans="1:9" x14ac:dyDescent="0.2">
      <c r="A232" s="573" t="str">
        <f>FIXED('Balance N'!A232,0,1)</f>
        <v>0</v>
      </c>
      <c r="B232" s="572">
        <f>+'Balance N'!B232</f>
        <v>0</v>
      </c>
      <c r="C232" s="679" t="e">
        <f>ROUND('Balance N'!#REF!,2)</f>
        <v>#REF!</v>
      </c>
      <c r="D232" s="679" t="e">
        <f>ROUND('Balance N'!#REF!,2)</f>
        <v>#REF!</v>
      </c>
      <c r="E232" s="679">
        <f>ROUND('Balance N'!C232,2)</f>
        <v>0</v>
      </c>
      <c r="F232" s="679">
        <f>ROUND('Balance N'!D232,2)</f>
        <v>0</v>
      </c>
      <c r="G232" s="679">
        <f>ROUND('Balance N'!E232,2)</f>
        <v>0</v>
      </c>
      <c r="H232" s="679">
        <f>ROUND('Balance N'!F232,2)</f>
        <v>0</v>
      </c>
      <c r="I232" s="2" t="str">
        <f t="shared" si="6"/>
        <v>0</v>
      </c>
    </row>
    <row r="233" spans="1:9" x14ac:dyDescent="0.2">
      <c r="A233" s="573" t="str">
        <f>FIXED('Balance N'!A233,0,1)</f>
        <v>0</v>
      </c>
      <c r="B233" s="572">
        <f>+'Balance N'!B233</f>
        <v>0</v>
      </c>
      <c r="C233" s="679" t="e">
        <f>ROUND('Balance N'!#REF!,2)</f>
        <v>#REF!</v>
      </c>
      <c r="D233" s="679" t="e">
        <f>ROUND('Balance N'!#REF!,2)</f>
        <v>#REF!</v>
      </c>
      <c r="E233" s="679">
        <f>ROUND('Balance N'!C233,2)</f>
        <v>0</v>
      </c>
      <c r="F233" s="679">
        <f>ROUND('Balance N'!D233,2)</f>
        <v>0</v>
      </c>
      <c r="G233" s="679">
        <f>ROUND('Balance N'!E233,2)</f>
        <v>0</v>
      </c>
      <c r="H233" s="679">
        <f>ROUND('Balance N'!F233,2)</f>
        <v>0</v>
      </c>
      <c r="I233" s="2" t="str">
        <f t="shared" si="6"/>
        <v>0</v>
      </c>
    </row>
    <row r="234" spans="1:9" x14ac:dyDescent="0.2">
      <c r="A234" s="573" t="str">
        <f>FIXED('Balance N'!A234,0,1)</f>
        <v>0</v>
      </c>
      <c r="B234" s="572">
        <f>+'Balance N'!B234</f>
        <v>0</v>
      </c>
      <c r="C234" s="679" t="e">
        <f>ROUND('Balance N'!#REF!,2)</f>
        <v>#REF!</v>
      </c>
      <c r="D234" s="679" t="e">
        <f>ROUND('Balance N'!#REF!,2)</f>
        <v>#REF!</v>
      </c>
      <c r="E234" s="679">
        <f>ROUND('Balance N'!C234,2)</f>
        <v>0</v>
      </c>
      <c r="F234" s="679">
        <f>ROUND('Balance N'!D234,2)</f>
        <v>0</v>
      </c>
      <c r="G234" s="679">
        <f>ROUND('Balance N'!E234,2)</f>
        <v>0</v>
      </c>
      <c r="H234" s="679">
        <f>ROUND('Balance N'!F234,2)</f>
        <v>0</v>
      </c>
      <c r="I234" s="2" t="str">
        <f t="shared" si="6"/>
        <v>0</v>
      </c>
    </row>
    <row r="235" spans="1:9" x14ac:dyDescent="0.2">
      <c r="A235" s="573" t="str">
        <f>FIXED('Balance N'!A235,0,1)</f>
        <v>0</v>
      </c>
      <c r="B235" s="572">
        <f>+'Balance N'!B235</f>
        <v>0</v>
      </c>
      <c r="C235" s="679" t="e">
        <f>ROUND('Balance N'!#REF!,2)</f>
        <v>#REF!</v>
      </c>
      <c r="D235" s="679" t="e">
        <f>ROUND('Balance N'!#REF!,2)</f>
        <v>#REF!</v>
      </c>
      <c r="E235" s="679">
        <f>ROUND('Balance N'!C235,2)</f>
        <v>0</v>
      </c>
      <c r="F235" s="679">
        <f>ROUND('Balance N'!D235,2)</f>
        <v>0</v>
      </c>
      <c r="G235" s="679">
        <f>ROUND('Balance N'!E235,2)</f>
        <v>0</v>
      </c>
      <c r="H235" s="679">
        <f>ROUND('Balance N'!F235,2)</f>
        <v>0</v>
      </c>
      <c r="I235" s="2" t="str">
        <f t="shared" si="6"/>
        <v>0</v>
      </c>
    </row>
    <row r="236" spans="1:9" x14ac:dyDescent="0.2">
      <c r="A236" s="573" t="str">
        <f>FIXED('Balance N'!A236,0,1)</f>
        <v>0</v>
      </c>
      <c r="B236" s="572">
        <f>+'Balance N'!B236</f>
        <v>0</v>
      </c>
      <c r="C236" s="679" t="e">
        <f>ROUND('Balance N'!#REF!,2)</f>
        <v>#REF!</v>
      </c>
      <c r="D236" s="679" t="e">
        <f>ROUND('Balance N'!#REF!,2)</f>
        <v>#REF!</v>
      </c>
      <c r="E236" s="679">
        <f>ROUND('Balance N'!C236,2)</f>
        <v>0</v>
      </c>
      <c r="F236" s="679">
        <f>ROUND('Balance N'!D236,2)</f>
        <v>0</v>
      </c>
      <c r="G236" s="679">
        <f>ROUND('Balance N'!E236,2)</f>
        <v>0</v>
      </c>
      <c r="H236" s="679">
        <f>ROUND('Balance N'!F236,2)</f>
        <v>0</v>
      </c>
      <c r="I236" s="2" t="str">
        <f t="shared" si="6"/>
        <v>0</v>
      </c>
    </row>
    <row r="237" spans="1:9" x14ac:dyDescent="0.2">
      <c r="A237" s="573" t="str">
        <f>FIXED('Balance N'!A237,0,1)</f>
        <v>0</v>
      </c>
      <c r="B237" s="572">
        <f>+'Balance N'!B237</f>
        <v>0</v>
      </c>
      <c r="C237" s="679" t="e">
        <f>ROUND('Balance N'!#REF!,2)</f>
        <v>#REF!</v>
      </c>
      <c r="D237" s="679" t="e">
        <f>ROUND('Balance N'!#REF!,2)</f>
        <v>#REF!</v>
      </c>
      <c r="E237" s="679">
        <f>ROUND('Balance N'!C237,2)</f>
        <v>0</v>
      </c>
      <c r="F237" s="679">
        <f>ROUND('Balance N'!D237,2)</f>
        <v>0</v>
      </c>
      <c r="G237" s="679">
        <f>ROUND('Balance N'!E237,2)</f>
        <v>0</v>
      </c>
      <c r="H237" s="679">
        <f>ROUND('Balance N'!F237,2)</f>
        <v>0</v>
      </c>
      <c r="I237" s="2" t="str">
        <f t="shared" si="6"/>
        <v>0</v>
      </c>
    </row>
    <row r="238" spans="1:9" x14ac:dyDescent="0.2">
      <c r="A238" s="573" t="str">
        <f>FIXED('Balance N'!A238,0,1)</f>
        <v>0</v>
      </c>
      <c r="B238" s="572">
        <f>+'Balance N'!B238</f>
        <v>0</v>
      </c>
      <c r="C238" s="679" t="e">
        <f>ROUND('Balance N'!#REF!,2)</f>
        <v>#REF!</v>
      </c>
      <c r="D238" s="679" t="e">
        <f>ROUND('Balance N'!#REF!,2)</f>
        <v>#REF!</v>
      </c>
      <c r="E238" s="679">
        <f>ROUND('Balance N'!C238,2)</f>
        <v>0</v>
      </c>
      <c r="F238" s="679">
        <f>ROUND('Balance N'!D238,2)</f>
        <v>0</v>
      </c>
      <c r="G238" s="679">
        <f>ROUND('Balance N'!E238,2)</f>
        <v>0</v>
      </c>
      <c r="H238" s="679">
        <f>ROUND('Balance N'!F238,2)</f>
        <v>0</v>
      </c>
      <c r="I238" s="2" t="str">
        <f t="shared" si="6"/>
        <v>0</v>
      </c>
    </row>
    <row r="239" spans="1:9" x14ac:dyDescent="0.2">
      <c r="A239" s="573" t="str">
        <f>FIXED('Balance N'!A239,0,1)</f>
        <v>0</v>
      </c>
      <c r="B239" s="572">
        <f>+'Balance N'!B239</f>
        <v>0</v>
      </c>
      <c r="C239" s="679" t="e">
        <f>ROUND('Balance N'!#REF!,2)</f>
        <v>#REF!</v>
      </c>
      <c r="D239" s="679" t="e">
        <f>ROUND('Balance N'!#REF!,2)</f>
        <v>#REF!</v>
      </c>
      <c r="E239" s="679">
        <f>ROUND('Balance N'!C239,2)</f>
        <v>0</v>
      </c>
      <c r="F239" s="679">
        <f>ROUND('Balance N'!D239,2)</f>
        <v>0</v>
      </c>
      <c r="G239" s="679">
        <f>ROUND('Balance N'!E239,2)</f>
        <v>0</v>
      </c>
      <c r="H239" s="679">
        <f>ROUND('Balance N'!F239,2)</f>
        <v>0</v>
      </c>
      <c r="I239" s="2" t="str">
        <f t="shared" si="6"/>
        <v>0</v>
      </c>
    </row>
    <row r="240" spans="1:9" x14ac:dyDescent="0.2">
      <c r="A240" s="573" t="str">
        <f>FIXED('Balance N'!A240,0,1)</f>
        <v>0</v>
      </c>
      <c r="B240" s="572">
        <f>+'Balance N'!B240</f>
        <v>0</v>
      </c>
      <c r="C240" s="679" t="e">
        <f>ROUND('Balance N'!#REF!,2)</f>
        <v>#REF!</v>
      </c>
      <c r="D240" s="679" t="e">
        <f>ROUND('Balance N'!#REF!,2)</f>
        <v>#REF!</v>
      </c>
      <c r="E240" s="679">
        <f>ROUND('Balance N'!C240,2)</f>
        <v>0</v>
      </c>
      <c r="F240" s="679">
        <f>ROUND('Balance N'!D240,2)</f>
        <v>0</v>
      </c>
      <c r="G240" s="679">
        <f>ROUND('Balance N'!E240,2)</f>
        <v>0</v>
      </c>
      <c r="H240" s="679">
        <f>ROUND('Balance N'!F240,2)</f>
        <v>0</v>
      </c>
      <c r="I240" s="2" t="str">
        <f t="shared" si="6"/>
        <v>0</v>
      </c>
    </row>
    <row r="241" spans="1:9" x14ac:dyDescent="0.2">
      <c r="A241" s="573" t="str">
        <f>FIXED('Balance N'!A241,0,1)</f>
        <v>0</v>
      </c>
      <c r="B241" s="572">
        <f>+'Balance N'!B241</f>
        <v>0</v>
      </c>
      <c r="C241" s="679" t="e">
        <f>ROUND('Balance N'!#REF!,2)</f>
        <v>#REF!</v>
      </c>
      <c r="D241" s="679" t="e">
        <f>ROUND('Balance N'!#REF!,2)</f>
        <v>#REF!</v>
      </c>
      <c r="E241" s="679">
        <f>ROUND('Balance N'!C241,2)</f>
        <v>0</v>
      </c>
      <c r="F241" s="679">
        <f>ROUND('Balance N'!D241,2)</f>
        <v>0</v>
      </c>
      <c r="G241" s="679">
        <f>ROUND('Balance N'!E241,2)</f>
        <v>0</v>
      </c>
      <c r="H241" s="679">
        <f>ROUND('Balance N'!F241,2)</f>
        <v>0</v>
      </c>
      <c r="I241" s="2" t="str">
        <f t="shared" si="6"/>
        <v>0</v>
      </c>
    </row>
    <row r="242" spans="1:9" x14ac:dyDescent="0.2">
      <c r="A242" s="573" t="str">
        <f>FIXED('Balance N'!A242,0,1)</f>
        <v>0</v>
      </c>
      <c r="B242" s="572">
        <f>+'Balance N'!B242</f>
        <v>0</v>
      </c>
      <c r="C242" s="679" t="e">
        <f>ROUND('Balance N'!#REF!,2)</f>
        <v>#REF!</v>
      </c>
      <c r="D242" s="679" t="e">
        <f>ROUND('Balance N'!#REF!,2)</f>
        <v>#REF!</v>
      </c>
      <c r="E242" s="679">
        <f>ROUND('Balance N'!C242,2)</f>
        <v>0</v>
      </c>
      <c r="F242" s="679">
        <f>ROUND('Balance N'!D242,2)</f>
        <v>0</v>
      </c>
      <c r="G242" s="679">
        <f>ROUND('Balance N'!E242,2)</f>
        <v>0</v>
      </c>
      <c r="H242" s="679">
        <f>ROUND('Balance N'!F242,2)</f>
        <v>0</v>
      </c>
      <c r="I242" s="2" t="str">
        <f t="shared" si="6"/>
        <v>0</v>
      </c>
    </row>
    <row r="243" spans="1:9" x14ac:dyDescent="0.2">
      <c r="A243" s="573" t="str">
        <f>FIXED('Balance N'!A243,0,1)</f>
        <v>0</v>
      </c>
      <c r="B243" s="572">
        <f>+'Balance N'!B243</f>
        <v>0</v>
      </c>
      <c r="C243" s="679" t="e">
        <f>ROUND('Balance N'!#REF!,2)</f>
        <v>#REF!</v>
      </c>
      <c r="D243" s="679" t="e">
        <f>ROUND('Balance N'!#REF!,2)</f>
        <v>#REF!</v>
      </c>
      <c r="E243" s="679">
        <f>ROUND('Balance N'!C243,2)</f>
        <v>0</v>
      </c>
      <c r="F243" s="679">
        <f>ROUND('Balance N'!D243,2)</f>
        <v>0</v>
      </c>
      <c r="G243" s="679">
        <f>ROUND('Balance N'!E243,2)</f>
        <v>0</v>
      </c>
      <c r="H243" s="679">
        <f>ROUND('Balance N'!F243,2)</f>
        <v>0</v>
      </c>
      <c r="I243" s="2" t="str">
        <f t="shared" si="6"/>
        <v>0</v>
      </c>
    </row>
    <row r="244" spans="1:9" x14ac:dyDescent="0.2">
      <c r="A244" s="573" t="str">
        <f>FIXED('Balance N'!A244,0,1)</f>
        <v>0</v>
      </c>
      <c r="B244" s="572">
        <f>+'Balance N'!B244</f>
        <v>0</v>
      </c>
      <c r="C244" s="679" t="e">
        <f>ROUND('Balance N'!#REF!,2)</f>
        <v>#REF!</v>
      </c>
      <c r="D244" s="679" t="e">
        <f>ROUND('Balance N'!#REF!,2)</f>
        <v>#REF!</v>
      </c>
      <c r="E244" s="679">
        <f>ROUND('Balance N'!C244,2)</f>
        <v>0</v>
      </c>
      <c r="F244" s="679">
        <f>ROUND('Balance N'!D244,2)</f>
        <v>0</v>
      </c>
      <c r="G244" s="679">
        <f>ROUND('Balance N'!E244,2)</f>
        <v>0</v>
      </c>
      <c r="H244" s="679">
        <f>ROUND('Balance N'!F244,2)</f>
        <v>0</v>
      </c>
      <c r="I244" s="2" t="str">
        <f t="shared" si="6"/>
        <v>0</v>
      </c>
    </row>
    <row r="245" spans="1:9" x14ac:dyDescent="0.2">
      <c r="A245" s="573" t="str">
        <f>FIXED('Balance N'!A245,0,1)</f>
        <v>0</v>
      </c>
      <c r="B245" s="572">
        <f>+'Balance N'!B245</f>
        <v>0</v>
      </c>
      <c r="C245" s="679" t="e">
        <f>ROUND('Balance N'!#REF!,2)</f>
        <v>#REF!</v>
      </c>
      <c r="D245" s="679" t="e">
        <f>ROUND('Balance N'!#REF!,2)</f>
        <v>#REF!</v>
      </c>
      <c r="E245" s="679">
        <f>ROUND('Balance N'!C245,2)</f>
        <v>0</v>
      </c>
      <c r="F245" s="679">
        <f>ROUND('Balance N'!D245,2)</f>
        <v>0</v>
      </c>
      <c r="G245" s="679">
        <f>ROUND('Balance N'!E245,2)</f>
        <v>0</v>
      </c>
      <c r="H245" s="679">
        <f>ROUND('Balance N'!F245,2)</f>
        <v>0</v>
      </c>
      <c r="I245" s="2" t="str">
        <f t="shared" si="6"/>
        <v>0</v>
      </c>
    </row>
    <row r="246" spans="1:9" x14ac:dyDescent="0.2">
      <c r="A246" s="573" t="str">
        <f>FIXED('Balance N'!A246,0,1)</f>
        <v>0</v>
      </c>
      <c r="B246" s="572">
        <f>+'Balance N'!B246</f>
        <v>0</v>
      </c>
      <c r="C246" s="679" t="e">
        <f>ROUND('Balance N'!#REF!,2)</f>
        <v>#REF!</v>
      </c>
      <c r="D246" s="679" t="e">
        <f>ROUND('Balance N'!#REF!,2)</f>
        <v>#REF!</v>
      </c>
      <c r="E246" s="679">
        <f>ROUND('Balance N'!C246,2)</f>
        <v>0</v>
      </c>
      <c r="F246" s="679">
        <f>ROUND('Balance N'!D246,2)</f>
        <v>0</v>
      </c>
      <c r="G246" s="679">
        <f>ROUND('Balance N'!E246,2)</f>
        <v>0</v>
      </c>
      <c r="H246" s="679">
        <f>ROUND('Balance N'!F246,2)</f>
        <v>0</v>
      </c>
      <c r="I246" s="2" t="str">
        <f t="shared" si="6"/>
        <v>0</v>
      </c>
    </row>
    <row r="247" spans="1:9" x14ac:dyDescent="0.2">
      <c r="A247" s="573" t="str">
        <f>FIXED('Balance N'!A247,0,1)</f>
        <v>0</v>
      </c>
      <c r="B247" s="572">
        <f>+'Balance N'!B247</f>
        <v>0</v>
      </c>
      <c r="C247" s="679" t="e">
        <f>ROUND('Balance N'!#REF!,2)</f>
        <v>#REF!</v>
      </c>
      <c r="D247" s="679" t="e">
        <f>ROUND('Balance N'!#REF!,2)</f>
        <v>#REF!</v>
      </c>
      <c r="E247" s="679">
        <f>ROUND('Balance N'!C247,2)</f>
        <v>0</v>
      </c>
      <c r="F247" s="679">
        <f>ROUND('Balance N'!D247,2)</f>
        <v>0</v>
      </c>
      <c r="G247" s="679">
        <f>ROUND('Balance N'!E247,2)</f>
        <v>0</v>
      </c>
      <c r="H247" s="679">
        <f>ROUND('Balance N'!F247,2)</f>
        <v>0</v>
      </c>
      <c r="I247" s="2" t="str">
        <f t="shared" si="6"/>
        <v>0</v>
      </c>
    </row>
    <row r="248" spans="1:9" x14ac:dyDescent="0.2">
      <c r="A248" s="573" t="str">
        <f>FIXED('Balance N'!A248,0,1)</f>
        <v>0</v>
      </c>
      <c r="B248" s="572">
        <f>+'Balance N'!B248</f>
        <v>0</v>
      </c>
      <c r="C248" s="679" t="e">
        <f>ROUND('Balance N'!#REF!,2)</f>
        <v>#REF!</v>
      </c>
      <c r="D248" s="679" t="e">
        <f>ROUND('Balance N'!#REF!,2)</f>
        <v>#REF!</v>
      </c>
      <c r="E248" s="679">
        <f>ROUND('Balance N'!C248,2)</f>
        <v>0</v>
      </c>
      <c r="F248" s="679">
        <f>ROUND('Balance N'!D248,2)</f>
        <v>0</v>
      </c>
      <c r="G248" s="679">
        <f>ROUND('Balance N'!E248,2)</f>
        <v>0</v>
      </c>
      <c r="H248" s="679">
        <f>ROUND('Balance N'!F248,2)</f>
        <v>0</v>
      </c>
      <c r="I248" s="2" t="str">
        <f t="shared" si="6"/>
        <v>0</v>
      </c>
    </row>
    <row r="249" spans="1:9" x14ac:dyDescent="0.2">
      <c r="A249" s="573" t="str">
        <f>FIXED('Balance N'!A249,0,1)</f>
        <v>0</v>
      </c>
      <c r="B249" s="572">
        <f>+'Balance N'!B249</f>
        <v>0</v>
      </c>
      <c r="C249" s="679" t="e">
        <f>ROUND('Balance N'!#REF!,2)</f>
        <v>#REF!</v>
      </c>
      <c r="D249" s="679" t="e">
        <f>ROUND('Balance N'!#REF!,2)</f>
        <v>#REF!</v>
      </c>
      <c r="E249" s="679">
        <f>ROUND('Balance N'!C249,2)</f>
        <v>0</v>
      </c>
      <c r="F249" s="679">
        <f>ROUND('Balance N'!D249,2)</f>
        <v>0</v>
      </c>
      <c r="G249" s="679">
        <f>ROUND('Balance N'!E249,2)</f>
        <v>0</v>
      </c>
      <c r="H249" s="679">
        <f>ROUND('Balance N'!F249,2)</f>
        <v>0</v>
      </c>
      <c r="I249" s="2" t="str">
        <f t="shared" si="6"/>
        <v>0</v>
      </c>
    </row>
    <row r="250" spans="1:9" x14ac:dyDescent="0.2">
      <c r="A250" s="573" t="str">
        <f>FIXED('Balance N'!A250,0,1)</f>
        <v>0</v>
      </c>
      <c r="B250" s="572">
        <f>+'Balance N'!B250</f>
        <v>0</v>
      </c>
      <c r="C250" s="679" t="e">
        <f>ROUND('Balance N'!#REF!,2)</f>
        <v>#REF!</v>
      </c>
      <c r="D250" s="679" t="e">
        <f>ROUND('Balance N'!#REF!,2)</f>
        <v>#REF!</v>
      </c>
      <c r="E250" s="679">
        <f>ROUND('Balance N'!C250,2)</f>
        <v>0</v>
      </c>
      <c r="F250" s="679">
        <f>ROUND('Balance N'!D250,2)</f>
        <v>0</v>
      </c>
      <c r="G250" s="679">
        <f>ROUND('Balance N'!E250,2)</f>
        <v>0</v>
      </c>
      <c r="H250" s="679">
        <f>ROUND('Balance N'!F250,2)</f>
        <v>0</v>
      </c>
      <c r="I250" s="2" t="str">
        <f t="shared" si="6"/>
        <v>0</v>
      </c>
    </row>
    <row r="251" spans="1:9" x14ac:dyDescent="0.2">
      <c r="A251" s="573" t="str">
        <f>FIXED('Balance N'!A251,0,1)</f>
        <v>0</v>
      </c>
      <c r="B251" s="572">
        <f>+'Balance N'!B251</f>
        <v>0</v>
      </c>
      <c r="C251" s="679" t="e">
        <f>ROUND('Balance N'!#REF!,2)</f>
        <v>#REF!</v>
      </c>
      <c r="D251" s="679" t="e">
        <f>ROUND('Balance N'!#REF!,2)</f>
        <v>#REF!</v>
      </c>
      <c r="E251" s="679">
        <f>ROUND('Balance N'!C251,2)</f>
        <v>0</v>
      </c>
      <c r="F251" s="679">
        <f>ROUND('Balance N'!D251,2)</f>
        <v>0</v>
      </c>
      <c r="G251" s="679">
        <f>ROUND('Balance N'!E251,2)</f>
        <v>0</v>
      </c>
      <c r="H251" s="679">
        <f>ROUND('Balance N'!F251,2)</f>
        <v>0</v>
      </c>
      <c r="I251" s="2" t="str">
        <f t="shared" si="6"/>
        <v>0</v>
      </c>
    </row>
    <row r="252" spans="1:9" x14ac:dyDescent="0.2">
      <c r="A252" s="573" t="str">
        <f>FIXED('Balance N'!A252,0,1)</f>
        <v>0</v>
      </c>
      <c r="B252" s="572">
        <f>+'Balance N'!B252</f>
        <v>0</v>
      </c>
      <c r="C252" s="679" t="e">
        <f>ROUND('Balance N'!#REF!,2)</f>
        <v>#REF!</v>
      </c>
      <c r="D252" s="679" t="e">
        <f>ROUND('Balance N'!#REF!,2)</f>
        <v>#REF!</v>
      </c>
      <c r="E252" s="679">
        <f>ROUND('Balance N'!C252,2)</f>
        <v>0</v>
      </c>
      <c r="F252" s="679">
        <f>ROUND('Balance N'!D252,2)</f>
        <v>0</v>
      </c>
      <c r="G252" s="679">
        <f>ROUND('Balance N'!E252,2)</f>
        <v>0</v>
      </c>
      <c r="H252" s="679">
        <f>ROUND('Balance N'!F252,2)</f>
        <v>0</v>
      </c>
      <c r="I252" s="2" t="str">
        <f t="shared" si="6"/>
        <v>0</v>
      </c>
    </row>
    <row r="253" spans="1:9" x14ac:dyDescent="0.2">
      <c r="A253" s="573" t="str">
        <f>FIXED('Balance N'!A253,0,1)</f>
        <v>0</v>
      </c>
      <c r="B253" s="572">
        <f>+'Balance N'!B253</f>
        <v>0</v>
      </c>
      <c r="C253" s="679" t="e">
        <f>ROUND('Balance N'!#REF!,2)</f>
        <v>#REF!</v>
      </c>
      <c r="D253" s="679" t="e">
        <f>ROUND('Balance N'!#REF!,2)</f>
        <v>#REF!</v>
      </c>
      <c r="E253" s="679">
        <f>ROUND('Balance N'!C253,2)</f>
        <v>0</v>
      </c>
      <c r="F253" s="679">
        <f>ROUND('Balance N'!D253,2)</f>
        <v>0</v>
      </c>
      <c r="G253" s="679">
        <f>ROUND('Balance N'!E253,2)</f>
        <v>0</v>
      </c>
      <c r="H253" s="679">
        <f>ROUND('Balance N'!F253,2)</f>
        <v>0</v>
      </c>
      <c r="I253" s="2" t="str">
        <f t="shared" si="6"/>
        <v>0</v>
      </c>
    </row>
    <row r="254" spans="1:9" x14ac:dyDescent="0.2">
      <c r="A254" s="573" t="str">
        <f>FIXED('Balance N'!A254,0,1)</f>
        <v>0</v>
      </c>
      <c r="B254" s="572">
        <f>+'Balance N'!B254</f>
        <v>0</v>
      </c>
      <c r="C254" s="679" t="e">
        <f>ROUND('Balance N'!#REF!,2)</f>
        <v>#REF!</v>
      </c>
      <c r="D254" s="679" t="e">
        <f>ROUND('Balance N'!#REF!,2)</f>
        <v>#REF!</v>
      </c>
      <c r="E254" s="679">
        <f>ROUND('Balance N'!C254,2)</f>
        <v>0</v>
      </c>
      <c r="F254" s="679">
        <f>ROUND('Balance N'!D254,2)</f>
        <v>0</v>
      </c>
      <c r="G254" s="679">
        <f>ROUND('Balance N'!E254,2)</f>
        <v>0</v>
      </c>
      <c r="H254" s="679">
        <f>ROUND('Balance N'!F254,2)</f>
        <v>0</v>
      </c>
      <c r="I254" s="2" t="str">
        <f t="shared" si="6"/>
        <v>0</v>
      </c>
    </row>
    <row r="255" spans="1:9" x14ac:dyDescent="0.2">
      <c r="A255" s="573" t="str">
        <f>FIXED('Balance N'!A255,0,1)</f>
        <v>0</v>
      </c>
      <c r="B255" s="572">
        <f>+'Balance N'!B255</f>
        <v>0</v>
      </c>
      <c r="C255" s="679" t="e">
        <f>ROUND('Balance N'!#REF!,2)</f>
        <v>#REF!</v>
      </c>
      <c r="D255" s="679" t="e">
        <f>ROUND('Balance N'!#REF!,2)</f>
        <v>#REF!</v>
      </c>
      <c r="E255" s="679">
        <f>ROUND('Balance N'!C255,2)</f>
        <v>0</v>
      </c>
      <c r="F255" s="679">
        <f>ROUND('Balance N'!D255,2)</f>
        <v>0</v>
      </c>
      <c r="G255" s="679">
        <f>ROUND('Balance N'!E255,2)</f>
        <v>0</v>
      </c>
      <c r="H255" s="679">
        <f>ROUND('Balance N'!F255,2)</f>
        <v>0</v>
      </c>
      <c r="I255" s="2" t="str">
        <f t="shared" si="6"/>
        <v>0</v>
      </c>
    </row>
    <row r="256" spans="1:9" x14ac:dyDescent="0.2">
      <c r="A256" s="573" t="str">
        <f>FIXED('Balance N'!A256,0,1)</f>
        <v>0</v>
      </c>
      <c r="B256" s="572">
        <f>+'Balance N'!B256</f>
        <v>0</v>
      </c>
      <c r="C256" s="679" t="e">
        <f>ROUND('Balance N'!#REF!,2)</f>
        <v>#REF!</v>
      </c>
      <c r="D256" s="679" t="e">
        <f>ROUND('Balance N'!#REF!,2)</f>
        <v>#REF!</v>
      </c>
      <c r="E256" s="679">
        <f>ROUND('Balance N'!C256,2)</f>
        <v>0</v>
      </c>
      <c r="F256" s="679">
        <f>ROUND('Balance N'!D256,2)</f>
        <v>0</v>
      </c>
      <c r="G256" s="679">
        <f>ROUND('Balance N'!E256,2)</f>
        <v>0</v>
      </c>
      <c r="H256" s="679">
        <f>ROUND('Balance N'!F256,2)</f>
        <v>0</v>
      </c>
      <c r="I256" s="2" t="str">
        <f t="shared" si="6"/>
        <v>0</v>
      </c>
    </row>
    <row r="257" spans="1:9" x14ac:dyDescent="0.2">
      <c r="A257" s="573" t="str">
        <f>FIXED('Balance N'!A257,0,1)</f>
        <v>0</v>
      </c>
      <c r="B257" s="572">
        <f>+'Balance N'!B257</f>
        <v>0</v>
      </c>
      <c r="C257" s="679" t="e">
        <f>ROUND('Balance N'!#REF!,2)</f>
        <v>#REF!</v>
      </c>
      <c r="D257" s="679" t="e">
        <f>ROUND('Balance N'!#REF!,2)</f>
        <v>#REF!</v>
      </c>
      <c r="E257" s="679">
        <f>ROUND('Balance N'!C257,2)</f>
        <v>0</v>
      </c>
      <c r="F257" s="679">
        <f>ROUND('Balance N'!D257,2)</f>
        <v>0</v>
      </c>
      <c r="G257" s="679">
        <f>ROUND('Balance N'!E257,2)</f>
        <v>0</v>
      </c>
      <c r="H257" s="679">
        <f>ROUND('Balance N'!F257,2)</f>
        <v>0</v>
      </c>
      <c r="I257" s="2" t="str">
        <f t="shared" si="6"/>
        <v>0</v>
      </c>
    </row>
    <row r="258" spans="1:9" x14ac:dyDescent="0.2">
      <c r="A258" s="573" t="str">
        <f>FIXED('Balance N'!A258,0,1)</f>
        <v>0</v>
      </c>
      <c r="B258" s="572">
        <f>+'Balance N'!B258</f>
        <v>0</v>
      </c>
      <c r="C258" s="679" t="e">
        <f>ROUND('Balance N'!#REF!,2)</f>
        <v>#REF!</v>
      </c>
      <c r="D258" s="679" t="e">
        <f>ROUND('Balance N'!#REF!,2)</f>
        <v>#REF!</v>
      </c>
      <c r="E258" s="679">
        <f>ROUND('Balance N'!C258,2)</f>
        <v>0</v>
      </c>
      <c r="F258" s="679">
        <f>ROUND('Balance N'!D258,2)</f>
        <v>0</v>
      </c>
      <c r="G258" s="679">
        <f>ROUND('Balance N'!E258,2)</f>
        <v>0</v>
      </c>
      <c r="H258" s="679">
        <f>ROUND('Balance N'!F258,2)</f>
        <v>0</v>
      </c>
      <c r="I258" s="2" t="str">
        <f t="shared" si="6"/>
        <v>0</v>
      </c>
    </row>
    <row r="259" spans="1:9" x14ac:dyDescent="0.2">
      <c r="A259" s="573" t="str">
        <f>FIXED('Balance N'!A259,0,1)</f>
        <v>0</v>
      </c>
      <c r="B259" s="572">
        <f>+'Balance N'!B259</f>
        <v>0</v>
      </c>
      <c r="C259" s="679" t="e">
        <f>ROUND('Balance N'!#REF!,2)</f>
        <v>#REF!</v>
      </c>
      <c r="D259" s="679" t="e">
        <f>ROUND('Balance N'!#REF!,2)</f>
        <v>#REF!</v>
      </c>
      <c r="E259" s="679">
        <f>ROUND('Balance N'!C259,2)</f>
        <v>0</v>
      </c>
      <c r="F259" s="679">
        <f>ROUND('Balance N'!D259,2)</f>
        <v>0</v>
      </c>
      <c r="G259" s="679">
        <f>ROUND('Balance N'!E259,2)</f>
        <v>0</v>
      </c>
      <c r="H259" s="679">
        <f>ROUND('Balance N'!F259,2)</f>
        <v>0</v>
      </c>
      <c r="I259" s="2" t="str">
        <f t="shared" ref="I259:I321" si="7">MID(A259,1,1)</f>
        <v>0</v>
      </c>
    </row>
    <row r="260" spans="1:9" x14ac:dyDescent="0.2">
      <c r="A260" s="573" t="str">
        <f>FIXED('Balance N'!A260,0,1)</f>
        <v>0</v>
      </c>
      <c r="B260" s="572">
        <f>+'Balance N'!B260</f>
        <v>0</v>
      </c>
      <c r="C260" s="679" t="e">
        <f>ROUND('Balance N'!#REF!,2)</f>
        <v>#REF!</v>
      </c>
      <c r="D260" s="679" t="e">
        <f>ROUND('Balance N'!#REF!,2)</f>
        <v>#REF!</v>
      </c>
      <c r="E260" s="679">
        <f>ROUND('Balance N'!C260,2)</f>
        <v>0</v>
      </c>
      <c r="F260" s="679">
        <f>ROUND('Balance N'!D260,2)</f>
        <v>0</v>
      </c>
      <c r="G260" s="679">
        <f>ROUND('Balance N'!E260,2)</f>
        <v>0</v>
      </c>
      <c r="H260" s="679">
        <f>ROUND('Balance N'!F260,2)</f>
        <v>0</v>
      </c>
      <c r="I260" s="2" t="str">
        <f t="shared" si="7"/>
        <v>0</v>
      </c>
    </row>
    <row r="261" spans="1:9" x14ac:dyDescent="0.2">
      <c r="A261" s="573" t="str">
        <f>FIXED('Balance N'!A261,0,1)</f>
        <v>0</v>
      </c>
      <c r="B261" s="572">
        <f>+'Balance N'!B261</f>
        <v>0</v>
      </c>
      <c r="C261" s="679" t="e">
        <f>ROUND('Balance N'!#REF!,2)</f>
        <v>#REF!</v>
      </c>
      <c r="D261" s="679" t="e">
        <f>ROUND('Balance N'!#REF!,2)</f>
        <v>#REF!</v>
      </c>
      <c r="E261" s="679">
        <f>ROUND('Balance N'!C261,2)</f>
        <v>0</v>
      </c>
      <c r="F261" s="679">
        <f>ROUND('Balance N'!D261,2)</f>
        <v>0</v>
      </c>
      <c r="G261" s="679">
        <f>ROUND('Balance N'!E261,2)</f>
        <v>0</v>
      </c>
      <c r="H261" s="679">
        <f>ROUND('Balance N'!F261,2)</f>
        <v>0</v>
      </c>
      <c r="I261" s="2" t="str">
        <f t="shared" si="7"/>
        <v>0</v>
      </c>
    </row>
    <row r="262" spans="1:9" x14ac:dyDescent="0.2">
      <c r="A262" s="573" t="str">
        <f>FIXED('Balance N'!A262,0,1)</f>
        <v>0</v>
      </c>
      <c r="B262" s="572">
        <f>+'Balance N'!B262</f>
        <v>0</v>
      </c>
      <c r="C262" s="679" t="e">
        <f>ROUND('Balance N'!#REF!,2)</f>
        <v>#REF!</v>
      </c>
      <c r="D262" s="679" t="e">
        <f>ROUND('Balance N'!#REF!,2)</f>
        <v>#REF!</v>
      </c>
      <c r="E262" s="679">
        <f>ROUND('Balance N'!C262,2)</f>
        <v>0</v>
      </c>
      <c r="F262" s="679">
        <f>ROUND('Balance N'!D262,2)</f>
        <v>0</v>
      </c>
      <c r="G262" s="679">
        <f>ROUND('Balance N'!E262,2)</f>
        <v>0</v>
      </c>
      <c r="H262" s="679">
        <f>ROUND('Balance N'!F262,2)</f>
        <v>0</v>
      </c>
      <c r="I262" s="2" t="str">
        <f t="shared" si="7"/>
        <v>0</v>
      </c>
    </row>
    <row r="263" spans="1:9" x14ac:dyDescent="0.2">
      <c r="A263" s="573" t="str">
        <f>FIXED('Balance N'!A263,0,1)</f>
        <v>0</v>
      </c>
      <c r="B263" s="572">
        <f>+'Balance N'!B263</f>
        <v>0</v>
      </c>
      <c r="C263" s="679" t="e">
        <f>ROUND('Balance N'!#REF!,2)</f>
        <v>#REF!</v>
      </c>
      <c r="D263" s="679" t="e">
        <f>ROUND('Balance N'!#REF!,2)</f>
        <v>#REF!</v>
      </c>
      <c r="E263" s="679">
        <f>ROUND('Balance N'!C263,2)</f>
        <v>0</v>
      </c>
      <c r="F263" s="679">
        <f>ROUND('Balance N'!D263,2)</f>
        <v>0</v>
      </c>
      <c r="G263" s="679">
        <f>ROUND('Balance N'!E263,2)</f>
        <v>0</v>
      </c>
      <c r="H263" s="679">
        <f>ROUND('Balance N'!F263,2)</f>
        <v>0</v>
      </c>
      <c r="I263" s="2" t="str">
        <f t="shared" si="7"/>
        <v>0</v>
      </c>
    </row>
    <row r="264" spans="1:9" x14ac:dyDescent="0.2">
      <c r="A264" s="573" t="str">
        <f>FIXED('Balance N'!A264,0,1)</f>
        <v>0</v>
      </c>
      <c r="B264" s="572">
        <f>+'Balance N'!B264</f>
        <v>0</v>
      </c>
      <c r="C264" s="679" t="e">
        <f>ROUND('Balance N'!#REF!,2)</f>
        <v>#REF!</v>
      </c>
      <c r="D264" s="679" t="e">
        <f>ROUND('Balance N'!#REF!,2)</f>
        <v>#REF!</v>
      </c>
      <c r="E264" s="679">
        <f>ROUND('Balance N'!C264,2)</f>
        <v>0</v>
      </c>
      <c r="F264" s="679">
        <f>ROUND('Balance N'!D264,2)</f>
        <v>0</v>
      </c>
      <c r="G264" s="679">
        <f>ROUND('Balance N'!E264,2)</f>
        <v>0</v>
      </c>
      <c r="H264" s="679">
        <f>ROUND('Balance N'!F264,2)</f>
        <v>0</v>
      </c>
      <c r="I264" s="2" t="str">
        <f t="shared" si="7"/>
        <v>0</v>
      </c>
    </row>
    <row r="265" spans="1:9" x14ac:dyDescent="0.2">
      <c r="A265" s="573" t="str">
        <f>FIXED('Balance N'!A265,0,1)</f>
        <v>0</v>
      </c>
      <c r="B265" s="572">
        <f>+'Balance N'!B265</f>
        <v>0</v>
      </c>
      <c r="C265" s="679" t="e">
        <f>ROUND('Balance N'!#REF!,2)</f>
        <v>#REF!</v>
      </c>
      <c r="D265" s="679" t="e">
        <f>ROUND('Balance N'!#REF!,2)</f>
        <v>#REF!</v>
      </c>
      <c r="E265" s="679">
        <f>ROUND('Balance N'!C265,2)</f>
        <v>0</v>
      </c>
      <c r="F265" s="679">
        <f>ROUND('Balance N'!D265,2)</f>
        <v>0</v>
      </c>
      <c r="G265" s="679">
        <f>ROUND('Balance N'!E265,2)</f>
        <v>0</v>
      </c>
      <c r="H265" s="679">
        <f>ROUND('Balance N'!F265,2)</f>
        <v>0</v>
      </c>
      <c r="I265" s="2" t="str">
        <f t="shared" si="7"/>
        <v>0</v>
      </c>
    </row>
    <row r="266" spans="1:9" x14ac:dyDescent="0.2">
      <c r="A266" s="573" t="str">
        <f>FIXED('Balance N'!A266,0,1)</f>
        <v>0</v>
      </c>
      <c r="B266" s="572">
        <f>+'Balance N'!B266</f>
        <v>0</v>
      </c>
      <c r="C266" s="679" t="e">
        <f>ROUND('Balance N'!#REF!,2)</f>
        <v>#REF!</v>
      </c>
      <c r="D266" s="679" t="e">
        <f>ROUND('Balance N'!#REF!,2)</f>
        <v>#REF!</v>
      </c>
      <c r="E266" s="679">
        <f>ROUND('Balance N'!C266,2)</f>
        <v>0</v>
      </c>
      <c r="F266" s="679">
        <f>ROUND('Balance N'!D266,2)</f>
        <v>0</v>
      </c>
      <c r="G266" s="679">
        <f>ROUND('Balance N'!E266,2)</f>
        <v>0</v>
      </c>
      <c r="H266" s="679">
        <f>ROUND('Balance N'!F266,2)</f>
        <v>0</v>
      </c>
      <c r="I266" s="2" t="str">
        <f t="shared" si="7"/>
        <v>0</v>
      </c>
    </row>
    <row r="267" spans="1:9" x14ac:dyDescent="0.2">
      <c r="A267" s="573" t="str">
        <f>FIXED('Balance N'!A267,0,1)</f>
        <v>0</v>
      </c>
      <c r="B267" s="572">
        <f>+'Balance N'!B267</f>
        <v>0</v>
      </c>
      <c r="C267" s="679" t="e">
        <f>ROUND('Balance N'!#REF!,2)</f>
        <v>#REF!</v>
      </c>
      <c r="D267" s="679" t="e">
        <f>ROUND('Balance N'!#REF!,2)</f>
        <v>#REF!</v>
      </c>
      <c r="E267" s="679">
        <f>ROUND('Balance N'!C267,2)</f>
        <v>0</v>
      </c>
      <c r="F267" s="679">
        <f>ROUND('Balance N'!D267,2)</f>
        <v>0</v>
      </c>
      <c r="G267" s="679">
        <f>ROUND('Balance N'!E267,2)</f>
        <v>0</v>
      </c>
      <c r="H267" s="679">
        <f>ROUND('Balance N'!F267,2)</f>
        <v>0</v>
      </c>
      <c r="I267" s="2" t="str">
        <f t="shared" si="7"/>
        <v>0</v>
      </c>
    </row>
    <row r="268" spans="1:9" x14ac:dyDescent="0.2">
      <c r="A268" s="573" t="str">
        <f>FIXED('Balance N'!A268,0,1)</f>
        <v>0</v>
      </c>
      <c r="B268" s="572">
        <f>+'Balance N'!B268</f>
        <v>0</v>
      </c>
      <c r="C268" s="679" t="e">
        <f>ROUND('Balance N'!#REF!,2)</f>
        <v>#REF!</v>
      </c>
      <c r="D268" s="679" t="e">
        <f>ROUND('Balance N'!#REF!,2)</f>
        <v>#REF!</v>
      </c>
      <c r="E268" s="679">
        <f>ROUND('Balance N'!C268,2)</f>
        <v>0</v>
      </c>
      <c r="F268" s="679">
        <f>ROUND('Balance N'!D268,2)</f>
        <v>0</v>
      </c>
      <c r="G268" s="679">
        <f>ROUND('Balance N'!E268,2)</f>
        <v>0</v>
      </c>
      <c r="H268" s="679">
        <f>ROUND('Balance N'!F268,2)</f>
        <v>0</v>
      </c>
      <c r="I268" s="2" t="str">
        <f t="shared" si="7"/>
        <v>0</v>
      </c>
    </row>
    <row r="269" spans="1:9" x14ac:dyDescent="0.2">
      <c r="A269" s="573" t="str">
        <f>FIXED('Balance N'!A269,0,1)</f>
        <v>0</v>
      </c>
      <c r="B269" s="572">
        <f>+'Balance N'!B269</f>
        <v>0</v>
      </c>
      <c r="C269" s="679" t="e">
        <f>ROUND('Balance N'!#REF!,2)</f>
        <v>#REF!</v>
      </c>
      <c r="D269" s="679" t="e">
        <f>ROUND('Balance N'!#REF!,2)</f>
        <v>#REF!</v>
      </c>
      <c r="E269" s="679">
        <f>ROUND('Balance N'!C269,2)</f>
        <v>0</v>
      </c>
      <c r="F269" s="679">
        <f>ROUND('Balance N'!D269,2)</f>
        <v>0</v>
      </c>
      <c r="G269" s="679">
        <f>ROUND('Balance N'!E269,2)</f>
        <v>0</v>
      </c>
      <c r="H269" s="679">
        <f>ROUND('Balance N'!F269,2)</f>
        <v>0</v>
      </c>
      <c r="I269" s="2" t="str">
        <f t="shared" si="7"/>
        <v>0</v>
      </c>
    </row>
    <row r="270" spans="1:9" x14ac:dyDescent="0.2">
      <c r="A270" s="573" t="str">
        <f>FIXED('Balance N'!A270,0,1)</f>
        <v>0</v>
      </c>
      <c r="B270" s="572">
        <f>+'Balance N'!B270</f>
        <v>0</v>
      </c>
      <c r="C270" s="679" t="e">
        <f>ROUND('Balance N'!#REF!,2)</f>
        <v>#REF!</v>
      </c>
      <c r="D270" s="679" t="e">
        <f>ROUND('Balance N'!#REF!,2)</f>
        <v>#REF!</v>
      </c>
      <c r="E270" s="679">
        <f>ROUND('Balance N'!C270,2)</f>
        <v>0</v>
      </c>
      <c r="F270" s="679">
        <f>ROUND('Balance N'!D270,2)</f>
        <v>0</v>
      </c>
      <c r="G270" s="679">
        <f>ROUND('Balance N'!E270,2)</f>
        <v>0</v>
      </c>
      <c r="H270" s="679">
        <f>ROUND('Balance N'!F270,2)</f>
        <v>0</v>
      </c>
      <c r="I270" s="2" t="str">
        <f t="shared" si="7"/>
        <v>0</v>
      </c>
    </row>
    <row r="271" spans="1:9" x14ac:dyDescent="0.2">
      <c r="A271" s="573" t="str">
        <f>FIXED('Balance N'!A271,0,1)</f>
        <v>0</v>
      </c>
      <c r="B271" s="572">
        <f>+'Balance N'!B271</f>
        <v>0</v>
      </c>
      <c r="C271" s="679" t="e">
        <f>ROUND('Balance N'!#REF!,2)</f>
        <v>#REF!</v>
      </c>
      <c r="D271" s="679" t="e">
        <f>ROUND('Balance N'!#REF!,2)</f>
        <v>#REF!</v>
      </c>
      <c r="E271" s="679">
        <f>ROUND('Balance N'!C271,2)</f>
        <v>0</v>
      </c>
      <c r="F271" s="679">
        <f>ROUND('Balance N'!D271,2)</f>
        <v>0</v>
      </c>
      <c r="G271" s="679">
        <f>ROUND('Balance N'!E271,2)</f>
        <v>0</v>
      </c>
      <c r="H271" s="679">
        <f>ROUND('Balance N'!F271,2)</f>
        <v>0</v>
      </c>
      <c r="I271" s="2" t="str">
        <f t="shared" si="7"/>
        <v>0</v>
      </c>
    </row>
    <row r="272" spans="1:9" x14ac:dyDescent="0.2">
      <c r="A272" s="573" t="str">
        <f>FIXED('Balance N'!A272,0,1)</f>
        <v>0</v>
      </c>
      <c r="B272" s="572">
        <f>+'Balance N'!B272</f>
        <v>0</v>
      </c>
      <c r="C272" s="679" t="e">
        <f>ROUND('Balance N'!#REF!,2)</f>
        <v>#REF!</v>
      </c>
      <c r="D272" s="679" t="e">
        <f>ROUND('Balance N'!#REF!,2)</f>
        <v>#REF!</v>
      </c>
      <c r="E272" s="679">
        <f>ROUND('Balance N'!C272,2)</f>
        <v>0</v>
      </c>
      <c r="F272" s="679">
        <f>ROUND('Balance N'!D272,2)</f>
        <v>0</v>
      </c>
      <c r="G272" s="679">
        <f>ROUND('Balance N'!E272,2)</f>
        <v>0</v>
      </c>
      <c r="H272" s="679">
        <f>ROUND('Balance N'!F272,2)</f>
        <v>0</v>
      </c>
      <c r="I272" s="2" t="str">
        <f t="shared" si="7"/>
        <v>0</v>
      </c>
    </row>
    <row r="273" spans="1:9" x14ac:dyDescent="0.2">
      <c r="A273" s="573" t="str">
        <f>FIXED('Balance N'!A273,0,1)</f>
        <v>0</v>
      </c>
      <c r="B273" s="572">
        <f>+'Balance N'!B273</f>
        <v>0</v>
      </c>
      <c r="C273" s="679" t="e">
        <f>ROUND('Balance N'!#REF!,2)</f>
        <v>#REF!</v>
      </c>
      <c r="D273" s="679" t="e">
        <f>ROUND('Balance N'!#REF!,2)</f>
        <v>#REF!</v>
      </c>
      <c r="E273" s="679">
        <f>ROUND('Balance N'!C273,2)</f>
        <v>0</v>
      </c>
      <c r="F273" s="679">
        <f>ROUND('Balance N'!D273,2)</f>
        <v>0</v>
      </c>
      <c r="G273" s="679">
        <f>ROUND('Balance N'!E273,2)</f>
        <v>0</v>
      </c>
      <c r="H273" s="679">
        <f>ROUND('Balance N'!F273,2)</f>
        <v>0</v>
      </c>
      <c r="I273" s="2" t="str">
        <f t="shared" si="7"/>
        <v>0</v>
      </c>
    </row>
    <row r="274" spans="1:9" x14ac:dyDescent="0.2">
      <c r="A274" s="573" t="str">
        <f>FIXED('Balance N'!A274,0,1)</f>
        <v>0</v>
      </c>
      <c r="B274" s="572">
        <f>+'Balance N'!B274</f>
        <v>0</v>
      </c>
      <c r="C274" s="679" t="e">
        <f>ROUND('Balance N'!#REF!,2)</f>
        <v>#REF!</v>
      </c>
      <c r="D274" s="679" t="e">
        <f>ROUND('Balance N'!#REF!,2)</f>
        <v>#REF!</v>
      </c>
      <c r="E274" s="679">
        <f>ROUND('Balance N'!C274,2)</f>
        <v>0</v>
      </c>
      <c r="F274" s="679">
        <f>ROUND('Balance N'!D274,2)</f>
        <v>0</v>
      </c>
      <c r="G274" s="679">
        <f>ROUND('Balance N'!E274,2)</f>
        <v>0</v>
      </c>
      <c r="H274" s="679">
        <f>ROUND('Balance N'!F274,2)</f>
        <v>0</v>
      </c>
      <c r="I274" s="2" t="str">
        <f t="shared" si="7"/>
        <v>0</v>
      </c>
    </row>
    <row r="275" spans="1:9" x14ac:dyDescent="0.2">
      <c r="A275" s="573" t="str">
        <f>FIXED('Balance N'!A275,0,1)</f>
        <v>0</v>
      </c>
      <c r="B275" s="572">
        <f>+'Balance N'!B275</f>
        <v>0</v>
      </c>
      <c r="C275" s="679" t="e">
        <f>ROUND('Balance N'!#REF!,2)</f>
        <v>#REF!</v>
      </c>
      <c r="D275" s="679" t="e">
        <f>ROUND('Balance N'!#REF!,2)</f>
        <v>#REF!</v>
      </c>
      <c r="E275" s="679">
        <f>ROUND('Balance N'!C275,2)</f>
        <v>0</v>
      </c>
      <c r="F275" s="679">
        <f>ROUND('Balance N'!D275,2)</f>
        <v>0</v>
      </c>
      <c r="G275" s="679">
        <f>ROUND('Balance N'!E275,2)</f>
        <v>0</v>
      </c>
      <c r="H275" s="679">
        <f>ROUND('Balance N'!F275,2)</f>
        <v>0</v>
      </c>
      <c r="I275" s="2" t="str">
        <f t="shared" si="7"/>
        <v>0</v>
      </c>
    </row>
    <row r="276" spans="1:9" x14ac:dyDescent="0.2">
      <c r="A276" s="573" t="str">
        <f>FIXED('Balance N'!A276,0,1)</f>
        <v>0</v>
      </c>
      <c r="B276" s="572">
        <f>+'Balance N'!B276</f>
        <v>0</v>
      </c>
      <c r="C276" s="679" t="e">
        <f>ROUND('Balance N'!#REF!,2)</f>
        <v>#REF!</v>
      </c>
      <c r="D276" s="679" t="e">
        <f>ROUND('Balance N'!#REF!,2)</f>
        <v>#REF!</v>
      </c>
      <c r="E276" s="679">
        <f>ROUND('Balance N'!C276,2)</f>
        <v>0</v>
      </c>
      <c r="F276" s="679">
        <f>ROUND('Balance N'!D276,2)</f>
        <v>0</v>
      </c>
      <c r="G276" s="679">
        <f>ROUND('Balance N'!E276,2)</f>
        <v>0</v>
      </c>
      <c r="H276" s="679">
        <f>ROUND('Balance N'!F276,2)</f>
        <v>0</v>
      </c>
      <c r="I276" s="2" t="str">
        <f t="shared" si="7"/>
        <v>0</v>
      </c>
    </row>
    <row r="277" spans="1:9" x14ac:dyDescent="0.2">
      <c r="A277" s="573" t="str">
        <f>FIXED('Balance N'!A277,0,1)</f>
        <v>0</v>
      </c>
      <c r="B277" s="572">
        <f>+'Balance N'!B277</f>
        <v>0</v>
      </c>
      <c r="C277" s="679" t="e">
        <f>ROUND('Balance N'!#REF!,2)</f>
        <v>#REF!</v>
      </c>
      <c r="D277" s="679" t="e">
        <f>ROUND('Balance N'!#REF!,2)</f>
        <v>#REF!</v>
      </c>
      <c r="E277" s="679">
        <f>ROUND('Balance N'!C277,2)</f>
        <v>0</v>
      </c>
      <c r="F277" s="679">
        <f>ROUND('Balance N'!D277,2)</f>
        <v>0</v>
      </c>
      <c r="G277" s="679">
        <f>ROUND('Balance N'!E277,2)</f>
        <v>0</v>
      </c>
      <c r="H277" s="679">
        <f>ROUND('Balance N'!F277,2)</f>
        <v>0</v>
      </c>
      <c r="I277" s="2" t="str">
        <f t="shared" si="7"/>
        <v>0</v>
      </c>
    </row>
    <row r="278" spans="1:9" x14ac:dyDescent="0.2">
      <c r="A278" s="573" t="str">
        <f>FIXED('Balance N'!A278,0,1)</f>
        <v>0</v>
      </c>
      <c r="B278" s="572">
        <f>+'Balance N'!B278</f>
        <v>0</v>
      </c>
      <c r="C278" s="679" t="e">
        <f>ROUND('Balance N'!#REF!,2)</f>
        <v>#REF!</v>
      </c>
      <c r="D278" s="679" t="e">
        <f>ROUND('Balance N'!#REF!,2)</f>
        <v>#REF!</v>
      </c>
      <c r="E278" s="679">
        <f>ROUND('Balance N'!C278,2)</f>
        <v>0</v>
      </c>
      <c r="F278" s="679">
        <f>ROUND('Balance N'!D278,2)</f>
        <v>0</v>
      </c>
      <c r="G278" s="679">
        <f>ROUND('Balance N'!E278,2)</f>
        <v>0</v>
      </c>
      <c r="H278" s="679">
        <f>ROUND('Balance N'!F278,2)</f>
        <v>0</v>
      </c>
      <c r="I278" s="2" t="str">
        <f t="shared" si="7"/>
        <v>0</v>
      </c>
    </row>
    <row r="279" spans="1:9" x14ac:dyDescent="0.2">
      <c r="A279" s="573" t="str">
        <f>FIXED('Balance N'!A279,0,1)</f>
        <v>0</v>
      </c>
      <c r="B279" s="572">
        <f>+'Balance N'!B279</f>
        <v>0</v>
      </c>
      <c r="C279" s="679" t="e">
        <f>ROUND('Balance N'!#REF!,2)</f>
        <v>#REF!</v>
      </c>
      <c r="D279" s="679" t="e">
        <f>ROUND('Balance N'!#REF!,2)</f>
        <v>#REF!</v>
      </c>
      <c r="E279" s="679">
        <f>ROUND('Balance N'!C279,2)</f>
        <v>0</v>
      </c>
      <c r="F279" s="679">
        <f>ROUND('Balance N'!D279,2)</f>
        <v>0</v>
      </c>
      <c r="G279" s="679">
        <f>ROUND('Balance N'!E279,2)</f>
        <v>0</v>
      </c>
      <c r="H279" s="679">
        <f>ROUND('Balance N'!F279,2)</f>
        <v>0</v>
      </c>
      <c r="I279" s="2" t="str">
        <f t="shared" si="7"/>
        <v>0</v>
      </c>
    </row>
    <row r="280" spans="1:9" x14ac:dyDescent="0.2">
      <c r="A280" s="573" t="str">
        <f>FIXED('Balance N'!A280,0,1)</f>
        <v>0</v>
      </c>
      <c r="B280" s="572">
        <f>+'Balance N'!B280</f>
        <v>0</v>
      </c>
      <c r="C280" s="679" t="e">
        <f>ROUND('Balance N'!#REF!,2)</f>
        <v>#REF!</v>
      </c>
      <c r="D280" s="679" t="e">
        <f>ROUND('Balance N'!#REF!,2)</f>
        <v>#REF!</v>
      </c>
      <c r="E280" s="679">
        <f>ROUND('Balance N'!C280,2)</f>
        <v>0</v>
      </c>
      <c r="F280" s="679">
        <f>ROUND('Balance N'!D280,2)</f>
        <v>0</v>
      </c>
      <c r="G280" s="679">
        <f>ROUND('Balance N'!E280,2)</f>
        <v>0</v>
      </c>
      <c r="H280" s="679">
        <f>ROUND('Balance N'!F280,2)</f>
        <v>0</v>
      </c>
      <c r="I280" s="2" t="str">
        <f t="shared" si="7"/>
        <v>0</v>
      </c>
    </row>
    <row r="281" spans="1:9" x14ac:dyDescent="0.2">
      <c r="A281" s="573" t="str">
        <f>FIXED('Balance N'!A281,0,1)</f>
        <v>0</v>
      </c>
      <c r="B281" s="572">
        <f>+'Balance N'!B281</f>
        <v>0</v>
      </c>
      <c r="C281" s="679" t="e">
        <f>ROUND('Balance N'!#REF!,2)</f>
        <v>#REF!</v>
      </c>
      <c r="D281" s="679" t="e">
        <f>ROUND('Balance N'!#REF!,2)</f>
        <v>#REF!</v>
      </c>
      <c r="E281" s="679">
        <f>ROUND('Balance N'!C281,2)</f>
        <v>0</v>
      </c>
      <c r="F281" s="679">
        <f>ROUND('Balance N'!D281,2)</f>
        <v>0</v>
      </c>
      <c r="G281" s="679">
        <f>ROUND('Balance N'!E281,2)</f>
        <v>0</v>
      </c>
      <c r="H281" s="679">
        <f>ROUND('Balance N'!F281,2)</f>
        <v>0</v>
      </c>
      <c r="I281" s="2" t="str">
        <f t="shared" si="7"/>
        <v>0</v>
      </c>
    </row>
    <row r="282" spans="1:9" x14ac:dyDescent="0.2">
      <c r="A282" s="573" t="str">
        <f>FIXED('Balance N'!A282,0,1)</f>
        <v>0</v>
      </c>
      <c r="B282" s="572">
        <f>+'Balance N'!B282</f>
        <v>0</v>
      </c>
      <c r="C282" s="679" t="e">
        <f>ROUND('Balance N'!#REF!,2)</f>
        <v>#REF!</v>
      </c>
      <c r="D282" s="679" t="e">
        <f>ROUND('Balance N'!#REF!,2)</f>
        <v>#REF!</v>
      </c>
      <c r="E282" s="679">
        <f>ROUND('Balance N'!C282,2)</f>
        <v>0</v>
      </c>
      <c r="F282" s="679">
        <f>ROUND('Balance N'!D282,2)</f>
        <v>0</v>
      </c>
      <c r="G282" s="679">
        <f>ROUND('Balance N'!E282,2)</f>
        <v>0</v>
      </c>
      <c r="H282" s="679">
        <f>ROUND('Balance N'!F282,2)</f>
        <v>0</v>
      </c>
      <c r="I282" s="2" t="str">
        <f t="shared" si="7"/>
        <v>0</v>
      </c>
    </row>
    <row r="283" spans="1:9" x14ac:dyDescent="0.2">
      <c r="A283" s="573" t="str">
        <f>FIXED('Balance N'!A283,0,1)</f>
        <v>0</v>
      </c>
      <c r="B283" s="572">
        <f>+'Balance N'!B283</f>
        <v>0</v>
      </c>
      <c r="C283" s="679" t="e">
        <f>ROUND('Balance N'!#REF!,2)</f>
        <v>#REF!</v>
      </c>
      <c r="D283" s="679" t="e">
        <f>ROUND('Balance N'!#REF!,2)</f>
        <v>#REF!</v>
      </c>
      <c r="E283" s="679">
        <f>ROUND('Balance N'!C283,2)</f>
        <v>0</v>
      </c>
      <c r="F283" s="679">
        <f>ROUND('Balance N'!D283,2)</f>
        <v>0</v>
      </c>
      <c r="G283" s="679">
        <f>ROUND('Balance N'!E283,2)</f>
        <v>0</v>
      </c>
      <c r="H283" s="679">
        <f>ROUND('Balance N'!F283,2)</f>
        <v>0</v>
      </c>
      <c r="I283" s="2" t="str">
        <f t="shared" si="7"/>
        <v>0</v>
      </c>
    </row>
    <row r="284" spans="1:9" x14ac:dyDescent="0.2">
      <c r="A284" s="573" t="str">
        <f>FIXED('Balance N'!A284,0,1)</f>
        <v>0</v>
      </c>
      <c r="B284" s="572">
        <f>+'Balance N'!B284</f>
        <v>0</v>
      </c>
      <c r="C284" s="679" t="e">
        <f>ROUND('Balance N'!#REF!,2)</f>
        <v>#REF!</v>
      </c>
      <c r="D284" s="679" t="e">
        <f>ROUND('Balance N'!#REF!,2)</f>
        <v>#REF!</v>
      </c>
      <c r="E284" s="679">
        <f>ROUND('Balance N'!C284,2)</f>
        <v>0</v>
      </c>
      <c r="F284" s="679">
        <f>ROUND('Balance N'!D284,2)</f>
        <v>0</v>
      </c>
      <c r="G284" s="679">
        <f>ROUND('Balance N'!E284,2)</f>
        <v>0</v>
      </c>
      <c r="H284" s="679">
        <f>ROUND('Balance N'!F284,2)</f>
        <v>0</v>
      </c>
      <c r="I284" s="2" t="str">
        <f t="shared" si="7"/>
        <v>0</v>
      </c>
    </row>
    <row r="285" spans="1:9" x14ac:dyDescent="0.2">
      <c r="A285" s="573" t="str">
        <f>FIXED('Balance N'!A285,0,1)</f>
        <v>0</v>
      </c>
      <c r="B285" s="572">
        <f>+'Balance N'!B285</f>
        <v>0</v>
      </c>
      <c r="C285" s="679" t="e">
        <f>ROUND('Balance N'!#REF!,2)</f>
        <v>#REF!</v>
      </c>
      <c r="D285" s="679" t="e">
        <f>ROUND('Balance N'!#REF!,2)</f>
        <v>#REF!</v>
      </c>
      <c r="E285" s="679">
        <f>ROUND('Balance N'!C285,2)</f>
        <v>0</v>
      </c>
      <c r="F285" s="679">
        <f>ROUND('Balance N'!D285,2)</f>
        <v>0</v>
      </c>
      <c r="G285" s="679">
        <f>ROUND('Balance N'!E285,2)</f>
        <v>0</v>
      </c>
      <c r="H285" s="679">
        <f>ROUND('Balance N'!F285,2)</f>
        <v>0</v>
      </c>
      <c r="I285" s="2" t="str">
        <f t="shared" si="7"/>
        <v>0</v>
      </c>
    </row>
    <row r="286" spans="1:9" x14ac:dyDescent="0.2">
      <c r="A286" s="573" t="str">
        <f>FIXED('Balance N'!A286,0,1)</f>
        <v>0</v>
      </c>
      <c r="B286" s="572">
        <f>+'Balance N'!B286</f>
        <v>0</v>
      </c>
      <c r="C286" s="679" t="e">
        <f>ROUND('Balance N'!#REF!,2)</f>
        <v>#REF!</v>
      </c>
      <c r="D286" s="679" t="e">
        <f>ROUND('Balance N'!#REF!,2)</f>
        <v>#REF!</v>
      </c>
      <c r="E286" s="679">
        <f>ROUND('Balance N'!C286,2)</f>
        <v>0</v>
      </c>
      <c r="F286" s="679">
        <f>ROUND('Balance N'!D286,2)</f>
        <v>0</v>
      </c>
      <c r="G286" s="679">
        <f>ROUND('Balance N'!E286,2)</f>
        <v>0</v>
      </c>
      <c r="H286" s="679">
        <f>ROUND('Balance N'!F286,2)</f>
        <v>0</v>
      </c>
      <c r="I286" s="2" t="str">
        <f t="shared" si="7"/>
        <v>0</v>
      </c>
    </row>
    <row r="287" spans="1:9" x14ac:dyDescent="0.2">
      <c r="A287" s="573" t="str">
        <f>FIXED('Balance N'!A287,0,1)</f>
        <v>0</v>
      </c>
      <c r="B287" s="572">
        <f>+'Balance N'!B287</f>
        <v>0</v>
      </c>
      <c r="C287" s="679" t="e">
        <f>ROUND('Balance N'!#REF!,2)</f>
        <v>#REF!</v>
      </c>
      <c r="D287" s="679" t="e">
        <f>ROUND('Balance N'!#REF!,2)</f>
        <v>#REF!</v>
      </c>
      <c r="E287" s="679">
        <f>ROUND('Balance N'!C287,2)</f>
        <v>0</v>
      </c>
      <c r="F287" s="679">
        <f>ROUND('Balance N'!D287,2)</f>
        <v>0</v>
      </c>
      <c r="G287" s="679">
        <f>ROUND('Balance N'!E287,2)</f>
        <v>0</v>
      </c>
      <c r="H287" s="679">
        <f>ROUND('Balance N'!F287,2)</f>
        <v>0</v>
      </c>
      <c r="I287" s="2" t="str">
        <f t="shared" si="7"/>
        <v>0</v>
      </c>
    </row>
    <row r="288" spans="1:9" x14ac:dyDescent="0.2">
      <c r="A288" s="573" t="str">
        <f>FIXED('Balance N'!A288,0,1)</f>
        <v>0</v>
      </c>
      <c r="B288" s="572">
        <f>+'Balance N'!B288</f>
        <v>0</v>
      </c>
      <c r="C288" s="679" t="e">
        <f>ROUND('Balance N'!#REF!,2)</f>
        <v>#REF!</v>
      </c>
      <c r="D288" s="679" t="e">
        <f>ROUND('Balance N'!#REF!,2)</f>
        <v>#REF!</v>
      </c>
      <c r="E288" s="679">
        <f>ROUND('Balance N'!C288,2)</f>
        <v>0</v>
      </c>
      <c r="F288" s="679">
        <f>ROUND('Balance N'!D288,2)</f>
        <v>0</v>
      </c>
      <c r="G288" s="679">
        <f>ROUND('Balance N'!E288,2)</f>
        <v>0</v>
      </c>
      <c r="H288" s="679">
        <f>ROUND('Balance N'!F288,2)</f>
        <v>0</v>
      </c>
      <c r="I288" s="2" t="str">
        <f t="shared" si="7"/>
        <v>0</v>
      </c>
    </row>
    <row r="289" spans="1:9" x14ac:dyDescent="0.2">
      <c r="A289" s="573" t="str">
        <f>FIXED('Balance N'!A289,0,1)</f>
        <v>0</v>
      </c>
      <c r="B289" s="572">
        <f>+'Balance N'!B289</f>
        <v>0</v>
      </c>
      <c r="C289" s="679" t="e">
        <f>ROUND('Balance N'!#REF!,2)</f>
        <v>#REF!</v>
      </c>
      <c r="D289" s="679" t="e">
        <f>ROUND('Balance N'!#REF!,2)</f>
        <v>#REF!</v>
      </c>
      <c r="E289" s="679">
        <f>ROUND('Balance N'!C289,2)</f>
        <v>0</v>
      </c>
      <c r="F289" s="679">
        <f>ROUND('Balance N'!D289,2)</f>
        <v>0</v>
      </c>
      <c r="G289" s="679">
        <f>ROUND('Balance N'!E289,2)</f>
        <v>0</v>
      </c>
      <c r="H289" s="679">
        <f>ROUND('Balance N'!F289,2)</f>
        <v>0</v>
      </c>
      <c r="I289" s="2" t="str">
        <f t="shared" si="7"/>
        <v>0</v>
      </c>
    </row>
    <row r="290" spans="1:9" x14ac:dyDescent="0.2">
      <c r="A290" s="573" t="str">
        <f>FIXED('Balance N'!A290,0,1)</f>
        <v>0</v>
      </c>
      <c r="B290" s="572">
        <f>+'Balance N'!B290</f>
        <v>0</v>
      </c>
      <c r="C290" s="679" t="e">
        <f>ROUND('Balance N'!#REF!,2)</f>
        <v>#REF!</v>
      </c>
      <c r="D290" s="679" t="e">
        <f>ROUND('Balance N'!#REF!,2)</f>
        <v>#REF!</v>
      </c>
      <c r="E290" s="679">
        <f>ROUND('Balance N'!C290,2)</f>
        <v>0</v>
      </c>
      <c r="F290" s="679">
        <f>ROUND('Balance N'!D290,2)</f>
        <v>0</v>
      </c>
      <c r="G290" s="679">
        <f>ROUND('Balance N'!E290,2)</f>
        <v>0</v>
      </c>
      <c r="H290" s="679">
        <f>ROUND('Balance N'!F290,2)</f>
        <v>0</v>
      </c>
      <c r="I290" s="2" t="str">
        <f t="shared" si="7"/>
        <v>0</v>
      </c>
    </row>
    <row r="291" spans="1:9" x14ac:dyDescent="0.2">
      <c r="A291" s="573" t="str">
        <f>FIXED('Balance N'!A291,0,1)</f>
        <v>0</v>
      </c>
      <c r="B291" s="572">
        <f>+'Balance N'!B291</f>
        <v>0</v>
      </c>
      <c r="C291" s="679" t="e">
        <f>ROUND('Balance N'!#REF!,2)</f>
        <v>#REF!</v>
      </c>
      <c r="D291" s="679" t="e">
        <f>ROUND('Balance N'!#REF!,2)</f>
        <v>#REF!</v>
      </c>
      <c r="E291" s="679">
        <f>ROUND('Balance N'!C291,2)</f>
        <v>0</v>
      </c>
      <c r="F291" s="679">
        <f>ROUND('Balance N'!D291,2)</f>
        <v>0</v>
      </c>
      <c r="G291" s="679">
        <f>ROUND('Balance N'!E291,2)</f>
        <v>0</v>
      </c>
      <c r="H291" s="679">
        <f>ROUND('Balance N'!F291,2)</f>
        <v>0</v>
      </c>
      <c r="I291" s="2" t="str">
        <f t="shared" si="7"/>
        <v>0</v>
      </c>
    </row>
    <row r="292" spans="1:9" x14ac:dyDescent="0.2">
      <c r="A292" s="573" t="str">
        <f>FIXED('Balance N'!A292,0,1)</f>
        <v>0</v>
      </c>
      <c r="B292" s="572">
        <f>+'Balance N'!B292</f>
        <v>0</v>
      </c>
      <c r="C292" s="679" t="e">
        <f>ROUND('Balance N'!#REF!,2)</f>
        <v>#REF!</v>
      </c>
      <c r="D292" s="679" t="e">
        <f>ROUND('Balance N'!#REF!,2)</f>
        <v>#REF!</v>
      </c>
      <c r="E292" s="679">
        <f>ROUND('Balance N'!C292,2)</f>
        <v>0</v>
      </c>
      <c r="F292" s="679">
        <f>ROUND('Balance N'!D292,2)</f>
        <v>0</v>
      </c>
      <c r="G292" s="679">
        <f>ROUND('Balance N'!E292,2)</f>
        <v>0</v>
      </c>
      <c r="H292" s="679">
        <f>ROUND('Balance N'!F292,2)</f>
        <v>0</v>
      </c>
      <c r="I292" s="2" t="str">
        <f t="shared" si="7"/>
        <v>0</v>
      </c>
    </row>
    <row r="293" spans="1:9" x14ac:dyDescent="0.2">
      <c r="A293" s="573" t="str">
        <f>FIXED('Balance N'!A293,0,1)</f>
        <v>0</v>
      </c>
      <c r="B293" s="572">
        <f>+'Balance N'!B293</f>
        <v>0</v>
      </c>
      <c r="C293" s="679" t="e">
        <f>ROUND('Balance N'!#REF!,2)</f>
        <v>#REF!</v>
      </c>
      <c r="D293" s="679" t="e">
        <f>ROUND('Balance N'!#REF!,2)</f>
        <v>#REF!</v>
      </c>
      <c r="E293" s="679">
        <f>ROUND('Balance N'!C293,2)</f>
        <v>0</v>
      </c>
      <c r="F293" s="679">
        <f>ROUND('Balance N'!D293,2)</f>
        <v>0</v>
      </c>
      <c r="G293" s="679">
        <f>ROUND('Balance N'!E293,2)</f>
        <v>0</v>
      </c>
      <c r="H293" s="679">
        <f>ROUND('Balance N'!F293,2)</f>
        <v>0</v>
      </c>
      <c r="I293" s="2" t="str">
        <f t="shared" si="7"/>
        <v>0</v>
      </c>
    </row>
    <row r="294" spans="1:9" x14ac:dyDescent="0.2">
      <c r="A294" s="573" t="str">
        <f>FIXED('Balance N'!A294,0,1)</f>
        <v>0</v>
      </c>
      <c r="B294" s="572">
        <f>+'Balance N'!B294</f>
        <v>0</v>
      </c>
      <c r="C294" s="679" t="e">
        <f>ROUND('Balance N'!#REF!,2)</f>
        <v>#REF!</v>
      </c>
      <c r="D294" s="679" t="e">
        <f>ROUND('Balance N'!#REF!,2)</f>
        <v>#REF!</v>
      </c>
      <c r="E294" s="679">
        <f>ROUND('Balance N'!C294,2)</f>
        <v>0</v>
      </c>
      <c r="F294" s="679">
        <f>ROUND('Balance N'!D294,2)</f>
        <v>0</v>
      </c>
      <c r="G294" s="679">
        <f>ROUND('Balance N'!E294,2)</f>
        <v>0</v>
      </c>
      <c r="H294" s="679">
        <f>ROUND('Balance N'!F294,2)</f>
        <v>0</v>
      </c>
      <c r="I294" s="2" t="str">
        <f t="shared" si="7"/>
        <v>0</v>
      </c>
    </row>
    <row r="295" spans="1:9" x14ac:dyDescent="0.2">
      <c r="A295" s="573" t="str">
        <f>FIXED('Balance N'!A295,0,1)</f>
        <v>0</v>
      </c>
      <c r="B295" s="572">
        <f>+'Balance N'!B295</f>
        <v>0</v>
      </c>
      <c r="C295" s="679" t="e">
        <f>ROUND('Balance N'!#REF!,2)</f>
        <v>#REF!</v>
      </c>
      <c r="D295" s="679" t="e">
        <f>ROUND('Balance N'!#REF!,2)</f>
        <v>#REF!</v>
      </c>
      <c r="E295" s="679">
        <f>ROUND('Balance N'!C295,2)</f>
        <v>0</v>
      </c>
      <c r="F295" s="679">
        <f>ROUND('Balance N'!D295,2)</f>
        <v>0</v>
      </c>
      <c r="G295" s="679">
        <f>ROUND('Balance N'!E295,2)</f>
        <v>0</v>
      </c>
      <c r="H295" s="679">
        <f>ROUND('Balance N'!F295,2)</f>
        <v>0</v>
      </c>
      <c r="I295" s="2" t="str">
        <f t="shared" si="7"/>
        <v>0</v>
      </c>
    </row>
    <row r="296" spans="1:9" x14ac:dyDescent="0.2">
      <c r="A296" s="573" t="str">
        <f>FIXED('Balance N'!A296,0,1)</f>
        <v>0</v>
      </c>
      <c r="B296" s="572">
        <f>+'Balance N'!B296</f>
        <v>0</v>
      </c>
      <c r="C296" s="679" t="e">
        <f>ROUND('Balance N'!#REF!,2)</f>
        <v>#REF!</v>
      </c>
      <c r="D296" s="679" t="e">
        <f>ROUND('Balance N'!#REF!,2)</f>
        <v>#REF!</v>
      </c>
      <c r="E296" s="679">
        <f>ROUND('Balance N'!C296,2)</f>
        <v>0</v>
      </c>
      <c r="F296" s="679">
        <f>ROUND('Balance N'!D296,2)</f>
        <v>0</v>
      </c>
      <c r="G296" s="679">
        <f>ROUND('Balance N'!E296,2)</f>
        <v>0</v>
      </c>
      <c r="H296" s="679">
        <f>ROUND('Balance N'!F296,2)</f>
        <v>0</v>
      </c>
      <c r="I296" s="2" t="str">
        <f t="shared" si="7"/>
        <v>0</v>
      </c>
    </row>
    <row r="297" spans="1:9" x14ac:dyDescent="0.2">
      <c r="A297" s="573" t="str">
        <f>FIXED('Balance N'!A297,0,1)</f>
        <v>0</v>
      </c>
      <c r="B297" s="572">
        <f>+'Balance N'!B297</f>
        <v>0</v>
      </c>
      <c r="C297" s="679" t="e">
        <f>ROUND('Balance N'!#REF!,2)</f>
        <v>#REF!</v>
      </c>
      <c r="D297" s="679" t="e">
        <f>ROUND('Balance N'!#REF!,2)</f>
        <v>#REF!</v>
      </c>
      <c r="E297" s="679">
        <f>ROUND('Balance N'!C297,2)</f>
        <v>0</v>
      </c>
      <c r="F297" s="679">
        <f>ROUND('Balance N'!D297,2)</f>
        <v>0</v>
      </c>
      <c r="G297" s="679">
        <f>ROUND('Balance N'!E297,2)</f>
        <v>0</v>
      </c>
      <c r="H297" s="679">
        <f>ROUND('Balance N'!F297,2)</f>
        <v>0</v>
      </c>
      <c r="I297" s="2" t="str">
        <f t="shared" si="7"/>
        <v>0</v>
      </c>
    </row>
    <row r="298" spans="1:9" x14ac:dyDescent="0.2">
      <c r="A298" s="573" t="str">
        <f>FIXED('Balance N'!A298,0,1)</f>
        <v>0</v>
      </c>
      <c r="B298" s="572">
        <f>+'Balance N'!B298</f>
        <v>0</v>
      </c>
      <c r="C298" s="679" t="e">
        <f>ROUND('Balance N'!#REF!,2)</f>
        <v>#REF!</v>
      </c>
      <c r="D298" s="679" t="e">
        <f>ROUND('Balance N'!#REF!,2)</f>
        <v>#REF!</v>
      </c>
      <c r="E298" s="679">
        <f>ROUND('Balance N'!C298,2)</f>
        <v>0</v>
      </c>
      <c r="F298" s="679">
        <f>ROUND('Balance N'!D298,2)</f>
        <v>0</v>
      </c>
      <c r="G298" s="679">
        <f>ROUND('Balance N'!E298,2)</f>
        <v>0</v>
      </c>
      <c r="H298" s="679">
        <f>ROUND('Balance N'!F298,2)</f>
        <v>0</v>
      </c>
      <c r="I298" s="2" t="str">
        <f t="shared" si="7"/>
        <v>0</v>
      </c>
    </row>
    <row r="299" spans="1:9" x14ac:dyDescent="0.2">
      <c r="A299" s="573" t="str">
        <f>FIXED('Balance N'!A299,0,1)</f>
        <v>0</v>
      </c>
      <c r="B299" s="572">
        <f>+'Balance N'!B299</f>
        <v>0</v>
      </c>
      <c r="C299" s="679" t="e">
        <f>ROUND('Balance N'!#REF!,2)</f>
        <v>#REF!</v>
      </c>
      <c r="D299" s="679" t="e">
        <f>ROUND('Balance N'!#REF!,2)</f>
        <v>#REF!</v>
      </c>
      <c r="E299" s="679">
        <f>ROUND('Balance N'!C299,2)</f>
        <v>0</v>
      </c>
      <c r="F299" s="679">
        <f>ROUND('Balance N'!D299,2)</f>
        <v>0</v>
      </c>
      <c r="G299" s="679">
        <f>ROUND('Balance N'!E299,2)</f>
        <v>0</v>
      </c>
      <c r="H299" s="679">
        <f>ROUND('Balance N'!F299,2)</f>
        <v>0</v>
      </c>
      <c r="I299" s="2" t="str">
        <f t="shared" si="7"/>
        <v>0</v>
      </c>
    </row>
    <row r="300" spans="1:9" x14ac:dyDescent="0.2">
      <c r="A300" s="573" t="str">
        <f>FIXED('Balance N'!A300,0,1)</f>
        <v>0</v>
      </c>
      <c r="B300" s="572">
        <f>+'Balance N'!B300</f>
        <v>0</v>
      </c>
      <c r="C300" s="679" t="e">
        <f>ROUND('Balance N'!#REF!,2)</f>
        <v>#REF!</v>
      </c>
      <c r="D300" s="679" t="e">
        <f>ROUND('Balance N'!#REF!,2)</f>
        <v>#REF!</v>
      </c>
      <c r="E300" s="679">
        <f>ROUND('Balance N'!C300,2)</f>
        <v>0</v>
      </c>
      <c r="F300" s="679">
        <f>ROUND('Balance N'!D300,2)</f>
        <v>0</v>
      </c>
      <c r="G300" s="679">
        <f>ROUND('Balance N'!E300,2)</f>
        <v>0</v>
      </c>
      <c r="H300" s="679">
        <f>ROUND('Balance N'!F300,2)</f>
        <v>0</v>
      </c>
      <c r="I300" s="2" t="str">
        <f t="shared" si="7"/>
        <v>0</v>
      </c>
    </row>
    <row r="301" spans="1:9" x14ac:dyDescent="0.2">
      <c r="A301" s="573" t="str">
        <f>FIXED('Balance N'!A301,0,1)</f>
        <v>0</v>
      </c>
      <c r="B301" s="572">
        <f>+'Balance N'!B301</f>
        <v>0</v>
      </c>
      <c r="C301" s="679" t="e">
        <f>ROUND('Balance N'!#REF!,2)</f>
        <v>#REF!</v>
      </c>
      <c r="D301" s="679" t="e">
        <f>ROUND('Balance N'!#REF!,2)</f>
        <v>#REF!</v>
      </c>
      <c r="E301" s="679">
        <f>ROUND('Balance N'!C301,2)</f>
        <v>0</v>
      </c>
      <c r="F301" s="679">
        <f>ROUND('Balance N'!D301,2)</f>
        <v>0</v>
      </c>
      <c r="G301" s="679">
        <f>ROUND('Balance N'!E301,2)</f>
        <v>0</v>
      </c>
      <c r="H301" s="679">
        <f>ROUND('Balance N'!F301,2)</f>
        <v>0</v>
      </c>
      <c r="I301" s="2" t="str">
        <f t="shared" si="7"/>
        <v>0</v>
      </c>
    </row>
    <row r="302" spans="1:9" x14ac:dyDescent="0.2">
      <c r="A302" s="573" t="str">
        <f>FIXED('Balance N'!A302,0,1)</f>
        <v>0</v>
      </c>
      <c r="B302" s="572">
        <f>+'Balance N'!B302</f>
        <v>0</v>
      </c>
      <c r="C302" s="679" t="e">
        <f>ROUND('Balance N'!#REF!,2)</f>
        <v>#REF!</v>
      </c>
      <c r="D302" s="679" t="e">
        <f>ROUND('Balance N'!#REF!,2)</f>
        <v>#REF!</v>
      </c>
      <c r="E302" s="679">
        <f>ROUND('Balance N'!C302,2)</f>
        <v>0</v>
      </c>
      <c r="F302" s="679">
        <f>ROUND('Balance N'!D302,2)</f>
        <v>0</v>
      </c>
      <c r="G302" s="679">
        <f>ROUND('Balance N'!E302,2)</f>
        <v>0</v>
      </c>
      <c r="H302" s="679">
        <f>ROUND('Balance N'!F302,2)</f>
        <v>0</v>
      </c>
      <c r="I302" s="2" t="str">
        <f t="shared" si="7"/>
        <v>0</v>
      </c>
    </row>
    <row r="303" spans="1:9" x14ac:dyDescent="0.2">
      <c r="A303" s="573" t="str">
        <f>FIXED('Balance N'!A303,0,1)</f>
        <v>0</v>
      </c>
      <c r="B303" s="572">
        <f>+'Balance N'!B303</f>
        <v>0</v>
      </c>
      <c r="C303" s="679" t="e">
        <f>ROUND('Balance N'!#REF!,2)</f>
        <v>#REF!</v>
      </c>
      <c r="D303" s="679" t="e">
        <f>ROUND('Balance N'!#REF!,2)</f>
        <v>#REF!</v>
      </c>
      <c r="E303" s="679">
        <f>ROUND('Balance N'!C303,2)</f>
        <v>0</v>
      </c>
      <c r="F303" s="679">
        <f>ROUND('Balance N'!D303,2)</f>
        <v>0</v>
      </c>
      <c r="G303" s="679">
        <f>ROUND('Balance N'!E303,2)</f>
        <v>0</v>
      </c>
      <c r="H303" s="679">
        <f>ROUND('Balance N'!F303,2)</f>
        <v>0</v>
      </c>
      <c r="I303" s="2" t="str">
        <f t="shared" si="7"/>
        <v>0</v>
      </c>
    </row>
    <row r="304" spans="1:9" x14ac:dyDescent="0.2">
      <c r="A304" s="573" t="str">
        <f>FIXED('Balance N'!A304,0,1)</f>
        <v>0</v>
      </c>
      <c r="B304" s="572">
        <f>+'Balance N'!B304</f>
        <v>0</v>
      </c>
      <c r="C304" s="679" t="e">
        <f>ROUND('Balance N'!#REF!,2)</f>
        <v>#REF!</v>
      </c>
      <c r="D304" s="679" t="e">
        <f>ROUND('Balance N'!#REF!,2)</f>
        <v>#REF!</v>
      </c>
      <c r="E304" s="679">
        <f>ROUND('Balance N'!C304,2)</f>
        <v>0</v>
      </c>
      <c r="F304" s="679">
        <f>ROUND('Balance N'!D304,2)</f>
        <v>0</v>
      </c>
      <c r="G304" s="679">
        <f>ROUND('Balance N'!E304,2)</f>
        <v>0</v>
      </c>
      <c r="H304" s="679">
        <f>ROUND('Balance N'!F304,2)</f>
        <v>0</v>
      </c>
      <c r="I304" s="2" t="str">
        <f t="shared" si="7"/>
        <v>0</v>
      </c>
    </row>
    <row r="305" spans="1:9" x14ac:dyDescent="0.2">
      <c r="A305" s="573" t="str">
        <f>FIXED('Balance N'!A305,0,1)</f>
        <v>0</v>
      </c>
      <c r="B305" s="572">
        <f>+'Balance N'!B305</f>
        <v>0</v>
      </c>
      <c r="C305" s="679" t="e">
        <f>ROUND('Balance N'!#REF!,2)</f>
        <v>#REF!</v>
      </c>
      <c r="D305" s="679" t="e">
        <f>ROUND('Balance N'!#REF!,2)</f>
        <v>#REF!</v>
      </c>
      <c r="E305" s="679">
        <f>ROUND('Balance N'!C305,2)</f>
        <v>0</v>
      </c>
      <c r="F305" s="679">
        <f>ROUND('Balance N'!D305,2)</f>
        <v>0</v>
      </c>
      <c r="G305" s="679">
        <f>ROUND('Balance N'!E305,2)</f>
        <v>0</v>
      </c>
      <c r="H305" s="679">
        <f>ROUND('Balance N'!F305,2)</f>
        <v>0</v>
      </c>
      <c r="I305" s="2" t="str">
        <f t="shared" si="7"/>
        <v>0</v>
      </c>
    </row>
    <row r="306" spans="1:9" x14ac:dyDescent="0.2">
      <c r="A306" s="573" t="str">
        <f>FIXED('Balance N'!A306,0,1)</f>
        <v>0</v>
      </c>
      <c r="B306" s="572">
        <f>+'Balance N'!B306</f>
        <v>0</v>
      </c>
      <c r="C306" s="679" t="e">
        <f>ROUND('Balance N'!#REF!,2)</f>
        <v>#REF!</v>
      </c>
      <c r="D306" s="679" t="e">
        <f>ROUND('Balance N'!#REF!,2)</f>
        <v>#REF!</v>
      </c>
      <c r="E306" s="679">
        <f>ROUND('Balance N'!C306,2)</f>
        <v>0</v>
      </c>
      <c r="F306" s="679">
        <f>ROUND('Balance N'!D306,2)</f>
        <v>0</v>
      </c>
      <c r="G306" s="679">
        <f>ROUND('Balance N'!E306,2)</f>
        <v>0</v>
      </c>
      <c r="H306" s="679">
        <f>ROUND('Balance N'!F306,2)</f>
        <v>0</v>
      </c>
      <c r="I306" s="2" t="str">
        <f t="shared" si="7"/>
        <v>0</v>
      </c>
    </row>
    <row r="307" spans="1:9" x14ac:dyDescent="0.2">
      <c r="A307" s="573" t="str">
        <f>FIXED('Balance N'!A307,0,1)</f>
        <v>0</v>
      </c>
      <c r="B307" s="572">
        <f>+'Balance N'!B307</f>
        <v>0</v>
      </c>
      <c r="C307" s="679" t="e">
        <f>ROUND('Balance N'!#REF!,2)</f>
        <v>#REF!</v>
      </c>
      <c r="D307" s="679" t="e">
        <f>ROUND('Balance N'!#REF!,2)</f>
        <v>#REF!</v>
      </c>
      <c r="E307" s="679">
        <f>ROUND('Balance N'!C307,2)</f>
        <v>0</v>
      </c>
      <c r="F307" s="679">
        <f>ROUND('Balance N'!D307,2)</f>
        <v>0</v>
      </c>
      <c r="G307" s="679">
        <f>ROUND('Balance N'!E307,2)</f>
        <v>0</v>
      </c>
      <c r="H307" s="679">
        <f>ROUND('Balance N'!F307,2)</f>
        <v>0</v>
      </c>
      <c r="I307" s="2" t="str">
        <f t="shared" si="7"/>
        <v>0</v>
      </c>
    </row>
    <row r="308" spans="1:9" x14ac:dyDescent="0.2">
      <c r="A308" s="573" t="str">
        <f>FIXED('Balance N'!A308,0,1)</f>
        <v>0</v>
      </c>
      <c r="B308" s="572">
        <f>+'Balance N'!B308</f>
        <v>0</v>
      </c>
      <c r="C308" s="679" t="e">
        <f>ROUND('Balance N'!#REF!,2)</f>
        <v>#REF!</v>
      </c>
      <c r="D308" s="679" t="e">
        <f>ROUND('Balance N'!#REF!,2)</f>
        <v>#REF!</v>
      </c>
      <c r="E308" s="679">
        <f>ROUND('Balance N'!C308,2)</f>
        <v>0</v>
      </c>
      <c r="F308" s="679">
        <f>ROUND('Balance N'!D308,2)</f>
        <v>0</v>
      </c>
      <c r="G308" s="679">
        <f>ROUND('Balance N'!E308,2)</f>
        <v>0</v>
      </c>
      <c r="H308" s="679">
        <f>ROUND('Balance N'!F308,2)</f>
        <v>0</v>
      </c>
      <c r="I308" s="2" t="str">
        <f t="shared" si="7"/>
        <v>0</v>
      </c>
    </row>
    <row r="309" spans="1:9" x14ac:dyDescent="0.2">
      <c r="A309" s="573" t="str">
        <f>FIXED('Balance N'!A309,0,1)</f>
        <v>0</v>
      </c>
      <c r="B309" s="572">
        <f>+'Balance N'!B309</f>
        <v>0</v>
      </c>
      <c r="C309" s="679" t="e">
        <f>ROUND('Balance N'!#REF!,2)</f>
        <v>#REF!</v>
      </c>
      <c r="D309" s="679" t="e">
        <f>ROUND('Balance N'!#REF!,2)</f>
        <v>#REF!</v>
      </c>
      <c r="E309" s="679">
        <f>ROUND('Balance N'!C309,2)</f>
        <v>0</v>
      </c>
      <c r="F309" s="679">
        <f>ROUND('Balance N'!D309,2)</f>
        <v>0</v>
      </c>
      <c r="G309" s="679">
        <f>ROUND('Balance N'!E309,2)</f>
        <v>0</v>
      </c>
      <c r="H309" s="679">
        <f>ROUND('Balance N'!F309,2)</f>
        <v>0</v>
      </c>
      <c r="I309" s="2" t="str">
        <f t="shared" si="7"/>
        <v>0</v>
      </c>
    </row>
    <row r="310" spans="1:9" x14ac:dyDescent="0.2">
      <c r="A310" s="573" t="str">
        <f>FIXED('Balance N'!A310,0,1)</f>
        <v>0</v>
      </c>
      <c r="B310" s="572">
        <f>+'Balance N'!B310</f>
        <v>0</v>
      </c>
      <c r="C310" s="679" t="e">
        <f>ROUND('Balance N'!#REF!,2)</f>
        <v>#REF!</v>
      </c>
      <c r="D310" s="679" t="e">
        <f>ROUND('Balance N'!#REF!,2)</f>
        <v>#REF!</v>
      </c>
      <c r="E310" s="679">
        <f>ROUND('Balance N'!C310,2)</f>
        <v>0</v>
      </c>
      <c r="F310" s="679">
        <f>ROUND('Balance N'!D310,2)</f>
        <v>0</v>
      </c>
      <c r="G310" s="679">
        <f>ROUND('Balance N'!E310,2)</f>
        <v>0</v>
      </c>
      <c r="H310" s="679">
        <f>ROUND('Balance N'!F310,2)</f>
        <v>0</v>
      </c>
      <c r="I310" s="2" t="str">
        <f t="shared" si="7"/>
        <v>0</v>
      </c>
    </row>
    <row r="311" spans="1:9" x14ac:dyDescent="0.2">
      <c r="A311" s="573" t="str">
        <f>FIXED('Balance N'!A311,0,1)</f>
        <v>0</v>
      </c>
      <c r="B311" s="572">
        <f>+'Balance N'!B311</f>
        <v>0</v>
      </c>
      <c r="C311" s="679" t="e">
        <f>ROUND('Balance N'!#REF!,2)</f>
        <v>#REF!</v>
      </c>
      <c r="D311" s="679" t="e">
        <f>ROUND('Balance N'!#REF!,2)</f>
        <v>#REF!</v>
      </c>
      <c r="E311" s="679">
        <f>ROUND('Balance N'!C311,2)</f>
        <v>0</v>
      </c>
      <c r="F311" s="679">
        <f>ROUND('Balance N'!D311,2)</f>
        <v>0</v>
      </c>
      <c r="G311" s="679">
        <f>ROUND('Balance N'!E311,2)</f>
        <v>0</v>
      </c>
      <c r="H311" s="679">
        <f>ROUND('Balance N'!F311,2)</f>
        <v>0</v>
      </c>
      <c r="I311" s="2" t="str">
        <f t="shared" si="7"/>
        <v>0</v>
      </c>
    </row>
    <row r="312" spans="1:9" x14ac:dyDescent="0.2">
      <c r="A312" s="573" t="str">
        <f>FIXED('Balance N'!A312,0,1)</f>
        <v>0</v>
      </c>
      <c r="B312" s="572">
        <f>+'Balance N'!B312</f>
        <v>0</v>
      </c>
      <c r="C312" s="679" t="e">
        <f>ROUND('Balance N'!#REF!,2)</f>
        <v>#REF!</v>
      </c>
      <c r="D312" s="679" t="e">
        <f>ROUND('Balance N'!#REF!,2)</f>
        <v>#REF!</v>
      </c>
      <c r="E312" s="679">
        <f>ROUND('Balance N'!C312,2)</f>
        <v>0</v>
      </c>
      <c r="F312" s="679">
        <f>ROUND('Balance N'!D312,2)</f>
        <v>0</v>
      </c>
      <c r="G312" s="679">
        <f>ROUND('Balance N'!E312,2)</f>
        <v>0</v>
      </c>
      <c r="H312" s="679">
        <f>ROUND('Balance N'!F312,2)</f>
        <v>0</v>
      </c>
      <c r="I312" s="2" t="str">
        <f t="shared" si="7"/>
        <v>0</v>
      </c>
    </row>
    <row r="313" spans="1:9" x14ac:dyDescent="0.2">
      <c r="A313" s="573" t="str">
        <f>FIXED('Balance N'!A313,0,1)</f>
        <v>0</v>
      </c>
      <c r="B313" s="572">
        <f>+'Balance N'!B313</f>
        <v>0</v>
      </c>
      <c r="C313" s="679" t="e">
        <f>ROUND('Balance N'!#REF!,2)</f>
        <v>#REF!</v>
      </c>
      <c r="D313" s="679" t="e">
        <f>ROUND('Balance N'!#REF!,2)</f>
        <v>#REF!</v>
      </c>
      <c r="E313" s="679">
        <f>ROUND('Balance N'!C313,2)</f>
        <v>0</v>
      </c>
      <c r="F313" s="679">
        <f>ROUND('Balance N'!D313,2)</f>
        <v>0</v>
      </c>
      <c r="G313" s="679">
        <f>ROUND('Balance N'!E313,2)</f>
        <v>0</v>
      </c>
      <c r="H313" s="679">
        <f>ROUND('Balance N'!F313,2)</f>
        <v>0</v>
      </c>
      <c r="I313" s="2" t="str">
        <f t="shared" si="7"/>
        <v>0</v>
      </c>
    </row>
    <row r="314" spans="1:9" x14ac:dyDescent="0.2">
      <c r="A314" s="573" t="str">
        <f>FIXED('Balance N'!A314,0,1)</f>
        <v>0</v>
      </c>
      <c r="B314" s="572">
        <f>+'Balance N'!B314</f>
        <v>0</v>
      </c>
      <c r="C314" s="679" t="e">
        <f>ROUND('Balance N'!#REF!,2)</f>
        <v>#REF!</v>
      </c>
      <c r="D314" s="679" t="e">
        <f>ROUND('Balance N'!#REF!,2)</f>
        <v>#REF!</v>
      </c>
      <c r="E314" s="679">
        <f>ROUND('Balance N'!C314,2)</f>
        <v>0</v>
      </c>
      <c r="F314" s="679">
        <f>ROUND('Balance N'!D314,2)</f>
        <v>0</v>
      </c>
      <c r="G314" s="679">
        <f>ROUND('Balance N'!E314,2)</f>
        <v>0</v>
      </c>
      <c r="H314" s="679">
        <f>ROUND('Balance N'!F314,2)</f>
        <v>0</v>
      </c>
      <c r="I314" s="2" t="str">
        <f t="shared" si="7"/>
        <v>0</v>
      </c>
    </row>
    <row r="315" spans="1:9" x14ac:dyDescent="0.2">
      <c r="A315" s="573" t="str">
        <f>FIXED('Balance N'!A315,0,1)</f>
        <v>0</v>
      </c>
      <c r="B315" s="572">
        <f>+'Balance N'!B315</f>
        <v>0</v>
      </c>
      <c r="C315" s="679" t="e">
        <f>ROUND('Balance N'!#REF!,2)</f>
        <v>#REF!</v>
      </c>
      <c r="D315" s="679" t="e">
        <f>ROUND('Balance N'!#REF!,2)</f>
        <v>#REF!</v>
      </c>
      <c r="E315" s="679">
        <f>ROUND('Balance N'!C315,2)</f>
        <v>0</v>
      </c>
      <c r="F315" s="679">
        <f>ROUND('Balance N'!D315,2)</f>
        <v>0</v>
      </c>
      <c r="G315" s="679">
        <f>ROUND('Balance N'!E315,2)</f>
        <v>0</v>
      </c>
      <c r="H315" s="679">
        <f>ROUND('Balance N'!F315,2)</f>
        <v>0</v>
      </c>
      <c r="I315" s="2" t="str">
        <f t="shared" si="7"/>
        <v>0</v>
      </c>
    </row>
    <row r="316" spans="1:9" x14ac:dyDescent="0.2">
      <c r="A316" s="573" t="str">
        <f>FIXED('Balance N'!A316,0,1)</f>
        <v>0</v>
      </c>
      <c r="B316" s="572">
        <f>+'Balance N'!B316</f>
        <v>0</v>
      </c>
      <c r="C316" s="679" t="e">
        <f>ROUND('Balance N'!#REF!,2)</f>
        <v>#REF!</v>
      </c>
      <c r="D316" s="679" t="e">
        <f>ROUND('Balance N'!#REF!,2)</f>
        <v>#REF!</v>
      </c>
      <c r="E316" s="679">
        <f>ROUND('Balance N'!C316,2)</f>
        <v>0</v>
      </c>
      <c r="F316" s="679">
        <f>ROUND('Balance N'!D316,2)</f>
        <v>0</v>
      </c>
      <c r="G316" s="679">
        <f>ROUND('Balance N'!E316,2)</f>
        <v>0</v>
      </c>
      <c r="H316" s="679">
        <f>ROUND('Balance N'!F316,2)</f>
        <v>0</v>
      </c>
      <c r="I316" s="2" t="str">
        <f t="shared" si="7"/>
        <v>0</v>
      </c>
    </row>
    <row r="317" spans="1:9" x14ac:dyDescent="0.2">
      <c r="A317" s="573" t="str">
        <f>FIXED('Balance N'!A317,0,1)</f>
        <v>0</v>
      </c>
      <c r="B317" s="572">
        <f>+'Balance N'!B317</f>
        <v>0</v>
      </c>
      <c r="C317" s="679" t="e">
        <f>ROUND('Balance N'!#REF!,2)</f>
        <v>#REF!</v>
      </c>
      <c r="D317" s="679" t="e">
        <f>ROUND('Balance N'!#REF!,2)</f>
        <v>#REF!</v>
      </c>
      <c r="E317" s="679">
        <f>ROUND('Balance N'!C317,2)</f>
        <v>0</v>
      </c>
      <c r="F317" s="679">
        <f>ROUND('Balance N'!D317,2)</f>
        <v>0</v>
      </c>
      <c r="G317" s="679">
        <f>ROUND('Balance N'!E317,2)</f>
        <v>0</v>
      </c>
      <c r="H317" s="679">
        <f>ROUND('Balance N'!F317,2)</f>
        <v>0</v>
      </c>
      <c r="I317" s="2" t="str">
        <f t="shared" si="7"/>
        <v>0</v>
      </c>
    </row>
    <row r="318" spans="1:9" x14ac:dyDescent="0.2">
      <c r="A318" s="573" t="str">
        <f>FIXED('Balance N'!A318,0,1)</f>
        <v>0</v>
      </c>
      <c r="B318" s="572">
        <f>+'Balance N'!B318</f>
        <v>0</v>
      </c>
      <c r="C318" s="679" t="e">
        <f>ROUND('Balance N'!#REF!,2)</f>
        <v>#REF!</v>
      </c>
      <c r="D318" s="679" t="e">
        <f>ROUND('Balance N'!#REF!,2)</f>
        <v>#REF!</v>
      </c>
      <c r="E318" s="679">
        <f>ROUND('Balance N'!C318,2)</f>
        <v>0</v>
      </c>
      <c r="F318" s="679">
        <f>ROUND('Balance N'!D318,2)</f>
        <v>0</v>
      </c>
      <c r="G318" s="679">
        <f>ROUND('Balance N'!E318,2)</f>
        <v>0</v>
      </c>
      <c r="H318" s="679">
        <f>ROUND('Balance N'!F318,2)</f>
        <v>0</v>
      </c>
      <c r="I318" s="2" t="str">
        <f t="shared" si="7"/>
        <v>0</v>
      </c>
    </row>
    <row r="319" spans="1:9" x14ac:dyDescent="0.2">
      <c r="A319" s="573" t="str">
        <f>FIXED('Balance N'!A319,0,1)</f>
        <v>0</v>
      </c>
      <c r="B319" s="572">
        <f>+'Balance N'!B319</f>
        <v>0</v>
      </c>
      <c r="C319" s="679" t="e">
        <f>ROUND('Balance N'!#REF!,2)</f>
        <v>#REF!</v>
      </c>
      <c r="D319" s="679" t="e">
        <f>ROUND('Balance N'!#REF!,2)</f>
        <v>#REF!</v>
      </c>
      <c r="E319" s="679">
        <f>ROUND('Balance N'!C319,2)</f>
        <v>0</v>
      </c>
      <c r="F319" s="679">
        <f>ROUND('Balance N'!D319,2)</f>
        <v>0</v>
      </c>
      <c r="G319" s="679">
        <f>ROUND('Balance N'!E319,2)</f>
        <v>0</v>
      </c>
      <c r="H319" s="679">
        <f>ROUND('Balance N'!F319,2)</f>
        <v>0</v>
      </c>
      <c r="I319" s="2" t="str">
        <f t="shared" si="7"/>
        <v>0</v>
      </c>
    </row>
    <row r="320" spans="1:9" x14ac:dyDescent="0.2">
      <c r="A320" s="573" t="str">
        <f>FIXED('Balance N'!A320,0,1)</f>
        <v>0</v>
      </c>
      <c r="B320" s="572">
        <f>+'Balance N'!B320</f>
        <v>0</v>
      </c>
      <c r="C320" s="679" t="e">
        <f>ROUND('Balance N'!#REF!,2)</f>
        <v>#REF!</v>
      </c>
      <c r="D320" s="679" t="e">
        <f>ROUND('Balance N'!#REF!,2)</f>
        <v>#REF!</v>
      </c>
      <c r="E320" s="679">
        <f>ROUND('Balance N'!C320,2)</f>
        <v>0</v>
      </c>
      <c r="F320" s="679">
        <f>ROUND('Balance N'!D320,2)</f>
        <v>0</v>
      </c>
      <c r="G320" s="679">
        <f>ROUND('Balance N'!E320,2)</f>
        <v>0</v>
      </c>
      <c r="H320" s="679">
        <f>ROUND('Balance N'!F320,2)</f>
        <v>0</v>
      </c>
      <c r="I320" s="2" t="str">
        <f t="shared" si="7"/>
        <v>0</v>
      </c>
    </row>
    <row r="321" spans="1:9" x14ac:dyDescent="0.2">
      <c r="A321" s="573" t="str">
        <f>FIXED('Balance N'!A321,0,1)</f>
        <v>0</v>
      </c>
      <c r="B321" s="572">
        <f>+'Balance N'!B321</f>
        <v>0</v>
      </c>
      <c r="C321" s="679" t="e">
        <f>ROUND('Balance N'!#REF!,2)</f>
        <v>#REF!</v>
      </c>
      <c r="D321" s="679" t="e">
        <f>ROUND('Balance N'!#REF!,2)</f>
        <v>#REF!</v>
      </c>
      <c r="E321" s="679">
        <f>ROUND('Balance N'!C321,2)</f>
        <v>0</v>
      </c>
      <c r="F321" s="679">
        <f>ROUND('Balance N'!D321,2)</f>
        <v>0</v>
      </c>
      <c r="G321" s="679">
        <f>ROUND('Balance N'!E321,2)</f>
        <v>0</v>
      </c>
      <c r="H321" s="679">
        <f>ROUND('Balance N'!F321,2)</f>
        <v>0</v>
      </c>
      <c r="I321" s="2" t="str">
        <f t="shared" si="7"/>
        <v>0</v>
      </c>
    </row>
    <row r="322" spans="1:9" x14ac:dyDescent="0.2">
      <c r="A322" s="573" t="str">
        <f>FIXED('Balance N'!A322,0,1)</f>
        <v>0</v>
      </c>
      <c r="B322" s="572">
        <f>+'Balance N'!B322</f>
        <v>0</v>
      </c>
      <c r="C322" s="679" t="e">
        <f>ROUND('Balance N'!#REF!,2)</f>
        <v>#REF!</v>
      </c>
      <c r="D322" s="679" t="e">
        <f>ROUND('Balance N'!#REF!,2)</f>
        <v>#REF!</v>
      </c>
      <c r="E322" s="679">
        <f>ROUND('Balance N'!C322,2)</f>
        <v>0</v>
      </c>
      <c r="F322" s="679">
        <f>ROUND('Balance N'!D322,2)</f>
        <v>0</v>
      </c>
      <c r="G322" s="679">
        <f>ROUND('Balance N'!E322,2)</f>
        <v>0</v>
      </c>
      <c r="H322" s="679">
        <f>ROUND('Balance N'!F322,2)</f>
        <v>0</v>
      </c>
      <c r="I322" s="2" t="str">
        <f t="shared" ref="I322:I385" si="8">MID(A322,1,1)</f>
        <v>0</v>
      </c>
    </row>
    <row r="323" spans="1:9" x14ac:dyDescent="0.2">
      <c r="A323" s="573" t="str">
        <f>FIXED('Balance N'!A323,0,1)</f>
        <v>0</v>
      </c>
      <c r="B323" s="572">
        <f>+'Balance N'!B323</f>
        <v>0</v>
      </c>
      <c r="C323" s="679" t="e">
        <f>ROUND('Balance N'!#REF!,2)</f>
        <v>#REF!</v>
      </c>
      <c r="D323" s="679" t="e">
        <f>ROUND('Balance N'!#REF!,2)</f>
        <v>#REF!</v>
      </c>
      <c r="E323" s="679">
        <f>ROUND('Balance N'!C323,2)</f>
        <v>0</v>
      </c>
      <c r="F323" s="679">
        <f>ROUND('Balance N'!D323,2)</f>
        <v>0</v>
      </c>
      <c r="G323" s="679">
        <f>ROUND('Balance N'!E323,2)</f>
        <v>0</v>
      </c>
      <c r="H323" s="679">
        <f>ROUND('Balance N'!F323,2)</f>
        <v>0</v>
      </c>
      <c r="I323" s="2" t="str">
        <f t="shared" si="8"/>
        <v>0</v>
      </c>
    </row>
    <row r="324" spans="1:9" x14ac:dyDescent="0.2">
      <c r="A324" s="573" t="str">
        <f>FIXED('Balance N'!A324,0,1)</f>
        <v>0</v>
      </c>
      <c r="B324" s="572">
        <f>+'Balance N'!B324</f>
        <v>0</v>
      </c>
      <c r="C324" s="679" t="e">
        <f>ROUND('Balance N'!#REF!,2)</f>
        <v>#REF!</v>
      </c>
      <c r="D324" s="679" t="e">
        <f>ROUND('Balance N'!#REF!,2)</f>
        <v>#REF!</v>
      </c>
      <c r="E324" s="679">
        <f>ROUND('Balance N'!C324,2)</f>
        <v>0</v>
      </c>
      <c r="F324" s="679">
        <f>ROUND('Balance N'!D324,2)</f>
        <v>0</v>
      </c>
      <c r="G324" s="679">
        <f>ROUND('Balance N'!E324,2)</f>
        <v>0</v>
      </c>
      <c r="H324" s="679">
        <f>ROUND('Balance N'!F324,2)</f>
        <v>0</v>
      </c>
      <c r="I324" s="2" t="str">
        <f t="shared" si="8"/>
        <v>0</v>
      </c>
    </row>
    <row r="325" spans="1:9" x14ac:dyDescent="0.2">
      <c r="A325" s="573" t="str">
        <f>FIXED('Balance N'!A325,0,1)</f>
        <v>0</v>
      </c>
      <c r="B325" s="572">
        <f>+'Balance N'!B325</f>
        <v>0</v>
      </c>
      <c r="C325" s="679" t="e">
        <f>ROUND('Balance N'!#REF!,2)</f>
        <v>#REF!</v>
      </c>
      <c r="D325" s="679" t="e">
        <f>ROUND('Balance N'!#REF!,2)</f>
        <v>#REF!</v>
      </c>
      <c r="E325" s="679">
        <f>ROUND('Balance N'!C325,2)</f>
        <v>0</v>
      </c>
      <c r="F325" s="679">
        <f>ROUND('Balance N'!D325,2)</f>
        <v>0</v>
      </c>
      <c r="G325" s="679">
        <f>ROUND('Balance N'!E325,2)</f>
        <v>0</v>
      </c>
      <c r="H325" s="679">
        <f>ROUND('Balance N'!F325,2)</f>
        <v>0</v>
      </c>
      <c r="I325" s="2" t="str">
        <f t="shared" si="8"/>
        <v>0</v>
      </c>
    </row>
    <row r="326" spans="1:9" x14ac:dyDescent="0.2">
      <c r="A326" s="573" t="str">
        <f>FIXED('Balance N'!A326,0,1)</f>
        <v>0</v>
      </c>
      <c r="B326" s="572">
        <f>+'Balance N'!B326</f>
        <v>0</v>
      </c>
      <c r="C326" s="679" t="e">
        <f>ROUND('Balance N'!#REF!,2)</f>
        <v>#REF!</v>
      </c>
      <c r="D326" s="679" t="e">
        <f>ROUND('Balance N'!#REF!,2)</f>
        <v>#REF!</v>
      </c>
      <c r="E326" s="679">
        <f>ROUND('Balance N'!C326,2)</f>
        <v>0</v>
      </c>
      <c r="F326" s="679">
        <f>ROUND('Balance N'!D326,2)</f>
        <v>0</v>
      </c>
      <c r="G326" s="679">
        <f>ROUND('Balance N'!E326,2)</f>
        <v>0</v>
      </c>
      <c r="H326" s="679">
        <f>ROUND('Balance N'!F326,2)</f>
        <v>0</v>
      </c>
      <c r="I326" s="2" t="str">
        <f t="shared" si="8"/>
        <v>0</v>
      </c>
    </row>
    <row r="327" spans="1:9" x14ac:dyDescent="0.2">
      <c r="A327" s="573" t="str">
        <f>FIXED('Balance N'!A327,0,1)</f>
        <v>0</v>
      </c>
      <c r="B327" s="572">
        <f>+'Balance N'!B327</f>
        <v>0</v>
      </c>
      <c r="C327" s="679" t="e">
        <f>ROUND('Balance N'!#REF!,2)</f>
        <v>#REF!</v>
      </c>
      <c r="D327" s="679" t="e">
        <f>ROUND('Balance N'!#REF!,2)</f>
        <v>#REF!</v>
      </c>
      <c r="E327" s="679">
        <f>ROUND('Balance N'!C327,2)</f>
        <v>0</v>
      </c>
      <c r="F327" s="679">
        <f>ROUND('Balance N'!D327,2)</f>
        <v>0</v>
      </c>
      <c r="G327" s="679">
        <f>ROUND('Balance N'!E327,2)</f>
        <v>0</v>
      </c>
      <c r="H327" s="679">
        <f>ROUND('Balance N'!F327,2)</f>
        <v>0</v>
      </c>
      <c r="I327" s="2" t="str">
        <f t="shared" si="8"/>
        <v>0</v>
      </c>
    </row>
    <row r="328" spans="1:9" x14ac:dyDescent="0.2">
      <c r="A328" s="573" t="str">
        <f>FIXED('Balance N'!A328,0,1)</f>
        <v>0</v>
      </c>
      <c r="B328" s="572">
        <f>+'Balance N'!B328</f>
        <v>0</v>
      </c>
      <c r="C328" s="679" t="e">
        <f>ROUND('Balance N'!#REF!,2)</f>
        <v>#REF!</v>
      </c>
      <c r="D328" s="679" t="e">
        <f>ROUND('Balance N'!#REF!,2)</f>
        <v>#REF!</v>
      </c>
      <c r="E328" s="679">
        <f>ROUND('Balance N'!C328,2)</f>
        <v>0</v>
      </c>
      <c r="F328" s="679">
        <f>ROUND('Balance N'!D328,2)</f>
        <v>0</v>
      </c>
      <c r="G328" s="679">
        <f>ROUND('Balance N'!E328,2)</f>
        <v>0</v>
      </c>
      <c r="H328" s="679">
        <f>ROUND('Balance N'!F328,2)</f>
        <v>0</v>
      </c>
      <c r="I328" s="2" t="str">
        <f t="shared" si="8"/>
        <v>0</v>
      </c>
    </row>
    <row r="329" spans="1:9" x14ac:dyDescent="0.2">
      <c r="A329" s="573" t="str">
        <f>FIXED('Balance N'!A329,0,1)</f>
        <v>0</v>
      </c>
      <c r="B329" s="572">
        <f>+'Balance N'!B329</f>
        <v>0</v>
      </c>
      <c r="C329" s="679" t="e">
        <f>ROUND('Balance N'!#REF!,2)</f>
        <v>#REF!</v>
      </c>
      <c r="D329" s="679" t="e">
        <f>ROUND('Balance N'!#REF!,2)</f>
        <v>#REF!</v>
      </c>
      <c r="E329" s="679">
        <f>ROUND('Balance N'!C329,2)</f>
        <v>0</v>
      </c>
      <c r="F329" s="679">
        <f>ROUND('Balance N'!D329,2)</f>
        <v>0</v>
      </c>
      <c r="G329" s="679">
        <f>ROUND('Balance N'!E329,2)</f>
        <v>0</v>
      </c>
      <c r="H329" s="679">
        <f>ROUND('Balance N'!F329,2)</f>
        <v>0</v>
      </c>
      <c r="I329" s="2" t="str">
        <f t="shared" si="8"/>
        <v>0</v>
      </c>
    </row>
    <row r="330" spans="1:9" x14ac:dyDescent="0.2">
      <c r="A330" s="573" t="str">
        <f>FIXED('Balance N'!A330,0,1)</f>
        <v>0</v>
      </c>
      <c r="B330" s="572">
        <f>+'Balance N'!B330</f>
        <v>0</v>
      </c>
      <c r="C330" s="679" t="e">
        <f>ROUND('Balance N'!#REF!,2)</f>
        <v>#REF!</v>
      </c>
      <c r="D330" s="679" t="e">
        <f>ROUND('Balance N'!#REF!,2)</f>
        <v>#REF!</v>
      </c>
      <c r="E330" s="679">
        <f>ROUND('Balance N'!C330,2)</f>
        <v>0</v>
      </c>
      <c r="F330" s="679">
        <f>ROUND('Balance N'!D330,2)</f>
        <v>0</v>
      </c>
      <c r="G330" s="679">
        <f>ROUND('Balance N'!E330,2)</f>
        <v>0</v>
      </c>
      <c r="H330" s="679">
        <f>ROUND('Balance N'!F330,2)</f>
        <v>0</v>
      </c>
      <c r="I330" s="2" t="str">
        <f t="shared" si="8"/>
        <v>0</v>
      </c>
    </row>
    <row r="331" spans="1:9" x14ac:dyDescent="0.2">
      <c r="A331" s="573" t="str">
        <f>FIXED('Balance N'!A331,0,1)</f>
        <v>0</v>
      </c>
      <c r="B331" s="572">
        <f>+'Balance N'!B331</f>
        <v>0</v>
      </c>
      <c r="C331" s="679" t="e">
        <f>ROUND('Balance N'!#REF!,2)</f>
        <v>#REF!</v>
      </c>
      <c r="D331" s="679" t="e">
        <f>ROUND('Balance N'!#REF!,2)</f>
        <v>#REF!</v>
      </c>
      <c r="E331" s="679">
        <f>ROUND('Balance N'!C331,2)</f>
        <v>0</v>
      </c>
      <c r="F331" s="679">
        <f>ROUND('Balance N'!D331,2)</f>
        <v>0</v>
      </c>
      <c r="G331" s="679">
        <f>ROUND('Balance N'!E331,2)</f>
        <v>0</v>
      </c>
      <c r="H331" s="679">
        <f>ROUND('Balance N'!F331,2)</f>
        <v>0</v>
      </c>
      <c r="I331" s="2" t="str">
        <f t="shared" si="8"/>
        <v>0</v>
      </c>
    </row>
    <row r="332" spans="1:9" x14ac:dyDescent="0.2">
      <c r="A332" s="573" t="str">
        <f>FIXED('Balance N'!A332,0,1)</f>
        <v>0</v>
      </c>
      <c r="B332" s="572">
        <f>+'Balance N'!B332</f>
        <v>0</v>
      </c>
      <c r="C332" s="679" t="e">
        <f>ROUND('Balance N'!#REF!,2)</f>
        <v>#REF!</v>
      </c>
      <c r="D332" s="679" t="e">
        <f>ROUND('Balance N'!#REF!,2)</f>
        <v>#REF!</v>
      </c>
      <c r="E332" s="679">
        <f>ROUND('Balance N'!C332,2)</f>
        <v>0</v>
      </c>
      <c r="F332" s="679">
        <f>ROUND('Balance N'!D332,2)</f>
        <v>0</v>
      </c>
      <c r="G332" s="679">
        <f>ROUND('Balance N'!E332,2)</f>
        <v>0</v>
      </c>
      <c r="H332" s="679">
        <f>ROUND('Balance N'!F332,2)</f>
        <v>0</v>
      </c>
      <c r="I332" s="2" t="str">
        <f t="shared" si="8"/>
        <v>0</v>
      </c>
    </row>
    <row r="333" spans="1:9" x14ac:dyDescent="0.2">
      <c r="A333" s="573" t="str">
        <f>FIXED('Balance N'!A333,0,1)</f>
        <v>0</v>
      </c>
      <c r="B333" s="572">
        <f>+'Balance N'!B333</f>
        <v>0</v>
      </c>
      <c r="C333" s="679" t="e">
        <f>ROUND('Balance N'!#REF!,2)</f>
        <v>#REF!</v>
      </c>
      <c r="D333" s="679" t="e">
        <f>ROUND('Balance N'!#REF!,2)</f>
        <v>#REF!</v>
      </c>
      <c r="E333" s="679">
        <f>ROUND('Balance N'!C333,2)</f>
        <v>0</v>
      </c>
      <c r="F333" s="679">
        <f>ROUND('Balance N'!D333,2)</f>
        <v>0</v>
      </c>
      <c r="G333" s="679">
        <f>ROUND('Balance N'!E333,2)</f>
        <v>0</v>
      </c>
      <c r="H333" s="679">
        <f>ROUND('Balance N'!F333,2)</f>
        <v>0</v>
      </c>
      <c r="I333" s="2" t="str">
        <f t="shared" si="8"/>
        <v>0</v>
      </c>
    </row>
    <row r="334" spans="1:9" x14ac:dyDescent="0.2">
      <c r="A334" s="573" t="str">
        <f>FIXED('Balance N'!A334,0,1)</f>
        <v>0</v>
      </c>
      <c r="B334" s="572">
        <f>+'Balance N'!B334</f>
        <v>0</v>
      </c>
      <c r="C334" s="679" t="e">
        <f>ROUND('Balance N'!#REF!,2)</f>
        <v>#REF!</v>
      </c>
      <c r="D334" s="679" t="e">
        <f>ROUND('Balance N'!#REF!,2)</f>
        <v>#REF!</v>
      </c>
      <c r="E334" s="679">
        <f>ROUND('Balance N'!C334,2)</f>
        <v>0</v>
      </c>
      <c r="F334" s="679">
        <f>ROUND('Balance N'!D334,2)</f>
        <v>0</v>
      </c>
      <c r="G334" s="679">
        <f>ROUND('Balance N'!E334,2)</f>
        <v>0</v>
      </c>
      <c r="H334" s="679">
        <f>ROUND('Balance N'!F334,2)</f>
        <v>0</v>
      </c>
      <c r="I334" s="2" t="str">
        <f t="shared" si="8"/>
        <v>0</v>
      </c>
    </row>
    <row r="335" spans="1:9" x14ac:dyDescent="0.2">
      <c r="A335" s="573" t="str">
        <f>FIXED('Balance N'!A335,0,1)</f>
        <v>0</v>
      </c>
      <c r="B335" s="572">
        <f>+'Balance N'!B335</f>
        <v>0</v>
      </c>
      <c r="C335" s="679" t="e">
        <f>ROUND('Balance N'!#REF!,2)</f>
        <v>#REF!</v>
      </c>
      <c r="D335" s="679" t="e">
        <f>ROUND('Balance N'!#REF!,2)</f>
        <v>#REF!</v>
      </c>
      <c r="E335" s="679">
        <f>ROUND('Balance N'!C335,2)</f>
        <v>0</v>
      </c>
      <c r="F335" s="679">
        <f>ROUND('Balance N'!D335,2)</f>
        <v>0</v>
      </c>
      <c r="G335" s="679">
        <f>ROUND('Balance N'!E335,2)</f>
        <v>0</v>
      </c>
      <c r="H335" s="679">
        <f>ROUND('Balance N'!F335,2)</f>
        <v>0</v>
      </c>
      <c r="I335" s="2" t="str">
        <f t="shared" si="8"/>
        <v>0</v>
      </c>
    </row>
    <row r="336" spans="1:9" x14ac:dyDescent="0.2">
      <c r="A336" s="573" t="str">
        <f>FIXED('Balance N'!A336,0,1)</f>
        <v>0</v>
      </c>
      <c r="B336" s="572">
        <f>+'Balance N'!B336</f>
        <v>0</v>
      </c>
      <c r="C336" s="679" t="e">
        <f>ROUND('Balance N'!#REF!,2)</f>
        <v>#REF!</v>
      </c>
      <c r="D336" s="679" t="e">
        <f>ROUND('Balance N'!#REF!,2)</f>
        <v>#REF!</v>
      </c>
      <c r="E336" s="679">
        <f>ROUND('Balance N'!C336,2)</f>
        <v>0</v>
      </c>
      <c r="F336" s="679">
        <f>ROUND('Balance N'!D336,2)</f>
        <v>0</v>
      </c>
      <c r="G336" s="679">
        <f>ROUND('Balance N'!E336,2)</f>
        <v>0</v>
      </c>
      <c r="H336" s="679">
        <f>ROUND('Balance N'!F336,2)</f>
        <v>0</v>
      </c>
      <c r="I336" s="2" t="str">
        <f t="shared" si="8"/>
        <v>0</v>
      </c>
    </row>
    <row r="337" spans="1:9" x14ac:dyDescent="0.2">
      <c r="A337" s="573" t="str">
        <f>FIXED('Balance N'!A337,0,1)</f>
        <v>0</v>
      </c>
      <c r="B337" s="572">
        <f>+'Balance N'!B337</f>
        <v>0</v>
      </c>
      <c r="C337" s="679" t="e">
        <f>ROUND('Balance N'!#REF!,2)</f>
        <v>#REF!</v>
      </c>
      <c r="D337" s="679" t="e">
        <f>ROUND('Balance N'!#REF!,2)</f>
        <v>#REF!</v>
      </c>
      <c r="E337" s="679">
        <f>ROUND('Balance N'!C337,2)</f>
        <v>0</v>
      </c>
      <c r="F337" s="679">
        <f>ROUND('Balance N'!D337,2)</f>
        <v>0</v>
      </c>
      <c r="G337" s="679">
        <f>ROUND('Balance N'!E337,2)</f>
        <v>0</v>
      </c>
      <c r="H337" s="679">
        <f>ROUND('Balance N'!F337,2)</f>
        <v>0</v>
      </c>
      <c r="I337" s="2" t="str">
        <f t="shared" si="8"/>
        <v>0</v>
      </c>
    </row>
    <row r="338" spans="1:9" x14ac:dyDescent="0.2">
      <c r="A338" s="573" t="str">
        <f>FIXED('Balance N'!A338,0,1)</f>
        <v>0</v>
      </c>
      <c r="B338" s="572">
        <f>+'Balance N'!B338</f>
        <v>0</v>
      </c>
      <c r="C338" s="679" t="e">
        <f>ROUND('Balance N'!#REF!,2)</f>
        <v>#REF!</v>
      </c>
      <c r="D338" s="679" t="e">
        <f>ROUND('Balance N'!#REF!,2)</f>
        <v>#REF!</v>
      </c>
      <c r="E338" s="679">
        <f>ROUND('Balance N'!C338,2)</f>
        <v>0</v>
      </c>
      <c r="F338" s="679">
        <f>ROUND('Balance N'!D338,2)</f>
        <v>0</v>
      </c>
      <c r="G338" s="679">
        <f>ROUND('Balance N'!E338,2)</f>
        <v>0</v>
      </c>
      <c r="H338" s="679">
        <f>ROUND('Balance N'!F338,2)</f>
        <v>0</v>
      </c>
      <c r="I338" s="2" t="str">
        <f t="shared" si="8"/>
        <v>0</v>
      </c>
    </row>
    <row r="339" spans="1:9" x14ac:dyDescent="0.2">
      <c r="A339" s="573" t="str">
        <f>FIXED('Balance N'!A339,0,1)</f>
        <v>0</v>
      </c>
      <c r="B339" s="572">
        <f>+'Balance N'!B339</f>
        <v>0</v>
      </c>
      <c r="C339" s="679" t="e">
        <f>ROUND('Balance N'!#REF!,2)</f>
        <v>#REF!</v>
      </c>
      <c r="D339" s="679" t="e">
        <f>ROUND('Balance N'!#REF!,2)</f>
        <v>#REF!</v>
      </c>
      <c r="E339" s="679">
        <f>ROUND('Balance N'!C339,2)</f>
        <v>0</v>
      </c>
      <c r="F339" s="679">
        <f>ROUND('Balance N'!D339,2)</f>
        <v>0</v>
      </c>
      <c r="G339" s="679">
        <f>ROUND('Balance N'!E339,2)</f>
        <v>0</v>
      </c>
      <c r="H339" s="679">
        <f>ROUND('Balance N'!F339,2)</f>
        <v>0</v>
      </c>
      <c r="I339" s="2" t="str">
        <f t="shared" si="8"/>
        <v>0</v>
      </c>
    </row>
    <row r="340" spans="1:9" x14ac:dyDescent="0.2">
      <c r="A340" s="573" t="str">
        <f>FIXED('Balance N'!A340,0,1)</f>
        <v>0</v>
      </c>
      <c r="B340" s="572">
        <f>+'Balance N'!B340</f>
        <v>0</v>
      </c>
      <c r="C340" s="679" t="e">
        <f>ROUND('Balance N'!#REF!,2)</f>
        <v>#REF!</v>
      </c>
      <c r="D340" s="679" t="e">
        <f>ROUND('Balance N'!#REF!,2)</f>
        <v>#REF!</v>
      </c>
      <c r="E340" s="679">
        <f>ROUND('Balance N'!C340,2)</f>
        <v>0</v>
      </c>
      <c r="F340" s="679">
        <f>ROUND('Balance N'!D340,2)</f>
        <v>0</v>
      </c>
      <c r="G340" s="679">
        <f>ROUND('Balance N'!E340,2)</f>
        <v>0</v>
      </c>
      <c r="H340" s="679">
        <f>ROUND('Balance N'!F340,2)</f>
        <v>0</v>
      </c>
      <c r="I340" s="2" t="str">
        <f t="shared" si="8"/>
        <v>0</v>
      </c>
    </row>
    <row r="341" spans="1:9" x14ac:dyDescent="0.2">
      <c r="A341" s="573" t="str">
        <f>FIXED('Balance N'!A341,0,1)</f>
        <v>0</v>
      </c>
      <c r="B341" s="572">
        <f>+'Balance N'!B341</f>
        <v>0</v>
      </c>
      <c r="C341" s="679" t="e">
        <f>ROUND('Balance N'!#REF!,2)</f>
        <v>#REF!</v>
      </c>
      <c r="D341" s="679" t="e">
        <f>ROUND('Balance N'!#REF!,2)</f>
        <v>#REF!</v>
      </c>
      <c r="E341" s="679">
        <f>ROUND('Balance N'!C341,2)</f>
        <v>0</v>
      </c>
      <c r="F341" s="679">
        <f>ROUND('Balance N'!D341,2)</f>
        <v>0</v>
      </c>
      <c r="G341" s="679">
        <f>ROUND('Balance N'!E341,2)</f>
        <v>0</v>
      </c>
      <c r="H341" s="679">
        <f>ROUND('Balance N'!F341,2)</f>
        <v>0</v>
      </c>
      <c r="I341" s="2" t="str">
        <f t="shared" si="8"/>
        <v>0</v>
      </c>
    </row>
    <row r="342" spans="1:9" x14ac:dyDescent="0.2">
      <c r="A342" s="573" t="str">
        <f>FIXED('Balance N'!A342,0,1)</f>
        <v>0</v>
      </c>
      <c r="B342" s="572">
        <f>+'Balance N'!B342</f>
        <v>0</v>
      </c>
      <c r="C342" s="679" t="e">
        <f>ROUND('Balance N'!#REF!,2)</f>
        <v>#REF!</v>
      </c>
      <c r="D342" s="679" t="e">
        <f>ROUND('Balance N'!#REF!,2)</f>
        <v>#REF!</v>
      </c>
      <c r="E342" s="679">
        <f>ROUND('Balance N'!C342,2)</f>
        <v>0</v>
      </c>
      <c r="F342" s="679">
        <f>ROUND('Balance N'!D342,2)</f>
        <v>0</v>
      </c>
      <c r="G342" s="679">
        <f>ROUND('Balance N'!E342,2)</f>
        <v>0</v>
      </c>
      <c r="H342" s="679">
        <f>ROUND('Balance N'!F342,2)</f>
        <v>0</v>
      </c>
      <c r="I342" s="2" t="str">
        <f t="shared" si="8"/>
        <v>0</v>
      </c>
    </row>
    <row r="343" spans="1:9" x14ac:dyDescent="0.2">
      <c r="A343" s="573" t="str">
        <f>FIXED('Balance N'!A343,0,1)</f>
        <v>0</v>
      </c>
      <c r="B343" s="572">
        <f>+'Balance N'!B343</f>
        <v>0</v>
      </c>
      <c r="C343" s="679" t="e">
        <f>ROUND('Balance N'!#REF!,2)</f>
        <v>#REF!</v>
      </c>
      <c r="D343" s="679" t="e">
        <f>ROUND('Balance N'!#REF!,2)</f>
        <v>#REF!</v>
      </c>
      <c r="E343" s="679">
        <f>ROUND('Balance N'!C343,2)</f>
        <v>0</v>
      </c>
      <c r="F343" s="679">
        <f>ROUND('Balance N'!D343,2)</f>
        <v>0</v>
      </c>
      <c r="G343" s="679">
        <f>ROUND('Balance N'!E343,2)</f>
        <v>0</v>
      </c>
      <c r="H343" s="679">
        <f>ROUND('Balance N'!F343,2)</f>
        <v>0</v>
      </c>
      <c r="I343" s="2" t="str">
        <f t="shared" si="8"/>
        <v>0</v>
      </c>
    </row>
    <row r="344" spans="1:9" x14ac:dyDescent="0.2">
      <c r="A344" s="573" t="str">
        <f>FIXED('Balance N'!A344,0,1)</f>
        <v>0</v>
      </c>
      <c r="B344" s="572">
        <f>+'Balance N'!B344</f>
        <v>0</v>
      </c>
      <c r="C344" s="679" t="e">
        <f>ROUND('Balance N'!#REF!,2)</f>
        <v>#REF!</v>
      </c>
      <c r="D344" s="679" t="e">
        <f>ROUND('Balance N'!#REF!,2)</f>
        <v>#REF!</v>
      </c>
      <c r="E344" s="679">
        <f>ROUND('Balance N'!C344,2)</f>
        <v>0</v>
      </c>
      <c r="F344" s="679">
        <f>ROUND('Balance N'!D344,2)</f>
        <v>0</v>
      </c>
      <c r="G344" s="679">
        <f>ROUND('Balance N'!E344,2)</f>
        <v>0</v>
      </c>
      <c r="H344" s="679">
        <f>ROUND('Balance N'!F344,2)</f>
        <v>0</v>
      </c>
      <c r="I344" s="2" t="str">
        <f t="shared" si="8"/>
        <v>0</v>
      </c>
    </row>
    <row r="345" spans="1:9" x14ac:dyDescent="0.2">
      <c r="A345" s="573" t="str">
        <f>FIXED('Balance N'!A345,0,1)</f>
        <v>0</v>
      </c>
      <c r="B345" s="572">
        <f>+'Balance N'!B345</f>
        <v>0</v>
      </c>
      <c r="C345" s="679" t="e">
        <f>ROUND('Balance N'!#REF!,2)</f>
        <v>#REF!</v>
      </c>
      <c r="D345" s="679" t="e">
        <f>ROUND('Balance N'!#REF!,2)</f>
        <v>#REF!</v>
      </c>
      <c r="E345" s="679">
        <f>ROUND('Balance N'!C345,2)</f>
        <v>0</v>
      </c>
      <c r="F345" s="679">
        <f>ROUND('Balance N'!D345,2)</f>
        <v>0</v>
      </c>
      <c r="G345" s="679">
        <f>ROUND('Balance N'!E345,2)</f>
        <v>0</v>
      </c>
      <c r="H345" s="679">
        <f>ROUND('Balance N'!F345,2)</f>
        <v>0</v>
      </c>
      <c r="I345" s="2" t="str">
        <f t="shared" si="8"/>
        <v>0</v>
      </c>
    </row>
    <row r="346" spans="1:9" x14ac:dyDescent="0.2">
      <c r="A346" s="573" t="str">
        <f>FIXED('Balance N'!A346,0,1)</f>
        <v>0</v>
      </c>
      <c r="B346" s="572">
        <f>+'Balance N'!B346</f>
        <v>0</v>
      </c>
      <c r="C346" s="679" t="e">
        <f>ROUND('Balance N'!#REF!,2)</f>
        <v>#REF!</v>
      </c>
      <c r="D346" s="679" t="e">
        <f>ROUND('Balance N'!#REF!,2)</f>
        <v>#REF!</v>
      </c>
      <c r="E346" s="679">
        <f>ROUND('Balance N'!C346,2)</f>
        <v>0</v>
      </c>
      <c r="F346" s="679">
        <f>ROUND('Balance N'!D346,2)</f>
        <v>0</v>
      </c>
      <c r="G346" s="679">
        <f>ROUND('Balance N'!E346,2)</f>
        <v>0</v>
      </c>
      <c r="H346" s="679">
        <f>ROUND('Balance N'!F346,2)</f>
        <v>0</v>
      </c>
      <c r="I346" s="2" t="str">
        <f t="shared" si="8"/>
        <v>0</v>
      </c>
    </row>
    <row r="347" spans="1:9" x14ac:dyDescent="0.2">
      <c r="A347" s="573" t="str">
        <f>FIXED('Balance N'!A347,0,1)</f>
        <v>0</v>
      </c>
      <c r="B347" s="572">
        <f>+'Balance N'!B347</f>
        <v>0</v>
      </c>
      <c r="C347" s="679" t="e">
        <f>ROUND('Balance N'!#REF!,2)</f>
        <v>#REF!</v>
      </c>
      <c r="D347" s="679" t="e">
        <f>ROUND('Balance N'!#REF!,2)</f>
        <v>#REF!</v>
      </c>
      <c r="E347" s="679">
        <f>ROUND('Balance N'!C347,2)</f>
        <v>0</v>
      </c>
      <c r="F347" s="679">
        <f>ROUND('Balance N'!D347,2)</f>
        <v>0</v>
      </c>
      <c r="G347" s="679">
        <f>ROUND('Balance N'!E347,2)</f>
        <v>0</v>
      </c>
      <c r="H347" s="679">
        <f>ROUND('Balance N'!F347,2)</f>
        <v>0</v>
      </c>
      <c r="I347" s="2" t="str">
        <f t="shared" si="8"/>
        <v>0</v>
      </c>
    </row>
    <row r="348" spans="1:9" x14ac:dyDescent="0.2">
      <c r="A348" s="573" t="str">
        <f>FIXED('Balance N'!A348,0,1)</f>
        <v>0</v>
      </c>
      <c r="B348" s="572">
        <f>+'Balance N'!B348</f>
        <v>0</v>
      </c>
      <c r="C348" s="679" t="e">
        <f>ROUND('Balance N'!#REF!,2)</f>
        <v>#REF!</v>
      </c>
      <c r="D348" s="679" t="e">
        <f>ROUND('Balance N'!#REF!,2)</f>
        <v>#REF!</v>
      </c>
      <c r="E348" s="679">
        <f>ROUND('Balance N'!C348,2)</f>
        <v>0</v>
      </c>
      <c r="F348" s="679">
        <f>ROUND('Balance N'!D348,2)</f>
        <v>0</v>
      </c>
      <c r="G348" s="679">
        <f>ROUND('Balance N'!E348,2)</f>
        <v>0</v>
      </c>
      <c r="H348" s="679">
        <f>ROUND('Balance N'!F348,2)</f>
        <v>0</v>
      </c>
      <c r="I348" s="2" t="str">
        <f t="shared" si="8"/>
        <v>0</v>
      </c>
    </row>
    <row r="349" spans="1:9" x14ac:dyDescent="0.2">
      <c r="A349" s="573" t="str">
        <f>FIXED('Balance N'!A349,0,1)</f>
        <v>0</v>
      </c>
      <c r="B349" s="572">
        <f>+'Balance N'!B349</f>
        <v>0</v>
      </c>
      <c r="C349" s="679" t="e">
        <f>ROUND('Balance N'!#REF!,2)</f>
        <v>#REF!</v>
      </c>
      <c r="D349" s="679" t="e">
        <f>ROUND('Balance N'!#REF!,2)</f>
        <v>#REF!</v>
      </c>
      <c r="E349" s="679">
        <f>ROUND('Balance N'!C349,2)</f>
        <v>0</v>
      </c>
      <c r="F349" s="679">
        <f>ROUND('Balance N'!D349,2)</f>
        <v>0</v>
      </c>
      <c r="G349" s="679">
        <f>ROUND('Balance N'!E349,2)</f>
        <v>0</v>
      </c>
      <c r="H349" s="679">
        <f>ROUND('Balance N'!F349,2)</f>
        <v>0</v>
      </c>
      <c r="I349" s="2" t="str">
        <f t="shared" si="8"/>
        <v>0</v>
      </c>
    </row>
    <row r="350" spans="1:9" x14ac:dyDescent="0.2">
      <c r="A350" s="573" t="str">
        <f>FIXED('Balance N'!A350,0,1)</f>
        <v>0</v>
      </c>
      <c r="B350" s="572">
        <f>+'Balance N'!B350</f>
        <v>0</v>
      </c>
      <c r="C350" s="679" t="e">
        <f>ROUND('Balance N'!#REF!,2)</f>
        <v>#REF!</v>
      </c>
      <c r="D350" s="679" t="e">
        <f>ROUND('Balance N'!#REF!,2)</f>
        <v>#REF!</v>
      </c>
      <c r="E350" s="679">
        <f>ROUND('Balance N'!C350,2)</f>
        <v>0</v>
      </c>
      <c r="F350" s="679">
        <f>ROUND('Balance N'!D350,2)</f>
        <v>0</v>
      </c>
      <c r="G350" s="679">
        <f>ROUND('Balance N'!E350,2)</f>
        <v>0</v>
      </c>
      <c r="H350" s="679">
        <f>ROUND('Balance N'!F350,2)</f>
        <v>0</v>
      </c>
      <c r="I350" s="2" t="str">
        <f t="shared" si="8"/>
        <v>0</v>
      </c>
    </row>
    <row r="351" spans="1:9" x14ac:dyDescent="0.2">
      <c r="A351" s="573" t="str">
        <f>FIXED('Balance N'!A351,0,1)</f>
        <v>0</v>
      </c>
      <c r="B351" s="572">
        <f>+'Balance N'!B351</f>
        <v>0</v>
      </c>
      <c r="C351" s="679" t="e">
        <f>ROUND('Balance N'!#REF!,2)</f>
        <v>#REF!</v>
      </c>
      <c r="D351" s="679" t="e">
        <f>ROUND('Balance N'!#REF!,2)</f>
        <v>#REF!</v>
      </c>
      <c r="E351" s="679">
        <f>ROUND('Balance N'!C351,2)</f>
        <v>0</v>
      </c>
      <c r="F351" s="679">
        <f>ROUND('Balance N'!D351,2)</f>
        <v>0</v>
      </c>
      <c r="G351" s="679">
        <f>ROUND('Balance N'!E351,2)</f>
        <v>0</v>
      </c>
      <c r="H351" s="679">
        <f>ROUND('Balance N'!F351,2)</f>
        <v>0</v>
      </c>
      <c r="I351" s="2" t="str">
        <f t="shared" si="8"/>
        <v>0</v>
      </c>
    </row>
    <row r="352" spans="1:9" x14ac:dyDescent="0.2">
      <c r="A352" s="573" t="str">
        <f>FIXED('Balance N'!A352,0,1)</f>
        <v>0</v>
      </c>
      <c r="B352" s="572">
        <f>+'Balance N'!B352</f>
        <v>0</v>
      </c>
      <c r="C352" s="679" t="e">
        <f>ROUND('Balance N'!#REF!,2)</f>
        <v>#REF!</v>
      </c>
      <c r="D352" s="679" t="e">
        <f>ROUND('Balance N'!#REF!,2)</f>
        <v>#REF!</v>
      </c>
      <c r="E352" s="679">
        <f>ROUND('Balance N'!C352,2)</f>
        <v>0</v>
      </c>
      <c r="F352" s="679">
        <f>ROUND('Balance N'!D352,2)</f>
        <v>0</v>
      </c>
      <c r="G352" s="679">
        <f>ROUND('Balance N'!E352,2)</f>
        <v>0</v>
      </c>
      <c r="H352" s="679">
        <f>ROUND('Balance N'!F352,2)</f>
        <v>0</v>
      </c>
      <c r="I352" s="2" t="str">
        <f t="shared" si="8"/>
        <v>0</v>
      </c>
    </row>
    <row r="353" spans="1:9" x14ac:dyDescent="0.2">
      <c r="A353" s="573" t="str">
        <f>FIXED('Balance N'!A353,0,1)</f>
        <v>0</v>
      </c>
      <c r="B353" s="572">
        <f>+'Balance N'!B353</f>
        <v>0</v>
      </c>
      <c r="C353" s="679" t="e">
        <f>ROUND('Balance N'!#REF!,2)</f>
        <v>#REF!</v>
      </c>
      <c r="D353" s="679" t="e">
        <f>ROUND('Balance N'!#REF!,2)</f>
        <v>#REF!</v>
      </c>
      <c r="E353" s="679">
        <f>ROUND('Balance N'!C353,2)</f>
        <v>0</v>
      </c>
      <c r="F353" s="679">
        <f>ROUND('Balance N'!D353,2)</f>
        <v>0</v>
      </c>
      <c r="G353" s="679">
        <f>ROUND('Balance N'!E353,2)</f>
        <v>0</v>
      </c>
      <c r="H353" s="679">
        <f>ROUND('Balance N'!F353,2)</f>
        <v>0</v>
      </c>
      <c r="I353" s="2" t="str">
        <f t="shared" si="8"/>
        <v>0</v>
      </c>
    </row>
    <row r="354" spans="1:9" x14ac:dyDescent="0.2">
      <c r="A354" s="573" t="str">
        <f>FIXED('Balance N'!A354,0,1)</f>
        <v>0</v>
      </c>
      <c r="B354" s="572">
        <f>+'Balance N'!B354</f>
        <v>0</v>
      </c>
      <c r="C354" s="679" t="e">
        <f>ROUND('Balance N'!#REF!,2)</f>
        <v>#REF!</v>
      </c>
      <c r="D354" s="679" t="e">
        <f>ROUND('Balance N'!#REF!,2)</f>
        <v>#REF!</v>
      </c>
      <c r="E354" s="679">
        <f>ROUND('Balance N'!C354,2)</f>
        <v>0</v>
      </c>
      <c r="F354" s="679">
        <f>ROUND('Balance N'!D354,2)</f>
        <v>0</v>
      </c>
      <c r="G354" s="679">
        <f>ROUND('Balance N'!E354,2)</f>
        <v>0</v>
      </c>
      <c r="H354" s="679">
        <f>ROUND('Balance N'!F354,2)</f>
        <v>0</v>
      </c>
      <c r="I354" s="2" t="str">
        <f t="shared" si="8"/>
        <v>0</v>
      </c>
    </row>
    <row r="355" spans="1:9" x14ac:dyDescent="0.2">
      <c r="A355" s="573" t="str">
        <f>FIXED('Balance N'!A355,0,1)</f>
        <v>0</v>
      </c>
      <c r="B355" s="572">
        <f>+'Balance N'!B355</f>
        <v>0</v>
      </c>
      <c r="C355" s="679" t="e">
        <f>ROUND('Balance N'!#REF!,2)</f>
        <v>#REF!</v>
      </c>
      <c r="D355" s="679" t="e">
        <f>ROUND('Balance N'!#REF!,2)</f>
        <v>#REF!</v>
      </c>
      <c r="E355" s="679">
        <f>ROUND('Balance N'!C355,2)</f>
        <v>0</v>
      </c>
      <c r="F355" s="679">
        <f>ROUND('Balance N'!D355,2)</f>
        <v>0</v>
      </c>
      <c r="G355" s="679">
        <f>ROUND('Balance N'!E355,2)</f>
        <v>0</v>
      </c>
      <c r="H355" s="679">
        <f>ROUND('Balance N'!F355,2)</f>
        <v>0</v>
      </c>
      <c r="I355" s="2" t="str">
        <f t="shared" si="8"/>
        <v>0</v>
      </c>
    </row>
    <row r="356" spans="1:9" x14ac:dyDescent="0.2">
      <c r="A356" s="573" t="str">
        <f>FIXED('Balance N'!A356,0,1)</f>
        <v>0</v>
      </c>
      <c r="B356" s="572">
        <f>+'Balance N'!B356</f>
        <v>0</v>
      </c>
      <c r="C356" s="679" t="e">
        <f>ROUND('Balance N'!#REF!,2)</f>
        <v>#REF!</v>
      </c>
      <c r="D356" s="679" t="e">
        <f>ROUND('Balance N'!#REF!,2)</f>
        <v>#REF!</v>
      </c>
      <c r="E356" s="679">
        <f>ROUND('Balance N'!C356,2)</f>
        <v>0</v>
      </c>
      <c r="F356" s="679">
        <f>ROUND('Balance N'!D356,2)</f>
        <v>0</v>
      </c>
      <c r="G356" s="679">
        <f>ROUND('Balance N'!E356,2)</f>
        <v>0</v>
      </c>
      <c r="H356" s="679">
        <f>ROUND('Balance N'!F356,2)</f>
        <v>0</v>
      </c>
      <c r="I356" s="2" t="str">
        <f t="shared" si="8"/>
        <v>0</v>
      </c>
    </row>
    <row r="357" spans="1:9" x14ac:dyDescent="0.2">
      <c r="A357" s="573" t="str">
        <f>FIXED('Balance N'!A357,0,1)</f>
        <v>0</v>
      </c>
      <c r="B357" s="572">
        <f>+'Balance N'!B357</f>
        <v>0</v>
      </c>
      <c r="C357" s="679" t="e">
        <f>ROUND('Balance N'!#REF!,2)</f>
        <v>#REF!</v>
      </c>
      <c r="D357" s="679" t="e">
        <f>ROUND('Balance N'!#REF!,2)</f>
        <v>#REF!</v>
      </c>
      <c r="E357" s="679">
        <f>ROUND('Balance N'!C357,2)</f>
        <v>0</v>
      </c>
      <c r="F357" s="679">
        <f>ROUND('Balance N'!D357,2)</f>
        <v>0</v>
      </c>
      <c r="G357" s="679">
        <f>ROUND('Balance N'!E357,2)</f>
        <v>0</v>
      </c>
      <c r="H357" s="679">
        <f>ROUND('Balance N'!F357,2)</f>
        <v>0</v>
      </c>
      <c r="I357" s="2" t="str">
        <f t="shared" si="8"/>
        <v>0</v>
      </c>
    </row>
    <row r="358" spans="1:9" x14ac:dyDescent="0.2">
      <c r="A358" s="573" t="str">
        <f>FIXED('Balance N'!A358,0,1)</f>
        <v>0</v>
      </c>
      <c r="B358" s="572">
        <f>+'Balance N'!B358</f>
        <v>0</v>
      </c>
      <c r="C358" s="679" t="e">
        <f>ROUND('Balance N'!#REF!,2)</f>
        <v>#REF!</v>
      </c>
      <c r="D358" s="679" t="e">
        <f>ROUND('Balance N'!#REF!,2)</f>
        <v>#REF!</v>
      </c>
      <c r="E358" s="679">
        <f>ROUND('Balance N'!C358,2)</f>
        <v>0</v>
      </c>
      <c r="F358" s="679">
        <f>ROUND('Balance N'!D358,2)</f>
        <v>0</v>
      </c>
      <c r="G358" s="679">
        <f>ROUND('Balance N'!E358,2)</f>
        <v>0</v>
      </c>
      <c r="H358" s="679">
        <f>ROUND('Balance N'!F358,2)</f>
        <v>0</v>
      </c>
      <c r="I358" s="2" t="str">
        <f t="shared" si="8"/>
        <v>0</v>
      </c>
    </row>
    <row r="359" spans="1:9" x14ac:dyDescent="0.2">
      <c r="A359" s="573" t="str">
        <f>FIXED('Balance N'!A359,0,1)</f>
        <v>0</v>
      </c>
      <c r="B359" s="572">
        <f>+'Balance N'!B359</f>
        <v>0</v>
      </c>
      <c r="C359" s="679" t="e">
        <f>ROUND('Balance N'!#REF!,2)</f>
        <v>#REF!</v>
      </c>
      <c r="D359" s="679" t="e">
        <f>ROUND('Balance N'!#REF!,2)</f>
        <v>#REF!</v>
      </c>
      <c r="E359" s="679">
        <f>ROUND('Balance N'!C359,2)</f>
        <v>0</v>
      </c>
      <c r="F359" s="679">
        <f>ROUND('Balance N'!D359,2)</f>
        <v>0</v>
      </c>
      <c r="G359" s="679">
        <f>ROUND('Balance N'!E359,2)</f>
        <v>0</v>
      </c>
      <c r="H359" s="679">
        <f>ROUND('Balance N'!F359,2)</f>
        <v>0</v>
      </c>
      <c r="I359" s="2" t="str">
        <f t="shared" si="8"/>
        <v>0</v>
      </c>
    </row>
    <row r="360" spans="1:9" x14ac:dyDescent="0.2">
      <c r="A360" s="573" t="str">
        <f>FIXED('Balance N'!A360,0,1)</f>
        <v>0</v>
      </c>
      <c r="B360" s="572">
        <f>+'Balance N'!B360</f>
        <v>0</v>
      </c>
      <c r="C360" s="679" t="e">
        <f>ROUND('Balance N'!#REF!,2)</f>
        <v>#REF!</v>
      </c>
      <c r="D360" s="679" t="e">
        <f>ROUND('Balance N'!#REF!,2)</f>
        <v>#REF!</v>
      </c>
      <c r="E360" s="679">
        <f>ROUND('Balance N'!C360,2)</f>
        <v>0</v>
      </c>
      <c r="F360" s="679">
        <f>ROUND('Balance N'!D360,2)</f>
        <v>0</v>
      </c>
      <c r="G360" s="679">
        <f>ROUND('Balance N'!E360,2)</f>
        <v>0</v>
      </c>
      <c r="H360" s="679">
        <f>ROUND('Balance N'!F360,2)</f>
        <v>0</v>
      </c>
      <c r="I360" s="2" t="str">
        <f t="shared" si="8"/>
        <v>0</v>
      </c>
    </row>
    <row r="361" spans="1:9" x14ac:dyDescent="0.2">
      <c r="A361" s="573" t="str">
        <f>FIXED('Balance N'!A361,0,1)</f>
        <v>0</v>
      </c>
      <c r="B361" s="572">
        <f>+'Balance N'!B361</f>
        <v>0</v>
      </c>
      <c r="C361" s="679" t="e">
        <f>ROUND('Balance N'!#REF!,2)</f>
        <v>#REF!</v>
      </c>
      <c r="D361" s="679" t="e">
        <f>ROUND('Balance N'!#REF!,2)</f>
        <v>#REF!</v>
      </c>
      <c r="E361" s="679">
        <f>ROUND('Balance N'!C361,2)</f>
        <v>0</v>
      </c>
      <c r="F361" s="679">
        <f>ROUND('Balance N'!D361,2)</f>
        <v>0</v>
      </c>
      <c r="G361" s="679">
        <f>ROUND('Balance N'!E361,2)</f>
        <v>0</v>
      </c>
      <c r="H361" s="679">
        <f>ROUND('Balance N'!F361,2)</f>
        <v>0</v>
      </c>
      <c r="I361" s="2" t="str">
        <f t="shared" si="8"/>
        <v>0</v>
      </c>
    </row>
    <row r="362" spans="1:9" x14ac:dyDescent="0.2">
      <c r="A362" s="573" t="str">
        <f>FIXED('Balance N'!A362,0,1)</f>
        <v>0</v>
      </c>
      <c r="B362" s="572">
        <f>+'Balance N'!B362</f>
        <v>0</v>
      </c>
      <c r="C362" s="679" t="e">
        <f>ROUND('Balance N'!#REF!,2)</f>
        <v>#REF!</v>
      </c>
      <c r="D362" s="679" t="e">
        <f>ROUND('Balance N'!#REF!,2)</f>
        <v>#REF!</v>
      </c>
      <c r="E362" s="679">
        <f>ROUND('Balance N'!C362,2)</f>
        <v>0</v>
      </c>
      <c r="F362" s="679">
        <f>ROUND('Balance N'!D362,2)</f>
        <v>0</v>
      </c>
      <c r="G362" s="679">
        <f>ROUND('Balance N'!E362,2)</f>
        <v>0</v>
      </c>
      <c r="H362" s="679">
        <f>ROUND('Balance N'!F362,2)</f>
        <v>0</v>
      </c>
      <c r="I362" s="2" t="str">
        <f t="shared" si="8"/>
        <v>0</v>
      </c>
    </row>
    <row r="363" spans="1:9" x14ac:dyDescent="0.2">
      <c r="A363" s="573" t="str">
        <f>FIXED('Balance N'!A363,0,1)</f>
        <v>0</v>
      </c>
      <c r="B363" s="572">
        <f>+'Balance N'!B363</f>
        <v>0</v>
      </c>
      <c r="C363" s="679" t="e">
        <f>ROUND('Balance N'!#REF!,2)</f>
        <v>#REF!</v>
      </c>
      <c r="D363" s="679" t="e">
        <f>ROUND('Balance N'!#REF!,2)</f>
        <v>#REF!</v>
      </c>
      <c r="E363" s="679">
        <f>ROUND('Balance N'!C363,2)</f>
        <v>0</v>
      </c>
      <c r="F363" s="679">
        <f>ROUND('Balance N'!D363,2)</f>
        <v>0</v>
      </c>
      <c r="G363" s="679">
        <f>ROUND('Balance N'!E363,2)</f>
        <v>0</v>
      </c>
      <c r="H363" s="679">
        <f>ROUND('Balance N'!F363,2)</f>
        <v>0</v>
      </c>
      <c r="I363" s="2" t="str">
        <f t="shared" si="8"/>
        <v>0</v>
      </c>
    </row>
    <row r="364" spans="1:9" x14ac:dyDescent="0.2">
      <c r="A364" s="573" t="str">
        <f>FIXED('Balance N'!A364,0,1)</f>
        <v>0</v>
      </c>
      <c r="B364" s="572">
        <f>+'Balance N'!B364</f>
        <v>0</v>
      </c>
      <c r="C364" s="679" t="e">
        <f>ROUND('Balance N'!#REF!,2)</f>
        <v>#REF!</v>
      </c>
      <c r="D364" s="679" t="e">
        <f>ROUND('Balance N'!#REF!,2)</f>
        <v>#REF!</v>
      </c>
      <c r="E364" s="679">
        <f>ROUND('Balance N'!C364,2)</f>
        <v>0</v>
      </c>
      <c r="F364" s="679">
        <f>ROUND('Balance N'!D364,2)</f>
        <v>0</v>
      </c>
      <c r="G364" s="679">
        <f>ROUND('Balance N'!E364,2)</f>
        <v>0</v>
      </c>
      <c r="H364" s="679">
        <f>ROUND('Balance N'!F364,2)</f>
        <v>0</v>
      </c>
      <c r="I364" s="2" t="str">
        <f t="shared" si="8"/>
        <v>0</v>
      </c>
    </row>
    <row r="365" spans="1:9" x14ac:dyDescent="0.2">
      <c r="A365" s="573" t="str">
        <f>FIXED('Balance N'!A365,0,1)</f>
        <v>0</v>
      </c>
      <c r="B365" s="572">
        <f>+'Balance N'!B365</f>
        <v>0</v>
      </c>
      <c r="C365" s="679" t="e">
        <f>ROUND('Balance N'!#REF!,2)</f>
        <v>#REF!</v>
      </c>
      <c r="D365" s="679" t="e">
        <f>ROUND('Balance N'!#REF!,2)</f>
        <v>#REF!</v>
      </c>
      <c r="E365" s="679">
        <f>ROUND('Balance N'!C365,2)</f>
        <v>0</v>
      </c>
      <c r="F365" s="679">
        <f>ROUND('Balance N'!D365,2)</f>
        <v>0</v>
      </c>
      <c r="G365" s="679">
        <f>ROUND('Balance N'!E365,2)</f>
        <v>0</v>
      </c>
      <c r="H365" s="679">
        <f>ROUND('Balance N'!F365,2)</f>
        <v>0</v>
      </c>
      <c r="I365" s="2" t="str">
        <f t="shared" si="8"/>
        <v>0</v>
      </c>
    </row>
    <row r="366" spans="1:9" x14ac:dyDescent="0.2">
      <c r="A366" s="573" t="str">
        <f>FIXED('Balance N'!A366,0,1)</f>
        <v>0</v>
      </c>
      <c r="B366" s="572">
        <f>+'Balance N'!B366</f>
        <v>0</v>
      </c>
      <c r="C366" s="679" t="e">
        <f>ROUND('Balance N'!#REF!,2)</f>
        <v>#REF!</v>
      </c>
      <c r="D366" s="679" t="e">
        <f>ROUND('Balance N'!#REF!,2)</f>
        <v>#REF!</v>
      </c>
      <c r="E366" s="679">
        <f>ROUND('Balance N'!C366,2)</f>
        <v>0</v>
      </c>
      <c r="F366" s="679">
        <f>ROUND('Balance N'!D366,2)</f>
        <v>0</v>
      </c>
      <c r="G366" s="679">
        <f>ROUND('Balance N'!E366,2)</f>
        <v>0</v>
      </c>
      <c r="H366" s="679">
        <f>ROUND('Balance N'!F366,2)</f>
        <v>0</v>
      </c>
      <c r="I366" s="2" t="str">
        <f t="shared" si="8"/>
        <v>0</v>
      </c>
    </row>
    <row r="367" spans="1:9" x14ac:dyDescent="0.2">
      <c r="A367" s="573" t="str">
        <f>FIXED('Balance N'!A367,0,1)</f>
        <v>0</v>
      </c>
      <c r="B367" s="572">
        <f>+'Balance N'!B367</f>
        <v>0</v>
      </c>
      <c r="C367" s="679" t="e">
        <f>ROUND('Balance N'!#REF!,2)</f>
        <v>#REF!</v>
      </c>
      <c r="D367" s="679" t="e">
        <f>ROUND('Balance N'!#REF!,2)</f>
        <v>#REF!</v>
      </c>
      <c r="E367" s="679">
        <f>ROUND('Balance N'!C367,2)</f>
        <v>0</v>
      </c>
      <c r="F367" s="679">
        <f>ROUND('Balance N'!D367,2)</f>
        <v>0</v>
      </c>
      <c r="G367" s="679">
        <f>ROUND('Balance N'!E367,2)</f>
        <v>0</v>
      </c>
      <c r="H367" s="679">
        <f>ROUND('Balance N'!F367,2)</f>
        <v>0</v>
      </c>
      <c r="I367" s="2" t="str">
        <f t="shared" si="8"/>
        <v>0</v>
      </c>
    </row>
    <row r="368" spans="1:9" x14ac:dyDescent="0.2">
      <c r="A368" s="573" t="str">
        <f>FIXED('Balance N'!A368,0,1)</f>
        <v>0</v>
      </c>
      <c r="B368" s="572">
        <f>+'Balance N'!B368</f>
        <v>0</v>
      </c>
      <c r="C368" s="679" t="e">
        <f>ROUND('Balance N'!#REF!,2)</f>
        <v>#REF!</v>
      </c>
      <c r="D368" s="679" t="e">
        <f>ROUND('Balance N'!#REF!,2)</f>
        <v>#REF!</v>
      </c>
      <c r="E368" s="679">
        <f>ROUND('Balance N'!C368,2)</f>
        <v>0</v>
      </c>
      <c r="F368" s="679">
        <f>ROUND('Balance N'!D368,2)</f>
        <v>0</v>
      </c>
      <c r="G368" s="679">
        <f>ROUND('Balance N'!E368,2)</f>
        <v>0</v>
      </c>
      <c r="H368" s="679">
        <f>ROUND('Balance N'!F368,2)</f>
        <v>0</v>
      </c>
      <c r="I368" s="2" t="str">
        <f t="shared" si="8"/>
        <v>0</v>
      </c>
    </row>
    <row r="369" spans="1:9" x14ac:dyDescent="0.2">
      <c r="A369" s="573" t="str">
        <f>FIXED('Balance N'!A369,0,1)</f>
        <v>0</v>
      </c>
      <c r="B369" s="572">
        <f>+'Balance N'!B369</f>
        <v>0</v>
      </c>
      <c r="C369" s="679" t="e">
        <f>ROUND('Balance N'!#REF!,2)</f>
        <v>#REF!</v>
      </c>
      <c r="D369" s="679" t="e">
        <f>ROUND('Balance N'!#REF!,2)</f>
        <v>#REF!</v>
      </c>
      <c r="E369" s="679">
        <f>ROUND('Balance N'!C369,2)</f>
        <v>0</v>
      </c>
      <c r="F369" s="679">
        <f>ROUND('Balance N'!D369,2)</f>
        <v>0</v>
      </c>
      <c r="G369" s="679">
        <f>ROUND('Balance N'!E369,2)</f>
        <v>0</v>
      </c>
      <c r="H369" s="679">
        <f>ROUND('Balance N'!F369,2)</f>
        <v>0</v>
      </c>
      <c r="I369" s="2" t="str">
        <f t="shared" si="8"/>
        <v>0</v>
      </c>
    </row>
    <row r="370" spans="1:9" x14ac:dyDescent="0.2">
      <c r="A370" s="573" t="str">
        <f>FIXED('Balance N'!A370,0,1)</f>
        <v>0</v>
      </c>
      <c r="B370" s="572">
        <f>+'Balance N'!B370</f>
        <v>0</v>
      </c>
      <c r="C370" s="679" t="e">
        <f>ROUND('Balance N'!#REF!,2)</f>
        <v>#REF!</v>
      </c>
      <c r="D370" s="679" t="e">
        <f>ROUND('Balance N'!#REF!,2)</f>
        <v>#REF!</v>
      </c>
      <c r="E370" s="679">
        <f>ROUND('Balance N'!C370,2)</f>
        <v>0</v>
      </c>
      <c r="F370" s="679">
        <f>ROUND('Balance N'!D370,2)</f>
        <v>0</v>
      </c>
      <c r="G370" s="679">
        <f>ROUND('Balance N'!E370,2)</f>
        <v>0</v>
      </c>
      <c r="H370" s="679">
        <f>ROUND('Balance N'!F370,2)</f>
        <v>0</v>
      </c>
      <c r="I370" s="2" t="str">
        <f t="shared" si="8"/>
        <v>0</v>
      </c>
    </row>
    <row r="371" spans="1:9" x14ac:dyDescent="0.2">
      <c r="A371" s="573" t="str">
        <f>FIXED('Balance N'!A371,0,1)</f>
        <v>0</v>
      </c>
      <c r="B371" s="572">
        <f>+'Balance N'!B371</f>
        <v>0</v>
      </c>
      <c r="C371" s="679" t="e">
        <f>ROUND('Balance N'!#REF!,2)</f>
        <v>#REF!</v>
      </c>
      <c r="D371" s="679" t="e">
        <f>ROUND('Balance N'!#REF!,2)</f>
        <v>#REF!</v>
      </c>
      <c r="E371" s="679">
        <f>ROUND('Balance N'!C371,2)</f>
        <v>0</v>
      </c>
      <c r="F371" s="679">
        <f>ROUND('Balance N'!D371,2)</f>
        <v>0</v>
      </c>
      <c r="G371" s="679">
        <f>ROUND('Balance N'!E371,2)</f>
        <v>0</v>
      </c>
      <c r="H371" s="679">
        <f>ROUND('Balance N'!F371,2)</f>
        <v>0</v>
      </c>
      <c r="I371" s="2" t="str">
        <f t="shared" si="8"/>
        <v>0</v>
      </c>
    </row>
    <row r="372" spans="1:9" x14ac:dyDescent="0.2">
      <c r="A372" s="573" t="str">
        <f>FIXED('Balance N'!A372,0,1)</f>
        <v>0</v>
      </c>
      <c r="B372" s="572">
        <f>+'Balance N'!B372</f>
        <v>0</v>
      </c>
      <c r="C372" s="679" t="e">
        <f>ROUND('Balance N'!#REF!,2)</f>
        <v>#REF!</v>
      </c>
      <c r="D372" s="679" t="e">
        <f>ROUND('Balance N'!#REF!,2)</f>
        <v>#REF!</v>
      </c>
      <c r="E372" s="679">
        <f>ROUND('Balance N'!C372,2)</f>
        <v>0</v>
      </c>
      <c r="F372" s="679">
        <f>ROUND('Balance N'!D372,2)</f>
        <v>0</v>
      </c>
      <c r="G372" s="679">
        <f>ROUND('Balance N'!E372,2)</f>
        <v>0</v>
      </c>
      <c r="H372" s="679">
        <f>ROUND('Balance N'!F372,2)</f>
        <v>0</v>
      </c>
      <c r="I372" s="2" t="str">
        <f t="shared" si="8"/>
        <v>0</v>
      </c>
    </row>
    <row r="373" spans="1:9" x14ac:dyDescent="0.2">
      <c r="A373" s="573" t="str">
        <f>FIXED('Balance N'!A373,0,1)</f>
        <v>0</v>
      </c>
      <c r="B373" s="572">
        <f>+'Balance N'!B373</f>
        <v>0</v>
      </c>
      <c r="C373" s="679" t="e">
        <f>ROUND('Balance N'!#REF!,2)</f>
        <v>#REF!</v>
      </c>
      <c r="D373" s="679" t="e">
        <f>ROUND('Balance N'!#REF!,2)</f>
        <v>#REF!</v>
      </c>
      <c r="E373" s="679">
        <f>ROUND('Balance N'!C373,2)</f>
        <v>0</v>
      </c>
      <c r="F373" s="679">
        <f>ROUND('Balance N'!D373,2)</f>
        <v>0</v>
      </c>
      <c r="G373" s="679">
        <f>ROUND('Balance N'!E373,2)</f>
        <v>0</v>
      </c>
      <c r="H373" s="679">
        <f>ROUND('Balance N'!F373,2)</f>
        <v>0</v>
      </c>
      <c r="I373" s="2" t="str">
        <f t="shared" si="8"/>
        <v>0</v>
      </c>
    </row>
    <row r="374" spans="1:9" x14ac:dyDescent="0.2">
      <c r="A374" s="573" t="str">
        <f>FIXED('Balance N'!A374,0,1)</f>
        <v>0</v>
      </c>
      <c r="B374" s="572">
        <f>+'Balance N'!B374</f>
        <v>0</v>
      </c>
      <c r="C374" s="679" t="e">
        <f>ROUND('Balance N'!#REF!,2)</f>
        <v>#REF!</v>
      </c>
      <c r="D374" s="679" t="e">
        <f>ROUND('Balance N'!#REF!,2)</f>
        <v>#REF!</v>
      </c>
      <c r="E374" s="679">
        <f>ROUND('Balance N'!C374,2)</f>
        <v>0</v>
      </c>
      <c r="F374" s="679">
        <f>ROUND('Balance N'!D374,2)</f>
        <v>0</v>
      </c>
      <c r="G374" s="679">
        <f>ROUND('Balance N'!E374,2)</f>
        <v>0</v>
      </c>
      <c r="H374" s="679">
        <f>ROUND('Balance N'!F374,2)</f>
        <v>0</v>
      </c>
      <c r="I374" s="2" t="str">
        <f t="shared" si="8"/>
        <v>0</v>
      </c>
    </row>
    <row r="375" spans="1:9" x14ac:dyDescent="0.2">
      <c r="A375" s="573" t="str">
        <f>FIXED('Balance N'!A375,0,1)</f>
        <v>0</v>
      </c>
      <c r="B375" s="572">
        <f>+'Balance N'!B375</f>
        <v>0</v>
      </c>
      <c r="C375" s="679" t="e">
        <f>ROUND('Balance N'!#REF!,2)</f>
        <v>#REF!</v>
      </c>
      <c r="D375" s="679" t="e">
        <f>ROUND('Balance N'!#REF!,2)</f>
        <v>#REF!</v>
      </c>
      <c r="E375" s="679">
        <f>ROUND('Balance N'!C375,2)</f>
        <v>0</v>
      </c>
      <c r="F375" s="679">
        <f>ROUND('Balance N'!D375,2)</f>
        <v>0</v>
      </c>
      <c r="G375" s="679">
        <f>ROUND('Balance N'!E375,2)</f>
        <v>0</v>
      </c>
      <c r="H375" s="679">
        <f>ROUND('Balance N'!F375,2)</f>
        <v>0</v>
      </c>
      <c r="I375" s="2" t="str">
        <f t="shared" si="8"/>
        <v>0</v>
      </c>
    </row>
    <row r="376" spans="1:9" x14ac:dyDescent="0.2">
      <c r="A376" s="573" t="str">
        <f>FIXED('Balance N'!A376,0,1)</f>
        <v>0</v>
      </c>
      <c r="B376" s="572">
        <f>+'Balance N'!B376</f>
        <v>0</v>
      </c>
      <c r="C376" s="679" t="e">
        <f>ROUND('Balance N'!#REF!,2)</f>
        <v>#REF!</v>
      </c>
      <c r="D376" s="679" t="e">
        <f>ROUND('Balance N'!#REF!,2)</f>
        <v>#REF!</v>
      </c>
      <c r="E376" s="679">
        <f>ROUND('Balance N'!C376,2)</f>
        <v>0</v>
      </c>
      <c r="F376" s="679">
        <f>ROUND('Balance N'!D376,2)</f>
        <v>0</v>
      </c>
      <c r="G376" s="679">
        <f>ROUND('Balance N'!E376,2)</f>
        <v>0</v>
      </c>
      <c r="H376" s="679">
        <f>ROUND('Balance N'!F376,2)</f>
        <v>0</v>
      </c>
      <c r="I376" s="2" t="str">
        <f t="shared" si="8"/>
        <v>0</v>
      </c>
    </row>
    <row r="377" spans="1:9" x14ac:dyDescent="0.2">
      <c r="A377" s="573" t="str">
        <f>FIXED('Balance N'!A377,0,1)</f>
        <v>0</v>
      </c>
      <c r="B377" s="572">
        <f>+'Balance N'!B377</f>
        <v>0</v>
      </c>
      <c r="C377" s="679" t="e">
        <f>ROUND('Balance N'!#REF!,2)</f>
        <v>#REF!</v>
      </c>
      <c r="D377" s="679" t="e">
        <f>ROUND('Balance N'!#REF!,2)</f>
        <v>#REF!</v>
      </c>
      <c r="E377" s="679">
        <f>ROUND('Balance N'!C377,2)</f>
        <v>0</v>
      </c>
      <c r="F377" s="679">
        <f>ROUND('Balance N'!D377,2)</f>
        <v>0</v>
      </c>
      <c r="G377" s="679">
        <f>ROUND('Balance N'!E377,2)</f>
        <v>0</v>
      </c>
      <c r="H377" s="679">
        <f>ROUND('Balance N'!F377,2)</f>
        <v>0</v>
      </c>
      <c r="I377" s="2" t="str">
        <f t="shared" si="8"/>
        <v>0</v>
      </c>
    </row>
    <row r="378" spans="1:9" x14ac:dyDescent="0.2">
      <c r="A378" s="573" t="str">
        <f>FIXED('Balance N'!A378,0,1)</f>
        <v>0</v>
      </c>
      <c r="B378" s="572">
        <f>+'Balance N'!B378</f>
        <v>0</v>
      </c>
      <c r="C378" s="679" t="e">
        <f>ROUND('Balance N'!#REF!,2)</f>
        <v>#REF!</v>
      </c>
      <c r="D378" s="679" t="e">
        <f>ROUND('Balance N'!#REF!,2)</f>
        <v>#REF!</v>
      </c>
      <c r="E378" s="679">
        <f>ROUND('Balance N'!C378,2)</f>
        <v>0</v>
      </c>
      <c r="F378" s="679">
        <f>ROUND('Balance N'!D378,2)</f>
        <v>0</v>
      </c>
      <c r="G378" s="679">
        <f>ROUND('Balance N'!E378,2)</f>
        <v>0</v>
      </c>
      <c r="H378" s="679">
        <f>ROUND('Balance N'!F378,2)</f>
        <v>0</v>
      </c>
      <c r="I378" s="2" t="str">
        <f t="shared" si="8"/>
        <v>0</v>
      </c>
    </row>
    <row r="379" spans="1:9" x14ac:dyDescent="0.2">
      <c r="A379" s="573" t="str">
        <f>FIXED('Balance N'!A379,0,1)</f>
        <v>0</v>
      </c>
      <c r="B379" s="572">
        <f>+'Balance N'!B379</f>
        <v>0</v>
      </c>
      <c r="C379" s="679" t="e">
        <f>ROUND('Balance N'!#REF!,2)</f>
        <v>#REF!</v>
      </c>
      <c r="D379" s="679" t="e">
        <f>ROUND('Balance N'!#REF!,2)</f>
        <v>#REF!</v>
      </c>
      <c r="E379" s="679">
        <f>ROUND('Balance N'!C379,2)</f>
        <v>0</v>
      </c>
      <c r="F379" s="679">
        <f>ROUND('Balance N'!D379,2)</f>
        <v>0</v>
      </c>
      <c r="G379" s="679">
        <f>ROUND('Balance N'!E379,2)</f>
        <v>0</v>
      </c>
      <c r="H379" s="679">
        <f>ROUND('Balance N'!F379,2)</f>
        <v>0</v>
      </c>
      <c r="I379" s="2" t="str">
        <f t="shared" si="8"/>
        <v>0</v>
      </c>
    </row>
    <row r="380" spans="1:9" x14ac:dyDescent="0.2">
      <c r="A380" s="573" t="str">
        <f>FIXED('Balance N'!A380,0,1)</f>
        <v>0</v>
      </c>
      <c r="B380" s="572">
        <f>+'Balance N'!B380</f>
        <v>0</v>
      </c>
      <c r="C380" s="679" t="e">
        <f>ROUND('Balance N'!#REF!,2)</f>
        <v>#REF!</v>
      </c>
      <c r="D380" s="679" t="e">
        <f>ROUND('Balance N'!#REF!,2)</f>
        <v>#REF!</v>
      </c>
      <c r="E380" s="679">
        <f>ROUND('Balance N'!C380,2)</f>
        <v>0</v>
      </c>
      <c r="F380" s="679">
        <f>ROUND('Balance N'!D380,2)</f>
        <v>0</v>
      </c>
      <c r="G380" s="679">
        <f>ROUND('Balance N'!E380,2)</f>
        <v>0</v>
      </c>
      <c r="H380" s="679">
        <f>ROUND('Balance N'!F380,2)</f>
        <v>0</v>
      </c>
      <c r="I380" s="2" t="str">
        <f t="shared" si="8"/>
        <v>0</v>
      </c>
    </row>
    <row r="381" spans="1:9" x14ac:dyDescent="0.2">
      <c r="A381" s="573" t="str">
        <f>FIXED('Balance N'!A381,0,1)</f>
        <v>0</v>
      </c>
      <c r="B381" s="572">
        <f>+'Balance N'!B381</f>
        <v>0</v>
      </c>
      <c r="C381" s="679" t="e">
        <f>ROUND('Balance N'!#REF!,2)</f>
        <v>#REF!</v>
      </c>
      <c r="D381" s="679" t="e">
        <f>ROUND('Balance N'!#REF!,2)</f>
        <v>#REF!</v>
      </c>
      <c r="E381" s="679">
        <f>ROUND('Balance N'!C381,2)</f>
        <v>0</v>
      </c>
      <c r="F381" s="679">
        <f>ROUND('Balance N'!D381,2)</f>
        <v>0</v>
      </c>
      <c r="G381" s="679">
        <f>ROUND('Balance N'!E381,2)</f>
        <v>0</v>
      </c>
      <c r="H381" s="679">
        <f>ROUND('Balance N'!F381,2)</f>
        <v>0</v>
      </c>
      <c r="I381" s="2" t="str">
        <f t="shared" si="8"/>
        <v>0</v>
      </c>
    </row>
    <row r="382" spans="1:9" x14ac:dyDescent="0.2">
      <c r="A382" s="573" t="str">
        <f>FIXED('Balance N'!A382,0,1)</f>
        <v>0</v>
      </c>
      <c r="B382" s="572">
        <f>+'Balance N'!B382</f>
        <v>0</v>
      </c>
      <c r="C382" s="679" t="e">
        <f>ROUND('Balance N'!#REF!,2)</f>
        <v>#REF!</v>
      </c>
      <c r="D382" s="679" t="e">
        <f>ROUND('Balance N'!#REF!,2)</f>
        <v>#REF!</v>
      </c>
      <c r="E382" s="679">
        <f>ROUND('Balance N'!C382,2)</f>
        <v>0</v>
      </c>
      <c r="F382" s="679">
        <f>ROUND('Balance N'!D382,2)</f>
        <v>0</v>
      </c>
      <c r="G382" s="679">
        <f>ROUND('Balance N'!E382,2)</f>
        <v>0</v>
      </c>
      <c r="H382" s="679">
        <f>ROUND('Balance N'!F382,2)</f>
        <v>0</v>
      </c>
      <c r="I382" s="2" t="str">
        <f t="shared" si="8"/>
        <v>0</v>
      </c>
    </row>
    <row r="383" spans="1:9" x14ac:dyDescent="0.2">
      <c r="A383" s="573" t="str">
        <f>FIXED('Balance N'!A383,0,1)</f>
        <v>0</v>
      </c>
      <c r="B383" s="572">
        <f>+'Balance N'!B383</f>
        <v>0</v>
      </c>
      <c r="C383" s="679" t="e">
        <f>ROUND('Balance N'!#REF!,2)</f>
        <v>#REF!</v>
      </c>
      <c r="D383" s="679" t="e">
        <f>ROUND('Balance N'!#REF!,2)</f>
        <v>#REF!</v>
      </c>
      <c r="E383" s="679">
        <f>ROUND('Balance N'!C383,2)</f>
        <v>0</v>
      </c>
      <c r="F383" s="679">
        <f>ROUND('Balance N'!D383,2)</f>
        <v>0</v>
      </c>
      <c r="G383" s="679">
        <f>ROUND('Balance N'!E383,2)</f>
        <v>0</v>
      </c>
      <c r="H383" s="679">
        <f>ROUND('Balance N'!F383,2)</f>
        <v>0</v>
      </c>
      <c r="I383" s="2" t="str">
        <f t="shared" si="8"/>
        <v>0</v>
      </c>
    </row>
    <row r="384" spans="1:9" x14ac:dyDescent="0.2">
      <c r="A384" s="573" t="str">
        <f>FIXED('Balance N'!A384,0,1)</f>
        <v>0</v>
      </c>
      <c r="B384" s="572">
        <f>+'Balance N'!B384</f>
        <v>0</v>
      </c>
      <c r="C384" s="679" t="e">
        <f>ROUND('Balance N'!#REF!,2)</f>
        <v>#REF!</v>
      </c>
      <c r="D384" s="679" t="e">
        <f>ROUND('Balance N'!#REF!,2)</f>
        <v>#REF!</v>
      </c>
      <c r="E384" s="679">
        <f>ROUND('Balance N'!C384,2)</f>
        <v>0</v>
      </c>
      <c r="F384" s="679">
        <f>ROUND('Balance N'!D384,2)</f>
        <v>0</v>
      </c>
      <c r="G384" s="679">
        <f>ROUND('Balance N'!E384,2)</f>
        <v>0</v>
      </c>
      <c r="H384" s="679">
        <f>ROUND('Balance N'!F384,2)</f>
        <v>0</v>
      </c>
      <c r="I384" s="2" t="str">
        <f t="shared" si="8"/>
        <v>0</v>
      </c>
    </row>
    <row r="385" spans="1:9" x14ac:dyDescent="0.2">
      <c r="A385" s="573" t="str">
        <f>FIXED('Balance N'!A385,0,1)</f>
        <v>0</v>
      </c>
      <c r="B385" s="572">
        <f>+'Balance N'!B385</f>
        <v>0</v>
      </c>
      <c r="C385" s="679" t="e">
        <f>ROUND('Balance N'!#REF!,2)</f>
        <v>#REF!</v>
      </c>
      <c r="D385" s="679" t="e">
        <f>ROUND('Balance N'!#REF!,2)</f>
        <v>#REF!</v>
      </c>
      <c r="E385" s="679">
        <f>ROUND('Balance N'!C385,2)</f>
        <v>0</v>
      </c>
      <c r="F385" s="679">
        <f>ROUND('Balance N'!D385,2)</f>
        <v>0</v>
      </c>
      <c r="G385" s="679">
        <f>ROUND('Balance N'!E385,2)</f>
        <v>0</v>
      </c>
      <c r="H385" s="679">
        <f>ROUND('Balance N'!F385,2)</f>
        <v>0</v>
      </c>
      <c r="I385" s="2" t="str">
        <f t="shared" si="8"/>
        <v>0</v>
      </c>
    </row>
    <row r="386" spans="1:9" x14ac:dyDescent="0.2">
      <c r="A386" s="573" t="str">
        <f>FIXED('Balance N'!A386,0,1)</f>
        <v>0</v>
      </c>
      <c r="B386" s="572">
        <f>+'Balance N'!B386</f>
        <v>0</v>
      </c>
      <c r="C386" s="679" t="e">
        <f>ROUND('Balance N'!#REF!,2)</f>
        <v>#REF!</v>
      </c>
      <c r="D386" s="679" t="e">
        <f>ROUND('Balance N'!#REF!,2)</f>
        <v>#REF!</v>
      </c>
      <c r="E386" s="679">
        <f>ROUND('Balance N'!C386,2)</f>
        <v>0</v>
      </c>
      <c r="F386" s="679">
        <f>ROUND('Balance N'!D386,2)</f>
        <v>0</v>
      </c>
      <c r="G386" s="679">
        <f>ROUND('Balance N'!E386,2)</f>
        <v>0</v>
      </c>
      <c r="H386" s="679">
        <f>ROUND('Balance N'!F386,2)</f>
        <v>0</v>
      </c>
      <c r="I386" s="2" t="str">
        <f t="shared" ref="I386:I449" si="9">MID(A386,1,1)</f>
        <v>0</v>
      </c>
    </row>
    <row r="387" spans="1:9" x14ac:dyDescent="0.2">
      <c r="A387" s="573" t="str">
        <f>FIXED('Balance N'!A387,0,1)</f>
        <v>0</v>
      </c>
      <c r="B387" s="572">
        <f>+'Balance N'!B387</f>
        <v>0</v>
      </c>
      <c r="C387" s="679" t="e">
        <f>ROUND('Balance N'!#REF!,2)</f>
        <v>#REF!</v>
      </c>
      <c r="D387" s="679" t="e">
        <f>ROUND('Balance N'!#REF!,2)</f>
        <v>#REF!</v>
      </c>
      <c r="E387" s="679">
        <f>ROUND('Balance N'!C387,2)</f>
        <v>0</v>
      </c>
      <c r="F387" s="679">
        <f>ROUND('Balance N'!D387,2)</f>
        <v>0</v>
      </c>
      <c r="G387" s="679">
        <f>ROUND('Balance N'!E387,2)</f>
        <v>0</v>
      </c>
      <c r="H387" s="679">
        <f>ROUND('Balance N'!F387,2)</f>
        <v>0</v>
      </c>
      <c r="I387" s="2" t="str">
        <f t="shared" si="9"/>
        <v>0</v>
      </c>
    </row>
    <row r="388" spans="1:9" x14ac:dyDescent="0.2">
      <c r="A388" s="573" t="str">
        <f>FIXED('Balance N'!A388,0,1)</f>
        <v>0</v>
      </c>
      <c r="B388" s="572">
        <f>+'Balance N'!B388</f>
        <v>0</v>
      </c>
      <c r="C388" s="679" t="e">
        <f>ROUND('Balance N'!#REF!,2)</f>
        <v>#REF!</v>
      </c>
      <c r="D388" s="679" t="e">
        <f>ROUND('Balance N'!#REF!,2)</f>
        <v>#REF!</v>
      </c>
      <c r="E388" s="679">
        <f>ROUND('Balance N'!C388,2)</f>
        <v>0</v>
      </c>
      <c r="F388" s="679">
        <f>ROUND('Balance N'!D388,2)</f>
        <v>0</v>
      </c>
      <c r="G388" s="679">
        <f>ROUND('Balance N'!E388,2)</f>
        <v>0</v>
      </c>
      <c r="H388" s="679">
        <f>ROUND('Balance N'!F388,2)</f>
        <v>0</v>
      </c>
      <c r="I388" s="2" t="str">
        <f t="shared" si="9"/>
        <v>0</v>
      </c>
    </row>
    <row r="389" spans="1:9" x14ac:dyDescent="0.2">
      <c r="A389" s="573" t="str">
        <f>FIXED('Balance N'!A389,0,1)</f>
        <v>0</v>
      </c>
      <c r="B389" s="572">
        <f>+'Balance N'!B389</f>
        <v>0</v>
      </c>
      <c r="C389" s="679" t="e">
        <f>ROUND('Balance N'!#REF!,2)</f>
        <v>#REF!</v>
      </c>
      <c r="D389" s="679" t="e">
        <f>ROUND('Balance N'!#REF!,2)</f>
        <v>#REF!</v>
      </c>
      <c r="E389" s="679">
        <f>ROUND('Balance N'!C389,2)</f>
        <v>0</v>
      </c>
      <c r="F389" s="679">
        <f>ROUND('Balance N'!D389,2)</f>
        <v>0</v>
      </c>
      <c r="G389" s="679">
        <f>ROUND('Balance N'!E389,2)</f>
        <v>0</v>
      </c>
      <c r="H389" s="679">
        <f>ROUND('Balance N'!F389,2)</f>
        <v>0</v>
      </c>
      <c r="I389" s="2" t="str">
        <f t="shared" si="9"/>
        <v>0</v>
      </c>
    </row>
    <row r="390" spans="1:9" x14ac:dyDescent="0.2">
      <c r="A390" s="573" t="str">
        <f>FIXED('Balance N'!A390,0,1)</f>
        <v>0</v>
      </c>
      <c r="B390" s="572">
        <f>+'Balance N'!B390</f>
        <v>0</v>
      </c>
      <c r="C390" s="679" t="e">
        <f>ROUND('Balance N'!#REF!,2)</f>
        <v>#REF!</v>
      </c>
      <c r="D390" s="679" t="e">
        <f>ROUND('Balance N'!#REF!,2)</f>
        <v>#REF!</v>
      </c>
      <c r="E390" s="679">
        <f>ROUND('Balance N'!C390,2)</f>
        <v>0</v>
      </c>
      <c r="F390" s="679">
        <f>ROUND('Balance N'!D390,2)</f>
        <v>0</v>
      </c>
      <c r="G390" s="679">
        <f>ROUND('Balance N'!E390,2)</f>
        <v>0</v>
      </c>
      <c r="H390" s="679">
        <f>ROUND('Balance N'!F390,2)</f>
        <v>0</v>
      </c>
      <c r="I390" s="2" t="str">
        <f t="shared" si="9"/>
        <v>0</v>
      </c>
    </row>
    <row r="391" spans="1:9" x14ac:dyDescent="0.2">
      <c r="A391" s="573" t="str">
        <f>FIXED('Balance N'!A391,0,1)</f>
        <v>0</v>
      </c>
      <c r="B391" s="572">
        <f>+'Balance N'!B391</f>
        <v>0</v>
      </c>
      <c r="C391" s="679" t="e">
        <f>ROUND('Balance N'!#REF!,2)</f>
        <v>#REF!</v>
      </c>
      <c r="D391" s="679" t="e">
        <f>ROUND('Balance N'!#REF!,2)</f>
        <v>#REF!</v>
      </c>
      <c r="E391" s="679">
        <f>ROUND('Balance N'!C391,2)</f>
        <v>0</v>
      </c>
      <c r="F391" s="679">
        <f>ROUND('Balance N'!D391,2)</f>
        <v>0</v>
      </c>
      <c r="G391" s="679">
        <f>ROUND('Balance N'!E391,2)</f>
        <v>0</v>
      </c>
      <c r="H391" s="679">
        <f>ROUND('Balance N'!F391,2)</f>
        <v>0</v>
      </c>
      <c r="I391" s="2" t="str">
        <f t="shared" si="9"/>
        <v>0</v>
      </c>
    </row>
    <row r="392" spans="1:9" x14ac:dyDescent="0.2">
      <c r="A392" s="573" t="str">
        <f>FIXED('Balance N'!A392,0,1)</f>
        <v>0</v>
      </c>
      <c r="B392" s="572">
        <f>+'Balance N'!B392</f>
        <v>0</v>
      </c>
      <c r="C392" s="679" t="e">
        <f>ROUND('Balance N'!#REF!,2)</f>
        <v>#REF!</v>
      </c>
      <c r="D392" s="679" t="e">
        <f>ROUND('Balance N'!#REF!,2)</f>
        <v>#REF!</v>
      </c>
      <c r="E392" s="679">
        <f>ROUND('Balance N'!C392,2)</f>
        <v>0</v>
      </c>
      <c r="F392" s="679">
        <f>ROUND('Balance N'!D392,2)</f>
        <v>0</v>
      </c>
      <c r="G392" s="679">
        <f>ROUND('Balance N'!E392,2)</f>
        <v>0</v>
      </c>
      <c r="H392" s="679">
        <f>ROUND('Balance N'!F392,2)</f>
        <v>0</v>
      </c>
      <c r="I392" s="2" t="str">
        <f t="shared" si="9"/>
        <v>0</v>
      </c>
    </row>
    <row r="393" spans="1:9" x14ac:dyDescent="0.2">
      <c r="A393" s="573" t="str">
        <f>FIXED('Balance N'!A393,0,1)</f>
        <v>0</v>
      </c>
      <c r="B393" s="572">
        <f>+'Balance N'!B393</f>
        <v>0</v>
      </c>
      <c r="C393" s="679" t="e">
        <f>ROUND('Balance N'!#REF!,2)</f>
        <v>#REF!</v>
      </c>
      <c r="D393" s="679" t="e">
        <f>ROUND('Balance N'!#REF!,2)</f>
        <v>#REF!</v>
      </c>
      <c r="E393" s="679">
        <f>ROUND('Balance N'!C393,2)</f>
        <v>0</v>
      </c>
      <c r="F393" s="679">
        <f>ROUND('Balance N'!D393,2)</f>
        <v>0</v>
      </c>
      <c r="G393" s="679">
        <f>ROUND('Balance N'!E393,2)</f>
        <v>0</v>
      </c>
      <c r="H393" s="679">
        <f>ROUND('Balance N'!F393,2)</f>
        <v>0</v>
      </c>
      <c r="I393" s="2" t="str">
        <f t="shared" si="9"/>
        <v>0</v>
      </c>
    </row>
    <row r="394" spans="1:9" x14ac:dyDescent="0.2">
      <c r="A394" s="573" t="str">
        <f>FIXED('Balance N'!A394,0,1)</f>
        <v>0</v>
      </c>
      <c r="B394" s="572">
        <f>+'Balance N'!B394</f>
        <v>0</v>
      </c>
      <c r="C394" s="679" t="e">
        <f>ROUND('Balance N'!#REF!,2)</f>
        <v>#REF!</v>
      </c>
      <c r="D394" s="679" t="e">
        <f>ROUND('Balance N'!#REF!,2)</f>
        <v>#REF!</v>
      </c>
      <c r="E394" s="679">
        <f>ROUND('Balance N'!C394,2)</f>
        <v>0</v>
      </c>
      <c r="F394" s="679">
        <f>ROUND('Balance N'!D394,2)</f>
        <v>0</v>
      </c>
      <c r="G394" s="679">
        <f>ROUND('Balance N'!E394,2)</f>
        <v>0</v>
      </c>
      <c r="H394" s="679">
        <f>ROUND('Balance N'!F394,2)</f>
        <v>0</v>
      </c>
      <c r="I394" s="2" t="str">
        <f t="shared" si="9"/>
        <v>0</v>
      </c>
    </row>
    <row r="395" spans="1:9" x14ac:dyDescent="0.2">
      <c r="A395" s="573" t="str">
        <f>FIXED('Balance N'!A395,0,1)</f>
        <v>0</v>
      </c>
      <c r="B395" s="572">
        <f>+'Balance N'!B395</f>
        <v>0</v>
      </c>
      <c r="C395" s="679" t="e">
        <f>ROUND('Balance N'!#REF!,2)</f>
        <v>#REF!</v>
      </c>
      <c r="D395" s="679" t="e">
        <f>ROUND('Balance N'!#REF!,2)</f>
        <v>#REF!</v>
      </c>
      <c r="E395" s="679">
        <f>ROUND('Balance N'!C395,2)</f>
        <v>0</v>
      </c>
      <c r="F395" s="679">
        <f>ROUND('Balance N'!D395,2)</f>
        <v>0</v>
      </c>
      <c r="G395" s="679">
        <f>ROUND('Balance N'!E395,2)</f>
        <v>0</v>
      </c>
      <c r="H395" s="679">
        <f>ROUND('Balance N'!F395,2)</f>
        <v>0</v>
      </c>
      <c r="I395" s="2" t="str">
        <f t="shared" si="9"/>
        <v>0</v>
      </c>
    </row>
    <row r="396" spans="1:9" x14ac:dyDescent="0.2">
      <c r="A396" s="573" t="str">
        <f>FIXED('Balance N'!A396,0,1)</f>
        <v>0</v>
      </c>
      <c r="B396" s="572">
        <f>+'Balance N'!B396</f>
        <v>0</v>
      </c>
      <c r="C396" s="679" t="e">
        <f>ROUND('Balance N'!#REF!,2)</f>
        <v>#REF!</v>
      </c>
      <c r="D396" s="679" t="e">
        <f>ROUND('Balance N'!#REF!,2)</f>
        <v>#REF!</v>
      </c>
      <c r="E396" s="679">
        <f>ROUND('Balance N'!C396,2)</f>
        <v>0</v>
      </c>
      <c r="F396" s="679">
        <f>ROUND('Balance N'!D396,2)</f>
        <v>0</v>
      </c>
      <c r="G396" s="679">
        <f>ROUND('Balance N'!E396,2)</f>
        <v>0</v>
      </c>
      <c r="H396" s="679">
        <f>ROUND('Balance N'!F396,2)</f>
        <v>0</v>
      </c>
      <c r="I396" s="2" t="str">
        <f t="shared" si="9"/>
        <v>0</v>
      </c>
    </row>
    <row r="397" spans="1:9" x14ac:dyDescent="0.2">
      <c r="A397" s="573" t="str">
        <f>FIXED('Balance N'!A397,0,1)</f>
        <v>0</v>
      </c>
      <c r="B397" s="572">
        <f>+'Balance N'!B397</f>
        <v>0</v>
      </c>
      <c r="C397" s="679" t="e">
        <f>ROUND('Balance N'!#REF!,2)</f>
        <v>#REF!</v>
      </c>
      <c r="D397" s="679" t="e">
        <f>ROUND('Balance N'!#REF!,2)</f>
        <v>#REF!</v>
      </c>
      <c r="E397" s="679">
        <f>ROUND('Balance N'!C397,2)</f>
        <v>0</v>
      </c>
      <c r="F397" s="679">
        <f>ROUND('Balance N'!D397,2)</f>
        <v>0</v>
      </c>
      <c r="G397" s="679">
        <f>ROUND('Balance N'!E397,2)</f>
        <v>0</v>
      </c>
      <c r="H397" s="679">
        <f>ROUND('Balance N'!F397,2)</f>
        <v>0</v>
      </c>
      <c r="I397" s="2" t="str">
        <f t="shared" si="9"/>
        <v>0</v>
      </c>
    </row>
    <row r="398" spans="1:9" x14ac:dyDescent="0.2">
      <c r="A398" s="573" t="str">
        <f>FIXED('Balance N'!A398,0,1)</f>
        <v>0</v>
      </c>
      <c r="B398" s="572">
        <f>+'Balance N'!B398</f>
        <v>0</v>
      </c>
      <c r="C398" s="679" t="e">
        <f>ROUND('Balance N'!#REF!,2)</f>
        <v>#REF!</v>
      </c>
      <c r="D398" s="679" t="e">
        <f>ROUND('Balance N'!#REF!,2)</f>
        <v>#REF!</v>
      </c>
      <c r="E398" s="679">
        <f>ROUND('Balance N'!C398,2)</f>
        <v>0</v>
      </c>
      <c r="F398" s="679">
        <f>ROUND('Balance N'!D398,2)</f>
        <v>0</v>
      </c>
      <c r="G398" s="679">
        <f>ROUND('Balance N'!E398,2)</f>
        <v>0</v>
      </c>
      <c r="H398" s="679">
        <f>ROUND('Balance N'!F398,2)</f>
        <v>0</v>
      </c>
      <c r="I398" s="2" t="str">
        <f t="shared" si="9"/>
        <v>0</v>
      </c>
    </row>
    <row r="399" spans="1:9" x14ac:dyDescent="0.2">
      <c r="A399" s="573" t="str">
        <f>FIXED('Balance N'!A399,0,1)</f>
        <v>0</v>
      </c>
      <c r="B399" s="572">
        <f>+'Balance N'!B399</f>
        <v>0</v>
      </c>
      <c r="C399" s="679" t="e">
        <f>ROUND('Balance N'!#REF!,2)</f>
        <v>#REF!</v>
      </c>
      <c r="D399" s="679" t="e">
        <f>ROUND('Balance N'!#REF!,2)</f>
        <v>#REF!</v>
      </c>
      <c r="E399" s="679">
        <f>ROUND('Balance N'!C399,2)</f>
        <v>0</v>
      </c>
      <c r="F399" s="679">
        <f>ROUND('Balance N'!D399,2)</f>
        <v>0</v>
      </c>
      <c r="G399" s="679">
        <f>ROUND('Balance N'!E399,2)</f>
        <v>0</v>
      </c>
      <c r="H399" s="679">
        <f>ROUND('Balance N'!F399,2)</f>
        <v>0</v>
      </c>
      <c r="I399" s="2" t="str">
        <f t="shared" si="9"/>
        <v>0</v>
      </c>
    </row>
    <row r="400" spans="1:9" x14ac:dyDescent="0.2">
      <c r="A400" s="573" t="str">
        <f>FIXED('Balance N'!A400,0,1)</f>
        <v>0</v>
      </c>
      <c r="B400" s="572">
        <f>+'Balance N'!B400</f>
        <v>0</v>
      </c>
      <c r="C400" s="679" t="e">
        <f>ROUND('Balance N'!#REF!,2)</f>
        <v>#REF!</v>
      </c>
      <c r="D400" s="679" t="e">
        <f>ROUND('Balance N'!#REF!,2)</f>
        <v>#REF!</v>
      </c>
      <c r="E400" s="679">
        <f>ROUND('Balance N'!C400,2)</f>
        <v>0</v>
      </c>
      <c r="F400" s="679">
        <f>ROUND('Balance N'!D400,2)</f>
        <v>0</v>
      </c>
      <c r="G400" s="679">
        <f>ROUND('Balance N'!E400,2)</f>
        <v>0</v>
      </c>
      <c r="H400" s="679">
        <f>ROUND('Balance N'!F400,2)</f>
        <v>0</v>
      </c>
      <c r="I400" s="2" t="str">
        <f t="shared" si="9"/>
        <v>0</v>
      </c>
    </row>
    <row r="401" spans="1:9" x14ac:dyDescent="0.2">
      <c r="A401" s="573" t="str">
        <f>FIXED('Balance N'!A401,0,1)</f>
        <v>0</v>
      </c>
      <c r="B401" s="572">
        <f>+'Balance N'!B401</f>
        <v>0</v>
      </c>
      <c r="C401" s="679" t="e">
        <f>ROUND('Balance N'!#REF!,2)</f>
        <v>#REF!</v>
      </c>
      <c r="D401" s="679" t="e">
        <f>ROUND('Balance N'!#REF!,2)</f>
        <v>#REF!</v>
      </c>
      <c r="E401" s="679">
        <f>ROUND('Balance N'!C401,2)</f>
        <v>0</v>
      </c>
      <c r="F401" s="679">
        <f>ROUND('Balance N'!D401,2)</f>
        <v>0</v>
      </c>
      <c r="G401" s="679">
        <f>ROUND('Balance N'!E401,2)</f>
        <v>0</v>
      </c>
      <c r="H401" s="679">
        <f>ROUND('Balance N'!F401,2)</f>
        <v>0</v>
      </c>
      <c r="I401" s="2" t="str">
        <f t="shared" si="9"/>
        <v>0</v>
      </c>
    </row>
    <row r="402" spans="1:9" x14ac:dyDescent="0.2">
      <c r="A402" s="573" t="str">
        <f>FIXED('Balance N'!A402,0,1)</f>
        <v>0</v>
      </c>
      <c r="B402" s="572">
        <f>+'Balance N'!B402</f>
        <v>0</v>
      </c>
      <c r="C402" s="679" t="e">
        <f>ROUND('Balance N'!#REF!,2)</f>
        <v>#REF!</v>
      </c>
      <c r="D402" s="679" t="e">
        <f>ROUND('Balance N'!#REF!,2)</f>
        <v>#REF!</v>
      </c>
      <c r="E402" s="679">
        <f>ROUND('Balance N'!C402,2)</f>
        <v>0</v>
      </c>
      <c r="F402" s="679">
        <f>ROUND('Balance N'!D402,2)</f>
        <v>0</v>
      </c>
      <c r="G402" s="679">
        <f>ROUND('Balance N'!E402,2)</f>
        <v>0</v>
      </c>
      <c r="H402" s="679">
        <f>ROUND('Balance N'!F402,2)</f>
        <v>0</v>
      </c>
      <c r="I402" s="2" t="str">
        <f t="shared" si="9"/>
        <v>0</v>
      </c>
    </row>
    <row r="403" spans="1:9" x14ac:dyDescent="0.2">
      <c r="A403" s="573" t="str">
        <f>FIXED('Balance N'!A403,0,1)</f>
        <v>0</v>
      </c>
      <c r="B403" s="572">
        <f>+'Balance N'!B403</f>
        <v>0</v>
      </c>
      <c r="C403" s="679" t="e">
        <f>ROUND('Balance N'!#REF!,2)</f>
        <v>#REF!</v>
      </c>
      <c r="D403" s="679" t="e">
        <f>ROUND('Balance N'!#REF!,2)</f>
        <v>#REF!</v>
      </c>
      <c r="E403" s="679">
        <f>ROUND('Balance N'!C403,2)</f>
        <v>0</v>
      </c>
      <c r="F403" s="679">
        <f>ROUND('Balance N'!D403,2)</f>
        <v>0</v>
      </c>
      <c r="G403" s="679">
        <f>ROUND('Balance N'!E403,2)</f>
        <v>0</v>
      </c>
      <c r="H403" s="679">
        <f>ROUND('Balance N'!F403,2)</f>
        <v>0</v>
      </c>
      <c r="I403" s="2" t="str">
        <f t="shared" si="9"/>
        <v>0</v>
      </c>
    </row>
    <row r="404" spans="1:9" x14ac:dyDescent="0.2">
      <c r="A404" s="573" t="str">
        <f>FIXED('Balance N'!A404,0,1)</f>
        <v>0</v>
      </c>
      <c r="B404" s="572">
        <f>+'Balance N'!B404</f>
        <v>0</v>
      </c>
      <c r="C404" s="679" t="e">
        <f>ROUND('Balance N'!#REF!,2)</f>
        <v>#REF!</v>
      </c>
      <c r="D404" s="679" t="e">
        <f>ROUND('Balance N'!#REF!,2)</f>
        <v>#REF!</v>
      </c>
      <c r="E404" s="679">
        <f>ROUND('Balance N'!C404,2)</f>
        <v>0</v>
      </c>
      <c r="F404" s="679">
        <f>ROUND('Balance N'!D404,2)</f>
        <v>0</v>
      </c>
      <c r="G404" s="679">
        <f>ROUND('Balance N'!E404,2)</f>
        <v>0</v>
      </c>
      <c r="H404" s="679">
        <f>ROUND('Balance N'!F404,2)</f>
        <v>0</v>
      </c>
      <c r="I404" s="2" t="str">
        <f t="shared" si="9"/>
        <v>0</v>
      </c>
    </row>
    <row r="405" spans="1:9" x14ac:dyDescent="0.2">
      <c r="A405" s="573" t="str">
        <f>FIXED('Balance N'!A405,0,1)</f>
        <v>0</v>
      </c>
      <c r="B405" s="572">
        <f>+'Balance N'!B405</f>
        <v>0</v>
      </c>
      <c r="C405" s="679" t="e">
        <f>ROUND('Balance N'!#REF!,2)</f>
        <v>#REF!</v>
      </c>
      <c r="D405" s="679" t="e">
        <f>ROUND('Balance N'!#REF!,2)</f>
        <v>#REF!</v>
      </c>
      <c r="E405" s="679">
        <f>ROUND('Balance N'!C405,2)</f>
        <v>0</v>
      </c>
      <c r="F405" s="679">
        <f>ROUND('Balance N'!D405,2)</f>
        <v>0</v>
      </c>
      <c r="G405" s="679">
        <f>ROUND('Balance N'!E405,2)</f>
        <v>0</v>
      </c>
      <c r="H405" s="679">
        <f>ROUND('Balance N'!F405,2)</f>
        <v>0</v>
      </c>
      <c r="I405" s="2" t="str">
        <f t="shared" si="9"/>
        <v>0</v>
      </c>
    </row>
    <row r="406" spans="1:9" x14ac:dyDescent="0.2">
      <c r="A406" s="573" t="str">
        <f>FIXED('Balance N'!A406,0,1)</f>
        <v>0</v>
      </c>
      <c r="B406" s="572">
        <f>+'Balance N'!B406</f>
        <v>0</v>
      </c>
      <c r="C406" s="679" t="e">
        <f>ROUND('Balance N'!#REF!,2)</f>
        <v>#REF!</v>
      </c>
      <c r="D406" s="679" t="e">
        <f>ROUND('Balance N'!#REF!,2)</f>
        <v>#REF!</v>
      </c>
      <c r="E406" s="679">
        <f>ROUND('Balance N'!C406,2)</f>
        <v>0</v>
      </c>
      <c r="F406" s="679">
        <f>ROUND('Balance N'!D406,2)</f>
        <v>0</v>
      </c>
      <c r="G406" s="679">
        <f>ROUND('Balance N'!E406,2)</f>
        <v>0</v>
      </c>
      <c r="H406" s="679">
        <f>ROUND('Balance N'!F406,2)</f>
        <v>0</v>
      </c>
      <c r="I406" s="2" t="str">
        <f t="shared" si="9"/>
        <v>0</v>
      </c>
    </row>
    <row r="407" spans="1:9" x14ac:dyDescent="0.2">
      <c r="A407" s="573" t="str">
        <f>FIXED('Balance N'!A407,0,1)</f>
        <v>0</v>
      </c>
      <c r="B407" s="572">
        <f>+'Balance N'!B407</f>
        <v>0</v>
      </c>
      <c r="C407" s="679" t="e">
        <f>ROUND('Balance N'!#REF!,2)</f>
        <v>#REF!</v>
      </c>
      <c r="D407" s="679" t="e">
        <f>ROUND('Balance N'!#REF!,2)</f>
        <v>#REF!</v>
      </c>
      <c r="E407" s="679">
        <f>ROUND('Balance N'!C407,2)</f>
        <v>0</v>
      </c>
      <c r="F407" s="679">
        <f>ROUND('Balance N'!D407,2)</f>
        <v>0</v>
      </c>
      <c r="G407" s="679">
        <f>ROUND('Balance N'!E407,2)</f>
        <v>0</v>
      </c>
      <c r="H407" s="679">
        <f>ROUND('Balance N'!F407,2)</f>
        <v>0</v>
      </c>
      <c r="I407" s="2" t="str">
        <f t="shared" si="9"/>
        <v>0</v>
      </c>
    </row>
    <row r="408" spans="1:9" x14ac:dyDescent="0.2">
      <c r="A408" s="573" t="str">
        <f>FIXED('Balance N'!A408,0,1)</f>
        <v>0</v>
      </c>
      <c r="B408" s="572">
        <f>+'Balance N'!B408</f>
        <v>0</v>
      </c>
      <c r="C408" s="679" t="e">
        <f>ROUND('Balance N'!#REF!,2)</f>
        <v>#REF!</v>
      </c>
      <c r="D408" s="679" t="e">
        <f>ROUND('Balance N'!#REF!,2)</f>
        <v>#REF!</v>
      </c>
      <c r="E408" s="679">
        <f>ROUND('Balance N'!C408,2)</f>
        <v>0</v>
      </c>
      <c r="F408" s="679">
        <f>ROUND('Balance N'!D408,2)</f>
        <v>0</v>
      </c>
      <c r="G408" s="679">
        <f>ROUND('Balance N'!E408,2)</f>
        <v>0</v>
      </c>
      <c r="H408" s="679">
        <f>ROUND('Balance N'!F408,2)</f>
        <v>0</v>
      </c>
      <c r="I408" s="2" t="str">
        <f t="shared" si="9"/>
        <v>0</v>
      </c>
    </row>
    <row r="409" spans="1:9" x14ac:dyDescent="0.2">
      <c r="A409" s="573" t="str">
        <f>FIXED('Balance N'!A409,0,1)</f>
        <v>0</v>
      </c>
      <c r="B409" s="572">
        <f>+'Balance N'!B409</f>
        <v>0</v>
      </c>
      <c r="C409" s="679" t="e">
        <f>ROUND('Balance N'!#REF!,2)</f>
        <v>#REF!</v>
      </c>
      <c r="D409" s="679" t="e">
        <f>ROUND('Balance N'!#REF!,2)</f>
        <v>#REF!</v>
      </c>
      <c r="E409" s="679">
        <f>ROUND('Balance N'!C409,2)</f>
        <v>0</v>
      </c>
      <c r="F409" s="679">
        <f>ROUND('Balance N'!D409,2)</f>
        <v>0</v>
      </c>
      <c r="G409" s="679">
        <f>ROUND('Balance N'!E409,2)</f>
        <v>0</v>
      </c>
      <c r="H409" s="679">
        <f>ROUND('Balance N'!F409,2)</f>
        <v>0</v>
      </c>
      <c r="I409" s="2" t="str">
        <f t="shared" si="9"/>
        <v>0</v>
      </c>
    </row>
    <row r="410" spans="1:9" x14ac:dyDescent="0.2">
      <c r="A410" s="573" t="str">
        <f>FIXED('Balance N'!A410,0,1)</f>
        <v>0</v>
      </c>
      <c r="B410" s="572">
        <f>+'Balance N'!B410</f>
        <v>0</v>
      </c>
      <c r="C410" s="679" t="e">
        <f>ROUND('Balance N'!#REF!,2)</f>
        <v>#REF!</v>
      </c>
      <c r="D410" s="679" t="e">
        <f>ROUND('Balance N'!#REF!,2)</f>
        <v>#REF!</v>
      </c>
      <c r="E410" s="679">
        <f>ROUND('Balance N'!C410,2)</f>
        <v>0</v>
      </c>
      <c r="F410" s="679">
        <f>ROUND('Balance N'!D410,2)</f>
        <v>0</v>
      </c>
      <c r="G410" s="679">
        <f>ROUND('Balance N'!E410,2)</f>
        <v>0</v>
      </c>
      <c r="H410" s="679">
        <f>ROUND('Balance N'!F410,2)</f>
        <v>0</v>
      </c>
      <c r="I410" s="2" t="str">
        <f t="shared" si="9"/>
        <v>0</v>
      </c>
    </row>
    <row r="411" spans="1:9" x14ac:dyDescent="0.2">
      <c r="A411" s="573" t="str">
        <f>FIXED('Balance N'!A411,0,1)</f>
        <v>0</v>
      </c>
      <c r="B411" s="572">
        <f>+'Balance N'!B411</f>
        <v>0</v>
      </c>
      <c r="C411" s="679" t="e">
        <f>ROUND('Balance N'!#REF!,2)</f>
        <v>#REF!</v>
      </c>
      <c r="D411" s="679" t="e">
        <f>ROUND('Balance N'!#REF!,2)</f>
        <v>#REF!</v>
      </c>
      <c r="E411" s="679">
        <f>ROUND('Balance N'!C411,2)</f>
        <v>0</v>
      </c>
      <c r="F411" s="679">
        <f>ROUND('Balance N'!D411,2)</f>
        <v>0</v>
      </c>
      <c r="G411" s="679">
        <f>ROUND('Balance N'!E411,2)</f>
        <v>0</v>
      </c>
      <c r="H411" s="679">
        <f>ROUND('Balance N'!F411,2)</f>
        <v>0</v>
      </c>
      <c r="I411" s="2" t="str">
        <f t="shared" si="9"/>
        <v>0</v>
      </c>
    </row>
    <row r="412" spans="1:9" x14ac:dyDescent="0.2">
      <c r="A412" s="573" t="str">
        <f>FIXED('Balance N'!A412,0,1)</f>
        <v>0</v>
      </c>
      <c r="B412" s="572">
        <f>+'Balance N'!B412</f>
        <v>0</v>
      </c>
      <c r="C412" s="679" t="e">
        <f>ROUND('Balance N'!#REF!,2)</f>
        <v>#REF!</v>
      </c>
      <c r="D412" s="679" t="e">
        <f>ROUND('Balance N'!#REF!,2)</f>
        <v>#REF!</v>
      </c>
      <c r="E412" s="679">
        <f>ROUND('Balance N'!C412,2)</f>
        <v>0</v>
      </c>
      <c r="F412" s="679">
        <f>ROUND('Balance N'!D412,2)</f>
        <v>0</v>
      </c>
      <c r="G412" s="679">
        <f>ROUND('Balance N'!E412,2)</f>
        <v>0</v>
      </c>
      <c r="H412" s="679">
        <f>ROUND('Balance N'!F412,2)</f>
        <v>0</v>
      </c>
      <c r="I412" s="2" t="str">
        <f t="shared" si="9"/>
        <v>0</v>
      </c>
    </row>
    <row r="413" spans="1:9" x14ac:dyDescent="0.2">
      <c r="A413" s="573" t="str">
        <f>FIXED('Balance N'!A413,0,1)</f>
        <v>0</v>
      </c>
      <c r="B413" s="572">
        <f>+'Balance N'!B413</f>
        <v>0</v>
      </c>
      <c r="C413" s="679" t="e">
        <f>ROUND('Balance N'!#REF!,2)</f>
        <v>#REF!</v>
      </c>
      <c r="D413" s="679" t="e">
        <f>ROUND('Balance N'!#REF!,2)</f>
        <v>#REF!</v>
      </c>
      <c r="E413" s="679">
        <f>ROUND('Balance N'!C413,2)</f>
        <v>0</v>
      </c>
      <c r="F413" s="679">
        <f>ROUND('Balance N'!D413,2)</f>
        <v>0</v>
      </c>
      <c r="G413" s="679">
        <f>ROUND('Balance N'!E413,2)</f>
        <v>0</v>
      </c>
      <c r="H413" s="679">
        <f>ROUND('Balance N'!F413,2)</f>
        <v>0</v>
      </c>
      <c r="I413" s="2" t="str">
        <f t="shared" si="9"/>
        <v>0</v>
      </c>
    </row>
    <row r="414" spans="1:9" x14ac:dyDescent="0.2">
      <c r="A414" s="573" t="str">
        <f>FIXED('Balance N'!A414,0,1)</f>
        <v>0</v>
      </c>
      <c r="B414" s="572">
        <f>+'Balance N'!B414</f>
        <v>0</v>
      </c>
      <c r="C414" s="679" t="e">
        <f>ROUND('Balance N'!#REF!,2)</f>
        <v>#REF!</v>
      </c>
      <c r="D414" s="679" t="e">
        <f>ROUND('Balance N'!#REF!,2)</f>
        <v>#REF!</v>
      </c>
      <c r="E414" s="679">
        <f>ROUND('Balance N'!C414,2)</f>
        <v>0</v>
      </c>
      <c r="F414" s="679">
        <f>ROUND('Balance N'!D414,2)</f>
        <v>0</v>
      </c>
      <c r="G414" s="679">
        <f>ROUND('Balance N'!E414,2)</f>
        <v>0</v>
      </c>
      <c r="H414" s="679">
        <f>ROUND('Balance N'!F414,2)</f>
        <v>0</v>
      </c>
      <c r="I414" s="2" t="str">
        <f t="shared" si="9"/>
        <v>0</v>
      </c>
    </row>
    <row r="415" spans="1:9" x14ac:dyDescent="0.2">
      <c r="A415" s="573" t="str">
        <f>FIXED('Balance N'!A415,0,1)</f>
        <v>0</v>
      </c>
      <c r="B415" s="572">
        <f>+'Balance N'!B415</f>
        <v>0</v>
      </c>
      <c r="C415" s="679" t="e">
        <f>ROUND('Balance N'!#REF!,2)</f>
        <v>#REF!</v>
      </c>
      <c r="D415" s="679" t="e">
        <f>ROUND('Balance N'!#REF!,2)</f>
        <v>#REF!</v>
      </c>
      <c r="E415" s="679">
        <f>ROUND('Balance N'!C415,2)</f>
        <v>0</v>
      </c>
      <c r="F415" s="679">
        <f>ROUND('Balance N'!D415,2)</f>
        <v>0</v>
      </c>
      <c r="G415" s="679">
        <f>ROUND('Balance N'!E415,2)</f>
        <v>0</v>
      </c>
      <c r="H415" s="679">
        <f>ROUND('Balance N'!F415,2)</f>
        <v>0</v>
      </c>
      <c r="I415" s="2" t="str">
        <f t="shared" si="9"/>
        <v>0</v>
      </c>
    </row>
    <row r="416" spans="1:9" x14ac:dyDescent="0.2">
      <c r="A416" s="573" t="str">
        <f>FIXED('Balance N'!A416,0,1)</f>
        <v>0</v>
      </c>
      <c r="B416" s="572">
        <f>+'Balance N'!B416</f>
        <v>0</v>
      </c>
      <c r="C416" s="679" t="e">
        <f>ROUND('Balance N'!#REF!,2)</f>
        <v>#REF!</v>
      </c>
      <c r="D416" s="679" t="e">
        <f>ROUND('Balance N'!#REF!,2)</f>
        <v>#REF!</v>
      </c>
      <c r="E416" s="679">
        <f>ROUND('Balance N'!C416,2)</f>
        <v>0</v>
      </c>
      <c r="F416" s="679">
        <f>ROUND('Balance N'!D416,2)</f>
        <v>0</v>
      </c>
      <c r="G416" s="679">
        <f>ROUND('Balance N'!E416,2)</f>
        <v>0</v>
      </c>
      <c r="H416" s="679">
        <f>ROUND('Balance N'!F416,2)</f>
        <v>0</v>
      </c>
      <c r="I416" s="2" t="str">
        <f t="shared" si="9"/>
        <v>0</v>
      </c>
    </row>
    <row r="417" spans="1:9" x14ac:dyDescent="0.2">
      <c r="A417" s="573" t="str">
        <f>FIXED('Balance N'!A417,0,1)</f>
        <v>0</v>
      </c>
      <c r="B417" s="572">
        <f>+'Balance N'!B417</f>
        <v>0</v>
      </c>
      <c r="C417" s="679" t="e">
        <f>ROUND('Balance N'!#REF!,2)</f>
        <v>#REF!</v>
      </c>
      <c r="D417" s="679" t="e">
        <f>ROUND('Balance N'!#REF!,2)</f>
        <v>#REF!</v>
      </c>
      <c r="E417" s="679">
        <f>ROUND('Balance N'!C417,2)</f>
        <v>0</v>
      </c>
      <c r="F417" s="679">
        <f>ROUND('Balance N'!D417,2)</f>
        <v>0</v>
      </c>
      <c r="G417" s="679">
        <f>ROUND('Balance N'!E417,2)</f>
        <v>0</v>
      </c>
      <c r="H417" s="679">
        <f>ROUND('Balance N'!F417,2)</f>
        <v>0</v>
      </c>
      <c r="I417" s="2" t="str">
        <f t="shared" si="9"/>
        <v>0</v>
      </c>
    </row>
    <row r="418" spans="1:9" x14ac:dyDescent="0.2">
      <c r="A418" s="573" t="str">
        <f>FIXED('Balance N'!A418,0,1)</f>
        <v>0</v>
      </c>
      <c r="B418" s="572">
        <f>+'Balance N'!B418</f>
        <v>0</v>
      </c>
      <c r="C418" s="679" t="e">
        <f>ROUND('Balance N'!#REF!,2)</f>
        <v>#REF!</v>
      </c>
      <c r="D418" s="679" t="e">
        <f>ROUND('Balance N'!#REF!,2)</f>
        <v>#REF!</v>
      </c>
      <c r="E418" s="679">
        <f>ROUND('Balance N'!C418,2)</f>
        <v>0</v>
      </c>
      <c r="F418" s="679">
        <f>ROUND('Balance N'!D418,2)</f>
        <v>0</v>
      </c>
      <c r="G418" s="679">
        <f>ROUND('Balance N'!E418,2)</f>
        <v>0</v>
      </c>
      <c r="H418" s="679">
        <f>ROUND('Balance N'!F418,2)</f>
        <v>0</v>
      </c>
      <c r="I418" s="2" t="str">
        <f t="shared" si="9"/>
        <v>0</v>
      </c>
    </row>
    <row r="419" spans="1:9" x14ac:dyDescent="0.2">
      <c r="A419" s="573" t="str">
        <f>FIXED('Balance N'!A419,0,1)</f>
        <v>0</v>
      </c>
      <c r="B419" s="572">
        <f>+'Balance N'!B419</f>
        <v>0</v>
      </c>
      <c r="C419" s="679" t="e">
        <f>ROUND('Balance N'!#REF!,2)</f>
        <v>#REF!</v>
      </c>
      <c r="D419" s="679" t="e">
        <f>ROUND('Balance N'!#REF!,2)</f>
        <v>#REF!</v>
      </c>
      <c r="E419" s="679">
        <f>ROUND('Balance N'!C419,2)</f>
        <v>0</v>
      </c>
      <c r="F419" s="679">
        <f>ROUND('Balance N'!D419,2)</f>
        <v>0</v>
      </c>
      <c r="G419" s="679">
        <f>ROUND('Balance N'!E419,2)</f>
        <v>0</v>
      </c>
      <c r="H419" s="679">
        <f>ROUND('Balance N'!F419,2)</f>
        <v>0</v>
      </c>
      <c r="I419" s="2" t="str">
        <f t="shared" si="9"/>
        <v>0</v>
      </c>
    </row>
    <row r="420" spans="1:9" x14ac:dyDescent="0.2">
      <c r="A420" s="573" t="str">
        <f>FIXED('Balance N'!A420,0,1)</f>
        <v>0</v>
      </c>
      <c r="B420" s="572">
        <f>+'Balance N'!B420</f>
        <v>0</v>
      </c>
      <c r="C420" s="679" t="e">
        <f>ROUND('Balance N'!#REF!,2)</f>
        <v>#REF!</v>
      </c>
      <c r="D420" s="679" t="e">
        <f>ROUND('Balance N'!#REF!,2)</f>
        <v>#REF!</v>
      </c>
      <c r="E420" s="679">
        <f>ROUND('Balance N'!C420,2)</f>
        <v>0</v>
      </c>
      <c r="F420" s="679">
        <f>ROUND('Balance N'!D420,2)</f>
        <v>0</v>
      </c>
      <c r="G420" s="679">
        <f>ROUND('Balance N'!E420,2)</f>
        <v>0</v>
      </c>
      <c r="H420" s="679">
        <f>ROUND('Balance N'!F420,2)</f>
        <v>0</v>
      </c>
      <c r="I420" s="2" t="str">
        <f t="shared" si="9"/>
        <v>0</v>
      </c>
    </row>
    <row r="421" spans="1:9" x14ac:dyDescent="0.2">
      <c r="A421" s="573" t="str">
        <f>FIXED('Balance N'!A421,0,1)</f>
        <v>0</v>
      </c>
      <c r="B421" s="572">
        <f>+'Balance N'!B421</f>
        <v>0</v>
      </c>
      <c r="C421" s="679" t="e">
        <f>ROUND('Balance N'!#REF!,2)</f>
        <v>#REF!</v>
      </c>
      <c r="D421" s="679" t="e">
        <f>ROUND('Balance N'!#REF!,2)</f>
        <v>#REF!</v>
      </c>
      <c r="E421" s="679">
        <f>ROUND('Balance N'!C421,2)</f>
        <v>0</v>
      </c>
      <c r="F421" s="679">
        <f>ROUND('Balance N'!D421,2)</f>
        <v>0</v>
      </c>
      <c r="G421" s="679">
        <f>ROUND('Balance N'!E421,2)</f>
        <v>0</v>
      </c>
      <c r="H421" s="679">
        <f>ROUND('Balance N'!F421,2)</f>
        <v>0</v>
      </c>
      <c r="I421" s="2" t="str">
        <f t="shared" si="9"/>
        <v>0</v>
      </c>
    </row>
    <row r="422" spans="1:9" x14ac:dyDescent="0.2">
      <c r="A422" s="573" t="str">
        <f>FIXED('Balance N'!A422,0,1)</f>
        <v>0</v>
      </c>
      <c r="B422" s="572">
        <f>+'Balance N'!B422</f>
        <v>0</v>
      </c>
      <c r="C422" s="679" t="e">
        <f>ROUND('Balance N'!#REF!,2)</f>
        <v>#REF!</v>
      </c>
      <c r="D422" s="679" t="e">
        <f>ROUND('Balance N'!#REF!,2)</f>
        <v>#REF!</v>
      </c>
      <c r="E422" s="679">
        <f>ROUND('Balance N'!C422,2)</f>
        <v>0</v>
      </c>
      <c r="F422" s="679">
        <f>ROUND('Balance N'!D422,2)</f>
        <v>0</v>
      </c>
      <c r="G422" s="679">
        <f>ROUND('Balance N'!E422,2)</f>
        <v>0</v>
      </c>
      <c r="H422" s="679">
        <f>ROUND('Balance N'!F422,2)</f>
        <v>0</v>
      </c>
      <c r="I422" s="2" t="str">
        <f t="shared" si="9"/>
        <v>0</v>
      </c>
    </row>
    <row r="423" spans="1:9" x14ac:dyDescent="0.2">
      <c r="A423" s="573" t="str">
        <f>FIXED('Balance N'!A423,0,1)</f>
        <v>0</v>
      </c>
      <c r="B423" s="572">
        <f>+'Balance N'!B423</f>
        <v>0</v>
      </c>
      <c r="C423" s="679" t="e">
        <f>ROUND('Balance N'!#REF!,2)</f>
        <v>#REF!</v>
      </c>
      <c r="D423" s="679" t="e">
        <f>ROUND('Balance N'!#REF!,2)</f>
        <v>#REF!</v>
      </c>
      <c r="E423" s="679">
        <f>ROUND('Balance N'!C423,2)</f>
        <v>0</v>
      </c>
      <c r="F423" s="679">
        <f>ROUND('Balance N'!D423,2)</f>
        <v>0</v>
      </c>
      <c r="G423" s="679">
        <f>ROUND('Balance N'!E423,2)</f>
        <v>0</v>
      </c>
      <c r="H423" s="679">
        <f>ROUND('Balance N'!F423,2)</f>
        <v>0</v>
      </c>
      <c r="I423" s="2" t="str">
        <f t="shared" si="9"/>
        <v>0</v>
      </c>
    </row>
    <row r="424" spans="1:9" x14ac:dyDescent="0.2">
      <c r="A424" s="573" t="str">
        <f>FIXED('Balance N'!A424,0,1)</f>
        <v>0</v>
      </c>
      <c r="B424" s="572">
        <f>+'Balance N'!B424</f>
        <v>0</v>
      </c>
      <c r="C424" s="679" t="e">
        <f>ROUND('Balance N'!#REF!,2)</f>
        <v>#REF!</v>
      </c>
      <c r="D424" s="679" t="e">
        <f>ROUND('Balance N'!#REF!,2)</f>
        <v>#REF!</v>
      </c>
      <c r="E424" s="679">
        <f>ROUND('Balance N'!C424,2)</f>
        <v>0</v>
      </c>
      <c r="F424" s="679">
        <f>ROUND('Balance N'!D424,2)</f>
        <v>0</v>
      </c>
      <c r="G424" s="679">
        <f>ROUND('Balance N'!E424,2)</f>
        <v>0</v>
      </c>
      <c r="H424" s="679">
        <f>ROUND('Balance N'!F424,2)</f>
        <v>0</v>
      </c>
      <c r="I424" s="2" t="str">
        <f t="shared" si="9"/>
        <v>0</v>
      </c>
    </row>
    <row r="425" spans="1:9" x14ac:dyDescent="0.2">
      <c r="A425" s="573" t="str">
        <f>FIXED('Balance N'!A425,0,1)</f>
        <v>0</v>
      </c>
      <c r="B425" s="572">
        <f>+'Balance N'!B425</f>
        <v>0</v>
      </c>
      <c r="C425" s="679" t="e">
        <f>ROUND('Balance N'!#REF!,2)</f>
        <v>#REF!</v>
      </c>
      <c r="D425" s="679" t="e">
        <f>ROUND('Balance N'!#REF!,2)</f>
        <v>#REF!</v>
      </c>
      <c r="E425" s="679">
        <f>ROUND('Balance N'!C425,2)</f>
        <v>0</v>
      </c>
      <c r="F425" s="679">
        <f>ROUND('Balance N'!D425,2)</f>
        <v>0</v>
      </c>
      <c r="G425" s="679">
        <f>ROUND('Balance N'!E425,2)</f>
        <v>0</v>
      </c>
      <c r="H425" s="679">
        <f>ROUND('Balance N'!F425,2)</f>
        <v>0</v>
      </c>
      <c r="I425" s="2" t="str">
        <f t="shared" si="9"/>
        <v>0</v>
      </c>
    </row>
    <row r="426" spans="1:9" x14ac:dyDescent="0.2">
      <c r="A426" s="573" t="str">
        <f>FIXED('Balance N'!A426,0,1)</f>
        <v>0</v>
      </c>
      <c r="B426" s="572">
        <f>+'Balance N'!B426</f>
        <v>0</v>
      </c>
      <c r="C426" s="679" t="e">
        <f>ROUND('Balance N'!#REF!,2)</f>
        <v>#REF!</v>
      </c>
      <c r="D426" s="679" t="e">
        <f>ROUND('Balance N'!#REF!,2)</f>
        <v>#REF!</v>
      </c>
      <c r="E426" s="679">
        <f>ROUND('Balance N'!C426,2)</f>
        <v>0</v>
      </c>
      <c r="F426" s="679">
        <f>ROUND('Balance N'!D426,2)</f>
        <v>0</v>
      </c>
      <c r="G426" s="679">
        <f>ROUND('Balance N'!E426,2)</f>
        <v>0</v>
      </c>
      <c r="H426" s="679">
        <f>ROUND('Balance N'!F426,2)</f>
        <v>0</v>
      </c>
      <c r="I426" s="2" t="str">
        <f t="shared" si="9"/>
        <v>0</v>
      </c>
    </row>
    <row r="427" spans="1:9" x14ac:dyDescent="0.2">
      <c r="A427" s="573" t="str">
        <f>FIXED('Balance N'!A427,0,1)</f>
        <v>0</v>
      </c>
      <c r="B427" s="572">
        <f>+'Balance N'!B427</f>
        <v>0</v>
      </c>
      <c r="C427" s="679" t="e">
        <f>ROUND('Balance N'!#REF!,2)</f>
        <v>#REF!</v>
      </c>
      <c r="D427" s="679" t="e">
        <f>ROUND('Balance N'!#REF!,2)</f>
        <v>#REF!</v>
      </c>
      <c r="E427" s="679">
        <f>ROUND('Balance N'!C427,2)</f>
        <v>0</v>
      </c>
      <c r="F427" s="679">
        <f>ROUND('Balance N'!D427,2)</f>
        <v>0</v>
      </c>
      <c r="G427" s="679">
        <f>ROUND('Balance N'!E427,2)</f>
        <v>0</v>
      </c>
      <c r="H427" s="679">
        <f>ROUND('Balance N'!F427,2)</f>
        <v>0</v>
      </c>
      <c r="I427" s="2" t="str">
        <f t="shared" si="9"/>
        <v>0</v>
      </c>
    </row>
    <row r="428" spans="1:9" x14ac:dyDescent="0.2">
      <c r="A428" s="573" t="str">
        <f>FIXED('Balance N'!A428,0,1)</f>
        <v>0</v>
      </c>
      <c r="B428" s="572">
        <f>+'Balance N'!B428</f>
        <v>0</v>
      </c>
      <c r="C428" s="679" t="e">
        <f>ROUND('Balance N'!#REF!,2)</f>
        <v>#REF!</v>
      </c>
      <c r="D428" s="679" t="e">
        <f>ROUND('Balance N'!#REF!,2)</f>
        <v>#REF!</v>
      </c>
      <c r="E428" s="679">
        <f>ROUND('Balance N'!C428,2)</f>
        <v>0</v>
      </c>
      <c r="F428" s="679">
        <f>ROUND('Balance N'!D428,2)</f>
        <v>0</v>
      </c>
      <c r="G428" s="679">
        <f>ROUND('Balance N'!E428,2)</f>
        <v>0</v>
      </c>
      <c r="H428" s="679">
        <f>ROUND('Balance N'!F428,2)</f>
        <v>0</v>
      </c>
      <c r="I428" s="2" t="str">
        <f t="shared" si="9"/>
        <v>0</v>
      </c>
    </row>
    <row r="429" spans="1:9" x14ac:dyDescent="0.2">
      <c r="A429" s="573" t="str">
        <f>FIXED('Balance N'!A429,0,1)</f>
        <v>0</v>
      </c>
      <c r="B429" s="572">
        <f>+'Balance N'!B429</f>
        <v>0</v>
      </c>
      <c r="C429" s="679" t="e">
        <f>ROUND('Balance N'!#REF!,2)</f>
        <v>#REF!</v>
      </c>
      <c r="D429" s="679" t="e">
        <f>ROUND('Balance N'!#REF!,2)</f>
        <v>#REF!</v>
      </c>
      <c r="E429" s="679">
        <f>ROUND('Balance N'!C429,2)</f>
        <v>0</v>
      </c>
      <c r="F429" s="679">
        <f>ROUND('Balance N'!D429,2)</f>
        <v>0</v>
      </c>
      <c r="G429" s="679">
        <f>ROUND('Balance N'!E429,2)</f>
        <v>0</v>
      </c>
      <c r="H429" s="679">
        <f>ROUND('Balance N'!F429,2)</f>
        <v>0</v>
      </c>
      <c r="I429" s="2" t="str">
        <f t="shared" si="9"/>
        <v>0</v>
      </c>
    </row>
    <row r="430" spans="1:9" x14ac:dyDescent="0.2">
      <c r="A430" s="573" t="str">
        <f>FIXED('Balance N'!A430,0,1)</f>
        <v>0</v>
      </c>
      <c r="B430" s="572">
        <f>+'Balance N'!B430</f>
        <v>0</v>
      </c>
      <c r="C430" s="679" t="e">
        <f>ROUND('Balance N'!#REF!,2)</f>
        <v>#REF!</v>
      </c>
      <c r="D430" s="679" t="e">
        <f>ROUND('Balance N'!#REF!,2)</f>
        <v>#REF!</v>
      </c>
      <c r="E430" s="679">
        <f>ROUND('Balance N'!C430,2)</f>
        <v>0</v>
      </c>
      <c r="F430" s="679">
        <f>ROUND('Balance N'!D430,2)</f>
        <v>0</v>
      </c>
      <c r="G430" s="679">
        <f>ROUND('Balance N'!E430,2)</f>
        <v>0</v>
      </c>
      <c r="H430" s="679">
        <f>ROUND('Balance N'!F430,2)</f>
        <v>0</v>
      </c>
      <c r="I430" s="2" t="str">
        <f t="shared" si="9"/>
        <v>0</v>
      </c>
    </row>
    <row r="431" spans="1:9" x14ac:dyDescent="0.2">
      <c r="A431" s="573" t="str">
        <f>FIXED('Balance N'!A431,0,1)</f>
        <v>0</v>
      </c>
      <c r="B431" s="572">
        <f>+'Balance N'!B431</f>
        <v>0</v>
      </c>
      <c r="C431" s="679" t="e">
        <f>ROUND('Balance N'!#REF!,2)</f>
        <v>#REF!</v>
      </c>
      <c r="D431" s="679" t="e">
        <f>ROUND('Balance N'!#REF!,2)</f>
        <v>#REF!</v>
      </c>
      <c r="E431" s="679">
        <f>ROUND('Balance N'!C431,2)</f>
        <v>0</v>
      </c>
      <c r="F431" s="679">
        <f>ROUND('Balance N'!D431,2)</f>
        <v>0</v>
      </c>
      <c r="G431" s="679">
        <f>ROUND('Balance N'!E431,2)</f>
        <v>0</v>
      </c>
      <c r="H431" s="679">
        <f>ROUND('Balance N'!F431,2)</f>
        <v>0</v>
      </c>
      <c r="I431" s="2" t="str">
        <f t="shared" si="9"/>
        <v>0</v>
      </c>
    </row>
    <row r="432" spans="1:9" x14ac:dyDescent="0.2">
      <c r="A432" s="573" t="str">
        <f>FIXED('Balance N'!A432,0,1)</f>
        <v>0</v>
      </c>
      <c r="B432" s="572">
        <f>+'Balance N'!B432</f>
        <v>0</v>
      </c>
      <c r="C432" s="679" t="e">
        <f>ROUND('Balance N'!#REF!,2)</f>
        <v>#REF!</v>
      </c>
      <c r="D432" s="679" t="e">
        <f>ROUND('Balance N'!#REF!,2)</f>
        <v>#REF!</v>
      </c>
      <c r="E432" s="679">
        <f>ROUND('Balance N'!C432,2)</f>
        <v>0</v>
      </c>
      <c r="F432" s="679">
        <f>ROUND('Balance N'!D432,2)</f>
        <v>0</v>
      </c>
      <c r="G432" s="679">
        <f>ROUND('Balance N'!E432,2)</f>
        <v>0</v>
      </c>
      <c r="H432" s="679">
        <f>ROUND('Balance N'!F432,2)</f>
        <v>0</v>
      </c>
      <c r="I432" s="2" t="str">
        <f t="shared" si="9"/>
        <v>0</v>
      </c>
    </row>
    <row r="433" spans="1:9" x14ac:dyDescent="0.2">
      <c r="A433" s="573" t="str">
        <f>FIXED('Balance N'!A433,0,1)</f>
        <v>0</v>
      </c>
      <c r="B433" s="572">
        <f>+'Balance N'!B433</f>
        <v>0</v>
      </c>
      <c r="C433" s="679" t="e">
        <f>ROUND('Balance N'!#REF!,2)</f>
        <v>#REF!</v>
      </c>
      <c r="D433" s="679" t="e">
        <f>ROUND('Balance N'!#REF!,2)</f>
        <v>#REF!</v>
      </c>
      <c r="E433" s="679">
        <f>ROUND('Balance N'!C433,2)</f>
        <v>0</v>
      </c>
      <c r="F433" s="679">
        <f>ROUND('Balance N'!D433,2)</f>
        <v>0</v>
      </c>
      <c r="G433" s="679">
        <f>ROUND('Balance N'!E433,2)</f>
        <v>0</v>
      </c>
      <c r="H433" s="679">
        <f>ROUND('Balance N'!F433,2)</f>
        <v>0</v>
      </c>
      <c r="I433" s="2" t="str">
        <f t="shared" si="9"/>
        <v>0</v>
      </c>
    </row>
    <row r="434" spans="1:9" x14ac:dyDescent="0.2">
      <c r="A434" s="573" t="str">
        <f>FIXED('Balance N'!A434,0,1)</f>
        <v>0</v>
      </c>
      <c r="B434" s="572">
        <f>+'Balance N'!B434</f>
        <v>0</v>
      </c>
      <c r="C434" s="679" t="e">
        <f>ROUND('Balance N'!#REF!,2)</f>
        <v>#REF!</v>
      </c>
      <c r="D434" s="679" t="e">
        <f>ROUND('Balance N'!#REF!,2)</f>
        <v>#REF!</v>
      </c>
      <c r="E434" s="679">
        <f>ROUND('Balance N'!C434,2)</f>
        <v>0</v>
      </c>
      <c r="F434" s="679">
        <f>ROUND('Balance N'!D434,2)</f>
        <v>0</v>
      </c>
      <c r="G434" s="679">
        <f>ROUND('Balance N'!E434,2)</f>
        <v>0</v>
      </c>
      <c r="H434" s="679">
        <f>ROUND('Balance N'!F434,2)</f>
        <v>0</v>
      </c>
      <c r="I434" s="2" t="str">
        <f t="shared" si="9"/>
        <v>0</v>
      </c>
    </row>
    <row r="435" spans="1:9" x14ac:dyDescent="0.2">
      <c r="A435" s="573" t="str">
        <f>FIXED('Balance N'!A435,0,1)</f>
        <v>0</v>
      </c>
      <c r="B435" s="572">
        <f>+'Balance N'!B435</f>
        <v>0</v>
      </c>
      <c r="C435" s="679" t="e">
        <f>ROUND('Balance N'!#REF!,2)</f>
        <v>#REF!</v>
      </c>
      <c r="D435" s="679" t="e">
        <f>ROUND('Balance N'!#REF!,2)</f>
        <v>#REF!</v>
      </c>
      <c r="E435" s="679">
        <f>ROUND('Balance N'!C435,2)</f>
        <v>0</v>
      </c>
      <c r="F435" s="679">
        <f>ROUND('Balance N'!D435,2)</f>
        <v>0</v>
      </c>
      <c r="G435" s="679">
        <f>ROUND('Balance N'!E435,2)</f>
        <v>0</v>
      </c>
      <c r="H435" s="679">
        <f>ROUND('Balance N'!F435,2)</f>
        <v>0</v>
      </c>
      <c r="I435" s="2" t="str">
        <f t="shared" si="9"/>
        <v>0</v>
      </c>
    </row>
    <row r="436" spans="1:9" x14ac:dyDescent="0.2">
      <c r="A436" s="573" t="str">
        <f>FIXED('Balance N'!A436,0,1)</f>
        <v>0</v>
      </c>
      <c r="B436" s="572">
        <f>+'Balance N'!B436</f>
        <v>0</v>
      </c>
      <c r="C436" s="679" t="e">
        <f>ROUND('Balance N'!#REF!,2)</f>
        <v>#REF!</v>
      </c>
      <c r="D436" s="679" t="e">
        <f>ROUND('Balance N'!#REF!,2)</f>
        <v>#REF!</v>
      </c>
      <c r="E436" s="679">
        <f>ROUND('Balance N'!C436,2)</f>
        <v>0</v>
      </c>
      <c r="F436" s="679">
        <f>ROUND('Balance N'!D436,2)</f>
        <v>0</v>
      </c>
      <c r="G436" s="679">
        <f>ROUND('Balance N'!E436,2)</f>
        <v>0</v>
      </c>
      <c r="H436" s="679">
        <f>ROUND('Balance N'!F436,2)</f>
        <v>0</v>
      </c>
      <c r="I436" s="2" t="str">
        <f t="shared" si="9"/>
        <v>0</v>
      </c>
    </row>
    <row r="437" spans="1:9" x14ac:dyDescent="0.2">
      <c r="A437" s="573" t="str">
        <f>FIXED('Balance N'!A437,0,1)</f>
        <v>0</v>
      </c>
      <c r="B437" s="572">
        <f>+'Balance N'!B437</f>
        <v>0</v>
      </c>
      <c r="C437" s="679" t="e">
        <f>ROUND('Balance N'!#REF!,2)</f>
        <v>#REF!</v>
      </c>
      <c r="D437" s="679" t="e">
        <f>ROUND('Balance N'!#REF!,2)</f>
        <v>#REF!</v>
      </c>
      <c r="E437" s="679">
        <f>ROUND('Balance N'!C437,2)</f>
        <v>0</v>
      </c>
      <c r="F437" s="679">
        <f>ROUND('Balance N'!D437,2)</f>
        <v>0</v>
      </c>
      <c r="G437" s="679">
        <f>ROUND('Balance N'!E437,2)</f>
        <v>0</v>
      </c>
      <c r="H437" s="679">
        <f>ROUND('Balance N'!F437,2)</f>
        <v>0</v>
      </c>
      <c r="I437" s="2" t="str">
        <f t="shared" si="9"/>
        <v>0</v>
      </c>
    </row>
    <row r="438" spans="1:9" x14ac:dyDescent="0.2">
      <c r="A438" s="573" t="str">
        <f>FIXED('Balance N'!A438,0,1)</f>
        <v>0</v>
      </c>
      <c r="B438" s="572">
        <f>+'Balance N'!B438</f>
        <v>0</v>
      </c>
      <c r="C438" s="679" t="e">
        <f>ROUND('Balance N'!#REF!,2)</f>
        <v>#REF!</v>
      </c>
      <c r="D438" s="679" t="e">
        <f>ROUND('Balance N'!#REF!,2)</f>
        <v>#REF!</v>
      </c>
      <c r="E438" s="679">
        <f>ROUND('Balance N'!C438,2)</f>
        <v>0</v>
      </c>
      <c r="F438" s="679">
        <f>ROUND('Balance N'!D438,2)</f>
        <v>0</v>
      </c>
      <c r="G438" s="679">
        <f>ROUND('Balance N'!E438,2)</f>
        <v>0</v>
      </c>
      <c r="H438" s="679">
        <f>ROUND('Balance N'!F438,2)</f>
        <v>0</v>
      </c>
      <c r="I438" s="2" t="str">
        <f t="shared" si="9"/>
        <v>0</v>
      </c>
    </row>
    <row r="439" spans="1:9" x14ac:dyDescent="0.2">
      <c r="A439" s="573" t="str">
        <f>FIXED('Balance N'!A439,0,1)</f>
        <v>0</v>
      </c>
      <c r="B439" s="572">
        <f>+'Balance N'!B439</f>
        <v>0</v>
      </c>
      <c r="C439" s="679" t="e">
        <f>ROUND('Balance N'!#REF!,2)</f>
        <v>#REF!</v>
      </c>
      <c r="D439" s="679" t="e">
        <f>ROUND('Balance N'!#REF!,2)</f>
        <v>#REF!</v>
      </c>
      <c r="E439" s="679">
        <f>ROUND('Balance N'!C439,2)</f>
        <v>0</v>
      </c>
      <c r="F439" s="679">
        <f>ROUND('Balance N'!D439,2)</f>
        <v>0</v>
      </c>
      <c r="G439" s="679">
        <f>ROUND('Balance N'!E439,2)</f>
        <v>0</v>
      </c>
      <c r="H439" s="679">
        <f>ROUND('Balance N'!F439,2)</f>
        <v>0</v>
      </c>
      <c r="I439" s="2" t="str">
        <f t="shared" si="9"/>
        <v>0</v>
      </c>
    </row>
    <row r="440" spans="1:9" x14ac:dyDescent="0.2">
      <c r="A440" s="573" t="str">
        <f>FIXED('Balance N'!A440,0,1)</f>
        <v>0</v>
      </c>
      <c r="B440" s="572">
        <f>+'Balance N'!B440</f>
        <v>0</v>
      </c>
      <c r="C440" s="679" t="e">
        <f>ROUND('Balance N'!#REF!,2)</f>
        <v>#REF!</v>
      </c>
      <c r="D440" s="679" t="e">
        <f>ROUND('Balance N'!#REF!,2)</f>
        <v>#REF!</v>
      </c>
      <c r="E440" s="679">
        <f>ROUND('Balance N'!C440,2)</f>
        <v>0</v>
      </c>
      <c r="F440" s="679">
        <f>ROUND('Balance N'!D440,2)</f>
        <v>0</v>
      </c>
      <c r="G440" s="679">
        <f>ROUND('Balance N'!E440,2)</f>
        <v>0</v>
      </c>
      <c r="H440" s="679">
        <f>ROUND('Balance N'!F440,2)</f>
        <v>0</v>
      </c>
      <c r="I440" s="2" t="str">
        <f t="shared" si="9"/>
        <v>0</v>
      </c>
    </row>
    <row r="441" spans="1:9" x14ac:dyDescent="0.2">
      <c r="A441" s="573" t="str">
        <f>FIXED('Balance N'!A441,0,1)</f>
        <v>0</v>
      </c>
      <c r="B441" s="572">
        <f>+'Balance N'!B441</f>
        <v>0</v>
      </c>
      <c r="C441" s="679" t="e">
        <f>ROUND('Balance N'!#REF!,2)</f>
        <v>#REF!</v>
      </c>
      <c r="D441" s="679" t="e">
        <f>ROUND('Balance N'!#REF!,2)</f>
        <v>#REF!</v>
      </c>
      <c r="E441" s="679">
        <f>ROUND('Balance N'!C441,2)</f>
        <v>0</v>
      </c>
      <c r="F441" s="679">
        <f>ROUND('Balance N'!D441,2)</f>
        <v>0</v>
      </c>
      <c r="G441" s="679">
        <f>ROUND('Balance N'!E441,2)</f>
        <v>0</v>
      </c>
      <c r="H441" s="679">
        <f>ROUND('Balance N'!F441,2)</f>
        <v>0</v>
      </c>
      <c r="I441" s="2" t="str">
        <f t="shared" si="9"/>
        <v>0</v>
      </c>
    </row>
    <row r="442" spans="1:9" x14ac:dyDescent="0.2">
      <c r="A442" s="573" t="str">
        <f>FIXED('Balance N'!A442,0,1)</f>
        <v>0</v>
      </c>
      <c r="B442" s="572">
        <f>+'Balance N'!B442</f>
        <v>0</v>
      </c>
      <c r="C442" s="679" t="e">
        <f>ROUND('Balance N'!#REF!,2)</f>
        <v>#REF!</v>
      </c>
      <c r="D442" s="679" t="e">
        <f>ROUND('Balance N'!#REF!,2)</f>
        <v>#REF!</v>
      </c>
      <c r="E442" s="679">
        <f>ROUND('Balance N'!C442,2)</f>
        <v>0</v>
      </c>
      <c r="F442" s="679">
        <f>ROUND('Balance N'!D442,2)</f>
        <v>0</v>
      </c>
      <c r="G442" s="679">
        <f>ROUND('Balance N'!E442,2)</f>
        <v>0</v>
      </c>
      <c r="H442" s="679">
        <f>ROUND('Balance N'!F442,2)</f>
        <v>0</v>
      </c>
      <c r="I442" s="2" t="str">
        <f t="shared" si="9"/>
        <v>0</v>
      </c>
    </row>
    <row r="443" spans="1:9" x14ac:dyDescent="0.2">
      <c r="A443" s="573" t="str">
        <f>FIXED('Balance N'!A443,0,1)</f>
        <v>0</v>
      </c>
      <c r="B443" s="572">
        <f>+'Balance N'!B443</f>
        <v>0</v>
      </c>
      <c r="C443" s="679" t="e">
        <f>ROUND('Balance N'!#REF!,2)</f>
        <v>#REF!</v>
      </c>
      <c r="D443" s="679" t="e">
        <f>ROUND('Balance N'!#REF!,2)</f>
        <v>#REF!</v>
      </c>
      <c r="E443" s="679">
        <f>ROUND('Balance N'!C443,2)</f>
        <v>0</v>
      </c>
      <c r="F443" s="679">
        <f>ROUND('Balance N'!D443,2)</f>
        <v>0</v>
      </c>
      <c r="G443" s="679">
        <f>ROUND('Balance N'!E443,2)</f>
        <v>0</v>
      </c>
      <c r="H443" s="679">
        <f>ROUND('Balance N'!F443,2)</f>
        <v>0</v>
      </c>
      <c r="I443" s="2" t="str">
        <f t="shared" si="9"/>
        <v>0</v>
      </c>
    </row>
    <row r="444" spans="1:9" x14ac:dyDescent="0.2">
      <c r="A444" s="573" t="str">
        <f>FIXED('Balance N'!A444,0,1)</f>
        <v>0</v>
      </c>
      <c r="B444" s="572">
        <f>+'Balance N'!B444</f>
        <v>0</v>
      </c>
      <c r="C444" s="679" t="e">
        <f>ROUND('Balance N'!#REF!,2)</f>
        <v>#REF!</v>
      </c>
      <c r="D444" s="679" t="e">
        <f>ROUND('Balance N'!#REF!,2)</f>
        <v>#REF!</v>
      </c>
      <c r="E444" s="679">
        <f>ROUND('Balance N'!C444,2)</f>
        <v>0</v>
      </c>
      <c r="F444" s="679">
        <f>ROUND('Balance N'!D444,2)</f>
        <v>0</v>
      </c>
      <c r="G444" s="679">
        <f>ROUND('Balance N'!E444,2)</f>
        <v>0</v>
      </c>
      <c r="H444" s="679">
        <f>ROUND('Balance N'!F444,2)</f>
        <v>0</v>
      </c>
      <c r="I444" s="2" t="str">
        <f t="shared" si="9"/>
        <v>0</v>
      </c>
    </row>
    <row r="445" spans="1:9" x14ac:dyDescent="0.2">
      <c r="A445" s="573" t="str">
        <f>FIXED('Balance N'!A445,0,1)</f>
        <v>0</v>
      </c>
      <c r="B445" s="572">
        <f>+'Balance N'!B445</f>
        <v>0</v>
      </c>
      <c r="C445" s="679" t="e">
        <f>ROUND('Balance N'!#REF!,2)</f>
        <v>#REF!</v>
      </c>
      <c r="D445" s="679" t="e">
        <f>ROUND('Balance N'!#REF!,2)</f>
        <v>#REF!</v>
      </c>
      <c r="E445" s="679">
        <f>ROUND('Balance N'!C445,2)</f>
        <v>0</v>
      </c>
      <c r="F445" s="679">
        <f>ROUND('Balance N'!D445,2)</f>
        <v>0</v>
      </c>
      <c r="G445" s="679">
        <f>ROUND('Balance N'!E445,2)</f>
        <v>0</v>
      </c>
      <c r="H445" s="679">
        <f>ROUND('Balance N'!F445,2)</f>
        <v>0</v>
      </c>
      <c r="I445" s="2" t="str">
        <f t="shared" si="9"/>
        <v>0</v>
      </c>
    </row>
    <row r="446" spans="1:9" x14ac:dyDescent="0.2">
      <c r="A446" s="573" t="str">
        <f>FIXED('Balance N'!A446,0,1)</f>
        <v>0</v>
      </c>
      <c r="B446" s="572">
        <f>+'Balance N'!B446</f>
        <v>0</v>
      </c>
      <c r="C446" s="679" t="e">
        <f>ROUND('Balance N'!#REF!,2)</f>
        <v>#REF!</v>
      </c>
      <c r="D446" s="679" t="e">
        <f>ROUND('Balance N'!#REF!,2)</f>
        <v>#REF!</v>
      </c>
      <c r="E446" s="679">
        <f>ROUND('Balance N'!C446,2)</f>
        <v>0</v>
      </c>
      <c r="F446" s="679">
        <f>ROUND('Balance N'!D446,2)</f>
        <v>0</v>
      </c>
      <c r="G446" s="679">
        <f>ROUND('Balance N'!E446,2)</f>
        <v>0</v>
      </c>
      <c r="H446" s="679">
        <f>ROUND('Balance N'!F446,2)</f>
        <v>0</v>
      </c>
      <c r="I446" s="2" t="str">
        <f t="shared" si="9"/>
        <v>0</v>
      </c>
    </row>
    <row r="447" spans="1:9" x14ac:dyDescent="0.2">
      <c r="A447" s="573" t="str">
        <f>FIXED('Balance N'!A447,0,1)</f>
        <v>0</v>
      </c>
      <c r="B447" s="572">
        <f>+'Balance N'!B447</f>
        <v>0</v>
      </c>
      <c r="C447" s="679" t="e">
        <f>ROUND('Balance N'!#REF!,2)</f>
        <v>#REF!</v>
      </c>
      <c r="D447" s="679" t="e">
        <f>ROUND('Balance N'!#REF!,2)</f>
        <v>#REF!</v>
      </c>
      <c r="E447" s="679">
        <f>ROUND('Balance N'!C447,2)</f>
        <v>0</v>
      </c>
      <c r="F447" s="679">
        <f>ROUND('Balance N'!D447,2)</f>
        <v>0</v>
      </c>
      <c r="G447" s="679">
        <f>ROUND('Balance N'!E447,2)</f>
        <v>0</v>
      </c>
      <c r="H447" s="679">
        <f>ROUND('Balance N'!F447,2)</f>
        <v>0</v>
      </c>
      <c r="I447" s="2" t="str">
        <f t="shared" si="9"/>
        <v>0</v>
      </c>
    </row>
    <row r="448" spans="1:9" x14ac:dyDescent="0.2">
      <c r="A448" s="573" t="str">
        <f>FIXED('Balance N'!A448,0,1)</f>
        <v>0</v>
      </c>
      <c r="B448" s="572">
        <f>+'Balance N'!B448</f>
        <v>0</v>
      </c>
      <c r="C448" s="679" t="e">
        <f>ROUND('Balance N'!#REF!,2)</f>
        <v>#REF!</v>
      </c>
      <c r="D448" s="679" t="e">
        <f>ROUND('Balance N'!#REF!,2)</f>
        <v>#REF!</v>
      </c>
      <c r="E448" s="679">
        <f>ROUND('Balance N'!C448,2)</f>
        <v>0</v>
      </c>
      <c r="F448" s="679">
        <f>ROUND('Balance N'!D448,2)</f>
        <v>0</v>
      </c>
      <c r="G448" s="679">
        <f>ROUND('Balance N'!E448,2)</f>
        <v>0</v>
      </c>
      <c r="H448" s="679">
        <f>ROUND('Balance N'!F448,2)</f>
        <v>0</v>
      </c>
      <c r="I448" s="2" t="str">
        <f t="shared" si="9"/>
        <v>0</v>
      </c>
    </row>
    <row r="449" spans="1:9" x14ac:dyDescent="0.2">
      <c r="A449" s="573" t="str">
        <f>FIXED('Balance N'!A449,0,1)</f>
        <v>0</v>
      </c>
      <c r="B449" s="572">
        <f>+'Balance N'!B449</f>
        <v>0</v>
      </c>
      <c r="C449" s="679" t="e">
        <f>ROUND('Balance N'!#REF!,2)</f>
        <v>#REF!</v>
      </c>
      <c r="D449" s="679" t="e">
        <f>ROUND('Balance N'!#REF!,2)</f>
        <v>#REF!</v>
      </c>
      <c r="E449" s="679">
        <f>ROUND('Balance N'!C449,2)</f>
        <v>0</v>
      </c>
      <c r="F449" s="679">
        <f>ROUND('Balance N'!D449,2)</f>
        <v>0</v>
      </c>
      <c r="G449" s="679">
        <f>ROUND('Balance N'!E449,2)</f>
        <v>0</v>
      </c>
      <c r="H449" s="679">
        <f>ROUND('Balance N'!F449,2)</f>
        <v>0</v>
      </c>
      <c r="I449" s="2" t="str">
        <f t="shared" si="9"/>
        <v>0</v>
      </c>
    </row>
    <row r="450" spans="1:9" x14ac:dyDescent="0.2">
      <c r="A450" s="573" t="str">
        <f>FIXED('Balance N'!A450,0,1)</f>
        <v>0</v>
      </c>
      <c r="B450" s="572">
        <f>+'Balance N'!B450</f>
        <v>0</v>
      </c>
      <c r="C450" s="679" t="e">
        <f>ROUND('Balance N'!#REF!,2)</f>
        <v>#REF!</v>
      </c>
      <c r="D450" s="679" t="e">
        <f>ROUND('Balance N'!#REF!,2)</f>
        <v>#REF!</v>
      </c>
      <c r="E450" s="679">
        <f>ROUND('Balance N'!C450,2)</f>
        <v>0</v>
      </c>
      <c r="F450" s="679">
        <f>ROUND('Balance N'!D450,2)</f>
        <v>0</v>
      </c>
      <c r="G450" s="679">
        <f>ROUND('Balance N'!E450,2)</f>
        <v>0</v>
      </c>
      <c r="H450" s="679">
        <f>ROUND('Balance N'!F450,2)</f>
        <v>0</v>
      </c>
      <c r="I450" s="2" t="str">
        <f t="shared" ref="I450:I513" si="10">MID(A450,1,1)</f>
        <v>0</v>
      </c>
    </row>
    <row r="451" spans="1:9" x14ac:dyDescent="0.2">
      <c r="A451" s="573" t="str">
        <f>FIXED('Balance N'!A451,0,1)</f>
        <v>0</v>
      </c>
      <c r="B451" s="572">
        <f>+'Balance N'!B451</f>
        <v>0</v>
      </c>
      <c r="C451" s="679" t="e">
        <f>ROUND('Balance N'!#REF!,2)</f>
        <v>#REF!</v>
      </c>
      <c r="D451" s="679" t="e">
        <f>ROUND('Balance N'!#REF!,2)</f>
        <v>#REF!</v>
      </c>
      <c r="E451" s="679">
        <f>ROUND('Balance N'!C451,2)</f>
        <v>0</v>
      </c>
      <c r="F451" s="679">
        <f>ROUND('Balance N'!D451,2)</f>
        <v>0</v>
      </c>
      <c r="G451" s="679">
        <f>ROUND('Balance N'!E451,2)</f>
        <v>0</v>
      </c>
      <c r="H451" s="679">
        <f>ROUND('Balance N'!F451,2)</f>
        <v>0</v>
      </c>
      <c r="I451" s="2" t="str">
        <f t="shared" si="10"/>
        <v>0</v>
      </c>
    </row>
    <row r="452" spans="1:9" x14ac:dyDescent="0.2">
      <c r="A452" s="573" t="str">
        <f>FIXED('Balance N'!A452,0,1)</f>
        <v>0</v>
      </c>
      <c r="B452" s="572">
        <f>+'Balance N'!B452</f>
        <v>0</v>
      </c>
      <c r="C452" s="679" t="e">
        <f>ROUND('Balance N'!#REF!,2)</f>
        <v>#REF!</v>
      </c>
      <c r="D452" s="679" t="e">
        <f>ROUND('Balance N'!#REF!,2)</f>
        <v>#REF!</v>
      </c>
      <c r="E452" s="679">
        <f>ROUND('Balance N'!C452,2)</f>
        <v>0</v>
      </c>
      <c r="F452" s="679">
        <f>ROUND('Balance N'!D452,2)</f>
        <v>0</v>
      </c>
      <c r="G452" s="679">
        <f>ROUND('Balance N'!E452,2)</f>
        <v>0</v>
      </c>
      <c r="H452" s="679">
        <f>ROUND('Balance N'!F452,2)</f>
        <v>0</v>
      </c>
      <c r="I452" s="2" t="str">
        <f t="shared" si="10"/>
        <v>0</v>
      </c>
    </row>
    <row r="453" spans="1:9" x14ac:dyDescent="0.2">
      <c r="A453" s="573" t="str">
        <f>FIXED('Balance N'!A453,0,1)</f>
        <v>0</v>
      </c>
      <c r="B453" s="572">
        <f>+'Balance N'!B453</f>
        <v>0</v>
      </c>
      <c r="C453" s="679" t="e">
        <f>ROUND('Balance N'!#REF!,2)</f>
        <v>#REF!</v>
      </c>
      <c r="D453" s="679" t="e">
        <f>ROUND('Balance N'!#REF!,2)</f>
        <v>#REF!</v>
      </c>
      <c r="E453" s="679">
        <f>ROUND('Balance N'!C453,2)</f>
        <v>0</v>
      </c>
      <c r="F453" s="679">
        <f>ROUND('Balance N'!D453,2)</f>
        <v>0</v>
      </c>
      <c r="G453" s="679">
        <f>ROUND('Balance N'!E453,2)</f>
        <v>0</v>
      </c>
      <c r="H453" s="679">
        <f>ROUND('Balance N'!F453,2)</f>
        <v>0</v>
      </c>
      <c r="I453" s="2" t="str">
        <f t="shared" si="10"/>
        <v>0</v>
      </c>
    </row>
    <row r="454" spans="1:9" x14ac:dyDescent="0.2">
      <c r="A454" s="573" t="str">
        <f>FIXED('Balance N'!A454,0,1)</f>
        <v>0</v>
      </c>
      <c r="B454" s="572">
        <f>+'Balance N'!B454</f>
        <v>0</v>
      </c>
      <c r="C454" s="679" t="e">
        <f>ROUND('Balance N'!#REF!,2)</f>
        <v>#REF!</v>
      </c>
      <c r="D454" s="679" t="e">
        <f>ROUND('Balance N'!#REF!,2)</f>
        <v>#REF!</v>
      </c>
      <c r="E454" s="679">
        <f>ROUND('Balance N'!C454,2)</f>
        <v>0</v>
      </c>
      <c r="F454" s="679">
        <f>ROUND('Balance N'!D454,2)</f>
        <v>0</v>
      </c>
      <c r="G454" s="679">
        <f>ROUND('Balance N'!E454,2)</f>
        <v>0</v>
      </c>
      <c r="H454" s="679">
        <f>ROUND('Balance N'!F454,2)</f>
        <v>0</v>
      </c>
      <c r="I454" s="2" t="str">
        <f t="shared" si="10"/>
        <v>0</v>
      </c>
    </row>
    <row r="455" spans="1:9" x14ac:dyDescent="0.2">
      <c r="A455" s="573" t="str">
        <f>FIXED('Balance N'!A455,0,1)</f>
        <v>0</v>
      </c>
      <c r="B455" s="572">
        <f>+'Balance N'!B455</f>
        <v>0</v>
      </c>
      <c r="C455" s="679" t="e">
        <f>ROUND('Balance N'!#REF!,2)</f>
        <v>#REF!</v>
      </c>
      <c r="D455" s="679" t="e">
        <f>ROUND('Balance N'!#REF!,2)</f>
        <v>#REF!</v>
      </c>
      <c r="E455" s="679">
        <f>ROUND('Balance N'!C455,2)</f>
        <v>0</v>
      </c>
      <c r="F455" s="679">
        <f>ROUND('Balance N'!D455,2)</f>
        <v>0</v>
      </c>
      <c r="G455" s="679">
        <f>ROUND('Balance N'!E455,2)</f>
        <v>0</v>
      </c>
      <c r="H455" s="679">
        <f>ROUND('Balance N'!F455,2)</f>
        <v>0</v>
      </c>
      <c r="I455" s="2" t="str">
        <f t="shared" si="10"/>
        <v>0</v>
      </c>
    </row>
    <row r="456" spans="1:9" x14ac:dyDescent="0.2">
      <c r="A456" s="573" t="str">
        <f>FIXED('Balance N'!A456,0,1)</f>
        <v>0</v>
      </c>
      <c r="B456" s="572">
        <f>+'Balance N'!B456</f>
        <v>0</v>
      </c>
      <c r="C456" s="679" t="e">
        <f>ROUND('Balance N'!#REF!,2)</f>
        <v>#REF!</v>
      </c>
      <c r="D456" s="679" t="e">
        <f>ROUND('Balance N'!#REF!,2)</f>
        <v>#REF!</v>
      </c>
      <c r="E456" s="679">
        <f>ROUND('Balance N'!C456,2)</f>
        <v>0</v>
      </c>
      <c r="F456" s="679">
        <f>ROUND('Balance N'!D456,2)</f>
        <v>0</v>
      </c>
      <c r="G456" s="679">
        <f>ROUND('Balance N'!E456,2)</f>
        <v>0</v>
      </c>
      <c r="H456" s="679">
        <f>ROUND('Balance N'!F456,2)</f>
        <v>0</v>
      </c>
      <c r="I456" s="2" t="str">
        <f t="shared" si="10"/>
        <v>0</v>
      </c>
    </row>
    <row r="457" spans="1:9" x14ac:dyDescent="0.2">
      <c r="A457" s="573" t="str">
        <f>FIXED('Balance N'!A457,0,1)</f>
        <v>0</v>
      </c>
      <c r="B457" s="572">
        <f>+'Balance N'!B457</f>
        <v>0</v>
      </c>
      <c r="C457" s="679" t="e">
        <f>ROUND('Balance N'!#REF!,2)</f>
        <v>#REF!</v>
      </c>
      <c r="D457" s="679" t="e">
        <f>ROUND('Balance N'!#REF!,2)</f>
        <v>#REF!</v>
      </c>
      <c r="E457" s="679">
        <f>ROUND('Balance N'!C457,2)</f>
        <v>0</v>
      </c>
      <c r="F457" s="679">
        <f>ROUND('Balance N'!D457,2)</f>
        <v>0</v>
      </c>
      <c r="G457" s="679">
        <f>ROUND('Balance N'!E457,2)</f>
        <v>0</v>
      </c>
      <c r="H457" s="679">
        <f>ROUND('Balance N'!F457,2)</f>
        <v>0</v>
      </c>
      <c r="I457" s="2" t="str">
        <f t="shared" si="10"/>
        <v>0</v>
      </c>
    </row>
    <row r="458" spans="1:9" x14ac:dyDescent="0.2">
      <c r="A458" s="573" t="str">
        <f>FIXED('Balance N'!A458,0,1)</f>
        <v>0</v>
      </c>
      <c r="B458" s="572">
        <f>+'Balance N'!B458</f>
        <v>0</v>
      </c>
      <c r="C458" s="679" t="e">
        <f>ROUND('Balance N'!#REF!,2)</f>
        <v>#REF!</v>
      </c>
      <c r="D458" s="679" t="e">
        <f>ROUND('Balance N'!#REF!,2)</f>
        <v>#REF!</v>
      </c>
      <c r="E458" s="679">
        <f>ROUND('Balance N'!C458,2)</f>
        <v>0</v>
      </c>
      <c r="F458" s="679">
        <f>ROUND('Balance N'!D458,2)</f>
        <v>0</v>
      </c>
      <c r="G458" s="679">
        <f>ROUND('Balance N'!E458,2)</f>
        <v>0</v>
      </c>
      <c r="H458" s="679">
        <f>ROUND('Balance N'!F458,2)</f>
        <v>0</v>
      </c>
      <c r="I458" s="2" t="str">
        <f t="shared" si="10"/>
        <v>0</v>
      </c>
    </row>
    <row r="459" spans="1:9" x14ac:dyDescent="0.2">
      <c r="A459" s="573" t="str">
        <f>FIXED('Balance N'!A459,0,1)</f>
        <v>0</v>
      </c>
      <c r="B459" s="572">
        <f>+'Balance N'!B459</f>
        <v>0</v>
      </c>
      <c r="C459" s="679" t="e">
        <f>ROUND('Balance N'!#REF!,2)</f>
        <v>#REF!</v>
      </c>
      <c r="D459" s="679" t="e">
        <f>ROUND('Balance N'!#REF!,2)</f>
        <v>#REF!</v>
      </c>
      <c r="E459" s="679">
        <f>ROUND('Balance N'!C459,2)</f>
        <v>0</v>
      </c>
      <c r="F459" s="679">
        <f>ROUND('Balance N'!D459,2)</f>
        <v>0</v>
      </c>
      <c r="G459" s="679">
        <f>ROUND('Balance N'!E459,2)</f>
        <v>0</v>
      </c>
      <c r="H459" s="679">
        <f>ROUND('Balance N'!F459,2)</f>
        <v>0</v>
      </c>
      <c r="I459" s="2" t="str">
        <f t="shared" si="10"/>
        <v>0</v>
      </c>
    </row>
    <row r="460" spans="1:9" x14ac:dyDescent="0.2">
      <c r="A460" s="573" t="str">
        <f>FIXED('Balance N'!A460,0,1)</f>
        <v>0</v>
      </c>
      <c r="B460" s="572">
        <f>+'Balance N'!B460</f>
        <v>0</v>
      </c>
      <c r="C460" s="679" t="e">
        <f>ROUND('Balance N'!#REF!,2)</f>
        <v>#REF!</v>
      </c>
      <c r="D460" s="679" t="e">
        <f>ROUND('Balance N'!#REF!,2)</f>
        <v>#REF!</v>
      </c>
      <c r="E460" s="679">
        <f>ROUND('Balance N'!C460,2)</f>
        <v>0</v>
      </c>
      <c r="F460" s="679">
        <f>ROUND('Balance N'!D460,2)</f>
        <v>0</v>
      </c>
      <c r="G460" s="679">
        <f>ROUND('Balance N'!E460,2)</f>
        <v>0</v>
      </c>
      <c r="H460" s="679">
        <f>ROUND('Balance N'!F460,2)</f>
        <v>0</v>
      </c>
      <c r="I460" s="2" t="str">
        <f t="shared" si="10"/>
        <v>0</v>
      </c>
    </row>
    <row r="461" spans="1:9" x14ac:dyDescent="0.2">
      <c r="A461" s="573" t="str">
        <f>FIXED('Balance N'!A461,0,1)</f>
        <v>0</v>
      </c>
      <c r="B461" s="572">
        <f>+'Balance N'!B461</f>
        <v>0</v>
      </c>
      <c r="C461" s="679" t="e">
        <f>ROUND('Balance N'!#REF!,2)</f>
        <v>#REF!</v>
      </c>
      <c r="D461" s="679" t="e">
        <f>ROUND('Balance N'!#REF!,2)</f>
        <v>#REF!</v>
      </c>
      <c r="E461" s="679">
        <f>ROUND('Balance N'!C461,2)</f>
        <v>0</v>
      </c>
      <c r="F461" s="679">
        <f>ROUND('Balance N'!D461,2)</f>
        <v>0</v>
      </c>
      <c r="G461" s="679">
        <f>ROUND('Balance N'!E461,2)</f>
        <v>0</v>
      </c>
      <c r="H461" s="679">
        <f>ROUND('Balance N'!F461,2)</f>
        <v>0</v>
      </c>
      <c r="I461" s="2" t="str">
        <f t="shared" si="10"/>
        <v>0</v>
      </c>
    </row>
    <row r="462" spans="1:9" x14ac:dyDescent="0.2">
      <c r="A462" s="573" t="str">
        <f>FIXED('Balance N'!A462,0,1)</f>
        <v>0</v>
      </c>
      <c r="B462" s="572">
        <f>+'Balance N'!B462</f>
        <v>0</v>
      </c>
      <c r="C462" s="679" t="e">
        <f>ROUND('Balance N'!#REF!,2)</f>
        <v>#REF!</v>
      </c>
      <c r="D462" s="679" t="e">
        <f>ROUND('Balance N'!#REF!,2)</f>
        <v>#REF!</v>
      </c>
      <c r="E462" s="679">
        <f>ROUND('Balance N'!C462,2)</f>
        <v>0</v>
      </c>
      <c r="F462" s="679">
        <f>ROUND('Balance N'!D462,2)</f>
        <v>0</v>
      </c>
      <c r="G462" s="679">
        <f>ROUND('Balance N'!E462,2)</f>
        <v>0</v>
      </c>
      <c r="H462" s="679">
        <f>ROUND('Balance N'!F462,2)</f>
        <v>0</v>
      </c>
      <c r="I462" s="2" t="str">
        <f t="shared" si="10"/>
        <v>0</v>
      </c>
    </row>
    <row r="463" spans="1:9" x14ac:dyDescent="0.2">
      <c r="A463" s="573" t="str">
        <f>FIXED('Balance N'!A463,0,1)</f>
        <v>0</v>
      </c>
      <c r="B463" s="572">
        <f>+'Balance N'!B463</f>
        <v>0</v>
      </c>
      <c r="C463" s="679" t="e">
        <f>ROUND('Balance N'!#REF!,2)</f>
        <v>#REF!</v>
      </c>
      <c r="D463" s="679" t="e">
        <f>ROUND('Balance N'!#REF!,2)</f>
        <v>#REF!</v>
      </c>
      <c r="E463" s="679">
        <f>ROUND('Balance N'!C463,2)</f>
        <v>0</v>
      </c>
      <c r="F463" s="679">
        <f>ROUND('Balance N'!D463,2)</f>
        <v>0</v>
      </c>
      <c r="G463" s="679">
        <f>ROUND('Balance N'!E463,2)</f>
        <v>0</v>
      </c>
      <c r="H463" s="679">
        <f>ROUND('Balance N'!F463,2)</f>
        <v>0</v>
      </c>
      <c r="I463" s="2" t="str">
        <f t="shared" si="10"/>
        <v>0</v>
      </c>
    </row>
    <row r="464" spans="1:9" x14ac:dyDescent="0.2">
      <c r="A464" s="573" t="str">
        <f>FIXED('Balance N'!A464,0,1)</f>
        <v>0</v>
      </c>
      <c r="B464" s="572">
        <f>+'Balance N'!B464</f>
        <v>0</v>
      </c>
      <c r="C464" s="679" t="e">
        <f>ROUND('Balance N'!#REF!,2)</f>
        <v>#REF!</v>
      </c>
      <c r="D464" s="679" t="e">
        <f>ROUND('Balance N'!#REF!,2)</f>
        <v>#REF!</v>
      </c>
      <c r="E464" s="679">
        <f>ROUND('Balance N'!C464,2)</f>
        <v>0</v>
      </c>
      <c r="F464" s="679">
        <f>ROUND('Balance N'!D464,2)</f>
        <v>0</v>
      </c>
      <c r="G464" s="679">
        <f>ROUND('Balance N'!E464,2)</f>
        <v>0</v>
      </c>
      <c r="H464" s="679">
        <f>ROUND('Balance N'!F464,2)</f>
        <v>0</v>
      </c>
      <c r="I464" s="2" t="str">
        <f t="shared" si="10"/>
        <v>0</v>
      </c>
    </row>
    <row r="465" spans="1:9" x14ac:dyDescent="0.2">
      <c r="A465" s="573" t="str">
        <f>FIXED('Balance N'!A465,0,1)</f>
        <v>0</v>
      </c>
      <c r="B465" s="572">
        <f>+'Balance N'!B465</f>
        <v>0</v>
      </c>
      <c r="C465" s="679" t="e">
        <f>ROUND('Balance N'!#REF!,2)</f>
        <v>#REF!</v>
      </c>
      <c r="D465" s="679" t="e">
        <f>ROUND('Balance N'!#REF!,2)</f>
        <v>#REF!</v>
      </c>
      <c r="E465" s="679">
        <f>ROUND('Balance N'!C465,2)</f>
        <v>0</v>
      </c>
      <c r="F465" s="679">
        <f>ROUND('Balance N'!D465,2)</f>
        <v>0</v>
      </c>
      <c r="G465" s="679">
        <f>ROUND('Balance N'!E465,2)</f>
        <v>0</v>
      </c>
      <c r="H465" s="679">
        <f>ROUND('Balance N'!F465,2)</f>
        <v>0</v>
      </c>
      <c r="I465" s="2" t="str">
        <f t="shared" si="10"/>
        <v>0</v>
      </c>
    </row>
    <row r="466" spans="1:9" x14ac:dyDescent="0.2">
      <c r="A466" s="573" t="str">
        <f>FIXED('Balance N'!A466,0,1)</f>
        <v>0</v>
      </c>
      <c r="B466" s="572">
        <f>+'Balance N'!B466</f>
        <v>0</v>
      </c>
      <c r="C466" s="679" t="e">
        <f>ROUND('Balance N'!#REF!,2)</f>
        <v>#REF!</v>
      </c>
      <c r="D466" s="679" t="e">
        <f>ROUND('Balance N'!#REF!,2)</f>
        <v>#REF!</v>
      </c>
      <c r="E466" s="679">
        <f>ROUND('Balance N'!C466,2)</f>
        <v>0</v>
      </c>
      <c r="F466" s="679">
        <f>ROUND('Balance N'!D466,2)</f>
        <v>0</v>
      </c>
      <c r="G466" s="679">
        <f>ROUND('Balance N'!E466,2)</f>
        <v>0</v>
      </c>
      <c r="H466" s="679">
        <f>ROUND('Balance N'!F466,2)</f>
        <v>0</v>
      </c>
      <c r="I466" s="2" t="str">
        <f t="shared" si="10"/>
        <v>0</v>
      </c>
    </row>
    <row r="467" spans="1:9" x14ac:dyDescent="0.2">
      <c r="A467" s="573" t="str">
        <f>FIXED('Balance N'!A467,0,1)</f>
        <v>0</v>
      </c>
      <c r="B467" s="572">
        <f>+'Balance N'!B467</f>
        <v>0</v>
      </c>
      <c r="C467" s="679" t="e">
        <f>ROUND('Balance N'!#REF!,2)</f>
        <v>#REF!</v>
      </c>
      <c r="D467" s="679" t="e">
        <f>ROUND('Balance N'!#REF!,2)</f>
        <v>#REF!</v>
      </c>
      <c r="E467" s="679">
        <f>ROUND('Balance N'!C467,2)</f>
        <v>0</v>
      </c>
      <c r="F467" s="679">
        <f>ROUND('Balance N'!D467,2)</f>
        <v>0</v>
      </c>
      <c r="G467" s="679">
        <f>ROUND('Balance N'!E467,2)</f>
        <v>0</v>
      </c>
      <c r="H467" s="679">
        <f>ROUND('Balance N'!F467,2)</f>
        <v>0</v>
      </c>
      <c r="I467" s="2" t="str">
        <f t="shared" si="10"/>
        <v>0</v>
      </c>
    </row>
    <row r="468" spans="1:9" x14ac:dyDescent="0.2">
      <c r="A468" s="573" t="str">
        <f>FIXED('Balance N'!A468,0,1)</f>
        <v>0</v>
      </c>
      <c r="B468" s="572">
        <f>+'Balance N'!B468</f>
        <v>0</v>
      </c>
      <c r="C468" s="679" t="e">
        <f>ROUND('Balance N'!#REF!,2)</f>
        <v>#REF!</v>
      </c>
      <c r="D468" s="679" t="e">
        <f>ROUND('Balance N'!#REF!,2)</f>
        <v>#REF!</v>
      </c>
      <c r="E468" s="679">
        <f>ROUND('Balance N'!C468,2)</f>
        <v>0</v>
      </c>
      <c r="F468" s="679">
        <f>ROUND('Balance N'!D468,2)</f>
        <v>0</v>
      </c>
      <c r="G468" s="679">
        <f>ROUND('Balance N'!E468,2)</f>
        <v>0</v>
      </c>
      <c r="H468" s="679">
        <f>ROUND('Balance N'!F468,2)</f>
        <v>0</v>
      </c>
      <c r="I468" s="2" t="str">
        <f t="shared" si="10"/>
        <v>0</v>
      </c>
    </row>
    <row r="469" spans="1:9" x14ac:dyDescent="0.2">
      <c r="A469" s="573" t="str">
        <f>FIXED('Balance N'!A469,0,1)</f>
        <v>0</v>
      </c>
      <c r="B469" s="572">
        <f>+'Balance N'!B469</f>
        <v>0</v>
      </c>
      <c r="C469" s="679" t="e">
        <f>ROUND('Balance N'!#REF!,2)</f>
        <v>#REF!</v>
      </c>
      <c r="D469" s="679" t="e">
        <f>ROUND('Balance N'!#REF!,2)</f>
        <v>#REF!</v>
      </c>
      <c r="E469" s="679">
        <f>ROUND('Balance N'!C469,2)</f>
        <v>0</v>
      </c>
      <c r="F469" s="679">
        <f>ROUND('Balance N'!D469,2)</f>
        <v>0</v>
      </c>
      <c r="G469" s="679">
        <f>ROUND('Balance N'!E469,2)</f>
        <v>0</v>
      </c>
      <c r="H469" s="679">
        <f>ROUND('Balance N'!F469,2)</f>
        <v>0</v>
      </c>
      <c r="I469" s="2" t="str">
        <f t="shared" si="10"/>
        <v>0</v>
      </c>
    </row>
    <row r="470" spans="1:9" x14ac:dyDescent="0.2">
      <c r="A470" s="573" t="str">
        <f>FIXED('Balance N'!A470,0,1)</f>
        <v>0</v>
      </c>
      <c r="B470" s="572">
        <f>+'Balance N'!B470</f>
        <v>0</v>
      </c>
      <c r="C470" s="679" t="e">
        <f>ROUND('Balance N'!#REF!,2)</f>
        <v>#REF!</v>
      </c>
      <c r="D470" s="679" t="e">
        <f>ROUND('Balance N'!#REF!,2)</f>
        <v>#REF!</v>
      </c>
      <c r="E470" s="679">
        <f>ROUND('Balance N'!C470,2)</f>
        <v>0</v>
      </c>
      <c r="F470" s="679">
        <f>ROUND('Balance N'!D470,2)</f>
        <v>0</v>
      </c>
      <c r="G470" s="679">
        <f>ROUND('Balance N'!E470,2)</f>
        <v>0</v>
      </c>
      <c r="H470" s="679">
        <f>ROUND('Balance N'!F470,2)</f>
        <v>0</v>
      </c>
      <c r="I470" s="2" t="str">
        <f t="shared" si="10"/>
        <v>0</v>
      </c>
    </row>
    <row r="471" spans="1:9" x14ac:dyDescent="0.2">
      <c r="A471" s="573" t="str">
        <f>FIXED('Balance N'!A471,0,1)</f>
        <v>0</v>
      </c>
      <c r="B471" s="572">
        <f>+'Balance N'!B471</f>
        <v>0</v>
      </c>
      <c r="C471" s="679" t="e">
        <f>ROUND('Balance N'!#REF!,2)</f>
        <v>#REF!</v>
      </c>
      <c r="D471" s="679" t="e">
        <f>ROUND('Balance N'!#REF!,2)</f>
        <v>#REF!</v>
      </c>
      <c r="E471" s="679">
        <f>ROUND('Balance N'!C471,2)</f>
        <v>0</v>
      </c>
      <c r="F471" s="679">
        <f>ROUND('Balance N'!D471,2)</f>
        <v>0</v>
      </c>
      <c r="G471" s="679">
        <f>ROUND('Balance N'!E471,2)</f>
        <v>0</v>
      </c>
      <c r="H471" s="679">
        <f>ROUND('Balance N'!F471,2)</f>
        <v>0</v>
      </c>
      <c r="I471" s="2" t="str">
        <f t="shared" si="10"/>
        <v>0</v>
      </c>
    </row>
    <row r="472" spans="1:9" x14ac:dyDescent="0.2">
      <c r="A472" s="573" t="str">
        <f>FIXED('Balance N'!A472,0,1)</f>
        <v>0</v>
      </c>
      <c r="B472" s="572">
        <f>+'Balance N'!B472</f>
        <v>0</v>
      </c>
      <c r="C472" s="679" t="e">
        <f>ROUND('Balance N'!#REF!,2)</f>
        <v>#REF!</v>
      </c>
      <c r="D472" s="679" t="e">
        <f>ROUND('Balance N'!#REF!,2)</f>
        <v>#REF!</v>
      </c>
      <c r="E472" s="679">
        <f>ROUND('Balance N'!C472,2)</f>
        <v>0</v>
      </c>
      <c r="F472" s="679">
        <f>ROUND('Balance N'!D472,2)</f>
        <v>0</v>
      </c>
      <c r="G472" s="679">
        <f>ROUND('Balance N'!E472,2)</f>
        <v>0</v>
      </c>
      <c r="H472" s="679">
        <f>ROUND('Balance N'!F472,2)</f>
        <v>0</v>
      </c>
      <c r="I472" s="2" t="str">
        <f t="shared" si="10"/>
        <v>0</v>
      </c>
    </row>
    <row r="473" spans="1:9" x14ac:dyDescent="0.2">
      <c r="A473" s="573" t="str">
        <f>FIXED('Balance N'!A473,0,1)</f>
        <v>0</v>
      </c>
      <c r="B473" s="572">
        <f>+'Balance N'!B473</f>
        <v>0</v>
      </c>
      <c r="C473" s="679" t="e">
        <f>ROUND('Balance N'!#REF!,2)</f>
        <v>#REF!</v>
      </c>
      <c r="D473" s="679" t="e">
        <f>ROUND('Balance N'!#REF!,2)</f>
        <v>#REF!</v>
      </c>
      <c r="E473" s="679">
        <f>ROUND('Balance N'!C473,2)</f>
        <v>0</v>
      </c>
      <c r="F473" s="679">
        <f>ROUND('Balance N'!D473,2)</f>
        <v>0</v>
      </c>
      <c r="G473" s="679">
        <f>ROUND('Balance N'!E473,2)</f>
        <v>0</v>
      </c>
      <c r="H473" s="679">
        <f>ROUND('Balance N'!F473,2)</f>
        <v>0</v>
      </c>
      <c r="I473" s="2" t="str">
        <f t="shared" si="10"/>
        <v>0</v>
      </c>
    </row>
    <row r="474" spans="1:9" x14ac:dyDescent="0.2">
      <c r="A474" s="573" t="str">
        <f>FIXED('Balance N'!A474,0,1)</f>
        <v>0</v>
      </c>
      <c r="B474" s="572">
        <f>+'Balance N'!B474</f>
        <v>0</v>
      </c>
      <c r="C474" s="679" t="e">
        <f>ROUND('Balance N'!#REF!,2)</f>
        <v>#REF!</v>
      </c>
      <c r="D474" s="679" t="e">
        <f>ROUND('Balance N'!#REF!,2)</f>
        <v>#REF!</v>
      </c>
      <c r="E474" s="679">
        <f>ROUND('Balance N'!C474,2)</f>
        <v>0</v>
      </c>
      <c r="F474" s="679">
        <f>ROUND('Balance N'!D474,2)</f>
        <v>0</v>
      </c>
      <c r="G474" s="679">
        <f>ROUND('Balance N'!E474,2)</f>
        <v>0</v>
      </c>
      <c r="H474" s="679">
        <f>ROUND('Balance N'!F474,2)</f>
        <v>0</v>
      </c>
      <c r="I474" s="2" t="str">
        <f t="shared" si="10"/>
        <v>0</v>
      </c>
    </row>
    <row r="475" spans="1:9" x14ac:dyDescent="0.2">
      <c r="A475" s="573" t="str">
        <f>FIXED('Balance N'!A475,0,1)</f>
        <v>0</v>
      </c>
      <c r="B475" s="572">
        <f>+'Balance N'!B475</f>
        <v>0</v>
      </c>
      <c r="C475" s="679" t="e">
        <f>ROUND('Balance N'!#REF!,2)</f>
        <v>#REF!</v>
      </c>
      <c r="D475" s="679" t="e">
        <f>ROUND('Balance N'!#REF!,2)</f>
        <v>#REF!</v>
      </c>
      <c r="E475" s="679">
        <f>ROUND('Balance N'!C475,2)</f>
        <v>0</v>
      </c>
      <c r="F475" s="679">
        <f>ROUND('Balance N'!D475,2)</f>
        <v>0</v>
      </c>
      <c r="G475" s="679">
        <f>ROUND('Balance N'!E475,2)</f>
        <v>0</v>
      </c>
      <c r="H475" s="679">
        <f>ROUND('Balance N'!F475,2)</f>
        <v>0</v>
      </c>
      <c r="I475" s="2" t="str">
        <f t="shared" si="10"/>
        <v>0</v>
      </c>
    </row>
    <row r="476" spans="1:9" x14ac:dyDescent="0.2">
      <c r="A476" s="573" t="str">
        <f>FIXED('Balance N'!A476,0,1)</f>
        <v>0</v>
      </c>
      <c r="B476" s="572">
        <f>+'Balance N'!B476</f>
        <v>0</v>
      </c>
      <c r="C476" s="679" t="e">
        <f>ROUND('Balance N'!#REF!,2)</f>
        <v>#REF!</v>
      </c>
      <c r="D476" s="679" t="e">
        <f>ROUND('Balance N'!#REF!,2)</f>
        <v>#REF!</v>
      </c>
      <c r="E476" s="679">
        <f>ROUND('Balance N'!C476,2)</f>
        <v>0</v>
      </c>
      <c r="F476" s="679">
        <f>ROUND('Balance N'!D476,2)</f>
        <v>0</v>
      </c>
      <c r="G476" s="679">
        <f>ROUND('Balance N'!E476,2)</f>
        <v>0</v>
      </c>
      <c r="H476" s="679">
        <f>ROUND('Balance N'!F476,2)</f>
        <v>0</v>
      </c>
      <c r="I476" s="2" t="str">
        <f t="shared" si="10"/>
        <v>0</v>
      </c>
    </row>
    <row r="477" spans="1:9" x14ac:dyDescent="0.2">
      <c r="A477" s="573" t="str">
        <f>FIXED('Balance N'!A477,0,1)</f>
        <v>0</v>
      </c>
      <c r="B477" s="572">
        <f>+'Balance N'!B477</f>
        <v>0</v>
      </c>
      <c r="C477" s="679" t="e">
        <f>ROUND('Balance N'!#REF!,2)</f>
        <v>#REF!</v>
      </c>
      <c r="D477" s="679" t="e">
        <f>ROUND('Balance N'!#REF!,2)</f>
        <v>#REF!</v>
      </c>
      <c r="E477" s="679">
        <f>ROUND('Balance N'!C477,2)</f>
        <v>0</v>
      </c>
      <c r="F477" s="679">
        <f>ROUND('Balance N'!D477,2)</f>
        <v>0</v>
      </c>
      <c r="G477" s="679">
        <f>ROUND('Balance N'!E477,2)</f>
        <v>0</v>
      </c>
      <c r="H477" s="679">
        <f>ROUND('Balance N'!F477,2)</f>
        <v>0</v>
      </c>
      <c r="I477" s="2" t="str">
        <f t="shared" si="10"/>
        <v>0</v>
      </c>
    </row>
    <row r="478" spans="1:9" x14ac:dyDescent="0.2">
      <c r="A478" s="573" t="str">
        <f>FIXED('Balance N'!A478,0,1)</f>
        <v>0</v>
      </c>
      <c r="B478" s="572">
        <f>+'Balance N'!B478</f>
        <v>0</v>
      </c>
      <c r="C478" s="679" t="e">
        <f>ROUND('Balance N'!#REF!,2)</f>
        <v>#REF!</v>
      </c>
      <c r="D478" s="679" t="e">
        <f>ROUND('Balance N'!#REF!,2)</f>
        <v>#REF!</v>
      </c>
      <c r="E478" s="679">
        <f>ROUND('Balance N'!C478,2)</f>
        <v>0</v>
      </c>
      <c r="F478" s="679">
        <f>ROUND('Balance N'!D478,2)</f>
        <v>0</v>
      </c>
      <c r="G478" s="679">
        <f>ROUND('Balance N'!E478,2)</f>
        <v>0</v>
      </c>
      <c r="H478" s="679">
        <f>ROUND('Balance N'!F478,2)</f>
        <v>0</v>
      </c>
      <c r="I478" s="2" t="str">
        <f t="shared" si="10"/>
        <v>0</v>
      </c>
    </row>
    <row r="479" spans="1:9" x14ac:dyDescent="0.2">
      <c r="A479" s="573" t="str">
        <f>FIXED('Balance N'!A479,0,1)</f>
        <v>0</v>
      </c>
      <c r="B479" s="572">
        <f>+'Balance N'!B479</f>
        <v>0</v>
      </c>
      <c r="C479" s="679" t="e">
        <f>ROUND('Balance N'!#REF!,2)</f>
        <v>#REF!</v>
      </c>
      <c r="D479" s="679" t="e">
        <f>ROUND('Balance N'!#REF!,2)</f>
        <v>#REF!</v>
      </c>
      <c r="E479" s="679">
        <f>ROUND('Balance N'!C479,2)</f>
        <v>0</v>
      </c>
      <c r="F479" s="679">
        <f>ROUND('Balance N'!D479,2)</f>
        <v>0</v>
      </c>
      <c r="G479" s="679">
        <f>ROUND('Balance N'!E479,2)</f>
        <v>0</v>
      </c>
      <c r="H479" s="679">
        <f>ROUND('Balance N'!F479,2)</f>
        <v>0</v>
      </c>
      <c r="I479" s="2" t="str">
        <f t="shared" si="10"/>
        <v>0</v>
      </c>
    </row>
    <row r="480" spans="1:9" x14ac:dyDescent="0.2">
      <c r="A480" s="573" t="str">
        <f>FIXED('Balance N'!A480,0,1)</f>
        <v>0</v>
      </c>
      <c r="B480" s="572">
        <f>+'Balance N'!B480</f>
        <v>0</v>
      </c>
      <c r="C480" s="679" t="e">
        <f>ROUND('Balance N'!#REF!,2)</f>
        <v>#REF!</v>
      </c>
      <c r="D480" s="679" t="e">
        <f>ROUND('Balance N'!#REF!,2)</f>
        <v>#REF!</v>
      </c>
      <c r="E480" s="679">
        <f>ROUND('Balance N'!C480,2)</f>
        <v>0</v>
      </c>
      <c r="F480" s="679">
        <f>ROUND('Balance N'!D480,2)</f>
        <v>0</v>
      </c>
      <c r="G480" s="679">
        <f>ROUND('Balance N'!E480,2)</f>
        <v>0</v>
      </c>
      <c r="H480" s="679">
        <f>ROUND('Balance N'!F480,2)</f>
        <v>0</v>
      </c>
      <c r="I480" s="2" t="str">
        <f t="shared" si="10"/>
        <v>0</v>
      </c>
    </row>
    <row r="481" spans="1:9" x14ac:dyDescent="0.2">
      <c r="A481" s="573" t="str">
        <f>FIXED('Balance N'!A481,0,1)</f>
        <v>0</v>
      </c>
      <c r="B481" s="572">
        <f>+'Balance N'!B481</f>
        <v>0</v>
      </c>
      <c r="C481" s="679" t="e">
        <f>ROUND('Balance N'!#REF!,2)</f>
        <v>#REF!</v>
      </c>
      <c r="D481" s="679" t="e">
        <f>ROUND('Balance N'!#REF!,2)</f>
        <v>#REF!</v>
      </c>
      <c r="E481" s="679">
        <f>ROUND('Balance N'!C481,2)</f>
        <v>0</v>
      </c>
      <c r="F481" s="679">
        <f>ROUND('Balance N'!D481,2)</f>
        <v>0</v>
      </c>
      <c r="G481" s="679">
        <f>ROUND('Balance N'!E481,2)</f>
        <v>0</v>
      </c>
      <c r="H481" s="679">
        <f>ROUND('Balance N'!F481,2)</f>
        <v>0</v>
      </c>
      <c r="I481" s="2" t="str">
        <f t="shared" si="10"/>
        <v>0</v>
      </c>
    </row>
    <row r="482" spans="1:9" x14ac:dyDescent="0.2">
      <c r="A482" s="573" t="str">
        <f>FIXED('Balance N'!A482,0,1)</f>
        <v>0</v>
      </c>
      <c r="B482" s="572">
        <f>+'Balance N'!B482</f>
        <v>0</v>
      </c>
      <c r="C482" s="679" t="e">
        <f>ROUND('Balance N'!#REF!,2)</f>
        <v>#REF!</v>
      </c>
      <c r="D482" s="679" t="e">
        <f>ROUND('Balance N'!#REF!,2)</f>
        <v>#REF!</v>
      </c>
      <c r="E482" s="679">
        <f>ROUND('Balance N'!C482,2)</f>
        <v>0</v>
      </c>
      <c r="F482" s="679">
        <f>ROUND('Balance N'!D482,2)</f>
        <v>0</v>
      </c>
      <c r="G482" s="679">
        <f>ROUND('Balance N'!E482,2)</f>
        <v>0</v>
      </c>
      <c r="H482" s="679">
        <f>ROUND('Balance N'!F482,2)</f>
        <v>0</v>
      </c>
      <c r="I482" s="2" t="str">
        <f t="shared" si="10"/>
        <v>0</v>
      </c>
    </row>
    <row r="483" spans="1:9" x14ac:dyDescent="0.2">
      <c r="A483" s="573" t="str">
        <f>FIXED('Balance N'!A483,0,1)</f>
        <v>0</v>
      </c>
      <c r="B483" s="572">
        <f>+'Balance N'!B483</f>
        <v>0</v>
      </c>
      <c r="C483" s="679" t="e">
        <f>ROUND('Balance N'!#REF!,2)</f>
        <v>#REF!</v>
      </c>
      <c r="D483" s="679" t="e">
        <f>ROUND('Balance N'!#REF!,2)</f>
        <v>#REF!</v>
      </c>
      <c r="E483" s="679">
        <f>ROUND('Balance N'!C483,2)</f>
        <v>0</v>
      </c>
      <c r="F483" s="679">
        <f>ROUND('Balance N'!D483,2)</f>
        <v>0</v>
      </c>
      <c r="G483" s="679">
        <f>ROUND('Balance N'!E483,2)</f>
        <v>0</v>
      </c>
      <c r="H483" s="679">
        <f>ROUND('Balance N'!F483,2)</f>
        <v>0</v>
      </c>
      <c r="I483" s="2" t="str">
        <f t="shared" si="10"/>
        <v>0</v>
      </c>
    </row>
    <row r="484" spans="1:9" x14ac:dyDescent="0.2">
      <c r="A484" s="573" t="str">
        <f>FIXED('Balance N'!A484,0,1)</f>
        <v>0</v>
      </c>
      <c r="B484" s="572">
        <f>+'Balance N'!B484</f>
        <v>0</v>
      </c>
      <c r="C484" s="679" t="e">
        <f>ROUND('Balance N'!#REF!,2)</f>
        <v>#REF!</v>
      </c>
      <c r="D484" s="679" t="e">
        <f>ROUND('Balance N'!#REF!,2)</f>
        <v>#REF!</v>
      </c>
      <c r="E484" s="679">
        <f>ROUND('Balance N'!C484,2)</f>
        <v>0</v>
      </c>
      <c r="F484" s="679">
        <f>ROUND('Balance N'!D484,2)</f>
        <v>0</v>
      </c>
      <c r="G484" s="679">
        <f>ROUND('Balance N'!E484,2)</f>
        <v>0</v>
      </c>
      <c r="H484" s="679">
        <f>ROUND('Balance N'!F484,2)</f>
        <v>0</v>
      </c>
      <c r="I484" s="2" t="str">
        <f t="shared" si="10"/>
        <v>0</v>
      </c>
    </row>
    <row r="485" spans="1:9" x14ac:dyDescent="0.2">
      <c r="A485" s="573" t="str">
        <f>FIXED('Balance N'!A485,0,1)</f>
        <v>0</v>
      </c>
      <c r="B485" s="572">
        <f>+'Balance N'!B485</f>
        <v>0</v>
      </c>
      <c r="C485" s="679" t="e">
        <f>ROUND('Balance N'!#REF!,2)</f>
        <v>#REF!</v>
      </c>
      <c r="D485" s="679" t="e">
        <f>ROUND('Balance N'!#REF!,2)</f>
        <v>#REF!</v>
      </c>
      <c r="E485" s="679">
        <f>ROUND('Balance N'!C485,2)</f>
        <v>0</v>
      </c>
      <c r="F485" s="679">
        <f>ROUND('Balance N'!D485,2)</f>
        <v>0</v>
      </c>
      <c r="G485" s="679">
        <f>ROUND('Balance N'!E485,2)</f>
        <v>0</v>
      </c>
      <c r="H485" s="679">
        <f>ROUND('Balance N'!F485,2)</f>
        <v>0</v>
      </c>
      <c r="I485" s="2" t="str">
        <f t="shared" si="10"/>
        <v>0</v>
      </c>
    </row>
    <row r="486" spans="1:9" x14ac:dyDescent="0.2">
      <c r="A486" s="573" t="str">
        <f>FIXED('Balance N'!A486,0,1)</f>
        <v>0</v>
      </c>
      <c r="B486" s="572">
        <f>+'Balance N'!B486</f>
        <v>0</v>
      </c>
      <c r="C486" s="679" t="e">
        <f>ROUND('Balance N'!#REF!,2)</f>
        <v>#REF!</v>
      </c>
      <c r="D486" s="679" t="e">
        <f>ROUND('Balance N'!#REF!,2)</f>
        <v>#REF!</v>
      </c>
      <c r="E486" s="679">
        <f>ROUND('Balance N'!C486,2)</f>
        <v>0</v>
      </c>
      <c r="F486" s="679">
        <f>ROUND('Balance N'!D486,2)</f>
        <v>0</v>
      </c>
      <c r="G486" s="679">
        <f>ROUND('Balance N'!E486,2)</f>
        <v>0</v>
      </c>
      <c r="H486" s="679">
        <f>ROUND('Balance N'!F486,2)</f>
        <v>0</v>
      </c>
      <c r="I486" s="2" t="str">
        <f t="shared" si="10"/>
        <v>0</v>
      </c>
    </row>
    <row r="487" spans="1:9" x14ac:dyDescent="0.2">
      <c r="A487" s="573" t="str">
        <f>FIXED('Balance N'!A487,0,1)</f>
        <v>0</v>
      </c>
      <c r="B487" s="572">
        <f>+'Balance N'!B487</f>
        <v>0</v>
      </c>
      <c r="C487" s="679" t="e">
        <f>ROUND('Balance N'!#REF!,2)</f>
        <v>#REF!</v>
      </c>
      <c r="D487" s="679" t="e">
        <f>ROUND('Balance N'!#REF!,2)</f>
        <v>#REF!</v>
      </c>
      <c r="E487" s="679">
        <f>ROUND('Balance N'!C487,2)</f>
        <v>0</v>
      </c>
      <c r="F487" s="679">
        <f>ROUND('Balance N'!D487,2)</f>
        <v>0</v>
      </c>
      <c r="G487" s="679">
        <f>ROUND('Balance N'!E487,2)</f>
        <v>0</v>
      </c>
      <c r="H487" s="679">
        <f>ROUND('Balance N'!F487,2)</f>
        <v>0</v>
      </c>
      <c r="I487" s="2" t="str">
        <f t="shared" si="10"/>
        <v>0</v>
      </c>
    </row>
    <row r="488" spans="1:9" x14ac:dyDescent="0.2">
      <c r="A488" s="573" t="str">
        <f>FIXED('Balance N'!A488,0,1)</f>
        <v>0</v>
      </c>
      <c r="B488" s="572">
        <f>+'Balance N'!B488</f>
        <v>0</v>
      </c>
      <c r="C488" s="679" t="e">
        <f>ROUND('Balance N'!#REF!,2)</f>
        <v>#REF!</v>
      </c>
      <c r="D488" s="679" t="e">
        <f>ROUND('Balance N'!#REF!,2)</f>
        <v>#REF!</v>
      </c>
      <c r="E488" s="679">
        <f>ROUND('Balance N'!C488,2)</f>
        <v>0</v>
      </c>
      <c r="F488" s="679">
        <f>ROUND('Balance N'!D488,2)</f>
        <v>0</v>
      </c>
      <c r="G488" s="679">
        <f>ROUND('Balance N'!E488,2)</f>
        <v>0</v>
      </c>
      <c r="H488" s="679">
        <f>ROUND('Balance N'!F488,2)</f>
        <v>0</v>
      </c>
      <c r="I488" s="2" t="str">
        <f t="shared" si="10"/>
        <v>0</v>
      </c>
    </row>
    <row r="489" spans="1:9" x14ac:dyDescent="0.2">
      <c r="A489" s="573" t="str">
        <f>FIXED('Balance N'!A489,0,1)</f>
        <v>0</v>
      </c>
      <c r="B489" s="572">
        <f>+'Balance N'!B489</f>
        <v>0</v>
      </c>
      <c r="C489" s="679" t="e">
        <f>ROUND('Balance N'!#REF!,2)</f>
        <v>#REF!</v>
      </c>
      <c r="D489" s="679" t="e">
        <f>ROUND('Balance N'!#REF!,2)</f>
        <v>#REF!</v>
      </c>
      <c r="E489" s="679">
        <f>ROUND('Balance N'!C489,2)</f>
        <v>0</v>
      </c>
      <c r="F489" s="679">
        <f>ROUND('Balance N'!D489,2)</f>
        <v>0</v>
      </c>
      <c r="G489" s="679">
        <f>ROUND('Balance N'!E489,2)</f>
        <v>0</v>
      </c>
      <c r="H489" s="679">
        <f>ROUND('Balance N'!F489,2)</f>
        <v>0</v>
      </c>
      <c r="I489" s="2" t="str">
        <f t="shared" si="10"/>
        <v>0</v>
      </c>
    </row>
    <row r="490" spans="1:9" x14ac:dyDescent="0.2">
      <c r="A490" s="573" t="str">
        <f>FIXED('Balance N'!A490,0,1)</f>
        <v>0</v>
      </c>
      <c r="B490" s="572">
        <f>+'Balance N'!B490</f>
        <v>0</v>
      </c>
      <c r="C490" s="679" t="e">
        <f>ROUND('Balance N'!#REF!,2)</f>
        <v>#REF!</v>
      </c>
      <c r="D490" s="679" t="e">
        <f>ROUND('Balance N'!#REF!,2)</f>
        <v>#REF!</v>
      </c>
      <c r="E490" s="679">
        <f>ROUND('Balance N'!C490,2)</f>
        <v>0</v>
      </c>
      <c r="F490" s="679">
        <f>ROUND('Balance N'!D490,2)</f>
        <v>0</v>
      </c>
      <c r="G490" s="679">
        <f>ROUND('Balance N'!E490,2)</f>
        <v>0</v>
      </c>
      <c r="H490" s="679">
        <f>ROUND('Balance N'!F490,2)</f>
        <v>0</v>
      </c>
      <c r="I490" s="2" t="str">
        <f t="shared" si="10"/>
        <v>0</v>
      </c>
    </row>
    <row r="491" spans="1:9" x14ac:dyDescent="0.2">
      <c r="A491" s="573" t="str">
        <f>FIXED('Balance N'!A491,0,1)</f>
        <v>0</v>
      </c>
      <c r="B491" s="572">
        <f>+'Balance N'!B491</f>
        <v>0</v>
      </c>
      <c r="C491" s="679" t="e">
        <f>ROUND('Balance N'!#REF!,2)</f>
        <v>#REF!</v>
      </c>
      <c r="D491" s="679" t="e">
        <f>ROUND('Balance N'!#REF!,2)</f>
        <v>#REF!</v>
      </c>
      <c r="E491" s="679">
        <f>ROUND('Balance N'!C491,2)</f>
        <v>0</v>
      </c>
      <c r="F491" s="679">
        <f>ROUND('Balance N'!D491,2)</f>
        <v>0</v>
      </c>
      <c r="G491" s="679">
        <f>ROUND('Balance N'!E491,2)</f>
        <v>0</v>
      </c>
      <c r="H491" s="679">
        <f>ROUND('Balance N'!F491,2)</f>
        <v>0</v>
      </c>
      <c r="I491" s="2" t="str">
        <f t="shared" si="10"/>
        <v>0</v>
      </c>
    </row>
    <row r="492" spans="1:9" x14ac:dyDescent="0.2">
      <c r="A492" s="573" t="str">
        <f>FIXED('Balance N'!A492,0,1)</f>
        <v>0</v>
      </c>
      <c r="B492" s="572">
        <f>+'Balance N'!B492</f>
        <v>0</v>
      </c>
      <c r="C492" s="679" t="e">
        <f>ROUND('Balance N'!#REF!,2)</f>
        <v>#REF!</v>
      </c>
      <c r="D492" s="679" t="e">
        <f>ROUND('Balance N'!#REF!,2)</f>
        <v>#REF!</v>
      </c>
      <c r="E492" s="679">
        <f>ROUND('Balance N'!C492,2)</f>
        <v>0</v>
      </c>
      <c r="F492" s="679">
        <f>ROUND('Balance N'!D492,2)</f>
        <v>0</v>
      </c>
      <c r="G492" s="679">
        <f>ROUND('Balance N'!E492,2)</f>
        <v>0</v>
      </c>
      <c r="H492" s="679">
        <f>ROUND('Balance N'!F492,2)</f>
        <v>0</v>
      </c>
      <c r="I492" s="2" t="str">
        <f t="shared" si="10"/>
        <v>0</v>
      </c>
    </row>
    <row r="493" spans="1:9" x14ac:dyDescent="0.2">
      <c r="A493" s="573" t="str">
        <f>FIXED('Balance N'!A493,0,1)</f>
        <v>0</v>
      </c>
      <c r="B493" s="572">
        <f>+'Balance N'!B493</f>
        <v>0</v>
      </c>
      <c r="C493" s="679" t="e">
        <f>ROUND('Balance N'!#REF!,2)</f>
        <v>#REF!</v>
      </c>
      <c r="D493" s="679" t="e">
        <f>ROUND('Balance N'!#REF!,2)</f>
        <v>#REF!</v>
      </c>
      <c r="E493" s="679">
        <f>ROUND('Balance N'!C493,2)</f>
        <v>0</v>
      </c>
      <c r="F493" s="679">
        <f>ROUND('Balance N'!D493,2)</f>
        <v>0</v>
      </c>
      <c r="G493" s="679">
        <f>ROUND('Balance N'!E493,2)</f>
        <v>0</v>
      </c>
      <c r="H493" s="679">
        <f>ROUND('Balance N'!F493,2)</f>
        <v>0</v>
      </c>
      <c r="I493" s="2" t="str">
        <f t="shared" si="10"/>
        <v>0</v>
      </c>
    </row>
    <row r="494" spans="1:9" x14ac:dyDescent="0.2">
      <c r="A494" s="573" t="str">
        <f>FIXED('Balance N'!A494,0,1)</f>
        <v>0</v>
      </c>
      <c r="B494" s="572">
        <f>+'Balance N'!B494</f>
        <v>0</v>
      </c>
      <c r="C494" s="679" t="e">
        <f>ROUND('Balance N'!#REF!,2)</f>
        <v>#REF!</v>
      </c>
      <c r="D494" s="679" t="e">
        <f>ROUND('Balance N'!#REF!,2)</f>
        <v>#REF!</v>
      </c>
      <c r="E494" s="679">
        <f>ROUND('Balance N'!C494,2)</f>
        <v>0</v>
      </c>
      <c r="F494" s="679">
        <f>ROUND('Balance N'!D494,2)</f>
        <v>0</v>
      </c>
      <c r="G494" s="679">
        <f>ROUND('Balance N'!E494,2)</f>
        <v>0</v>
      </c>
      <c r="H494" s="679">
        <f>ROUND('Balance N'!F494,2)</f>
        <v>0</v>
      </c>
      <c r="I494" s="2" t="str">
        <f t="shared" si="10"/>
        <v>0</v>
      </c>
    </row>
    <row r="495" spans="1:9" x14ac:dyDescent="0.2">
      <c r="A495" s="573" t="str">
        <f>FIXED('Balance N'!A495,0,1)</f>
        <v>0</v>
      </c>
      <c r="B495" s="572">
        <f>+'Balance N'!B495</f>
        <v>0</v>
      </c>
      <c r="C495" s="679" t="e">
        <f>ROUND('Balance N'!#REF!,2)</f>
        <v>#REF!</v>
      </c>
      <c r="D495" s="679" t="e">
        <f>ROUND('Balance N'!#REF!,2)</f>
        <v>#REF!</v>
      </c>
      <c r="E495" s="679">
        <f>ROUND('Balance N'!C495,2)</f>
        <v>0</v>
      </c>
      <c r="F495" s="679">
        <f>ROUND('Balance N'!D495,2)</f>
        <v>0</v>
      </c>
      <c r="G495" s="679">
        <f>ROUND('Balance N'!E495,2)</f>
        <v>0</v>
      </c>
      <c r="H495" s="679">
        <f>ROUND('Balance N'!F495,2)</f>
        <v>0</v>
      </c>
      <c r="I495" s="2" t="str">
        <f t="shared" si="10"/>
        <v>0</v>
      </c>
    </row>
    <row r="496" spans="1:9" x14ac:dyDescent="0.2">
      <c r="A496" s="573" t="str">
        <f>FIXED('Balance N'!A496,0,1)</f>
        <v>0</v>
      </c>
      <c r="B496" s="572">
        <f>+'Balance N'!B496</f>
        <v>0</v>
      </c>
      <c r="C496" s="679" t="e">
        <f>ROUND('Balance N'!#REF!,2)</f>
        <v>#REF!</v>
      </c>
      <c r="D496" s="679" t="e">
        <f>ROUND('Balance N'!#REF!,2)</f>
        <v>#REF!</v>
      </c>
      <c r="E496" s="679">
        <f>ROUND('Balance N'!C496,2)</f>
        <v>0</v>
      </c>
      <c r="F496" s="679">
        <f>ROUND('Balance N'!D496,2)</f>
        <v>0</v>
      </c>
      <c r="G496" s="679">
        <f>ROUND('Balance N'!E496,2)</f>
        <v>0</v>
      </c>
      <c r="H496" s="679">
        <f>ROUND('Balance N'!F496,2)</f>
        <v>0</v>
      </c>
      <c r="I496" s="2" t="str">
        <f t="shared" si="10"/>
        <v>0</v>
      </c>
    </row>
    <row r="497" spans="1:9" x14ac:dyDescent="0.2">
      <c r="A497" s="573" t="str">
        <f>FIXED('Balance N'!A497,0,1)</f>
        <v>0</v>
      </c>
      <c r="B497" s="572">
        <f>+'Balance N'!B497</f>
        <v>0</v>
      </c>
      <c r="C497" s="679" t="e">
        <f>ROUND('Balance N'!#REF!,2)</f>
        <v>#REF!</v>
      </c>
      <c r="D497" s="679" t="e">
        <f>ROUND('Balance N'!#REF!,2)</f>
        <v>#REF!</v>
      </c>
      <c r="E497" s="679">
        <f>ROUND('Balance N'!C497,2)</f>
        <v>0</v>
      </c>
      <c r="F497" s="679">
        <f>ROUND('Balance N'!D497,2)</f>
        <v>0</v>
      </c>
      <c r="G497" s="679">
        <f>ROUND('Balance N'!E497,2)</f>
        <v>0</v>
      </c>
      <c r="H497" s="679">
        <f>ROUND('Balance N'!F497,2)</f>
        <v>0</v>
      </c>
      <c r="I497" s="2" t="str">
        <f t="shared" si="10"/>
        <v>0</v>
      </c>
    </row>
    <row r="498" spans="1:9" x14ac:dyDescent="0.2">
      <c r="A498" s="573" t="str">
        <f>FIXED('Balance N'!A498,0,1)</f>
        <v>0</v>
      </c>
      <c r="B498" s="572">
        <f>+'Balance N'!B498</f>
        <v>0</v>
      </c>
      <c r="C498" s="679" t="e">
        <f>ROUND('Balance N'!#REF!,2)</f>
        <v>#REF!</v>
      </c>
      <c r="D498" s="679" t="e">
        <f>ROUND('Balance N'!#REF!,2)</f>
        <v>#REF!</v>
      </c>
      <c r="E498" s="679">
        <f>ROUND('Balance N'!C498,2)</f>
        <v>0</v>
      </c>
      <c r="F498" s="679">
        <f>ROUND('Balance N'!D498,2)</f>
        <v>0</v>
      </c>
      <c r="G498" s="679">
        <f>ROUND('Balance N'!E498,2)</f>
        <v>0</v>
      </c>
      <c r="H498" s="679">
        <f>ROUND('Balance N'!F498,2)</f>
        <v>0</v>
      </c>
      <c r="I498" s="2" t="str">
        <f t="shared" si="10"/>
        <v>0</v>
      </c>
    </row>
    <row r="499" spans="1:9" x14ac:dyDescent="0.2">
      <c r="A499" s="573" t="str">
        <f>FIXED('Balance N'!A499,0,1)</f>
        <v>0</v>
      </c>
      <c r="B499" s="572">
        <f>+'Balance N'!B499</f>
        <v>0</v>
      </c>
      <c r="C499" s="679" t="e">
        <f>ROUND('Balance N'!#REF!,2)</f>
        <v>#REF!</v>
      </c>
      <c r="D499" s="679" t="e">
        <f>ROUND('Balance N'!#REF!,2)</f>
        <v>#REF!</v>
      </c>
      <c r="E499" s="679">
        <f>ROUND('Balance N'!C499,2)</f>
        <v>0</v>
      </c>
      <c r="F499" s="679">
        <f>ROUND('Balance N'!D499,2)</f>
        <v>0</v>
      </c>
      <c r="G499" s="679">
        <f>ROUND('Balance N'!E499,2)</f>
        <v>0</v>
      </c>
      <c r="H499" s="679">
        <f>ROUND('Balance N'!F499,2)</f>
        <v>0</v>
      </c>
      <c r="I499" s="2" t="str">
        <f t="shared" si="10"/>
        <v>0</v>
      </c>
    </row>
    <row r="500" spans="1:9" x14ac:dyDescent="0.2">
      <c r="A500" s="573" t="str">
        <f>FIXED('Balance N'!A500,0,1)</f>
        <v>0</v>
      </c>
      <c r="B500" s="572">
        <f>+'Balance N'!B500</f>
        <v>0</v>
      </c>
      <c r="C500" s="679" t="e">
        <f>ROUND('Balance N'!#REF!,2)</f>
        <v>#REF!</v>
      </c>
      <c r="D500" s="679" t="e">
        <f>ROUND('Balance N'!#REF!,2)</f>
        <v>#REF!</v>
      </c>
      <c r="E500" s="679">
        <f>ROUND('Balance N'!C500,2)</f>
        <v>0</v>
      </c>
      <c r="F500" s="679">
        <f>ROUND('Balance N'!D500,2)</f>
        <v>0</v>
      </c>
      <c r="G500" s="679">
        <f>ROUND('Balance N'!E500,2)</f>
        <v>0</v>
      </c>
      <c r="H500" s="679">
        <f>ROUND('Balance N'!F500,2)</f>
        <v>0</v>
      </c>
      <c r="I500" s="2" t="str">
        <f t="shared" si="10"/>
        <v>0</v>
      </c>
    </row>
    <row r="501" spans="1:9" x14ac:dyDescent="0.2">
      <c r="A501" s="573" t="str">
        <f>FIXED('Balance N'!A501,0,1)</f>
        <v>0</v>
      </c>
      <c r="B501" s="572">
        <f>+'Balance N'!B501</f>
        <v>0</v>
      </c>
      <c r="C501" s="679" t="e">
        <f>ROUND('Balance N'!#REF!,2)</f>
        <v>#REF!</v>
      </c>
      <c r="D501" s="679" t="e">
        <f>ROUND('Balance N'!#REF!,2)</f>
        <v>#REF!</v>
      </c>
      <c r="E501" s="679">
        <f>ROUND('Balance N'!C501,2)</f>
        <v>0</v>
      </c>
      <c r="F501" s="679">
        <f>ROUND('Balance N'!D501,2)</f>
        <v>0</v>
      </c>
      <c r="G501" s="679">
        <f>ROUND('Balance N'!E501,2)</f>
        <v>0</v>
      </c>
      <c r="H501" s="679">
        <f>ROUND('Balance N'!F501,2)</f>
        <v>0</v>
      </c>
      <c r="I501" s="2" t="str">
        <f t="shared" si="10"/>
        <v>0</v>
      </c>
    </row>
    <row r="502" spans="1:9" x14ac:dyDescent="0.2">
      <c r="A502" s="573" t="str">
        <f>FIXED('Balance N'!A502,0,1)</f>
        <v>0</v>
      </c>
      <c r="B502" s="572">
        <f>+'Balance N'!B502</f>
        <v>0</v>
      </c>
      <c r="C502" s="679" t="e">
        <f>ROUND('Balance N'!#REF!,2)</f>
        <v>#REF!</v>
      </c>
      <c r="D502" s="679" t="e">
        <f>ROUND('Balance N'!#REF!,2)</f>
        <v>#REF!</v>
      </c>
      <c r="E502" s="679">
        <f>ROUND('Balance N'!C502,2)</f>
        <v>0</v>
      </c>
      <c r="F502" s="679">
        <f>ROUND('Balance N'!D502,2)</f>
        <v>0</v>
      </c>
      <c r="G502" s="679">
        <f>ROUND('Balance N'!E502,2)</f>
        <v>0</v>
      </c>
      <c r="H502" s="679">
        <f>ROUND('Balance N'!F502,2)</f>
        <v>0</v>
      </c>
      <c r="I502" s="2" t="str">
        <f t="shared" si="10"/>
        <v>0</v>
      </c>
    </row>
    <row r="503" spans="1:9" x14ac:dyDescent="0.2">
      <c r="A503" s="573" t="str">
        <f>FIXED('Balance N'!A503,0,1)</f>
        <v>0</v>
      </c>
      <c r="B503" s="572">
        <f>+'Balance N'!B503</f>
        <v>0</v>
      </c>
      <c r="C503" s="679" t="e">
        <f>ROUND('Balance N'!#REF!,2)</f>
        <v>#REF!</v>
      </c>
      <c r="D503" s="679" t="e">
        <f>ROUND('Balance N'!#REF!,2)</f>
        <v>#REF!</v>
      </c>
      <c r="E503" s="679">
        <f>ROUND('Balance N'!C503,2)</f>
        <v>0</v>
      </c>
      <c r="F503" s="679">
        <f>ROUND('Balance N'!D503,2)</f>
        <v>0</v>
      </c>
      <c r="G503" s="679">
        <f>ROUND('Balance N'!E503,2)</f>
        <v>0</v>
      </c>
      <c r="H503" s="679">
        <f>ROUND('Balance N'!F503,2)</f>
        <v>0</v>
      </c>
      <c r="I503" s="2" t="str">
        <f t="shared" si="10"/>
        <v>0</v>
      </c>
    </row>
    <row r="504" spans="1:9" x14ac:dyDescent="0.2">
      <c r="A504" s="573" t="str">
        <f>FIXED('Balance N'!A504,0,1)</f>
        <v>0</v>
      </c>
      <c r="B504" s="572">
        <f>+'Balance N'!B504</f>
        <v>0</v>
      </c>
      <c r="C504" s="679" t="e">
        <f>ROUND('Balance N'!#REF!,2)</f>
        <v>#REF!</v>
      </c>
      <c r="D504" s="679" t="e">
        <f>ROUND('Balance N'!#REF!,2)</f>
        <v>#REF!</v>
      </c>
      <c r="E504" s="679">
        <f>ROUND('Balance N'!C504,2)</f>
        <v>0</v>
      </c>
      <c r="F504" s="679">
        <f>ROUND('Balance N'!D504,2)</f>
        <v>0</v>
      </c>
      <c r="G504" s="679">
        <f>ROUND('Balance N'!E504,2)</f>
        <v>0</v>
      </c>
      <c r="H504" s="679">
        <f>ROUND('Balance N'!F504,2)</f>
        <v>0</v>
      </c>
      <c r="I504" s="2" t="str">
        <f t="shared" si="10"/>
        <v>0</v>
      </c>
    </row>
    <row r="505" spans="1:9" x14ac:dyDescent="0.2">
      <c r="A505" s="573" t="str">
        <f>FIXED('Balance N'!A505,0,1)</f>
        <v>0</v>
      </c>
      <c r="B505" s="572">
        <f>+'Balance N'!B505</f>
        <v>0</v>
      </c>
      <c r="C505" s="679" t="e">
        <f>ROUND('Balance N'!#REF!,2)</f>
        <v>#REF!</v>
      </c>
      <c r="D505" s="679" t="e">
        <f>ROUND('Balance N'!#REF!,2)</f>
        <v>#REF!</v>
      </c>
      <c r="E505" s="679">
        <f>ROUND('Balance N'!C505,2)</f>
        <v>0</v>
      </c>
      <c r="F505" s="679">
        <f>ROUND('Balance N'!D505,2)</f>
        <v>0</v>
      </c>
      <c r="G505" s="679">
        <f>ROUND('Balance N'!E505,2)</f>
        <v>0</v>
      </c>
      <c r="H505" s="679">
        <f>ROUND('Balance N'!F505,2)</f>
        <v>0</v>
      </c>
      <c r="I505" s="2" t="str">
        <f t="shared" si="10"/>
        <v>0</v>
      </c>
    </row>
    <row r="506" spans="1:9" x14ac:dyDescent="0.2">
      <c r="A506" s="573" t="str">
        <f>FIXED('Balance N'!A506,0,1)</f>
        <v>0</v>
      </c>
      <c r="B506" s="572">
        <f>+'Balance N'!B506</f>
        <v>0</v>
      </c>
      <c r="C506" s="679" t="e">
        <f>ROUND('Balance N'!#REF!,2)</f>
        <v>#REF!</v>
      </c>
      <c r="D506" s="679" t="e">
        <f>ROUND('Balance N'!#REF!,2)</f>
        <v>#REF!</v>
      </c>
      <c r="E506" s="679">
        <f>ROUND('Balance N'!C506,2)</f>
        <v>0</v>
      </c>
      <c r="F506" s="679">
        <f>ROUND('Balance N'!D506,2)</f>
        <v>0</v>
      </c>
      <c r="G506" s="679">
        <f>ROUND('Balance N'!E506,2)</f>
        <v>0</v>
      </c>
      <c r="H506" s="679">
        <f>ROUND('Balance N'!F506,2)</f>
        <v>0</v>
      </c>
      <c r="I506" s="2" t="str">
        <f t="shared" si="10"/>
        <v>0</v>
      </c>
    </row>
    <row r="507" spans="1:9" x14ac:dyDescent="0.2">
      <c r="A507" s="573" t="str">
        <f>FIXED('Balance N'!A507,0,1)</f>
        <v>0</v>
      </c>
      <c r="B507" s="572">
        <f>+'Balance N'!B507</f>
        <v>0</v>
      </c>
      <c r="C507" s="679" t="e">
        <f>ROUND('Balance N'!#REF!,2)</f>
        <v>#REF!</v>
      </c>
      <c r="D507" s="679" t="e">
        <f>ROUND('Balance N'!#REF!,2)</f>
        <v>#REF!</v>
      </c>
      <c r="E507" s="679">
        <f>ROUND('Balance N'!C507,2)</f>
        <v>0</v>
      </c>
      <c r="F507" s="679">
        <f>ROUND('Balance N'!D507,2)</f>
        <v>0</v>
      </c>
      <c r="G507" s="679">
        <f>ROUND('Balance N'!E507,2)</f>
        <v>0</v>
      </c>
      <c r="H507" s="679">
        <f>ROUND('Balance N'!F507,2)</f>
        <v>0</v>
      </c>
      <c r="I507" s="2" t="str">
        <f t="shared" si="10"/>
        <v>0</v>
      </c>
    </row>
    <row r="508" spans="1:9" x14ac:dyDescent="0.2">
      <c r="A508" s="573" t="str">
        <f>FIXED('Balance N'!A508,0,1)</f>
        <v>0</v>
      </c>
      <c r="B508" s="572">
        <f>+'Balance N'!B508</f>
        <v>0</v>
      </c>
      <c r="C508" s="679" t="e">
        <f>ROUND('Balance N'!#REF!,2)</f>
        <v>#REF!</v>
      </c>
      <c r="D508" s="679" t="e">
        <f>ROUND('Balance N'!#REF!,2)</f>
        <v>#REF!</v>
      </c>
      <c r="E508" s="679">
        <f>ROUND('Balance N'!C508,2)</f>
        <v>0</v>
      </c>
      <c r="F508" s="679">
        <f>ROUND('Balance N'!D508,2)</f>
        <v>0</v>
      </c>
      <c r="G508" s="679">
        <f>ROUND('Balance N'!E508,2)</f>
        <v>0</v>
      </c>
      <c r="H508" s="679">
        <f>ROUND('Balance N'!F508,2)</f>
        <v>0</v>
      </c>
      <c r="I508" s="2" t="str">
        <f t="shared" si="10"/>
        <v>0</v>
      </c>
    </row>
    <row r="509" spans="1:9" x14ac:dyDescent="0.2">
      <c r="A509" s="573" t="str">
        <f>FIXED('Balance N'!A509,0,1)</f>
        <v>0</v>
      </c>
      <c r="B509" s="572">
        <f>+'Balance N'!B509</f>
        <v>0</v>
      </c>
      <c r="C509" s="679" t="e">
        <f>ROUND('Balance N'!#REF!,2)</f>
        <v>#REF!</v>
      </c>
      <c r="D509" s="679" t="e">
        <f>ROUND('Balance N'!#REF!,2)</f>
        <v>#REF!</v>
      </c>
      <c r="E509" s="679">
        <f>ROUND('Balance N'!C509,2)</f>
        <v>0</v>
      </c>
      <c r="F509" s="679">
        <f>ROUND('Balance N'!D509,2)</f>
        <v>0</v>
      </c>
      <c r="G509" s="679">
        <f>ROUND('Balance N'!E509,2)</f>
        <v>0</v>
      </c>
      <c r="H509" s="679">
        <f>ROUND('Balance N'!F509,2)</f>
        <v>0</v>
      </c>
      <c r="I509" s="2" t="str">
        <f t="shared" si="10"/>
        <v>0</v>
      </c>
    </row>
    <row r="510" spans="1:9" x14ac:dyDescent="0.2">
      <c r="A510" s="573" t="str">
        <f>FIXED('Balance N'!A510,0,1)</f>
        <v>0</v>
      </c>
      <c r="B510" s="572">
        <f>+'Balance N'!B510</f>
        <v>0</v>
      </c>
      <c r="C510" s="679" t="e">
        <f>ROUND('Balance N'!#REF!,2)</f>
        <v>#REF!</v>
      </c>
      <c r="D510" s="679" t="e">
        <f>ROUND('Balance N'!#REF!,2)</f>
        <v>#REF!</v>
      </c>
      <c r="E510" s="679">
        <f>ROUND('Balance N'!C510,2)</f>
        <v>0</v>
      </c>
      <c r="F510" s="679">
        <f>ROUND('Balance N'!D510,2)</f>
        <v>0</v>
      </c>
      <c r="G510" s="679">
        <f>ROUND('Balance N'!E510,2)</f>
        <v>0</v>
      </c>
      <c r="H510" s="679">
        <f>ROUND('Balance N'!F510,2)</f>
        <v>0</v>
      </c>
      <c r="I510" s="2" t="str">
        <f t="shared" si="10"/>
        <v>0</v>
      </c>
    </row>
    <row r="511" spans="1:9" x14ac:dyDescent="0.2">
      <c r="A511" s="573" t="str">
        <f>FIXED('Balance N'!A511,0,1)</f>
        <v>0</v>
      </c>
      <c r="B511" s="572">
        <f>+'Balance N'!B511</f>
        <v>0</v>
      </c>
      <c r="C511" s="679" t="e">
        <f>ROUND('Balance N'!#REF!,2)</f>
        <v>#REF!</v>
      </c>
      <c r="D511" s="679" t="e">
        <f>ROUND('Balance N'!#REF!,2)</f>
        <v>#REF!</v>
      </c>
      <c r="E511" s="679">
        <f>ROUND('Balance N'!C511,2)</f>
        <v>0</v>
      </c>
      <c r="F511" s="679">
        <f>ROUND('Balance N'!D511,2)</f>
        <v>0</v>
      </c>
      <c r="G511" s="679">
        <f>ROUND('Balance N'!E511,2)</f>
        <v>0</v>
      </c>
      <c r="H511" s="679">
        <f>ROUND('Balance N'!F511,2)</f>
        <v>0</v>
      </c>
      <c r="I511" s="2" t="str">
        <f t="shared" si="10"/>
        <v>0</v>
      </c>
    </row>
    <row r="512" spans="1:9" x14ac:dyDescent="0.2">
      <c r="A512" s="573" t="str">
        <f>FIXED('Balance N'!A512,0,1)</f>
        <v>0</v>
      </c>
      <c r="B512" s="572">
        <f>+'Balance N'!B512</f>
        <v>0</v>
      </c>
      <c r="C512" s="679" t="e">
        <f>ROUND('Balance N'!#REF!,2)</f>
        <v>#REF!</v>
      </c>
      <c r="D512" s="679" t="e">
        <f>ROUND('Balance N'!#REF!,2)</f>
        <v>#REF!</v>
      </c>
      <c r="E512" s="679">
        <f>ROUND('Balance N'!C512,2)</f>
        <v>0</v>
      </c>
      <c r="F512" s="679">
        <f>ROUND('Balance N'!D512,2)</f>
        <v>0</v>
      </c>
      <c r="G512" s="679">
        <f>ROUND('Balance N'!E512,2)</f>
        <v>0</v>
      </c>
      <c r="H512" s="679">
        <f>ROUND('Balance N'!F512,2)</f>
        <v>0</v>
      </c>
      <c r="I512" s="2" t="str">
        <f t="shared" si="10"/>
        <v>0</v>
      </c>
    </row>
    <row r="513" spans="1:9" x14ac:dyDescent="0.2">
      <c r="A513" s="573" t="str">
        <f>FIXED('Balance N'!A513,0,1)</f>
        <v>0</v>
      </c>
      <c r="B513" s="572">
        <f>+'Balance N'!B513</f>
        <v>0</v>
      </c>
      <c r="C513" s="679" t="e">
        <f>ROUND('Balance N'!#REF!,2)</f>
        <v>#REF!</v>
      </c>
      <c r="D513" s="679" t="e">
        <f>ROUND('Balance N'!#REF!,2)</f>
        <v>#REF!</v>
      </c>
      <c r="E513" s="679">
        <f>ROUND('Balance N'!C513,2)</f>
        <v>0</v>
      </c>
      <c r="F513" s="679">
        <f>ROUND('Balance N'!D513,2)</f>
        <v>0</v>
      </c>
      <c r="G513" s="679">
        <f>ROUND('Balance N'!E513,2)</f>
        <v>0</v>
      </c>
      <c r="H513" s="679">
        <f>ROUND('Balance N'!F513,2)</f>
        <v>0</v>
      </c>
      <c r="I513" s="2" t="str">
        <f t="shared" si="10"/>
        <v>0</v>
      </c>
    </row>
    <row r="514" spans="1:9" x14ac:dyDescent="0.2">
      <c r="A514" s="573" t="str">
        <f>FIXED('Balance N'!A514,0,1)</f>
        <v>0</v>
      </c>
      <c r="B514" s="572">
        <f>+'Balance N'!B514</f>
        <v>0</v>
      </c>
      <c r="C514" s="679" t="e">
        <f>ROUND('Balance N'!#REF!,2)</f>
        <v>#REF!</v>
      </c>
      <c r="D514" s="679" t="e">
        <f>ROUND('Balance N'!#REF!,2)</f>
        <v>#REF!</v>
      </c>
      <c r="E514" s="679">
        <f>ROUND('Balance N'!C514,2)</f>
        <v>0</v>
      </c>
      <c r="F514" s="679">
        <f>ROUND('Balance N'!D514,2)</f>
        <v>0</v>
      </c>
      <c r="G514" s="679">
        <f>ROUND('Balance N'!E514,2)</f>
        <v>0</v>
      </c>
      <c r="H514" s="679">
        <f>ROUND('Balance N'!F514,2)</f>
        <v>0</v>
      </c>
      <c r="I514" s="2" t="str">
        <f t="shared" ref="I514:I577" si="11">MID(A514,1,1)</f>
        <v>0</v>
      </c>
    </row>
    <row r="515" spans="1:9" x14ac:dyDescent="0.2">
      <c r="A515" s="573" t="str">
        <f>FIXED('Balance N'!A515,0,1)</f>
        <v>0</v>
      </c>
      <c r="B515" s="572">
        <f>+'Balance N'!B515</f>
        <v>0</v>
      </c>
      <c r="C515" s="679" t="e">
        <f>ROUND('Balance N'!#REF!,2)</f>
        <v>#REF!</v>
      </c>
      <c r="D515" s="679" t="e">
        <f>ROUND('Balance N'!#REF!,2)</f>
        <v>#REF!</v>
      </c>
      <c r="E515" s="679">
        <f>ROUND('Balance N'!C515,2)</f>
        <v>0</v>
      </c>
      <c r="F515" s="679">
        <f>ROUND('Balance N'!D515,2)</f>
        <v>0</v>
      </c>
      <c r="G515" s="679">
        <f>ROUND('Balance N'!E515,2)</f>
        <v>0</v>
      </c>
      <c r="H515" s="679">
        <f>ROUND('Balance N'!F515,2)</f>
        <v>0</v>
      </c>
      <c r="I515" s="2" t="str">
        <f t="shared" si="11"/>
        <v>0</v>
      </c>
    </row>
    <row r="516" spans="1:9" x14ac:dyDescent="0.2">
      <c r="A516" s="573" t="str">
        <f>FIXED('Balance N'!A516,0,1)</f>
        <v>0</v>
      </c>
      <c r="B516" s="572">
        <f>+'Balance N'!B516</f>
        <v>0</v>
      </c>
      <c r="C516" s="679" t="e">
        <f>ROUND('Balance N'!#REF!,2)</f>
        <v>#REF!</v>
      </c>
      <c r="D516" s="679" t="e">
        <f>ROUND('Balance N'!#REF!,2)</f>
        <v>#REF!</v>
      </c>
      <c r="E516" s="679">
        <f>ROUND('Balance N'!C516,2)</f>
        <v>0</v>
      </c>
      <c r="F516" s="679">
        <f>ROUND('Balance N'!D516,2)</f>
        <v>0</v>
      </c>
      <c r="G516" s="679">
        <f>ROUND('Balance N'!E516,2)</f>
        <v>0</v>
      </c>
      <c r="H516" s="679">
        <f>ROUND('Balance N'!F516,2)</f>
        <v>0</v>
      </c>
      <c r="I516" s="2" t="str">
        <f t="shared" si="11"/>
        <v>0</v>
      </c>
    </row>
    <row r="517" spans="1:9" x14ac:dyDescent="0.2">
      <c r="A517" s="573" t="str">
        <f>FIXED('Balance N'!A517,0,1)</f>
        <v>0</v>
      </c>
      <c r="B517" s="572">
        <f>+'Balance N'!B517</f>
        <v>0</v>
      </c>
      <c r="C517" s="679" t="e">
        <f>ROUND('Balance N'!#REF!,2)</f>
        <v>#REF!</v>
      </c>
      <c r="D517" s="679" t="e">
        <f>ROUND('Balance N'!#REF!,2)</f>
        <v>#REF!</v>
      </c>
      <c r="E517" s="679">
        <f>ROUND('Balance N'!C517,2)</f>
        <v>0</v>
      </c>
      <c r="F517" s="679">
        <f>ROUND('Balance N'!D517,2)</f>
        <v>0</v>
      </c>
      <c r="G517" s="679">
        <f>ROUND('Balance N'!E517,2)</f>
        <v>0</v>
      </c>
      <c r="H517" s="679">
        <f>ROUND('Balance N'!F517,2)</f>
        <v>0</v>
      </c>
      <c r="I517" s="2" t="str">
        <f t="shared" si="11"/>
        <v>0</v>
      </c>
    </row>
    <row r="518" spans="1:9" x14ac:dyDescent="0.2">
      <c r="A518" s="573" t="str">
        <f>FIXED('Balance N'!A518,0,1)</f>
        <v>0</v>
      </c>
      <c r="B518" s="572">
        <f>+'Balance N'!B518</f>
        <v>0</v>
      </c>
      <c r="C518" s="679" t="e">
        <f>ROUND('Balance N'!#REF!,2)</f>
        <v>#REF!</v>
      </c>
      <c r="D518" s="679" t="e">
        <f>ROUND('Balance N'!#REF!,2)</f>
        <v>#REF!</v>
      </c>
      <c r="E518" s="679">
        <f>ROUND('Balance N'!C518,2)</f>
        <v>0</v>
      </c>
      <c r="F518" s="679">
        <f>ROUND('Balance N'!D518,2)</f>
        <v>0</v>
      </c>
      <c r="G518" s="679">
        <f>ROUND('Balance N'!E518,2)</f>
        <v>0</v>
      </c>
      <c r="H518" s="679">
        <f>ROUND('Balance N'!F518,2)</f>
        <v>0</v>
      </c>
      <c r="I518" s="2" t="str">
        <f t="shared" si="11"/>
        <v>0</v>
      </c>
    </row>
    <row r="519" spans="1:9" x14ac:dyDescent="0.2">
      <c r="A519" s="573" t="str">
        <f>FIXED('Balance N'!A519,0,1)</f>
        <v>0</v>
      </c>
      <c r="B519" s="572">
        <f>+'Balance N'!B519</f>
        <v>0</v>
      </c>
      <c r="C519" s="679" t="e">
        <f>ROUND('Balance N'!#REF!,2)</f>
        <v>#REF!</v>
      </c>
      <c r="D519" s="679" t="e">
        <f>ROUND('Balance N'!#REF!,2)</f>
        <v>#REF!</v>
      </c>
      <c r="E519" s="679">
        <f>ROUND('Balance N'!C519,2)</f>
        <v>0</v>
      </c>
      <c r="F519" s="679">
        <f>ROUND('Balance N'!D519,2)</f>
        <v>0</v>
      </c>
      <c r="G519" s="679">
        <f>ROUND('Balance N'!E519,2)</f>
        <v>0</v>
      </c>
      <c r="H519" s="679">
        <f>ROUND('Balance N'!F519,2)</f>
        <v>0</v>
      </c>
      <c r="I519" s="2" t="str">
        <f t="shared" si="11"/>
        <v>0</v>
      </c>
    </row>
    <row r="520" spans="1:9" x14ac:dyDescent="0.2">
      <c r="A520" s="573" t="str">
        <f>FIXED('Balance N'!A520,0,1)</f>
        <v>0</v>
      </c>
      <c r="B520" s="572">
        <f>+'Balance N'!B520</f>
        <v>0</v>
      </c>
      <c r="C520" s="679" t="e">
        <f>ROUND('Balance N'!#REF!,2)</f>
        <v>#REF!</v>
      </c>
      <c r="D520" s="679" t="e">
        <f>ROUND('Balance N'!#REF!,2)</f>
        <v>#REF!</v>
      </c>
      <c r="E520" s="679">
        <f>ROUND('Balance N'!C520,2)</f>
        <v>0</v>
      </c>
      <c r="F520" s="679">
        <f>ROUND('Balance N'!D520,2)</f>
        <v>0</v>
      </c>
      <c r="G520" s="679">
        <f>ROUND('Balance N'!E520,2)</f>
        <v>0</v>
      </c>
      <c r="H520" s="679">
        <f>ROUND('Balance N'!F520,2)</f>
        <v>0</v>
      </c>
      <c r="I520" s="2" t="str">
        <f t="shared" si="11"/>
        <v>0</v>
      </c>
    </row>
    <row r="521" spans="1:9" x14ac:dyDescent="0.2">
      <c r="A521" s="573" t="str">
        <f>FIXED('Balance N'!A521,0,1)</f>
        <v>0</v>
      </c>
      <c r="B521" s="572">
        <f>+'Balance N'!B521</f>
        <v>0</v>
      </c>
      <c r="C521" s="679" t="e">
        <f>ROUND('Balance N'!#REF!,2)</f>
        <v>#REF!</v>
      </c>
      <c r="D521" s="679" t="e">
        <f>ROUND('Balance N'!#REF!,2)</f>
        <v>#REF!</v>
      </c>
      <c r="E521" s="679">
        <f>ROUND('Balance N'!C521,2)</f>
        <v>0</v>
      </c>
      <c r="F521" s="679">
        <f>ROUND('Balance N'!D521,2)</f>
        <v>0</v>
      </c>
      <c r="G521" s="679">
        <f>ROUND('Balance N'!E521,2)</f>
        <v>0</v>
      </c>
      <c r="H521" s="679">
        <f>ROUND('Balance N'!F521,2)</f>
        <v>0</v>
      </c>
      <c r="I521" s="2" t="str">
        <f t="shared" si="11"/>
        <v>0</v>
      </c>
    </row>
    <row r="522" spans="1:9" x14ac:dyDescent="0.2">
      <c r="A522" s="573" t="str">
        <f>FIXED('Balance N'!A522,0,1)</f>
        <v>0</v>
      </c>
      <c r="B522" s="572">
        <f>+'Balance N'!B522</f>
        <v>0</v>
      </c>
      <c r="C522" s="679" t="e">
        <f>ROUND('Balance N'!#REF!,2)</f>
        <v>#REF!</v>
      </c>
      <c r="D522" s="679" t="e">
        <f>ROUND('Balance N'!#REF!,2)</f>
        <v>#REF!</v>
      </c>
      <c r="E522" s="679">
        <f>ROUND('Balance N'!C522,2)</f>
        <v>0</v>
      </c>
      <c r="F522" s="679">
        <f>ROUND('Balance N'!D522,2)</f>
        <v>0</v>
      </c>
      <c r="G522" s="679">
        <f>ROUND('Balance N'!E522,2)</f>
        <v>0</v>
      </c>
      <c r="H522" s="679">
        <f>ROUND('Balance N'!F522,2)</f>
        <v>0</v>
      </c>
      <c r="I522" s="2" t="str">
        <f t="shared" si="11"/>
        <v>0</v>
      </c>
    </row>
    <row r="523" spans="1:9" x14ac:dyDescent="0.2">
      <c r="A523" s="573" t="str">
        <f>FIXED('Balance N'!A523,0,1)</f>
        <v>0</v>
      </c>
      <c r="B523" s="572">
        <f>+'Balance N'!B523</f>
        <v>0</v>
      </c>
      <c r="C523" s="679" t="e">
        <f>ROUND('Balance N'!#REF!,2)</f>
        <v>#REF!</v>
      </c>
      <c r="D523" s="679" t="e">
        <f>ROUND('Balance N'!#REF!,2)</f>
        <v>#REF!</v>
      </c>
      <c r="E523" s="679">
        <f>ROUND('Balance N'!C523,2)</f>
        <v>0</v>
      </c>
      <c r="F523" s="679">
        <f>ROUND('Balance N'!D523,2)</f>
        <v>0</v>
      </c>
      <c r="G523" s="679">
        <f>ROUND('Balance N'!E523,2)</f>
        <v>0</v>
      </c>
      <c r="H523" s="679">
        <f>ROUND('Balance N'!F523,2)</f>
        <v>0</v>
      </c>
      <c r="I523" s="2" t="str">
        <f t="shared" si="11"/>
        <v>0</v>
      </c>
    </row>
    <row r="524" spans="1:9" x14ac:dyDescent="0.2">
      <c r="A524" s="573" t="str">
        <f>FIXED('Balance N'!A524,0,1)</f>
        <v>0</v>
      </c>
      <c r="B524" s="572">
        <f>+'Balance N'!B524</f>
        <v>0</v>
      </c>
      <c r="C524" s="679" t="e">
        <f>ROUND('Balance N'!#REF!,2)</f>
        <v>#REF!</v>
      </c>
      <c r="D524" s="679" t="e">
        <f>ROUND('Balance N'!#REF!,2)</f>
        <v>#REF!</v>
      </c>
      <c r="E524" s="679">
        <f>ROUND('Balance N'!C524,2)</f>
        <v>0</v>
      </c>
      <c r="F524" s="679">
        <f>ROUND('Balance N'!D524,2)</f>
        <v>0</v>
      </c>
      <c r="G524" s="679">
        <f>ROUND('Balance N'!E524,2)</f>
        <v>0</v>
      </c>
      <c r="H524" s="679">
        <f>ROUND('Balance N'!F524,2)</f>
        <v>0</v>
      </c>
      <c r="I524" s="2" t="str">
        <f t="shared" si="11"/>
        <v>0</v>
      </c>
    </row>
    <row r="525" spans="1:9" x14ac:dyDescent="0.2">
      <c r="A525" s="573" t="str">
        <f>FIXED('Balance N'!A525,0,1)</f>
        <v>0</v>
      </c>
      <c r="B525" s="572">
        <f>+'Balance N'!B525</f>
        <v>0</v>
      </c>
      <c r="C525" s="679" t="e">
        <f>ROUND('Balance N'!#REF!,2)</f>
        <v>#REF!</v>
      </c>
      <c r="D525" s="679" t="e">
        <f>ROUND('Balance N'!#REF!,2)</f>
        <v>#REF!</v>
      </c>
      <c r="E525" s="679">
        <f>ROUND('Balance N'!C525,2)</f>
        <v>0</v>
      </c>
      <c r="F525" s="679">
        <f>ROUND('Balance N'!D525,2)</f>
        <v>0</v>
      </c>
      <c r="G525" s="679">
        <f>ROUND('Balance N'!E525,2)</f>
        <v>0</v>
      </c>
      <c r="H525" s="679">
        <f>ROUND('Balance N'!F525,2)</f>
        <v>0</v>
      </c>
      <c r="I525" s="2" t="str">
        <f t="shared" si="11"/>
        <v>0</v>
      </c>
    </row>
    <row r="526" spans="1:9" x14ac:dyDescent="0.2">
      <c r="A526" s="573" t="str">
        <f>FIXED('Balance N'!A526,0,1)</f>
        <v>0</v>
      </c>
      <c r="B526" s="572">
        <f>+'Balance N'!B526</f>
        <v>0</v>
      </c>
      <c r="C526" s="679" t="e">
        <f>ROUND('Balance N'!#REF!,2)</f>
        <v>#REF!</v>
      </c>
      <c r="D526" s="679" t="e">
        <f>ROUND('Balance N'!#REF!,2)</f>
        <v>#REF!</v>
      </c>
      <c r="E526" s="679">
        <f>ROUND('Balance N'!C526,2)</f>
        <v>0</v>
      </c>
      <c r="F526" s="679">
        <f>ROUND('Balance N'!D526,2)</f>
        <v>0</v>
      </c>
      <c r="G526" s="679">
        <f>ROUND('Balance N'!E526,2)</f>
        <v>0</v>
      </c>
      <c r="H526" s="679">
        <f>ROUND('Balance N'!F526,2)</f>
        <v>0</v>
      </c>
      <c r="I526" s="2" t="str">
        <f t="shared" si="11"/>
        <v>0</v>
      </c>
    </row>
    <row r="527" spans="1:9" x14ac:dyDescent="0.2">
      <c r="A527" s="573" t="str">
        <f>FIXED('Balance N'!A527,0,1)</f>
        <v>0</v>
      </c>
      <c r="B527" s="572">
        <f>+'Balance N'!B527</f>
        <v>0</v>
      </c>
      <c r="C527" s="679" t="e">
        <f>ROUND('Balance N'!#REF!,2)</f>
        <v>#REF!</v>
      </c>
      <c r="D527" s="679" t="e">
        <f>ROUND('Balance N'!#REF!,2)</f>
        <v>#REF!</v>
      </c>
      <c r="E527" s="679">
        <f>ROUND('Balance N'!C527,2)</f>
        <v>0</v>
      </c>
      <c r="F527" s="679">
        <f>ROUND('Balance N'!D527,2)</f>
        <v>0</v>
      </c>
      <c r="G527" s="679">
        <f>ROUND('Balance N'!E527,2)</f>
        <v>0</v>
      </c>
      <c r="H527" s="679">
        <f>ROUND('Balance N'!F527,2)</f>
        <v>0</v>
      </c>
      <c r="I527" s="2" t="str">
        <f t="shared" si="11"/>
        <v>0</v>
      </c>
    </row>
    <row r="528" spans="1:9" x14ac:dyDescent="0.2">
      <c r="A528" s="573" t="str">
        <f>FIXED('Balance N'!A528,0,1)</f>
        <v>0</v>
      </c>
      <c r="B528" s="572">
        <f>+'Balance N'!B528</f>
        <v>0</v>
      </c>
      <c r="C528" s="679" t="e">
        <f>ROUND('Balance N'!#REF!,2)</f>
        <v>#REF!</v>
      </c>
      <c r="D528" s="679" t="e">
        <f>ROUND('Balance N'!#REF!,2)</f>
        <v>#REF!</v>
      </c>
      <c r="E528" s="679">
        <f>ROUND('Balance N'!C528,2)</f>
        <v>0</v>
      </c>
      <c r="F528" s="679">
        <f>ROUND('Balance N'!D528,2)</f>
        <v>0</v>
      </c>
      <c r="G528" s="679">
        <f>ROUND('Balance N'!E528,2)</f>
        <v>0</v>
      </c>
      <c r="H528" s="679">
        <f>ROUND('Balance N'!F528,2)</f>
        <v>0</v>
      </c>
      <c r="I528" s="2" t="str">
        <f t="shared" si="11"/>
        <v>0</v>
      </c>
    </row>
    <row r="529" spans="1:9" x14ac:dyDescent="0.2">
      <c r="A529" s="573" t="str">
        <f>FIXED('Balance N'!A529,0,1)</f>
        <v>0</v>
      </c>
      <c r="B529" s="572">
        <f>+'Balance N'!B529</f>
        <v>0</v>
      </c>
      <c r="C529" s="679" t="e">
        <f>ROUND('Balance N'!#REF!,2)</f>
        <v>#REF!</v>
      </c>
      <c r="D529" s="679" t="e">
        <f>ROUND('Balance N'!#REF!,2)</f>
        <v>#REF!</v>
      </c>
      <c r="E529" s="679">
        <f>ROUND('Balance N'!C529,2)</f>
        <v>0</v>
      </c>
      <c r="F529" s="679">
        <f>ROUND('Balance N'!D529,2)</f>
        <v>0</v>
      </c>
      <c r="G529" s="679">
        <f>ROUND('Balance N'!E529,2)</f>
        <v>0</v>
      </c>
      <c r="H529" s="679">
        <f>ROUND('Balance N'!F529,2)</f>
        <v>0</v>
      </c>
      <c r="I529" s="2" t="str">
        <f t="shared" si="11"/>
        <v>0</v>
      </c>
    </row>
    <row r="530" spans="1:9" x14ac:dyDescent="0.2">
      <c r="A530" s="573" t="str">
        <f>FIXED('Balance N'!A530,0,1)</f>
        <v>0</v>
      </c>
      <c r="B530" s="572">
        <f>+'Balance N'!B530</f>
        <v>0</v>
      </c>
      <c r="C530" s="679" t="e">
        <f>ROUND('Balance N'!#REF!,2)</f>
        <v>#REF!</v>
      </c>
      <c r="D530" s="679" t="e">
        <f>ROUND('Balance N'!#REF!,2)</f>
        <v>#REF!</v>
      </c>
      <c r="E530" s="679">
        <f>ROUND('Balance N'!C530,2)</f>
        <v>0</v>
      </c>
      <c r="F530" s="679">
        <f>ROUND('Balance N'!D530,2)</f>
        <v>0</v>
      </c>
      <c r="G530" s="679">
        <f>ROUND('Balance N'!E530,2)</f>
        <v>0</v>
      </c>
      <c r="H530" s="679">
        <f>ROUND('Balance N'!F530,2)</f>
        <v>0</v>
      </c>
      <c r="I530" s="2" t="str">
        <f t="shared" si="11"/>
        <v>0</v>
      </c>
    </row>
    <row r="531" spans="1:9" x14ac:dyDescent="0.2">
      <c r="A531" s="573" t="str">
        <f>FIXED('Balance N'!A531,0,1)</f>
        <v>0</v>
      </c>
      <c r="B531" s="572">
        <f>+'Balance N'!B531</f>
        <v>0</v>
      </c>
      <c r="C531" s="679" t="e">
        <f>ROUND('Balance N'!#REF!,2)</f>
        <v>#REF!</v>
      </c>
      <c r="D531" s="679" t="e">
        <f>ROUND('Balance N'!#REF!,2)</f>
        <v>#REF!</v>
      </c>
      <c r="E531" s="679">
        <f>ROUND('Balance N'!C531,2)</f>
        <v>0</v>
      </c>
      <c r="F531" s="679">
        <f>ROUND('Balance N'!D531,2)</f>
        <v>0</v>
      </c>
      <c r="G531" s="679">
        <f>ROUND('Balance N'!E531,2)</f>
        <v>0</v>
      </c>
      <c r="H531" s="679">
        <f>ROUND('Balance N'!F531,2)</f>
        <v>0</v>
      </c>
      <c r="I531" s="2" t="str">
        <f t="shared" si="11"/>
        <v>0</v>
      </c>
    </row>
    <row r="532" spans="1:9" x14ac:dyDescent="0.2">
      <c r="A532" s="573" t="str">
        <f>FIXED('Balance N'!A532,0,1)</f>
        <v>0</v>
      </c>
      <c r="B532" s="572">
        <f>+'Balance N'!B532</f>
        <v>0</v>
      </c>
      <c r="C532" s="679" t="e">
        <f>ROUND('Balance N'!#REF!,2)</f>
        <v>#REF!</v>
      </c>
      <c r="D532" s="679" t="e">
        <f>ROUND('Balance N'!#REF!,2)</f>
        <v>#REF!</v>
      </c>
      <c r="E532" s="679">
        <f>ROUND('Balance N'!C532,2)</f>
        <v>0</v>
      </c>
      <c r="F532" s="679">
        <f>ROUND('Balance N'!D532,2)</f>
        <v>0</v>
      </c>
      <c r="G532" s="679">
        <f>ROUND('Balance N'!E532,2)</f>
        <v>0</v>
      </c>
      <c r="H532" s="679">
        <f>ROUND('Balance N'!F532,2)</f>
        <v>0</v>
      </c>
      <c r="I532" s="2" t="str">
        <f t="shared" si="11"/>
        <v>0</v>
      </c>
    </row>
    <row r="533" spans="1:9" x14ac:dyDescent="0.2">
      <c r="A533" s="573" t="str">
        <f>FIXED('Balance N'!A533,0,1)</f>
        <v>0</v>
      </c>
      <c r="B533" s="572">
        <f>+'Balance N'!B533</f>
        <v>0</v>
      </c>
      <c r="C533" s="679" t="e">
        <f>ROUND('Balance N'!#REF!,2)</f>
        <v>#REF!</v>
      </c>
      <c r="D533" s="679" t="e">
        <f>ROUND('Balance N'!#REF!,2)</f>
        <v>#REF!</v>
      </c>
      <c r="E533" s="679">
        <f>ROUND('Balance N'!C533,2)</f>
        <v>0</v>
      </c>
      <c r="F533" s="679">
        <f>ROUND('Balance N'!D533,2)</f>
        <v>0</v>
      </c>
      <c r="G533" s="679">
        <f>ROUND('Balance N'!E533,2)</f>
        <v>0</v>
      </c>
      <c r="H533" s="679">
        <f>ROUND('Balance N'!F533,2)</f>
        <v>0</v>
      </c>
      <c r="I533" s="2" t="str">
        <f t="shared" si="11"/>
        <v>0</v>
      </c>
    </row>
    <row r="534" spans="1:9" x14ac:dyDescent="0.2">
      <c r="A534" s="573" t="str">
        <f>FIXED('Balance N'!A534,0,1)</f>
        <v>0</v>
      </c>
      <c r="B534" s="572">
        <f>+'Balance N'!B534</f>
        <v>0</v>
      </c>
      <c r="C534" s="679" t="e">
        <f>ROUND('Balance N'!#REF!,2)</f>
        <v>#REF!</v>
      </c>
      <c r="D534" s="679" t="e">
        <f>ROUND('Balance N'!#REF!,2)</f>
        <v>#REF!</v>
      </c>
      <c r="E534" s="679">
        <f>ROUND('Balance N'!C534,2)</f>
        <v>0</v>
      </c>
      <c r="F534" s="679">
        <f>ROUND('Balance N'!D534,2)</f>
        <v>0</v>
      </c>
      <c r="G534" s="679">
        <f>ROUND('Balance N'!E534,2)</f>
        <v>0</v>
      </c>
      <c r="H534" s="679">
        <f>ROUND('Balance N'!F534,2)</f>
        <v>0</v>
      </c>
      <c r="I534" s="2" t="str">
        <f t="shared" si="11"/>
        <v>0</v>
      </c>
    </row>
    <row r="535" spans="1:9" x14ac:dyDescent="0.2">
      <c r="A535" s="573" t="str">
        <f>FIXED('Balance N'!A535,0,1)</f>
        <v>0</v>
      </c>
      <c r="B535" s="572">
        <f>+'Balance N'!B535</f>
        <v>0</v>
      </c>
      <c r="C535" s="679" t="e">
        <f>ROUND('Balance N'!#REF!,2)</f>
        <v>#REF!</v>
      </c>
      <c r="D535" s="679" t="e">
        <f>ROUND('Balance N'!#REF!,2)</f>
        <v>#REF!</v>
      </c>
      <c r="E535" s="679">
        <f>ROUND('Balance N'!C535,2)</f>
        <v>0</v>
      </c>
      <c r="F535" s="679">
        <f>ROUND('Balance N'!D535,2)</f>
        <v>0</v>
      </c>
      <c r="G535" s="679">
        <f>ROUND('Balance N'!E535,2)</f>
        <v>0</v>
      </c>
      <c r="H535" s="679">
        <f>ROUND('Balance N'!F535,2)</f>
        <v>0</v>
      </c>
      <c r="I535" s="2" t="str">
        <f t="shared" si="11"/>
        <v>0</v>
      </c>
    </row>
    <row r="536" spans="1:9" x14ac:dyDescent="0.2">
      <c r="A536" s="573" t="str">
        <f>FIXED('Balance N'!A536,0,1)</f>
        <v>0</v>
      </c>
      <c r="B536" s="572">
        <f>+'Balance N'!B536</f>
        <v>0</v>
      </c>
      <c r="C536" s="679" t="e">
        <f>ROUND('Balance N'!#REF!,2)</f>
        <v>#REF!</v>
      </c>
      <c r="D536" s="679" t="e">
        <f>ROUND('Balance N'!#REF!,2)</f>
        <v>#REF!</v>
      </c>
      <c r="E536" s="679">
        <f>ROUND('Balance N'!C536,2)</f>
        <v>0</v>
      </c>
      <c r="F536" s="679">
        <f>ROUND('Balance N'!D536,2)</f>
        <v>0</v>
      </c>
      <c r="G536" s="679">
        <f>ROUND('Balance N'!E536,2)</f>
        <v>0</v>
      </c>
      <c r="H536" s="679">
        <f>ROUND('Balance N'!F536,2)</f>
        <v>0</v>
      </c>
      <c r="I536" s="2" t="str">
        <f t="shared" si="11"/>
        <v>0</v>
      </c>
    </row>
    <row r="537" spans="1:9" x14ac:dyDescent="0.2">
      <c r="A537" s="573" t="str">
        <f>FIXED('Balance N'!A537,0,1)</f>
        <v>0</v>
      </c>
      <c r="B537" s="572">
        <f>+'Balance N'!B537</f>
        <v>0</v>
      </c>
      <c r="C537" s="679" t="e">
        <f>ROUND('Balance N'!#REF!,2)</f>
        <v>#REF!</v>
      </c>
      <c r="D537" s="679" t="e">
        <f>ROUND('Balance N'!#REF!,2)</f>
        <v>#REF!</v>
      </c>
      <c r="E537" s="679">
        <f>ROUND('Balance N'!C537,2)</f>
        <v>0</v>
      </c>
      <c r="F537" s="679">
        <f>ROUND('Balance N'!D537,2)</f>
        <v>0</v>
      </c>
      <c r="G537" s="679">
        <f>ROUND('Balance N'!E537,2)</f>
        <v>0</v>
      </c>
      <c r="H537" s="679">
        <f>ROUND('Balance N'!F537,2)</f>
        <v>0</v>
      </c>
      <c r="I537" s="2" t="str">
        <f t="shared" si="11"/>
        <v>0</v>
      </c>
    </row>
    <row r="538" spans="1:9" x14ac:dyDescent="0.2">
      <c r="A538" s="573" t="str">
        <f>FIXED('Balance N'!A538,0,1)</f>
        <v>0</v>
      </c>
      <c r="B538" s="572">
        <f>+'Balance N'!B538</f>
        <v>0</v>
      </c>
      <c r="C538" s="679" t="e">
        <f>ROUND('Balance N'!#REF!,2)</f>
        <v>#REF!</v>
      </c>
      <c r="D538" s="679" t="e">
        <f>ROUND('Balance N'!#REF!,2)</f>
        <v>#REF!</v>
      </c>
      <c r="E538" s="679">
        <f>ROUND('Balance N'!C538,2)</f>
        <v>0</v>
      </c>
      <c r="F538" s="679">
        <f>ROUND('Balance N'!D538,2)</f>
        <v>0</v>
      </c>
      <c r="G538" s="679">
        <f>ROUND('Balance N'!E538,2)</f>
        <v>0</v>
      </c>
      <c r="H538" s="679">
        <f>ROUND('Balance N'!F538,2)</f>
        <v>0</v>
      </c>
      <c r="I538" s="2" t="str">
        <f t="shared" si="11"/>
        <v>0</v>
      </c>
    </row>
    <row r="539" spans="1:9" x14ac:dyDescent="0.2">
      <c r="A539" s="573" t="str">
        <f>FIXED('Balance N'!A539,0,1)</f>
        <v>0</v>
      </c>
      <c r="B539" s="572">
        <f>+'Balance N'!B539</f>
        <v>0</v>
      </c>
      <c r="C539" s="679" t="e">
        <f>ROUND('Balance N'!#REF!,2)</f>
        <v>#REF!</v>
      </c>
      <c r="D539" s="679" t="e">
        <f>ROUND('Balance N'!#REF!,2)</f>
        <v>#REF!</v>
      </c>
      <c r="E539" s="679">
        <f>ROUND('Balance N'!C539,2)</f>
        <v>0</v>
      </c>
      <c r="F539" s="679">
        <f>ROUND('Balance N'!D539,2)</f>
        <v>0</v>
      </c>
      <c r="G539" s="679">
        <f>ROUND('Balance N'!E539,2)</f>
        <v>0</v>
      </c>
      <c r="H539" s="679">
        <f>ROUND('Balance N'!F539,2)</f>
        <v>0</v>
      </c>
      <c r="I539" s="2" t="str">
        <f t="shared" si="11"/>
        <v>0</v>
      </c>
    </row>
    <row r="540" spans="1:9" x14ac:dyDescent="0.2">
      <c r="A540" s="573" t="str">
        <f>FIXED('Balance N'!A540,0,1)</f>
        <v>0</v>
      </c>
      <c r="B540" s="572">
        <f>+'Balance N'!B540</f>
        <v>0</v>
      </c>
      <c r="C540" s="679" t="e">
        <f>ROUND('Balance N'!#REF!,2)</f>
        <v>#REF!</v>
      </c>
      <c r="D540" s="679" t="e">
        <f>ROUND('Balance N'!#REF!,2)</f>
        <v>#REF!</v>
      </c>
      <c r="E540" s="679">
        <f>ROUND('Balance N'!C540,2)</f>
        <v>0</v>
      </c>
      <c r="F540" s="679">
        <f>ROUND('Balance N'!D540,2)</f>
        <v>0</v>
      </c>
      <c r="G540" s="679">
        <f>ROUND('Balance N'!E540,2)</f>
        <v>0</v>
      </c>
      <c r="H540" s="679">
        <f>ROUND('Balance N'!F540,2)</f>
        <v>0</v>
      </c>
      <c r="I540" s="2" t="str">
        <f t="shared" si="11"/>
        <v>0</v>
      </c>
    </row>
    <row r="541" spans="1:9" x14ac:dyDescent="0.2">
      <c r="A541" s="573" t="str">
        <f>FIXED('Balance N'!A541,0,1)</f>
        <v>0</v>
      </c>
      <c r="B541" s="572">
        <f>+'Balance N'!B541</f>
        <v>0</v>
      </c>
      <c r="C541" s="679" t="e">
        <f>ROUND('Balance N'!#REF!,2)</f>
        <v>#REF!</v>
      </c>
      <c r="D541" s="679" t="e">
        <f>ROUND('Balance N'!#REF!,2)</f>
        <v>#REF!</v>
      </c>
      <c r="E541" s="679">
        <f>ROUND('Balance N'!C541,2)</f>
        <v>0</v>
      </c>
      <c r="F541" s="679">
        <f>ROUND('Balance N'!D541,2)</f>
        <v>0</v>
      </c>
      <c r="G541" s="679">
        <f>ROUND('Balance N'!E541,2)</f>
        <v>0</v>
      </c>
      <c r="H541" s="679">
        <f>ROUND('Balance N'!F541,2)</f>
        <v>0</v>
      </c>
      <c r="I541" s="2" t="str">
        <f t="shared" si="11"/>
        <v>0</v>
      </c>
    </row>
    <row r="542" spans="1:9" x14ac:dyDescent="0.2">
      <c r="A542" s="573" t="str">
        <f>FIXED('Balance N'!A542,0,1)</f>
        <v>0</v>
      </c>
      <c r="B542" s="572">
        <f>+'Balance N'!B542</f>
        <v>0</v>
      </c>
      <c r="C542" s="679" t="e">
        <f>ROUND('Balance N'!#REF!,2)</f>
        <v>#REF!</v>
      </c>
      <c r="D542" s="679" t="e">
        <f>ROUND('Balance N'!#REF!,2)</f>
        <v>#REF!</v>
      </c>
      <c r="E542" s="679">
        <f>ROUND('Balance N'!C542,2)</f>
        <v>0</v>
      </c>
      <c r="F542" s="679">
        <f>ROUND('Balance N'!D542,2)</f>
        <v>0</v>
      </c>
      <c r="G542" s="679">
        <f>ROUND('Balance N'!E542,2)</f>
        <v>0</v>
      </c>
      <c r="H542" s="679">
        <f>ROUND('Balance N'!F542,2)</f>
        <v>0</v>
      </c>
      <c r="I542" s="2" t="str">
        <f t="shared" si="11"/>
        <v>0</v>
      </c>
    </row>
    <row r="543" spans="1:9" x14ac:dyDescent="0.2">
      <c r="A543" s="573" t="str">
        <f>FIXED('Balance N'!A543,0,1)</f>
        <v>0</v>
      </c>
      <c r="B543" s="572">
        <f>+'Balance N'!B543</f>
        <v>0</v>
      </c>
      <c r="C543" s="679" t="e">
        <f>ROUND('Balance N'!#REF!,2)</f>
        <v>#REF!</v>
      </c>
      <c r="D543" s="679" t="e">
        <f>ROUND('Balance N'!#REF!,2)</f>
        <v>#REF!</v>
      </c>
      <c r="E543" s="679">
        <f>ROUND('Balance N'!C543,2)</f>
        <v>0</v>
      </c>
      <c r="F543" s="679">
        <f>ROUND('Balance N'!D543,2)</f>
        <v>0</v>
      </c>
      <c r="G543" s="679">
        <f>ROUND('Balance N'!E543,2)</f>
        <v>0</v>
      </c>
      <c r="H543" s="679">
        <f>ROUND('Balance N'!F543,2)</f>
        <v>0</v>
      </c>
      <c r="I543" s="2" t="str">
        <f t="shared" si="11"/>
        <v>0</v>
      </c>
    </row>
    <row r="544" spans="1:9" x14ac:dyDescent="0.2">
      <c r="A544" s="573" t="str">
        <f>FIXED('Balance N'!A544,0,1)</f>
        <v>0</v>
      </c>
      <c r="B544" s="572">
        <f>+'Balance N'!B544</f>
        <v>0</v>
      </c>
      <c r="C544" s="679" t="e">
        <f>ROUND('Balance N'!#REF!,2)</f>
        <v>#REF!</v>
      </c>
      <c r="D544" s="679" t="e">
        <f>ROUND('Balance N'!#REF!,2)</f>
        <v>#REF!</v>
      </c>
      <c r="E544" s="679">
        <f>ROUND('Balance N'!C544,2)</f>
        <v>0</v>
      </c>
      <c r="F544" s="679">
        <f>ROUND('Balance N'!D544,2)</f>
        <v>0</v>
      </c>
      <c r="G544" s="679">
        <f>ROUND('Balance N'!E544,2)</f>
        <v>0</v>
      </c>
      <c r="H544" s="679">
        <f>ROUND('Balance N'!F544,2)</f>
        <v>0</v>
      </c>
      <c r="I544" s="2" t="str">
        <f t="shared" si="11"/>
        <v>0</v>
      </c>
    </row>
    <row r="545" spans="1:9" x14ac:dyDescent="0.2">
      <c r="A545" s="573" t="str">
        <f>FIXED('Balance N'!A545,0,1)</f>
        <v>0</v>
      </c>
      <c r="B545" s="572">
        <f>+'Balance N'!B545</f>
        <v>0</v>
      </c>
      <c r="C545" s="679" t="e">
        <f>ROUND('Balance N'!#REF!,2)</f>
        <v>#REF!</v>
      </c>
      <c r="D545" s="679" t="e">
        <f>ROUND('Balance N'!#REF!,2)</f>
        <v>#REF!</v>
      </c>
      <c r="E545" s="679">
        <f>ROUND('Balance N'!C545,2)</f>
        <v>0</v>
      </c>
      <c r="F545" s="679">
        <f>ROUND('Balance N'!D545,2)</f>
        <v>0</v>
      </c>
      <c r="G545" s="679">
        <f>ROUND('Balance N'!E545,2)</f>
        <v>0</v>
      </c>
      <c r="H545" s="679">
        <f>ROUND('Balance N'!F545,2)</f>
        <v>0</v>
      </c>
      <c r="I545" s="2" t="str">
        <f t="shared" si="11"/>
        <v>0</v>
      </c>
    </row>
    <row r="546" spans="1:9" x14ac:dyDescent="0.2">
      <c r="A546" s="573" t="str">
        <f>FIXED('Balance N'!A546,0,1)</f>
        <v>0</v>
      </c>
      <c r="B546" s="572">
        <f>+'Balance N'!B546</f>
        <v>0</v>
      </c>
      <c r="C546" s="679" t="e">
        <f>ROUND('Balance N'!#REF!,2)</f>
        <v>#REF!</v>
      </c>
      <c r="D546" s="679" t="e">
        <f>ROUND('Balance N'!#REF!,2)</f>
        <v>#REF!</v>
      </c>
      <c r="E546" s="679">
        <f>ROUND('Balance N'!C546,2)</f>
        <v>0</v>
      </c>
      <c r="F546" s="679">
        <f>ROUND('Balance N'!D546,2)</f>
        <v>0</v>
      </c>
      <c r="G546" s="679">
        <f>ROUND('Balance N'!E546,2)</f>
        <v>0</v>
      </c>
      <c r="H546" s="679">
        <f>ROUND('Balance N'!F546,2)</f>
        <v>0</v>
      </c>
      <c r="I546" s="2" t="str">
        <f t="shared" si="11"/>
        <v>0</v>
      </c>
    </row>
    <row r="547" spans="1:9" x14ac:dyDescent="0.2">
      <c r="A547" s="573" t="str">
        <f>FIXED('Balance N'!A547,0,1)</f>
        <v>0</v>
      </c>
      <c r="B547" s="572">
        <f>+'Balance N'!B547</f>
        <v>0</v>
      </c>
      <c r="C547" s="679" t="e">
        <f>ROUND('Balance N'!#REF!,2)</f>
        <v>#REF!</v>
      </c>
      <c r="D547" s="679" t="e">
        <f>ROUND('Balance N'!#REF!,2)</f>
        <v>#REF!</v>
      </c>
      <c r="E547" s="679">
        <f>ROUND('Balance N'!C547,2)</f>
        <v>0</v>
      </c>
      <c r="F547" s="679">
        <f>ROUND('Balance N'!D547,2)</f>
        <v>0</v>
      </c>
      <c r="G547" s="679">
        <f>ROUND('Balance N'!E547,2)</f>
        <v>0</v>
      </c>
      <c r="H547" s="679">
        <f>ROUND('Balance N'!F547,2)</f>
        <v>0</v>
      </c>
      <c r="I547" s="2" t="str">
        <f t="shared" si="11"/>
        <v>0</v>
      </c>
    </row>
    <row r="548" spans="1:9" x14ac:dyDescent="0.2">
      <c r="A548" s="573" t="str">
        <f>FIXED('Balance N'!A548,0,1)</f>
        <v>0</v>
      </c>
      <c r="B548" s="572">
        <f>+'Balance N'!B548</f>
        <v>0</v>
      </c>
      <c r="C548" s="679" t="e">
        <f>ROUND('Balance N'!#REF!,2)</f>
        <v>#REF!</v>
      </c>
      <c r="D548" s="679" t="e">
        <f>ROUND('Balance N'!#REF!,2)</f>
        <v>#REF!</v>
      </c>
      <c r="E548" s="679">
        <f>ROUND('Balance N'!C548,2)</f>
        <v>0</v>
      </c>
      <c r="F548" s="679">
        <f>ROUND('Balance N'!D548,2)</f>
        <v>0</v>
      </c>
      <c r="G548" s="679">
        <f>ROUND('Balance N'!E548,2)</f>
        <v>0</v>
      </c>
      <c r="H548" s="679">
        <f>ROUND('Balance N'!F548,2)</f>
        <v>0</v>
      </c>
      <c r="I548" s="2" t="str">
        <f t="shared" si="11"/>
        <v>0</v>
      </c>
    </row>
    <row r="549" spans="1:9" x14ac:dyDescent="0.2">
      <c r="A549" s="573" t="str">
        <f>FIXED('Balance N'!A549,0,1)</f>
        <v>0</v>
      </c>
      <c r="B549" s="572">
        <f>+'Balance N'!B549</f>
        <v>0</v>
      </c>
      <c r="C549" s="679" t="e">
        <f>ROUND('Balance N'!#REF!,2)</f>
        <v>#REF!</v>
      </c>
      <c r="D549" s="679" t="e">
        <f>ROUND('Balance N'!#REF!,2)</f>
        <v>#REF!</v>
      </c>
      <c r="E549" s="679">
        <f>ROUND('Balance N'!C549,2)</f>
        <v>0</v>
      </c>
      <c r="F549" s="679">
        <f>ROUND('Balance N'!D549,2)</f>
        <v>0</v>
      </c>
      <c r="G549" s="679">
        <f>ROUND('Balance N'!E549,2)</f>
        <v>0</v>
      </c>
      <c r="H549" s="679">
        <f>ROUND('Balance N'!F549,2)</f>
        <v>0</v>
      </c>
      <c r="I549" s="2" t="str">
        <f t="shared" si="11"/>
        <v>0</v>
      </c>
    </row>
    <row r="550" spans="1:9" x14ac:dyDescent="0.2">
      <c r="A550" s="573" t="str">
        <f>FIXED('Balance N'!A550,0,1)</f>
        <v>0</v>
      </c>
      <c r="B550" s="572">
        <f>+'Balance N'!B550</f>
        <v>0</v>
      </c>
      <c r="C550" s="679" t="e">
        <f>ROUND('Balance N'!#REF!,2)</f>
        <v>#REF!</v>
      </c>
      <c r="D550" s="679" t="e">
        <f>ROUND('Balance N'!#REF!,2)</f>
        <v>#REF!</v>
      </c>
      <c r="E550" s="679">
        <f>ROUND('Balance N'!C550,2)</f>
        <v>0</v>
      </c>
      <c r="F550" s="679">
        <f>ROUND('Balance N'!D550,2)</f>
        <v>0</v>
      </c>
      <c r="G550" s="679">
        <f>ROUND('Balance N'!E550,2)</f>
        <v>0</v>
      </c>
      <c r="H550" s="679">
        <f>ROUND('Balance N'!F550,2)</f>
        <v>0</v>
      </c>
      <c r="I550" s="2" t="str">
        <f t="shared" si="11"/>
        <v>0</v>
      </c>
    </row>
    <row r="551" spans="1:9" x14ac:dyDescent="0.2">
      <c r="A551" s="573" t="str">
        <f>FIXED('Balance N'!A551,0,1)</f>
        <v>0</v>
      </c>
      <c r="B551" s="572">
        <f>+'Balance N'!B551</f>
        <v>0</v>
      </c>
      <c r="C551" s="679" t="e">
        <f>ROUND('Balance N'!#REF!,2)</f>
        <v>#REF!</v>
      </c>
      <c r="D551" s="679" t="e">
        <f>ROUND('Balance N'!#REF!,2)</f>
        <v>#REF!</v>
      </c>
      <c r="E551" s="679">
        <f>ROUND('Balance N'!C551,2)</f>
        <v>0</v>
      </c>
      <c r="F551" s="679">
        <f>ROUND('Balance N'!D551,2)</f>
        <v>0</v>
      </c>
      <c r="G551" s="679">
        <f>ROUND('Balance N'!E551,2)</f>
        <v>0</v>
      </c>
      <c r="H551" s="679">
        <f>ROUND('Balance N'!F551,2)</f>
        <v>0</v>
      </c>
      <c r="I551" s="2" t="str">
        <f t="shared" si="11"/>
        <v>0</v>
      </c>
    </row>
    <row r="552" spans="1:9" x14ac:dyDescent="0.2">
      <c r="A552" s="573" t="str">
        <f>FIXED('Balance N'!A552,0,1)</f>
        <v>0</v>
      </c>
      <c r="B552" s="572">
        <f>+'Balance N'!B552</f>
        <v>0</v>
      </c>
      <c r="C552" s="679" t="e">
        <f>ROUND('Balance N'!#REF!,2)</f>
        <v>#REF!</v>
      </c>
      <c r="D552" s="679" t="e">
        <f>ROUND('Balance N'!#REF!,2)</f>
        <v>#REF!</v>
      </c>
      <c r="E552" s="679">
        <f>ROUND('Balance N'!C552,2)</f>
        <v>0</v>
      </c>
      <c r="F552" s="679">
        <f>ROUND('Balance N'!D552,2)</f>
        <v>0</v>
      </c>
      <c r="G552" s="679">
        <f>ROUND('Balance N'!E552,2)</f>
        <v>0</v>
      </c>
      <c r="H552" s="679">
        <f>ROUND('Balance N'!F552,2)</f>
        <v>0</v>
      </c>
      <c r="I552" s="2" t="str">
        <f t="shared" si="11"/>
        <v>0</v>
      </c>
    </row>
    <row r="553" spans="1:9" x14ac:dyDescent="0.2">
      <c r="A553" s="573" t="str">
        <f>FIXED('Balance N'!A553,0,1)</f>
        <v>0</v>
      </c>
      <c r="B553" s="572">
        <f>+'Balance N'!B553</f>
        <v>0</v>
      </c>
      <c r="C553" s="679" t="e">
        <f>ROUND('Balance N'!#REF!,2)</f>
        <v>#REF!</v>
      </c>
      <c r="D553" s="679" t="e">
        <f>ROUND('Balance N'!#REF!,2)</f>
        <v>#REF!</v>
      </c>
      <c r="E553" s="679">
        <f>ROUND('Balance N'!C553,2)</f>
        <v>0</v>
      </c>
      <c r="F553" s="679">
        <f>ROUND('Balance N'!D553,2)</f>
        <v>0</v>
      </c>
      <c r="G553" s="679">
        <f>ROUND('Balance N'!E553,2)</f>
        <v>0</v>
      </c>
      <c r="H553" s="679">
        <f>ROUND('Balance N'!F553,2)</f>
        <v>0</v>
      </c>
      <c r="I553" s="2" t="str">
        <f t="shared" si="11"/>
        <v>0</v>
      </c>
    </row>
    <row r="554" spans="1:9" x14ac:dyDescent="0.2">
      <c r="A554" s="573" t="str">
        <f>FIXED('Balance N'!A554,0,1)</f>
        <v>0</v>
      </c>
      <c r="B554" s="572">
        <f>+'Balance N'!B554</f>
        <v>0</v>
      </c>
      <c r="C554" s="679" t="e">
        <f>ROUND('Balance N'!#REF!,2)</f>
        <v>#REF!</v>
      </c>
      <c r="D554" s="679" t="e">
        <f>ROUND('Balance N'!#REF!,2)</f>
        <v>#REF!</v>
      </c>
      <c r="E554" s="679">
        <f>ROUND('Balance N'!C554,2)</f>
        <v>0</v>
      </c>
      <c r="F554" s="679">
        <f>ROUND('Balance N'!D554,2)</f>
        <v>0</v>
      </c>
      <c r="G554" s="679">
        <f>ROUND('Balance N'!E554,2)</f>
        <v>0</v>
      </c>
      <c r="H554" s="679">
        <f>ROUND('Balance N'!F554,2)</f>
        <v>0</v>
      </c>
      <c r="I554" s="2" t="str">
        <f t="shared" si="11"/>
        <v>0</v>
      </c>
    </row>
    <row r="555" spans="1:9" x14ac:dyDescent="0.2">
      <c r="A555" s="573" t="str">
        <f>FIXED('Balance N'!A555,0,1)</f>
        <v>0</v>
      </c>
      <c r="B555" s="572">
        <f>+'Balance N'!B555</f>
        <v>0</v>
      </c>
      <c r="C555" s="679" t="e">
        <f>ROUND('Balance N'!#REF!,2)</f>
        <v>#REF!</v>
      </c>
      <c r="D555" s="679" t="e">
        <f>ROUND('Balance N'!#REF!,2)</f>
        <v>#REF!</v>
      </c>
      <c r="E555" s="679">
        <f>ROUND('Balance N'!C555,2)</f>
        <v>0</v>
      </c>
      <c r="F555" s="679">
        <f>ROUND('Balance N'!D555,2)</f>
        <v>0</v>
      </c>
      <c r="G555" s="679">
        <f>ROUND('Balance N'!E555,2)</f>
        <v>0</v>
      </c>
      <c r="H555" s="679">
        <f>ROUND('Balance N'!F555,2)</f>
        <v>0</v>
      </c>
      <c r="I555" s="2" t="str">
        <f t="shared" si="11"/>
        <v>0</v>
      </c>
    </row>
    <row r="556" spans="1:9" x14ac:dyDescent="0.2">
      <c r="A556" s="573" t="str">
        <f>FIXED('Balance N'!A556,0,1)</f>
        <v>0</v>
      </c>
      <c r="B556" s="572">
        <f>+'Balance N'!B556</f>
        <v>0</v>
      </c>
      <c r="C556" s="679" t="e">
        <f>ROUND('Balance N'!#REF!,2)</f>
        <v>#REF!</v>
      </c>
      <c r="D556" s="679" t="e">
        <f>ROUND('Balance N'!#REF!,2)</f>
        <v>#REF!</v>
      </c>
      <c r="E556" s="679">
        <f>ROUND('Balance N'!C556,2)</f>
        <v>0</v>
      </c>
      <c r="F556" s="679">
        <f>ROUND('Balance N'!D556,2)</f>
        <v>0</v>
      </c>
      <c r="G556" s="679">
        <f>ROUND('Balance N'!E556,2)</f>
        <v>0</v>
      </c>
      <c r="H556" s="679">
        <f>ROUND('Balance N'!F556,2)</f>
        <v>0</v>
      </c>
      <c r="I556" s="2" t="str">
        <f t="shared" si="11"/>
        <v>0</v>
      </c>
    </row>
    <row r="557" spans="1:9" x14ac:dyDescent="0.2">
      <c r="A557" s="573" t="str">
        <f>FIXED('Balance N'!A557,0,1)</f>
        <v>0</v>
      </c>
      <c r="B557" s="572">
        <f>+'Balance N'!B557</f>
        <v>0</v>
      </c>
      <c r="C557" s="679" t="e">
        <f>ROUND('Balance N'!#REF!,2)</f>
        <v>#REF!</v>
      </c>
      <c r="D557" s="679" t="e">
        <f>ROUND('Balance N'!#REF!,2)</f>
        <v>#REF!</v>
      </c>
      <c r="E557" s="679">
        <f>ROUND('Balance N'!C557,2)</f>
        <v>0</v>
      </c>
      <c r="F557" s="679">
        <f>ROUND('Balance N'!D557,2)</f>
        <v>0</v>
      </c>
      <c r="G557" s="679">
        <f>ROUND('Balance N'!E557,2)</f>
        <v>0</v>
      </c>
      <c r="H557" s="679">
        <f>ROUND('Balance N'!F557,2)</f>
        <v>0</v>
      </c>
      <c r="I557" s="2" t="str">
        <f t="shared" si="11"/>
        <v>0</v>
      </c>
    </row>
    <row r="558" spans="1:9" x14ac:dyDescent="0.2">
      <c r="A558" s="573" t="str">
        <f>FIXED('Balance N'!A558,0,1)</f>
        <v>0</v>
      </c>
      <c r="B558" s="572">
        <f>+'Balance N'!B558</f>
        <v>0</v>
      </c>
      <c r="C558" s="679" t="e">
        <f>ROUND('Balance N'!#REF!,2)</f>
        <v>#REF!</v>
      </c>
      <c r="D558" s="679" t="e">
        <f>ROUND('Balance N'!#REF!,2)</f>
        <v>#REF!</v>
      </c>
      <c r="E558" s="679">
        <f>ROUND('Balance N'!C558,2)</f>
        <v>0</v>
      </c>
      <c r="F558" s="679">
        <f>ROUND('Balance N'!D558,2)</f>
        <v>0</v>
      </c>
      <c r="G558" s="679">
        <f>ROUND('Balance N'!E558,2)</f>
        <v>0</v>
      </c>
      <c r="H558" s="679">
        <f>ROUND('Balance N'!F558,2)</f>
        <v>0</v>
      </c>
      <c r="I558" s="2" t="str">
        <f t="shared" si="11"/>
        <v>0</v>
      </c>
    </row>
    <row r="559" spans="1:9" x14ac:dyDescent="0.2">
      <c r="A559" s="573" t="str">
        <f>FIXED('Balance N'!A559,0,1)</f>
        <v>0</v>
      </c>
      <c r="B559" s="572">
        <f>+'Balance N'!B559</f>
        <v>0</v>
      </c>
      <c r="C559" s="679" t="e">
        <f>ROUND('Balance N'!#REF!,2)</f>
        <v>#REF!</v>
      </c>
      <c r="D559" s="679" t="e">
        <f>ROUND('Balance N'!#REF!,2)</f>
        <v>#REF!</v>
      </c>
      <c r="E559" s="679">
        <f>ROUND('Balance N'!C559,2)</f>
        <v>0</v>
      </c>
      <c r="F559" s="679">
        <f>ROUND('Balance N'!D559,2)</f>
        <v>0</v>
      </c>
      <c r="G559" s="679">
        <f>ROUND('Balance N'!E559,2)</f>
        <v>0</v>
      </c>
      <c r="H559" s="679">
        <f>ROUND('Balance N'!F559,2)</f>
        <v>0</v>
      </c>
      <c r="I559" s="2" t="str">
        <f t="shared" si="11"/>
        <v>0</v>
      </c>
    </row>
    <row r="560" spans="1:9" x14ac:dyDescent="0.2">
      <c r="A560" s="573" t="str">
        <f>FIXED('Balance N'!A560,0,1)</f>
        <v>0</v>
      </c>
      <c r="B560" s="572">
        <f>+'Balance N'!B560</f>
        <v>0</v>
      </c>
      <c r="C560" s="679" t="e">
        <f>ROUND('Balance N'!#REF!,2)</f>
        <v>#REF!</v>
      </c>
      <c r="D560" s="679" t="e">
        <f>ROUND('Balance N'!#REF!,2)</f>
        <v>#REF!</v>
      </c>
      <c r="E560" s="679">
        <f>ROUND('Balance N'!C560,2)</f>
        <v>0</v>
      </c>
      <c r="F560" s="679">
        <f>ROUND('Balance N'!D560,2)</f>
        <v>0</v>
      </c>
      <c r="G560" s="679">
        <f>ROUND('Balance N'!E560,2)</f>
        <v>0</v>
      </c>
      <c r="H560" s="679">
        <f>ROUND('Balance N'!F560,2)</f>
        <v>0</v>
      </c>
      <c r="I560" s="2" t="str">
        <f t="shared" si="11"/>
        <v>0</v>
      </c>
    </row>
    <row r="561" spans="1:9" x14ac:dyDescent="0.2">
      <c r="A561" s="573" t="str">
        <f>FIXED('Balance N'!A561,0,1)</f>
        <v>0</v>
      </c>
      <c r="B561" s="572">
        <f>+'Balance N'!B561</f>
        <v>0</v>
      </c>
      <c r="C561" s="679" t="e">
        <f>ROUND('Balance N'!#REF!,2)</f>
        <v>#REF!</v>
      </c>
      <c r="D561" s="679" t="e">
        <f>ROUND('Balance N'!#REF!,2)</f>
        <v>#REF!</v>
      </c>
      <c r="E561" s="679">
        <f>ROUND('Balance N'!C561,2)</f>
        <v>0</v>
      </c>
      <c r="F561" s="679">
        <f>ROUND('Balance N'!D561,2)</f>
        <v>0</v>
      </c>
      <c r="G561" s="679">
        <f>ROUND('Balance N'!E561,2)</f>
        <v>0</v>
      </c>
      <c r="H561" s="679">
        <f>ROUND('Balance N'!F561,2)</f>
        <v>0</v>
      </c>
      <c r="I561" s="2" t="str">
        <f t="shared" si="11"/>
        <v>0</v>
      </c>
    </row>
    <row r="562" spans="1:9" x14ac:dyDescent="0.2">
      <c r="A562" s="573" t="str">
        <f>FIXED('Balance N'!A562,0,1)</f>
        <v>0</v>
      </c>
      <c r="B562" s="572">
        <f>+'Balance N'!B562</f>
        <v>0</v>
      </c>
      <c r="C562" s="679" t="e">
        <f>ROUND('Balance N'!#REF!,2)</f>
        <v>#REF!</v>
      </c>
      <c r="D562" s="679" t="e">
        <f>ROUND('Balance N'!#REF!,2)</f>
        <v>#REF!</v>
      </c>
      <c r="E562" s="679">
        <f>ROUND('Balance N'!C562,2)</f>
        <v>0</v>
      </c>
      <c r="F562" s="679">
        <f>ROUND('Balance N'!D562,2)</f>
        <v>0</v>
      </c>
      <c r="G562" s="679">
        <f>ROUND('Balance N'!E562,2)</f>
        <v>0</v>
      </c>
      <c r="H562" s="679">
        <f>ROUND('Balance N'!F562,2)</f>
        <v>0</v>
      </c>
      <c r="I562" s="2" t="str">
        <f t="shared" si="11"/>
        <v>0</v>
      </c>
    </row>
    <row r="563" spans="1:9" x14ac:dyDescent="0.2">
      <c r="A563" s="573" t="str">
        <f>FIXED('Balance N'!A563,0,1)</f>
        <v>0</v>
      </c>
      <c r="B563" s="572">
        <f>+'Balance N'!B563</f>
        <v>0</v>
      </c>
      <c r="C563" s="679" t="e">
        <f>ROUND('Balance N'!#REF!,2)</f>
        <v>#REF!</v>
      </c>
      <c r="D563" s="679" t="e">
        <f>ROUND('Balance N'!#REF!,2)</f>
        <v>#REF!</v>
      </c>
      <c r="E563" s="679">
        <f>ROUND('Balance N'!C563,2)</f>
        <v>0</v>
      </c>
      <c r="F563" s="679">
        <f>ROUND('Balance N'!D563,2)</f>
        <v>0</v>
      </c>
      <c r="G563" s="679">
        <f>ROUND('Balance N'!E563,2)</f>
        <v>0</v>
      </c>
      <c r="H563" s="679">
        <f>ROUND('Balance N'!F563,2)</f>
        <v>0</v>
      </c>
      <c r="I563" s="2" t="str">
        <f t="shared" si="11"/>
        <v>0</v>
      </c>
    </row>
    <row r="564" spans="1:9" x14ac:dyDescent="0.2">
      <c r="A564" s="573" t="str">
        <f>FIXED('Balance N'!A564,0,1)</f>
        <v>0</v>
      </c>
      <c r="B564" s="572">
        <f>+'Balance N'!B564</f>
        <v>0</v>
      </c>
      <c r="C564" s="679" t="e">
        <f>ROUND('Balance N'!#REF!,2)</f>
        <v>#REF!</v>
      </c>
      <c r="D564" s="679" t="e">
        <f>ROUND('Balance N'!#REF!,2)</f>
        <v>#REF!</v>
      </c>
      <c r="E564" s="679">
        <f>ROUND('Balance N'!C564,2)</f>
        <v>0</v>
      </c>
      <c r="F564" s="679">
        <f>ROUND('Balance N'!D564,2)</f>
        <v>0</v>
      </c>
      <c r="G564" s="679">
        <f>ROUND('Balance N'!E564,2)</f>
        <v>0</v>
      </c>
      <c r="H564" s="679">
        <f>ROUND('Balance N'!F564,2)</f>
        <v>0</v>
      </c>
      <c r="I564" s="2" t="str">
        <f t="shared" si="11"/>
        <v>0</v>
      </c>
    </row>
    <row r="565" spans="1:9" x14ac:dyDescent="0.2">
      <c r="A565" s="573" t="str">
        <f>FIXED('Balance N'!A565,0,1)</f>
        <v>0</v>
      </c>
      <c r="B565" s="572">
        <f>+'Balance N'!B565</f>
        <v>0</v>
      </c>
      <c r="C565" s="679" t="e">
        <f>ROUND('Balance N'!#REF!,2)</f>
        <v>#REF!</v>
      </c>
      <c r="D565" s="679" t="e">
        <f>ROUND('Balance N'!#REF!,2)</f>
        <v>#REF!</v>
      </c>
      <c r="E565" s="679">
        <f>ROUND('Balance N'!C565,2)</f>
        <v>0</v>
      </c>
      <c r="F565" s="679">
        <f>ROUND('Balance N'!D565,2)</f>
        <v>0</v>
      </c>
      <c r="G565" s="679">
        <f>ROUND('Balance N'!E565,2)</f>
        <v>0</v>
      </c>
      <c r="H565" s="679">
        <f>ROUND('Balance N'!F565,2)</f>
        <v>0</v>
      </c>
      <c r="I565" s="2" t="str">
        <f t="shared" si="11"/>
        <v>0</v>
      </c>
    </row>
    <row r="566" spans="1:9" x14ac:dyDescent="0.2">
      <c r="A566" s="573" t="str">
        <f>FIXED('Balance N'!A566,0,1)</f>
        <v>0</v>
      </c>
      <c r="B566" s="572">
        <f>+'Balance N'!B566</f>
        <v>0</v>
      </c>
      <c r="C566" s="679" t="e">
        <f>ROUND('Balance N'!#REF!,2)</f>
        <v>#REF!</v>
      </c>
      <c r="D566" s="679" t="e">
        <f>ROUND('Balance N'!#REF!,2)</f>
        <v>#REF!</v>
      </c>
      <c r="E566" s="679">
        <f>ROUND('Balance N'!C566,2)</f>
        <v>0</v>
      </c>
      <c r="F566" s="679">
        <f>ROUND('Balance N'!D566,2)</f>
        <v>0</v>
      </c>
      <c r="G566" s="679">
        <f>ROUND('Balance N'!E566,2)</f>
        <v>0</v>
      </c>
      <c r="H566" s="679">
        <f>ROUND('Balance N'!F566,2)</f>
        <v>0</v>
      </c>
      <c r="I566" s="2" t="str">
        <f t="shared" si="11"/>
        <v>0</v>
      </c>
    </row>
    <row r="567" spans="1:9" x14ac:dyDescent="0.2">
      <c r="A567" s="573" t="str">
        <f>FIXED('Balance N'!A567,0,1)</f>
        <v>0</v>
      </c>
      <c r="B567" s="572">
        <f>+'Balance N'!B567</f>
        <v>0</v>
      </c>
      <c r="C567" s="679" t="e">
        <f>ROUND('Balance N'!#REF!,2)</f>
        <v>#REF!</v>
      </c>
      <c r="D567" s="679" t="e">
        <f>ROUND('Balance N'!#REF!,2)</f>
        <v>#REF!</v>
      </c>
      <c r="E567" s="679">
        <f>ROUND('Balance N'!C567,2)</f>
        <v>0</v>
      </c>
      <c r="F567" s="679">
        <f>ROUND('Balance N'!D567,2)</f>
        <v>0</v>
      </c>
      <c r="G567" s="679">
        <f>ROUND('Balance N'!E567,2)</f>
        <v>0</v>
      </c>
      <c r="H567" s="679">
        <f>ROUND('Balance N'!F567,2)</f>
        <v>0</v>
      </c>
      <c r="I567" s="2" t="str">
        <f t="shared" si="11"/>
        <v>0</v>
      </c>
    </row>
    <row r="568" spans="1:9" x14ac:dyDescent="0.2">
      <c r="A568" s="573" t="str">
        <f>FIXED('Balance N'!A568,0,1)</f>
        <v>0</v>
      </c>
      <c r="B568" s="572">
        <f>+'Balance N'!B568</f>
        <v>0</v>
      </c>
      <c r="C568" s="679" t="e">
        <f>ROUND('Balance N'!#REF!,2)</f>
        <v>#REF!</v>
      </c>
      <c r="D568" s="679" t="e">
        <f>ROUND('Balance N'!#REF!,2)</f>
        <v>#REF!</v>
      </c>
      <c r="E568" s="679">
        <f>ROUND('Balance N'!C568,2)</f>
        <v>0</v>
      </c>
      <c r="F568" s="679">
        <f>ROUND('Balance N'!D568,2)</f>
        <v>0</v>
      </c>
      <c r="G568" s="679">
        <f>ROUND('Balance N'!E568,2)</f>
        <v>0</v>
      </c>
      <c r="H568" s="679">
        <f>ROUND('Balance N'!F568,2)</f>
        <v>0</v>
      </c>
      <c r="I568" s="2" t="str">
        <f t="shared" si="11"/>
        <v>0</v>
      </c>
    </row>
    <row r="569" spans="1:9" x14ac:dyDescent="0.2">
      <c r="A569" s="573" t="str">
        <f>FIXED('Balance N'!A569,0,1)</f>
        <v>0</v>
      </c>
      <c r="B569" s="572">
        <f>+'Balance N'!B569</f>
        <v>0</v>
      </c>
      <c r="C569" s="679" t="e">
        <f>ROUND('Balance N'!#REF!,2)</f>
        <v>#REF!</v>
      </c>
      <c r="D569" s="679" t="e">
        <f>ROUND('Balance N'!#REF!,2)</f>
        <v>#REF!</v>
      </c>
      <c r="E569" s="679">
        <f>ROUND('Balance N'!C569,2)</f>
        <v>0</v>
      </c>
      <c r="F569" s="679">
        <f>ROUND('Balance N'!D569,2)</f>
        <v>0</v>
      </c>
      <c r="G569" s="679">
        <f>ROUND('Balance N'!E569,2)</f>
        <v>0</v>
      </c>
      <c r="H569" s="679">
        <f>ROUND('Balance N'!F569,2)</f>
        <v>0</v>
      </c>
      <c r="I569" s="2" t="str">
        <f t="shared" si="11"/>
        <v>0</v>
      </c>
    </row>
    <row r="570" spans="1:9" x14ac:dyDescent="0.2">
      <c r="A570" s="573" t="str">
        <f>FIXED('Balance N'!A570,0,1)</f>
        <v>0</v>
      </c>
      <c r="B570" s="572">
        <f>+'Balance N'!B570</f>
        <v>0</v>
      </c>
      <c r="C570" s="679" t="e">
        <f>ROUND('Balance N'!#REF!,2)</f>
        <v>#REF!</v>
      </c>
      <c r="D570" s="679" t="e">
        <f>ROUND('Balance N'!#REF!,2)</f>
        <v>#REF!</v>
      </c>
      <c r="E570" s="679">
        <f>ROUND('Balance N'!C570,2)</f>
        <v>0</v>
      </c>
      <c r="F570" s="679">
        <f>ROUND('Balance N'!D570,2)</f>
        <v>0</v>
      </c>
      <c r="G570" s="679">
        <f>ROUND('Balance N'!E570,2)</f>
        <v>0</v>
      </c>
      <c r="H570" s="679">
        <f>ROUND('Balance N'!F570,2)</f>
        <v>0</v>
      </c>
      <c r="I570" s="2" t="str">
        <f t="shared" si="11"/>
        <v>0</v>
      </c>
    </row>
    <row r="571" spans="1:9" x14ac:dyDescent="0.2">
      <c r="A571" s="573" t="str">
        <f>FIXED('Balance N'!A571,0,1)</f>
        <v>0</v>
      </c>
      <c r="B571" s="572">
        <f>+'Balance N'!B571</f>
        <v>0</v>
      </c>
      <c r="C571" s="679" t="e">
        <f>ROUND('Balance N'!#REF!,2)</f>
        <v>#REF!</v>
      </c>
      <c r="D571" s="679" t="e">
        <f>ROUND('Balance N'!#REF!,2)</f>
        <v>#REF!</v>
      </c>
      <c r="E571" s="679">
        <f>ROUND('Balance N'!C571,2)</f>
        <v>0</v>
      </c>
      <c r="F571" s="679">
        <f>ROUND('Balance N'!D571,2)</f>
        <v>0</v>
      </c>
      <c r="G571" s="679">
        <f>ROUND('Balance N'!E571,2)</f>
        <v>0</v>
      </c>
      <c r="H571" s="679">
        <f>ROUND('Balance N'!F571,2)</f>
        <v>0</v>
      </c>
      <c r="I571" s="2" t="str">
        <f t="shared" si="11"/>
        <v>0</v>
      </c>
    </row>
    <row r="572" spans="1:9" x14ac:dyDescent="0.2">
      <c r="A572" s="573" t="str">
        <f>FIXED('Balance N'!A572,0,1)</f>
        <v>0</v>
      </c>
      <c r="B572" s="572">
        <f>+'Balance N'!B572</f>
        <v>0</v>
      </c>
      <c r="C572" s="679" t="e">
        <f>ROUND('Balance N'!#REF!,2)</f>
        <v>#REF!</v>
      </c>
      <c r="D572" s="679" t="e">
        <f>ROUND('Balance N'!#REF!,2)</f>
        <v>#REF!</v>
      </c>
      <c r="E572" s="679">
        <f>ROUND('Balance N'!C572,2)</f>
        <v>0</v>
      </c>
      <c r="F572" s="679">
        <f>ROUND('Balance N'!D572,2)</f>
        <v>0</v>
      </c>
      <c r="G572" s="679">
        <f>ROUND('Balance N'!E572,2)</f>
        <v>0</v>
      </c>
      <c r="H572" s="679">
        <f>ROUND('Balance N'!F572,2)</f>
        <v>0</v>
      </c>
      <c r="I572" s="2" t="str">
        <f t="shared" si="11"/>
        <v>0</v>
      </c>
    </row>
    <row r="573" spans="1:9" x14ac:dyDescent="0.2">
      <c r="A573" s="573" t="str">
        <f>FIXED('Balance N'!A573,0,1)</f>
        <v>0</v>
      </c>
      <c r="B573" s="572">
        <f>+'Balance N'!B573</f>
        <v>0</v>
      </c>
      <c r="C573" s="679" t="e">
        <f>ROUND('Balance N'!#REF!,2)</f>
        <v>#REF!</v>
      </c>
      <c r="D573" s="679" t="e">
        <f>ROUND('Balance N'!#REF!,2)</f>
        <v>#REF!</v>
      </c>
      <c r="E573" s="679">
        <f>ROUND('Balance N'!C573,2)</f>
        <v>0</v>
      </c>
      <c r="F573" s="679">
        <f>ROUND('Balance N'!D573,2)</f>
        <v>0</v>
      </c>
      <c r="G573" s="679">
        <f>ROUND('Balance N'!E573,2)</f>
        <v>0</v>
      </c>
      <c r="H573" s="679">
        <f>ROUND('Balance N'!F573,2)</f>
        <v>0</v>
      </c>
      <c r="I573" s="2" t="str">
        <f t="shared" si="11"/>
        <v>0</v>
      </c>
    </row>
    <row r="574" spans="1:9" x14ac:dyDescent="0.2">
      <c r="A574" s="573" t="str">
        <f>FIXED('Balance N'!A574,0,1)</f>
        <v>0</v>
      </c>
      <c r="B574" s="572">
        <f>+'Balance N'!B574</f>
        <v>0</v>
      </c>
      <c r="C574" s="679" t="e">
        <f>ROUND('Balance N'!#REF!,2)</f>
        <v>#REF!</v>
      </c>
      <c r="D574" s="679" t="e">
        <f>ROUND('Balance N'!#REF!,2)</f>
        <v>#REF!</v>
      </c>
      <c r="E574" s="679">
        <f>ROUND('Balance N'!C574,2)</f>
        <v>0</v>
      </c>
      <c r="F574" s="679">
        <f>ROUND('Balance N'!D574,2)</f>
        <v>0</v>
      </c>
      <c r="G574" s="679">
        <f>ROUND('Balance N'!E574,2)</f>
        <v>0</v>
      </c>
      <c r="H574" s="679">
        <f>ROUND('Balance N'!F574,2)</f>
        <v>0</v>
      </c>
      <c r="I574" s="2" t="str">
        <f t="shared" si="11"/>
        <v>0</v>
      </c>
    </row>
    <row r="575" spans="1:9" x14ac:dyDescent="0.2">
      <c r="A575" s="573" t="str">
        <f>FIXED('Balance N'!A575,0,1)</f>
        <v>0</v>
      </c>
      <c r="B575" s="572">
        <f>+'Balance N'!B575</f>
        <v>0</v>
      </c>
      <c r="C575" s="679" t="e">
        <f>ROUND('Balance N'!#REF!,2)</f>
        <v>#REF!</v>
      </c>
      <c r="D575" s="679" t="e">
        <f>ROUND('Balance N'!#REF!,2)</f>
        <v>#REF!</v>
      </c>
      <c r="E575" s="679">
        <f>ROUND('Balance N'!C575,2)</f>
        <v>0</v>
      </c>
      <c r="F575" s="679">
        <f>ROUND('Balance N'!D575,2)</f>
        <v>0</v>
      </c>
      <c r="G575" s="679">
        <f>ROUND('Balance N'!E575,2)</f>
        <v>0</v>
      </c>
      <c r="H575" s="679">
        <f>ROUND('Balance N'!F575,2)</f>
        <v>0</v>
      </c>
      <c r="I575" s="2" t="str">
        <f t="shared" si="11"/>
        <v>0</v>
      </c>
    </row>
    <row r="576" spans="1:9" x14ac:dyDescent="0.2">
      <c r="A576" s="573" t="str">
        <f>FIXED('Balance N'!A576,0,1)</f>
        <v>0</v>
      </c>
      <c r="B576" s="572">
        <f>+'Balance N'!B576</f>
        <v>0</v>
      </c>
      <c r="C576" s="679" t="e">
        <f>ROUND('Balance N'!#REF!,2)</f>
        <v>#REF!</v>
      </c>
      <c r="D576" s="679" t="e">
        <f>ROUND('Balance N'!#REF!,2)</f>
        <v>#REF!</v>
      </c>
      <c r="E576" s="679">
        <f>ROUND('Balance N'!C576,2)</f>
        <v>0</v>
      </c>
      <c r="F576" s="679">
        <f>ROUND('Balance N'!D576,2)</f>
        <v>0</v>
      </c>
      <c r="G576" s="679">
        <f>ROUND('Balance N'!E576,2)</f>
        <v>0</v>
      </c>
      <c r="H576" s="679">
        <f>ROUND('Balance N'!F576,2)</f>
        <v>0</v>
      </c>
      <c r="I576" s="2" t="str">
        <f t="shared" si="11"/>
        <v>0</v>
      </c>
    </row>
    <row r="577" spans="1:9" x14ac:dyDescent="0.2">
      <c r="A577" s="573" t="str">
        <f>FIXED('Balance N'!A577,0,1)</f>
        <v>0</v>
      </c>
      <c r="B577" s="572">
        <f>+'Balance N'!B577</f>
        <v>0</v>
      </c>
      <c r="C577" s="679" t="e">
        <f>ROUND('Balance N'!#REF!,2)</f>
        <v>#REF!</v>
      </c>
      <c r="D577" s="679" t="e">
        <f>ROUND('Balance N'!#REF!,2)</f>
        <v>#REF!</v>
      </c>
      <c r="E577" s="679">
        <f>ROUND('Balance N'!C577,2)</f>
        <v>0</v>
      </c>
      <c r="F577" s="679">
        <f>ROUND('Balance N'!D577,2)</f>
        <v>0</v>
      </c>
      <c r="G577" s="679">
        <f>ROUND('Balance N'!E577,2)</f>
        <v>0</v>
      </c>
      <c r="H577" s="679">
        <f>ROUND('Balance N'!F577,2)</f>
        <v>0</v>
      </c>
      <c r="I577" s="2" t="str">
        <f t="shared" si="11"/>
        <v>0</v>
      </c>
    </row>
    <row r="578" spans="1:9" x14ac:dyDescent="0.2">
      <c r="A578" s="573" t="str">
        <f>FIXED('Balance N'!A578,0,1)</f>
        <v>0</v>
      </c>
      <c r="B578" s="572">
        <f>+'Balance N'!B578</f>
        <v>0</v>
      </c>
      <c r="C578" s="679" t="e">
        <f>ROUND('Balance N'!#REF!,2)</f>
        <v>#REF!</v>
      </c>
      <c r="D578" s="679" t="e">
        <f>ROUND('Balance N'!#REF!,2)</f>
        <v>#REF!</v>
      </c>
      <c r="E578" s="679">
        <f>ROUND('Balance N'!C578,2)</f>
        <v>0</v>
      </c>
      <c r="F578" s="679">
        <f>ROUND('Balance N'!D578,2)</f>
        <v>0</v>
      </c>
      <c r="G578" s="679">
        <f>ROUND('Balance N'!E578,2)</f>
        <v>0</v>
      </c>
      <c r="H578" s="679">
        <f>ROUND('Balance N'!F578,2)</f>
        <v>0</v>
      </c>
      <c r="I578" s="2" t="str">
        <f t="shared" ref="I578:I599" si="12">MID(A578,1,1)</f>
        <v>0</v>
      </c>
    </row>
    <row r="579" spans="1:9" x14ac:dyDescent="0.2">
      <c r="A579" s="573" t="str">
        <f>FIXED('Balance N'!A579,0,1)</f>
        <v>0</v>
      </c>
      <c r="B579" s="572">
        <f>+'Balance N'!B579</f>
        <v>0</v>
      </c>
      <c r="C579" s="679" t="e">
        <f>ROUND('Balance N'!#REF!,2)</f>
        <v>#REF!</v>
      </c>
      <c r="D579" s="679" t="e">
        <f>ROUND('Balance N'!#REF!,2)</f>
        <v>#REF!</v>
      </c>
      <c r="E579" s="679">
        <f>ROUND('Balance N'!C579,2)</f>
        <v>0</v>
      </c>
      <c r="F579" s="679">
        <f>ROUND('Balance N'!D579,2)</f>
        <v>0</v>
      </c>
      <c r="G579" s="679">
        <f>ROUND('Balance N'!E579,2)</f>
        <v>0</v>
      </c>
      <c r="H579" s="679">
        <f>ROUND('Balance N'!F579,2)</f>
        <v>0</v>
      </c>
      <c r="I579" s="2" t="str">
        <f t="shared" si="12"/>
        <v>0</v>
      </c>
    </row>
    <row r="580" spans="1:9" x14ac:dyDescent="0.2">
      <c r="A580" s="573" t="str">
        <f>FIXED('Balance N'!A580,0,1)</f>
        <v>0</v>
      </c>
      <c r="B580" s="572">
        <f>+'Balance N'!B580</f>
        <v>0</v>
      </c>
      <c r="C580" s="679" t="e">
        <f>ROUND('Balance N'!#REF!,2)</f>
        <v>#REF!</v>
      </c>
      <c r="D580" s="679" t="e">
        <f>ROUND('Balance N'!#REF!,2)</f>
        <v>#REF!</v>
      </c>
      <c r="E580" s="679">
        <f>ROUND('Balance N'!C580,2)</f>
        <v>0</v>
      </c>
      <c r="F580" s="679">
        <f>ROUND('Balance N'!D580,2)</f>
        <v>0</v>
      </c>
      <c r="G580" s="679">
        <f>ROUND('Balance N'!E580,2)</f>
        <v>0</v>
      </c>
      <c r="H580" s="679">
        <f>ROUND('Balance N'!F580,2)</f>
        <v>0</v>
      </c>
      <c r="I580" s="2" t="str">
        <f t="shared" si="12"/>
        <v>0</v>
      </c>
    </row>
    <row r="581" spans="1:9" x14ac:dyDescent="0.2">
      <c r="A581" s="573" t="str">
        <f>FIXED('Balance N'!A581,0,1)</f>
        <v>0</v>
      </c>
      <c r="B581" s="572">
        <f>+'Balance N'!B581</f>
        <v>0</v>
      </c>
      <c r="C581" s="679" t="e">
        <f>ROUND('Balance N'!#REF!,2)</f>
        <v>#REF!</v>
      </c>
      <c r="D581" s="679" t="e">
        <f>ROUND('Balance N'!#REF!,2)</f>
        <v>#REF!</v>
      </c>
      <c r="E581" s="679">
        <f>ROUND('Balance N'!C581,2)</f>
        <v>0</v>
      </c>
      <c r="F581" s="679">
        <f>ROUND('Balance N'!D581,2)</f>
        <v>0</v>
      </c>
      <c r="G581" s="679">
        <f>ROUND('Balance N'!E581,2)</f>
        <v>0</v>
      </c>
      <c r="H581" s="679">
        <f>ROUND('Balance N'!F581,2)</f>
        <v>0</v>
      </c>
      <c r="I581" s="2" t="str">
        <f t="shared" si="12"/>
        <v>0</v>
      </c>
    </row>
    <row r="582" spans="1:9" x14ac:dyDescent="0.2">
      <c r="A582" s="573" t="str">
        <f>FIXED('Balance N'!A582,0,1)</f>
        <v>0</v>
      </c>
      <c r="B582" s="572">
        <f>+'Balance N'!B582</f>
        <v>0</v>
      </c>
      <c r="C582" s="679" t="e">
        <f>ROUND('Balance N'!#REF!,2)</f>
        <v>#REF!</v>
      </c>
      <c r="D582" s="679" t="e">
        <f>ROUND('Balance N'!#REF!,2)</f>
        <v>#REF!</v>
      </c>
      <c r="E582" s="679">
        <f>ROUND('Balance N'!C582,2)</f>
        <v>0</v>
      </c>
      <c r="F582" s="679">
        <f>ROUND('Balance N'!D582,2)</f>
        <v>0</v>
      </c>
      <c r="G582" s="679">
        <f>ROUND('Balance N'!E582,2)</f>
        <v>0</v>
      </c>
      <c r="H582" s="679">
        <f>ROUND('Balance N'!F582,2)</f>
        <v>0</v>
      </c>
      <c r="I582" s="2" t="str">
        <f t="shared" si="12"/>
        <v>0</v>
      </c>
    </row>
    <row r="583" spans="1:9" x14ac:dyDescent="0.2">
      <c r="A583" s="573" t="str">
        <f>FIXED('Balance N'!A583,0,1)</f>
        <v>0</v>
      </c>
      <c r="B583" s="572">
        <f>+'Balance N'!B583</f>
        <v>0</v>
      </c>
      <c r="C583" s="679" t="e">
        <f>ROUND('Balance N'!#REF!,2)</f>
        <v>#REF!</v>
      </c>
      <c r="D583" s="679" t="e">
        <f>ROUND('Balance N'!#REF!,2)</f>
        <v>#REF!</v>
      </c>
      <c r="E583" s="679">
        <f>ROUND('Balance N'!C583,2)</f>
        <v>0</v>
      </c>
      <c r="F583" s="679">
        <f>ROUND('Balance N'!D583,2)</f>
        <v>0</v>
      </c>
      <c r="G583" s="679">
        <f>ROUND('Balance N'!E583,2)</f>
        <v>0</v>
      </c>
      <c r="H583" s="679">
        <f>ROUND('Balance N'!F583,2)</f>
        <v>0</v>
      </c>
      <c r="I583" s="2" t="str">
        <f t="shared" si="12"/>
        <v>0</v>
      </c>
    </row>
    <row r="584" spans="1:9" x14ac:dyDescent="0.2">
      <c r="A584" s="573" t="str">
        <f>FIXED('Balance N'!A584,0,1)</f>
        <v>0</v>
      </c>
      <c r="B584" s="572">
        <f>+'Balance N'!B584</f>
        <v>0</v>
      </c>
      <c r="C584" s="679" t="e">
        <f>ROUND('Balance N'!#REF!,2)</f>
        <v>#REF!</v>
      </c>
      <c r="D584" s="679" t="e">
        <f>ROUND('Balance N'!#REF!,2)</f>
        <v>#REF!</v>
      </c>
      <c r="E584" s="679">
        <f>ROUND('Balance N'!C584,2)</f>
        <v>0</v>
      </c>
      <c r="F584" s="679">
        <f>ROUND('Balance N'!D584,2)</f>
        <v>0</v>
      </c>
      <c r="G584" s="679">
        <f>ROUND('Balance N'!E584,2)</f>
        <v>0</v>
      </c>
      <c r="H584" s="679">
        <f>ROUND('Balance N'!F584,2)</f>
        <v>0</v>
      </c>
      <c r="I584" s="2" t="str">
        <f t="shared" si="12"/>
        <v>0</v>
      </c>
    </row>
    <row r="585" spans="1:9" x14ac:dyDescent="0.2">
      <c r="A585" s="573" t="str">
        <f>FIXED('Balance N'!A585,0,1)</f>
        <v>0</v>
      </c>
      <c r="B585" s="572">
        <f>+'Balance N'!B585</f>
        <v>0</v>
      </c>
      <c r="C585" s="679" t="e">
        <f>ROUND('Balance N'!#REF!,2)</f>
        <v>#REF!</v>
      </c>
      <c r="D585" s="679" t="e">
        <f>ROUND('Balance N'!#REF!,2)</f>
        <v>#REF!</v>
      </c>
      <c r="E585" s="679">
        <f>ROUND('Balance N'!C585,2)</f>
        <v>0</v>
      </c>
      <c r="F585" s="679">
        <f>ROUND('Balance N'!D585,2)</f>
        <v>0</v>
      </c>
      <c r="G585" s="679">
        <f>ROUND('Balance N'!E585,2)</f>
        <v>0</v>
      </c>
      <c r="H585" s="679">
        <f>ROUND('Balance N'!F585,2)</f>
        <v>0</v>
      </c>
      <c r="I585" s="2" t="str">
        <f t="shared" si="12"/>
        <v>0</v>
      </c>
    </row>
    <row r="586" spans="1:9" x14ac:dyDescent="0.2">
      <c r="A586" s="573" t="str">
        <f>FIXED('Balance N'!A586,0,1)</f>
        <v>0</v>
      </c>
      <c r="B586" s="572">
        <f>+'Balance N'!B586</f>
        <v>0</v>
      </c>
      <c r="C586" s="679" t="e">
        <f>ROUND('Balance N'!#REF!,2)</f>
        <v>#REF!</v>
      </c>
      <c r="D586" s="679" t="e">
        <f>ROUND('Balance N'!#REF!,2)</f>
        <v>#REF!</v>
      </c>
      <c r="E586" s="679">
        <f>ROUND('Balance N'!C586,2)</f>
        <v>0</v>
      </c>
      <c r="F586" s="679">
        <f>ROUND('Balance N'!D586,2)</f>
        <v>0</v>
      </c>
      <c r="G586" s="679">
        <f>ROUND('Balance N'!E586,2)</f>
        <v>0</v>
      </c>
      <c r="H586" s="679">
        <f>ROUND('Balance N'!F586,2)</f>
        <v>0</v>
      </c>
      <c r="I586" s="2" t="str">
        <f t="shared" si="12"/>
        <v>0</v>
      </c>
    </row>
    <row r="587" spans="1:9" x14ac:dyDescent="0.2">
      <c r="A587" s="573" t="str">
        <f>FIXED('Balance N'!A587,0,1)</f>
        <v>0</v>
      </c>
      <c r="B587" s="572">
        <f>+'Balance N'!B587</f>
        <v>0</v>
      </c>
      <c r="C587" s="679" t="e">
        <f>ROUND('Balance N'!#REF!,2)</f>
        <v>#REF!</v>
      </c>
      <c r="D587" s="679" t="e">
        <f>ROUND('Balance N'!#REF!,2)</f>
        <v>#REF!</v>
      </c>
      <c r="E587" s="679">
        <f>ROUND('Balance N'!C587,2)</f>
        <v>0</v>
      </c>
      <c r="F587" s="679">
        <f>ROUND('Balance N'!D587,2)</f>
        <v>0</v>
      </c>
      <c r="G587" s="679">
        <f>ROUND('Balance N'!E587,2)</f>
        <v>0</v>
      </c>
      <c r="H587" s="679">
        <f>ROUND('Balance N'!F587,2)</f>
        <v>0</v>
      </c>
      <c r="I587" s="2" t="str">
        <f t="shared" si="12"/>
        <v>0</v>
      </c>
    </row>
    <row r="588" spans="1:9" x14ac:dyDescent="0.2">
      <c r="A588" s="573" t="str">
        <f>FIXED('Balance N'!A588,0,1)</f>
        <v>0</v>
      </c>
      <c r="B588" s="572">
        <f>+'Balance N'!B588</f>
        <v>0</v>
      </c>
      <c r="C588" s="679" t="e">
        <f>ROUND('Balance N'!#REF!,2)</f>
        <v>#REF!</v>
      </c>
      <c r="D588" s="679" t="e">
        <f>ROUND('Balance N'!#REF!,2)</f>
        <v>#REF!</v>
      </c>
      <c r="E588" s="679">
        <f>ROUND('Balance N'!C588,2)</f>
        <v>0</v>
      </c>
      <c r="F588" s="679">
        <f>ROUND('Balance N'!D588,2)</f>
        <v>0</v>
      </c>
      <c r="G588" s="679">
        <f>ROUND('Balance N'!E588,2)</f>
        <v>0</v>
      </c>
      <c r="H588" s="679">
        <f>ROUND('Balance N'!F588,2)</f>
        <v>0</v>
      </c>
      <c r="I588" s="2" t="str">
        <f t="shared" si="12"/>
        <v>0</v>
      </c>
    </row>
    <row r="589" spans="1:9" x14ac:dyDescent="0.2">
      <c r="A589" s="573" t="str">
        <f>FIXED('Balance N'!A589,0,1)</f>
        <v>0</v>
      </c>
      <c r="B589" s="572">
        <f>+'Balance N'!B589</f>
        <v>0</v>
      </c>
      <c r="C589" s="679" t="e">
        <f>ROUND('Balance N'!#REF!,2)</f>
        <v>#REF!</v>
      </c>
      <c r="D589" s="679" t="e">
        <f>ROUND('Balance N'!#REF!,2)</f>
        <v>#REF!</v>
      </c>
      <c r="E589" s="679">
        <f>ROUND('Balance N'!C589,2)</f>
        <v>0</v>
      </c>
      <c r="F589" s="679">
        <f>ROUND('Balance N'!D589,2)</f>
        <v>0</v>
      </c>
      <c r="G589" s="679">
        <f>ROUND('Balance N'!E589,2)</f>
        <v>0</v>
      </c>
      <c r="H589" s="679">
        <f>ROUND('Balance N'!F589,2)</f>
        <v>0</v>
      </c>
      <c r="I589" s="2" t="str">
        <f t="shared" si="12"/>
        <v>0</v>
      </c>
    </row>
    <row r="590" spans="1:9" x14ac:dyDescent="0.2">
      <c r="A590" s="573" t="str">
        <f>FIXED('Balance N'!A590,0,1)</f>
        <v>0</v>
      </c>
      <c r="B590" s="572">
        <f>+'Balance N'!B590</f>
        <v>0</v>
      </c>
      <c r="C590" s="679" t="e">
        <f>ROUND('Balance N'!#REF!,2)</f>
        <v>#REF!</v>
      </c>
      <c r="D590" s="679" t="e">
        <f>ROUND('Balance N'!#REF!,2)</f>
        <v>#REF!</v>
      </c>
      <c r="E590" s="679">
        <f>ROUND('Balance N'!C590,2)</f>
        <v>0</v>
      </c>
      <c r="F590" s="679">
        <f>ROUND('Balance N'!D590,2)</f>
        <v>0</v>
      </c>
      <c r="G590" s="679">
        <f>ROUND('Balance N'!E590,2)</f>
        <v>0</v>
      </c>
      <c r="H590" s="679">
        <f>ROUND('Balance N'!F590,2)</f>
        <v>0</v>
      </c>
      <c r="I590" s="2" t="str">
        <f t="shared" si="12"/>
        <v>0</v>
      </c>
    </row>
    <row r="591" spans="1:9" x14ac:dyDescent="0.2">
      <c r="A591" s="573" t="str">
        <f>FIXED('Balance N'!A591,0,1)</f>
        <v>0</v>
      </c>
      <c r="B591" s="572">
        <f>+'Balance N'!B591</f>
        <v>0</v>
      </c>
      <c r="C591" s="679" t="e">
        <f>ROUND('Balance N'!#REF!,2)</f>
        <v>#REF!</v>
      </c>
      <c r="D591" s="679" t="e">
        <f>ROUND('Balance N'!#REF!,2)</f>
        <v>#REF!</v>
      </c>
      <c r="E591" s="679">
        <f>ROUND('Balance N'!C591,2)</f>
        <v>0</v>
      </c>
      <c r="F591" s="679">
        <f>ROUND('Balance N'!D591,2)</f>
        <v>0</v>
      </c>
      <c r="G591" s="679">
        <f>ROUND('Balance N'!E591,2)</f>
        <v>0</v>
      </c>
      <c r="H591" s="679">
        <f>ROUND('Balance N'!F591,2)</f>
        <v>0</v>
      </c>
      <c r="I591" s="2" t="str">
        <f t="shared" si="12"/>
        <v>0</v>
      </c>
    </row>
    <row r="592" spans="1:9" x14ac:dyDescent="0.2">
      <c r="A592" s="573" t="str">
        <f>FIXED('Balance N'!A592,0,1)</f>
        <v>0</v>
      </c>
      <c r="B592" s="572">
        <f>+'Balance N'!B592</f>
        <v>0</v>
      </c>
      <c r="C592" s="679" t="e">
        <f>ROUND('Balance N'!#REF!,2)</f>
        <v>#REF!</v>
      </c>
      <c r="D592" s="679" t="e">
        <f>ROUND('Balance N'!#REF!,2)</f>
        <v>#REF!</v>
      </c>
      <c r="E592" s="679">
        <f>ROUND('Balance N'!C592,2)</f>
        <v>0</v>
      </c>
      <c r="F592" s="679">
        <f>ROUND('Balance N'!D592,2)</f>
        <v>0</v>
      </c>
      <c r="G592" s="679">
        <f>ROUND('Balance N'!E592,2)</f>
        <v>0</v>
      </c>
      <c r="H592" s="679">
        <f>ROUND('Balance N'!F592,2)</f>
        <v>0</v>
      </c>
      <c r="I592" s="2" t="str">
        <f t="shared" si="12"/>
        <v>0</v>
      </c>
    </row>
    <row r="593" spans="1:9" x14ac:dyDescent="0.2">
      <c r="A593" s="573" t="str">
        <f>FIXED('Balance N'!A593,0,1)</f>
        <v>0</v>
      </c>
      <c r="B593" s="572">
        <f>+'Balance N'!B593</f>
        <v>0</v>
      </c>
      <c r="C593" s="679" t="e">
        <f>ROUND('Balance N'!#REF!,2)</f>
        <v>#REF!</v>
      </c>
      <c r="D593" s="679" t="e">
        <f>ROUND('Balance N'!#REF!,2)</f>
        <v>#REF!</v>
      </c>
      <c r="E593" s="679">
        <f>ROUND('Balance N'!C593,2)</f>
        <v>0</v>
      </c>
      <c r="F593" s="679">
        <f>ROUND('Balance N'!D593,2)</f>
        <v>0</v>
      </c>
      <c r="G593" s="679">
        <f>ROUND('Balance N'!E593,2)</f>
        <v>0</v>
      </c>
      <c r="H593" s="679">
        <f>ROUND('Balance N'!F593,2)</f>
        <v>0</v>
      </c>
      <c r="I593" s="2" t="str">
        <f t="shared" si="12"/>
        <v>0</v>
      </c>
    </row>
    <row r="594" spans="1:9" x14ac:dyDescent="0.2">
      <c r="A594" s="573" t="str">
        <f>FIXED('Balance N'!A594,0,1)</f>
        <v>0</v>
      </c>
      <c r="B594" s="572">
        <f>+'Balance N'!B594</f>
        <v>0</v>
      </c>
      <c r="C594" s="679" t="e">
        <f>ROUND('Balance N'!#REF!,2)</f>
        <v>#REF!</v>
      </c>
      <c r="D594" s="679" t="e">
        <f>ROUND('Balance N'!#REF!,2)</f>
        <v>#REF!</v>
      </c>
      <c r="E594" s="679">
        <f>ROUND('Balance N'!C594,2)</f>
        <v>0</v>
      </c>
      <c r="F594" s="679">
        <f>ROUND('Balance N'!D594,2)</f>
        <v>0</v>
      </c>
      <c r="G594" s="679">
        <f>ROUND('Balance N'!E594,2)</f>
        <v>0</v>
      </c>
      <c r="H594" s="679">
        <f>ROUND('Balance N'!F594,2)</f>
        <v>0</v>
      </c>
      <c r="I594" s="2" t="str">
        <f t="shared" si="12"/>
        <v>0</v>
      </c>
    </row>
    <row r="595" spans="1:9" x14ac:dyDescent="0.2">
      <c r="A595" s="573" t="str">
        <f>FIXED('Balance N'!A595,0,1)</f>
        <v>0</v>
      </c>
      <c r="B595" s="572">
        <f>+'Balance N'!B595</f>
        <v>0</v>
      </c>
      <c r="C595" s="679" t="e">
        <f>ROUND('Balance N'!#REF!,2)</f>
        <v>#REF!</v>
      </c>
      <c r="D595" s="679" t="e">
        <f>ROUND('Balance N'!#REF!,2)</f>
        <v>#REF!</v>
      </c>
      <c r="E595" s="679">
        <f>ROUND('Balance N'!C595,2)</f>
        <v>0</v>
      </c>
      <c r="F595" s="679">
        <f>ROUND('Balance N'!D595,2)</f>
        <v>0</v>
      </c>
      <c r="G595" s="679">
        <f>ROUND('Balance N'!E595,2)</f>
        <v>0</v>
      </c>
      <c r="H595" s="679">
        <f>ROUND('Balance N'!F595,2)</f>
        <v>0</v>
      </c>
      <c r="I595" s="2" t="str">
        <f t="shared" si="12"/>
        <v>0</v>
      </c>
    </row>
    <row r="596" spans="1:9" x14ac:dyDescent="0.2">
      <c r="A596" s="573" t="str">
        <f>FIXED('Balance N'!A596,0,1)</f>
        <v>0</v>
      </c>
      <c r="B596" s="572">
        <f>+'Balance N'!B596</f>
        <v>0</v>
      </c>
      <c r="C596" s="679" t="e">
        <f>ROUND('Balance N'!#REF!,2)</f>
        <v>#REF!</v>
      </c>
      <c r="D596" s="679" t="e">
        <f>ROUND('Balance N'!#REF!,2)</f>
        <v>#REF!</v>
      </c>
      <c r="E596" s="679">
        <f>ROUND('Balance N'!C596,2)</f>
        <v>0</v>
      </c>
      <c r="F596" s="679">
        <f>ROUND('Balance N'!D596,2)</f>
        <v>0</v>
      </c>
      <c r="G596" s="679">
        <f>ROUND('Balance N'!E596,2)</f>
        <v>0</v>
      </c>
      <c r="H596" s="679">
        <f>ROUND('Balance N'!F596,2)</f>
        <v>0</v>
      </c>
      <c r="I596" s="2" t="str">
        <f t="shared" si="12"/>
        <v>0</v>
      </c>
    </row>
    <row r="597" spans="1:9" x14ac:dyDescent="0.2">
      <c r="A597" s="573" t="str">
        <f>FIXED('Balance N'!A597,0,1)</f>
        <v>0</v>
      </c>
      <c r="B597" s="572">
        <f>+'Balance N'!B597</f>
        <v>0</v>
      </c>
      <c r="C597" s="679" t="e">
        <f>ROUND('Balance N'!#REF!,2)</f>
        <v>#REF!</v>
      </c>
      <c r="D597" s="679" t="e">
        <f>ROUND('Balance N'!#REF!,2)</f>
        <v>#REF!</v>
      </c>
      <c r="E597" s="679">
        <f>ROUND('Balance N'!C597,2)</f>
        <v>0</v>
      </c>
      <c r="F597" s="679">
        <f>ROUND('Balance N'!D597,2)</f>
        <v>0</v>
      </c>
      <c r="G597" s="679">
        <f>ROUND('Balance N'!E597,2)</f>
        <v>0</v>
      </c>
      <c r="H597" s="679">
        <f>ROUND('Balance N'!F597,2)</f>
        <v>0</v>
      </c>
      <c r="I597" s="2" t="str">
        <f t="shared" si="12"/>
        <v>0</v>
      </c>
    </row>
    <row r="598" spans="1:9" x14ac:dyDescent="0.2">
      <c r="A598" s="573" t="str">
        <f>FIXED('Balance N'!A598,0,1)</f>
        <v>0</v>
      </c>
      <c r="B598" s="572">
        <f>+'Balance N'!B598</f>
        <v>0</v>
      </c>
      <c r="C598" s="679" t="e">
        <f>ROUND('Balance N'!#REF!,2)</f>
        <v>#REF!</v>
      </c>
      <c r="D598" s="679" t="e">
        <f>ROUND('Balance N'!#REF!,2)</f>
        <v>#REF!</v>
      </c>
      <c r="E598" s="679">
        <f>ROUND('Balance N'!C598,2)</f>
        <v>0</v>
      </c>
      <c r="F598" s="679">
        <f>ROUND('Balance N'!D598,2)</f>
        <v>0</v>
      </c>
      <c r="G598" s="679">
        <f>ROUND('Balance N'!E598,2)</f>
        <v>0</v>
      </c>
      <c r="H598" s="679">
        <f>ROUND('Balance N'!F598,2)</f>
        <v>0</v>
      </c>
      <c r="I598" s="2" t="str">
        <f t="shared" si="12"/>
        <v>0</v>
      </c>
    </row>
    <row r="599" spans="1:9" x14ac:dyDescent="0.2">
      <c r="A599" s="573" t="str">
        <f>FIXED('Balance N'!A599,0,1)</f>
        <v>0</v>
      </c>
      <c r="B599" s="572">
        <f>+'Balance N'!B599</f>
        <v>0</v>
      </c>
      <c r="C599" s="679" t="e">
        <f>ROUND('Balance N'!#REF!,2)</f>
        <v>#REF!</v>
      </c>
      <c r="D599" s="679" t="e">
        <f>ROUND('Balance N'!#REF!,2)</f>
        <v>#REF!</v>
      </c>
      <c r="E599" s="679">
        <f>ROUND('Balance N'!C599,2)</f>
        <v>0</v>
      </c>
      <c r="F599" s="679">
        <f>ROUND('Balance N'!D599,2)</f>
        <v>0</v>
      </c>
      <c r="G599" s="679">
        <f>ROUND('Balance N'!E599,2)</f>
        <v>0</v>
      </c>
      <c r="H599" s="679">
        <f>ROUND('Balance N'!F599,2)</f>
        <v>0</v>
      </c>
      <c r="I599" s="2" t="str">
        <f t="shared" si="12"/>
        <v>0</v>
      </c>
    </row>
    <row r="600" spans="1:9" x14ac:dyDescent="0.2">
      <c r="A600" s="573" t="str">
        <f>FIXED('Balance N'!A600,0,1)</f>
        <v>0</v>
      </c>
      <c r="B600" s="572">
        <f>+'Balance N'!B600</f>
        <v>0</v>
      </c>
      <c r="C600" s="679" t="e">
        <f>ROUND('Balance N'!#REF!,2)</f>
        <v>#REF!</v>
      </c>
      <c r="D600" s="679" t="e">
        <f>ROUND('Balance N'!#REF!,2)</f>
        <v>#REF!</v>
      </c>
      <c r="E600" s="679">
        <f>ROUND('Balance N'!C600,2)</f>
        <v>0</v>
      </c>
      <c r="F600" s="679">
        <f>ROUND('Balance N'!D600,2)</f>
        <v>0</v>
      </c>
      <c r="G600" s="679">
        <f>ROUND('Balance N'!E600,2)</f>
        <v>0</v>
      </c>
      <c r="H600" s="679">
        <f>ROUND('Balance N'!F600,2)</f>
        <v>0</v>
      </c>
      <c r="I600" s="2" t="str">
        <f t="shared" ref="I600:I614" si="13">MID(A600,1,1)</f>
        <v>0</v>
      </c>
    </row>
    <row r="601" spans="1:9" x14ac:dyDescent="0.2">
      <c r="A601" s="573" t="str">
        <f>FIXED('Balance N'!A601,0,1)</f>
        <v>0</v>
      </c>
      <c r="B601" s="572">
        <f>+'Balance N'!B601</f>
        <v>0</v>
      </c>
      <c r="C601" s="679" t="e">
        <f>ROUND('Balance N'!#REF!,2)</f>
        <v>#REF!</v>
      </c>
      <c r="D601" s="679" t="e">
        <f>ROUND('Balance N'!#REF!,2)</f>
        <v>#REF!</v>
      </c>
      <c r="E601" s="679">
        <f>ROUND('Balance N'!C601,2)</f>
        <v>0</v>
      </c>
      <c r="F601" s="679">
        <f>ROUND('Balance N'!D601,2)</f>
        <v>0</v>
      </c>
      <c r="G601" s="679">
        <f>ROUND('Balance N'!E601,2)</f>
        <v>0</v>
      </c>
      <c r="H601" s="679">
        <f>ROUND('Balance N'!F601,2)</f>
        <v>0</v>
      </c>
      <c r="I601" s="2" t="str">
        <f t="shared" si="13"/>
        <v>0</v>
      </c>
    </row>
    <row r="602" spans="1:9" x14ac:dyDescent="0.2">
      <c r="A602" s="573" t="str">
        <f>FIXED('Balance N'!A602,0,1)</f>
        <v>0</v>
      </c>
      <c r="B602" s="572">
        <f>+'Balance N'!B602</f>
        <v>0</v>
      </c>
      <c r="C602" s="679" t="e">
        <f>ROUND('Balance N'!#REF!,2)</f>
        <v>#REF!</v>
      </c>
      <c r="D602" s="679" t="e">
        <f>ROUND('Balance N'!#REF!,2)</f>
        <v>#REF!</v>
      </c>
      <c r="E602" s="679">
        <f>ROUND('Balance N'!C602,2)</f>
        <v>0</v>
      </c>
      <c r="F602" s="679">
        <f>ROUND('Balance N'!D602,2)</f>
        <v>0</v>
      </c>
      <c r="G602" s="679">
        <f>ROUND('Balance N'!E602,2)</f>
        <v>0</v>
      </c>
      <c r="H602" s="679">
        <f>ROUND('Balance N'!F602,2)</f>
        <v>0</v>
      </c>
      <c r="I602" s="2" t="str">
        <f t="shared" si="13"/>
        <v>0</v>
      </c>
    </row>
    <row r="603" spans="1:9" x14ac:dyDescent="0.2">
      <c r="A603" s="573" t="str">
        <f>FIXED('Balance N'!A603,0,1)</f>
        <v>0</v>
      </c>
      <c r="B603" s="572">
        <f>+'Balance N'!B603</f>
        <v>0</v>
      </c>
      <c r="C603" s="679" t="e">
        <f>ROUND('Balance N'!#REF!,2)</f>
        <v>#REF!</v>
      </c>
      <c r="D603" s="679" t="e">
        <f>ROUND('Balance N'!#REF!,2)</f>
        <v>#REF!</v>
      </c>
      <c r="E603" s="679">
        <f>ROUND('Balance N'!C603,2)</f>
        <v>0</v>
      </c>
      <c r="F603" s="679">
        <f>ROUND('Balance N'!D603,2)</f>
        <v>0</v>
      </c>
      <c r="G603" s="679">
        <f>ROUND('Balance N'!E603,2)</f>
        <v>0</v>
      </c>
      <c r="H603" s="679">
        <f>ROUND('Balance N'!F603,2)</f>
        <v>0</v>
      </c>
      <c r="I603" s="2" t="str">
        <f t="shared" si="13"/>
        <v>0</v>
      </c>
    </row>
    <row r="604" spans="1:9" x14ac:dyDescent="0.2">
      <c r="A604" s="573" t="str">
        <f>FIXED('Balance N'!A604,0,1)</f>
        <v>0</v>
      </c>
      <c r="B604" s="572">
        <f>+'Balance N'!B604</f>
        <v>0</v>
      </c>
      <c r="C604" s="679" t="e">
        <f>ROUND('Balance N'!#REF!,2)</f>
        <v>#REF!</v>
      </c>
      <c r="D604" s="679" t="e">
        <f>ROUND('Balance N'!#REF!,2)</f>
        <v>#REF!</v>
      </c>
      <c r="E604" s="679">
        <f>ROUND('Balance N'!C604,2)</f>
        <v>0</v>
      </c>
      <c r="F604" s="679">
        <f>ROUND('Balance N'!D604,2)</f>
        <v>0</v>
      </c>
      <c r="G604" s="679">
        <f>ROUND('Balance N'!E604,2)</f>
        <v>0</v>
      </c>
      <c r="H604" s="679">
        <f>ROUND('Balance N'!F604,2)</f>
        <v>0</v>
      </c>
      <c r="I604" s="2" t="str">
        <f t="shared" si="13"/>
        <v>0</v>
      </c>
    </row>
    <row r="605" spans="1:9" x14ac:dyDescent="0.2">
      <c r="A605" s="573" t="str">
        <f>FIXED('Balance N'!A605,0,1)</f>
        <v>0</v>
      </c>
      <c r="B605" s="572">
        <f>+'Balance N'!B605</f>
        <v>0</v>
      </c>
      <c r="C605" s="679" t="e">
        <f>ROUND('Balance N'!#REF!,2)</f>
        <v>#REF!</v>
      </c>
      <c r="D605" s="679" t="e">
        <f>ROUND('Balance N'!#REF!,2)</f>
        <v>#REF!</v>
      </c>
      <c r="E605" s="679">
        <f>ROUND('Balance N'!C605,2)</f>
        <v>0</v>
      </c>
      <c r="F605" s="679">
        <f>ROUND('Balance N'!D605,2)</f>
        <v>0</v>
      </c>
      <c r="G605" s="679">
        <f>ROUND('Balance N'!E605,2)</f>
        <v>0</v>
      </c>
      <c r="H605" s="679">
        <f>ROUND('Balance N'!F605,2)</f>
        <v>0</v>
      </c>
      <c r="I605" s="2" t="str">
        <f t="shared" si="13"/>
        <v>0</v>
      </c>
    </row>
    <row r="606" spans="1:9" x14ac:dyDescent="0.2">
      <c r="A606" s="573" t="str">
        <f>FIXED('Balance N'!A606,0,1)</f>
        <v>0</v>
      </c>
      <c r="B606" s="572">
        <f>+'Balance N'!B606</f>
        <v>0</v>
      </c>
      <c r="C606" s="679" t="e">
        <f>ROUND('Balance N'!#REF!,2)</f>
        <v>#REF!</v>
      </c>
      <c r="D606" s="679" t="e">
        <f>ROUND('Balance N'!#REF!,2)</f>
        <v>#REF!</v>
      </c>
      <c r="E606" s="679">
        <f>ROUND('Balance N'!C606,2)</f>
        <v>0</v>
      </c>
      <c r="F606" s="679">
        <f>ROUND('Balance N'!D606,2)</f>
        <v>0</v>
      </c>
      <c r="G606" s="679">
        <f>ROUND('Balance N'!E606,2)</f>
        <v>0</v>
      </c>
      <c r="H606" s="679">
        <f>ROUND('Balance N'!F606,2)</f>
        <v>0</v>
      </c>
      <c r="I606" s="2" t="str">
        <f t="shared" si="13"/>
        <v>0</v>
      </c>
    </row>
    <row r="607" spans="1:9" x14ac:dyDescent="0.2">
      <c r="A607" s="573" t="str">
        <f>FIXED('Balance N'!A607,0,1)</f>
        <v>0</v>
      </c>
      <c r="B607" s="572">
        <f>+'Balance N'!B607</f>
        <v>0</v>
      </c>
      <c r="C607" s="679" t="e">
        <f>ROUND('Balance N'!#REF!,2)</f>
        <v>#REF!</v>
      </c>
      <c r="D607" s="679" t="e">
        <f>ROUND('Balance N'!#REF!,2)</f>
        <v>#REF!</v>
      </c>
      <c r="E607" s="679">
        <f>ROUND('Balance N'!C607,2)</f>
        <v>0</v>
      </c>
      <c r="F607" s="679">
        <f>ROUND('Balance N'!D607,2)</f>
        <v>0</v>
      </c>
      <c r="G607" s="679">
        <f>ROUND('Balance N'!E607,2)</f>
        <v>0</v>
      </c>
      <c r="H607" s="679">
        <f>ROUND('Balance N'!F607,2)</f>
        <v>0</v>
      </c>
      <c r="I607" s="2" t="str">
        <f t="shared" si="13"/>
        <v>0</v>
      </c>
    </row>
    <row r="608" spans="1:9" x14ac:dyDescent="0.2">
      <c r="A608" s="573" t="str">
        <f>FIXED('Balance N'!A608,0,1)</f>
        <v>0</v>
      </c>
      <c r="B608" s="572">
        <f>+'Balance N'!B608</f>
        <v>0</v>
      </c>
      <c r="C608" s="679" t="e">
        <f>ROUND('Balance N'!#REF!,2)</f>
        <v>#REF!</v>
      </c>
      <c r="D608" s="679" t="e">
        <f>ROUND('Balance N'!#REF!,2)</f>
        <v>#REF!</v>
      </c>
      <c r="E608" s="679">
        <f>ROUND('Balance N'!C608,2)</f>
        <v>0</v>
      </c>
      <c r="F608" s="679">
        <f>ROUND('Balance N'!D608,2)</f>
        <v>0</v>
      </c>
      <c r="G608" s="679">
        <f>ROUND('Balance N'!E608,2)</f>
        <v>0</v>
      </c>
      <c r="H608" s="679">
        <f>ROUND('Balance N'!F608,2)</f>
        <v>0</v>
      </c>
      <c r="I608" s="2" t="str">
        <f t="shared" si="13"/>
        <v>0</v>
      </c>
    </row>
    <row r="609" spans="1:9" x14ac:dyDescent="0.2">
      <c r="A609" s="573" t="str">
        <f>FIXED('Balance N'!A609,0,1)</f>
        <v>0</v>
      </c>
      <c r="B609" s="572">
        <f>+'Balance N'!B609</f>
        <v>0</v>
      </c>
      <c r="C609" s="679" t="e">
        <f>ROUND('Balance N'!#REF!,2)</f>
        <v>#REF!</v>
      </c>
      <c r="D609" s="679" t="e">
        <f>ROUND('Balance N'!#REF!,2)</f>
        <v>#REF!</v>
      </c>
      <c r="E609" s="679">
        <f>ROUND('Balance N'!C609,2)</f>
        <v>0</v>
      </c>
      <c r="F609" s="679">
        <f>ROUND('Balance N'!D609,2)</f>
        <v>0</v>
      </c>
      <c r="G609" s="679">
        <f>ROUND('Balance N'!E609,2)</f>
        <v>0</v>
      </c>
      <c r="H609" s="679">
        <f>ROUND('Balance N'!F609,2)</f>
        <v>0</v>
      </c>
      <c r="I609" s="2" t="str">
        <f t="shared" si="13"/>
        <v>0</v>
      </c>
    </row>
    <row r="610" spans="1:9" x14ac:dyDescent="0.2">
      <c r="A610" s="573" t="str">
        <f>FIXED('Balance N'!A610,0,1)</f>
        <v>0</v>
      </c>
      <c r="B610" s="572">
        <f>+'Balance N'!B610</f>
        <v>0</v>
      </c>
      <c r="C610" s="679" t="e">
        <f>ROUND('Balance N'!#REF!,2)</f>
        <v>#REF!</v>
      </c>
      <c r="D610" s="679" t="e">
        <f>ROUND('Balance N'!#REF!,2)</f>
        <v>#REF!</v>
      </c>
      <c r="E610" s="679">
        <f>ROUND('Balance N'!C610,2)</f>
        <v>0</v>
      </c>
      <c r="F610" s="679">
        <f>ROUND('Balance N'!D610,2)</f>
        <v>0</v>
      </c>
      <c r="G610" s="679">
        <f>ROUND('Balance N'!E610,2)</f>
        <v>0</v>
      </c>
      <c r="H610" s="679">
        <f>ROUND('Balance N'!F610,2)</f>
        <v>0</v>
      </c>
      <c r="I610" s="2" t="str">
        <f t="shared" si="13"/>
        <v>0</v>
      </c>
    </row>
    <row r="611" spans="1:9" x14ac:dyDescent="0.2">
      <c r="A611" s="573" t="str">
        <f>FIXED('Balance N'!A611,0,1)</f>
        <v>0</v>
      </c>
      <c r="B611" s="572">
        <f>+'Balance N'!B611</f>
        <v>0</v>
      </c>
      <c r="C611" s="679" t="e">
        <f>ROUND('Balance N'!#REF!,2)</f>
        <v>#REF!</v>
      </c>
      <c r="D611" s="679" t="e">
        <f>ROUND('Balance N'!#REF!,2)</f>
        <v>#REF!</v>
      </c>
      <c r="E611" s="679">
        <f>ROUND('Balance N'!C611,2)</f>
        <v>0</v>
      </c>
      <c r="F611" s="679">
        <f>ROUND('Balance N'!D611,2)</f>
        <v>0</v>
      </c>
      <c r="G611" s="679">
        <f>ROUND('Balance N'!E611,2)</f>
        <v>0</v>
      </c>
      <c r="H611" s="679">
        <f>ROUND('Balance N'!F611,2)</f>
        <v>0</v>
      </c>
      <c r="I611" s="2" t="str">
        <f t="shared" si="13"/>
        <v>0</v>
      </c>
    </row>
    <row r="612" spans="1:9" x14ac:dyDescent="0.2">
      <c r="A612" s="573" t="str">
        <f>FIXED('Balance N'!A612,0,1)</f>
        <v>0</v>
      </c>
      <c r="B612" s="572">
        <f>+'Balance N'!B612</f>
        <v>0</v>
      </c>
      <c r="C612" s="679" t="e">
        <f>ROUND('Balance N'!#REF!,2)</f>
        <v>#REF!</v>
      </c>
      <c r="D612" s="679" t="e">
        <f>ROUND('Balance N'!#REF!,2)</f>
        <v>#REF!</v>
      </c>
      <c r="E612" s="679">
        <f>ROUND('Balance N'!C612,2)</f>
        <v>0</v>
      </c>
      <c r="F612" s="679">
        <f>ROUND('Balance N'!D612,2)</f>
        <v>0</v>
      </c>
      <c r="G612" s="679">
        <f>ROUND('Balance N'!E612,2)</f>
        <v>0</v>
      </c>
      <c r="H612" s="679">
        <f>ROUND('Balance N'!F612,2)</f>
        <v>0</v>
      </c>
      <c r="I612" s="2" t="str">
        <f t="shared" si="13"/>
        <v>0</v>
      </c>
    </row>
    <row r="613" spans="1:9" x14ac:dyDescent="0.2">
      <c r="A613" s="573" t="str">
        <f>FIXED('Balance N'!A613,0,1)</f>
        <v>0</v>
      </c>
      <c r="B613" s="572">
        <f>+'Balance N'!B613</f>
        <v>0</v>
      </c>
      <c r="C613" s="679" t="e">
        <f>ROUND('Balance N'!#REF!,2)</f>
        <v>#REF!</v>
      </c>
      <c r="D613" s="679" t="e">
        <f>ROUND('Balance N'!#REF!,2)</f>
        <v>#REF!</v>
      </c>
      <c r="E613" s="679">
        <f>ROUND('Balance N'!C613,2)</f>
        <v>0</v>
      </c>
      <c r="F613" s="679">
        <f>ROUND('Balance N'!D613,2)</f>
        <v>0</v>
      </c>
      <c r="G613" s="679">
        <f>ROUND('Balance N'!E613,2)</f>
        <v>0</v>
      </c>
      <c r="H613" s="679">
        <f>ROUND('Balance N'!F613,2)</f>
        <v>0</v>
      </c>
      <c r="I613" s="2" t="str">
        <f t="shared" si="13"/>
        <v>0</v>
      </c>
    </row>
    <row r="614" spans="1:9" x14ac:dyDescent="0.2">
      <c r="A614" s="573" t="str">
        <f>FIXED('Balance N'!A614,0,1)</f>
        <v>0</v>
      </c>
      <c r="B614" s="572">
        <f>+'Balance N'!B614</f>
        <v>0</v>
      </c>
      <c r="C614" s="679" t="e">
        <f>ROUND('Balance N'!#REF!,2)</f>
        <v>#REF!</v>
      </c>
      <c r="D614" s="679" t="e">
        <f>ROUND('Balance N'!#REF!,2)</f>
        <v>#REF!</v>
      </c>
      <c r="E614" s="679">
        <f>ROUND('Balance N'!C614,2)</f>
        <v>0</v>
      </c>
      <c r="F614" s="679">
        <f>ROUND('Balance N'!D614,2)</f>
        <v>0</v>
      </c>
      <c r="G614" s="679">
        <f>ROUND('Balance N'!E614,2)</f>
        <v>0</v>
      </c>
      <c r="H614" s="679">
        <f>ROUND('Balance N'!F614,2)</f>
        <v>0</v>
      </c>
      <c r="I614" s="2" t="str">
        <f t="shared" si="13"/>
        <v>0</v>
      </c>
    </row>
    <row r="615" spans="1:9" x14ac:dyDescent="0.2">
      <c r="A615" s="572"/>
      <c r="B615" s="572"/>
      <c r="C615" s="679" t="e">
        <f>ROUND('Balance N'!#REF!,2)</f>
        <v>#REF!</v>
      </c>
      <c r="D615" s="679" t="e">
        <f>ROUND('Balance N'!#REF!,2)</f>
        <v>#REF!</v>
      </c>
      <c r="E615" s="679">
        <f>ROUND('Balance N'!C615,2)</f>
        <v>0</v>
      </c>
      <c r="F615" s="679">
        <f>ROUND('Balance N'!D615,2)</f>
        <v>0</v>
      </c>
      <c r="G615" s="679">
        <f>ROUND('Balance N'!E615,2)</f>
        <v>0</v>
      </c>
      <c r="H615" s="679">
        <f>ROUND('Balance N'!F615,2)</f>
        <v>0</v>
      </c>
    </row>
  </sheetData>
  <autoFilter ref="A1:H1"/>
  <phoneticPr fontId="0" type="noConversion"/>
  <pageMargins left="0.78740157499999996" right="0.78740157499999996" top="0.984251969" bottom="0.984251969" header="0.4921259845" footer="0.4921259845"/>
  <pageSetup paperSize="9" orientation="portrait" horizontalDpi="300" verticalDpi="300" r:id="rId1"/>
  <headerFooter alignWithMargins="0"/>
  <ignoredErrors>
    <ignoredError sqref="N7"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4">
    <pageSetUpPr fitToPage="1"/>
  </sheetPr>
  <dimension ref="A1:Q617"/>
  <sheetViews>
    <sheetView workbookViewId="0"/>
  </sheetViews>
  <sheetFormatPr baseColWidth="10" defaultColWidth="12" defaultRowHeight="12.75" x14ac:dyDescent="0.2"/>
  <cols>
    <col min="1" max="1" width="13.83203125" style="2" bestFit="1" customWidth="1"/>
    <col min="2" max="2" width="31" style="2" customWidth="1"/>
    <col min="3" max="3" width="18.83203125" style="16" bestFit="1" customWidth="1"/>
    <col min="4" max="4" width="18.6640625" style="16" bestFit="1" customWidth="1"/>
    <col min="5" max="5" width="20.5" style="16" bestFit="1" customWidth="1"/>
    <col min="6" max="6" width="20.6640625" style="16" bestFit="1" customWidth="1"/>
    <col min="7" max="7" width="18.83203125" style="16" bestFit="1" customWidth="1"/>
    <col min="8" max="8" width="17.33203125" style="16" bestFit="1" customWidth="1"/>
    <col min="9" max="10" width="12" style="2"/>
    <col min="11" max="12" width="21.1640625" style="306" bestFit="1" customWidth="1"/>
    <col min="13" max="13" width="18.6640625" style="306" customWidth="1"/>
    <col min="14" max="14" width="13.33203125" style="2" bestFit="1" customWidth="1"/>
    <col min="15" max="16" width="20.33203125" style="2" bestFit="1" customWidth="1"/>
    <col min="17" max="17" width="16.33203125" style="2" bestFit="1" customWidth="1"/>
    <col min="18" max="16384" width="12" style="2"/>
  </cols>
  <sheetData>
    <row r="1" spans="1:17" s="570" customFormat="1" ht="13.5" x14ac:dyDescent="0.25">
      <c r="A1" s="569" t="s">
        <v>294</v>
      </c>
      <c r="B1" s="569" t="s">
        <v>295</v>
      </c>
      <c r="C1" s="678" t="s">
        <v>1038</v>
      </c>
      <c r="D1" s="678" t="s">
        <v>1039</v>
      </c>
      <c r="E1" s="678" t="s">
        <v>291</v>
      </c>
      <c r="F1" s="678" t="s">
        <v>292</v>
      </c>
      <c r="G1" s="678" t="s">
        <v>1040</v>
      </c>
      <c r="H1" s="678" t="s">
        <v>1041</v>
      </c>
      <c r="K1" s="571" t="s">
        <v>996</v>
      </c>
      <c r="L1" s="571" t="s">
        <v>997</v>
      </c>
      <c r="M1" s="571" t="s">
        <v>293</v>
      </c>
    </row>
    <row r="2" spans="1:17" x14ac:dyDescent="0.2">
      <c r="A2" s="910" t="str">
        <f>FIXED('Balance N-1'!A2,0,1)</f>
        <v>11110000</v>
      </c>
      <c r="B2" s="572" t="str">
        <f>+'Balance N-1'!B2</f>
        <v>CAPITAL</v>
      </c>
      <c r="C2" s="679" t="e">
        <f>ROUND('Balance N-1'!#REF!,2)</f>
        <v>#REF!</v>
      </c>
      <c r="D2" s="679" t="e">
        <f>ROUND('Balance N-1'!#REF!,2)</f>
        <v>#REF!</v>
      </c>
      <c r="E2" s="679">
        <f>ROUND('Balance N-1'!C2,2)</f>
        <v>0</v>
      </c>
      <c r="F2" s="679">
        <f>ROUND('Balance N-1'!D2,2)</f>
        <v>100000</v>
      </c>
      <c r="G2" s="679">
        <f>ROUND('Balance N-1'!E2,2)</f>
        <v>0</v>
      </c>
      <c r="H2" s="679">
        <f>ROUND('Balance N-1'!F2,2)</f>
        <v>100000</v>
      </c>
      <c r="I2" s="2" t="str">
        <f>MID(A2,1,1)</f>
        <v>1</v>
      </c>
      <c r="J2" s="574">
        <v>1</v>
      </c>
      <c r="K2" s="719" t="e">
        <f t="shared" ref="K2:K9" si="0">SUMIF(I:I,J2,C:C)</f>
        <v>#REF!</v>
      </c>
      <c r="L2" s="719" t="e">
        <f t="shared" ref="L2:L9" si="1">SUMIF(I:I,J2,D:D)</f>
        <v>#REF!</v>
      </c>
      <c r="M2" s="719" t="e">
        <f>+K2-L2</f>
        <v>#REF!</v>
      </c>
      <c r="N2" s="306" t="e">
        <f>+M2</f>
        <v>#REF!</v>
      </c>
    </row>
    <row r="3" spans="1:17" x14ac:dyDescent="0.2">
      <c r="A3" s="910" t="str">
        <f>FIXED('Balance N-1'!A3,0,1)</f>
        <v>21110000</v>
      </c>
      <c r="B3" s="572" t="str">
        <f>+'Balance N-1'!B3</f>
        <v>Frais  constitution</v>
      </c>
      <c r="C3" s="679" t="e">
        <f>ROUND('Balance N-1'!#REF!,2)</f>
        <v>#REF!</v>
      </c>
      <c r="D3" s="679" t="e">
        <f>ROUND('Balance N-1'!#REF!,2)</f>
        <v>#REF!</v>
      </c>
      <c r="E3" s="679">
        <f>ROUND('Balance N-1'!C3,2)</f>
        <v>5000</v>
      </c>
      <c r="F3" s="679">
        <f>ROUND('Balance N-1'!D3,2)</f>
        <v>0</v>
      </c>
      <c r="G3" s="679">
        <f>ROUND('Balance N-1'!E3,2)</f>
        <v>5000</v>
      </c>
      <c r="H3" s="679">
        <f>ROUND('Balance N-1'!F3,2)</f>
        <v>0</v>
      </c>
      <c r="I3" s="2" t="str">
        <f t="shared" ref="I3:I66" si="2">MID(A3,1,1)</f>
        <v>2</v>
      </c>
      <c r="J3" s="574">
        <v>2</v>
      </c>
      <c r="K3" s="719" t="e">
        <f t="shared" si="0"/>
        <v>#REF!</v>
      </c>
      <c r="L3" s="719" t="e">
        <f t="shared" si="1"/>
        <v>#REF!</v>
      </c>
      <c r="M3" s="719" t="e">
        <f t="shared" ref="M3:M9" si="3">+K3-L3</f>
        <v>#REF!</v>
      </c>
      <c r="N3" s="306" t="e">
        <f>+N2+M3</f>
        <v>#REF!</v>
      </c>
    </row>
    <row r="4" spans="1:17" x14ac:dyDescent="0.2">
      <c r="A4" s="910" t="str">
        <f>FIXED('Balance N-1'!A4,0,1)</f>
        <v>28110000</v>
      </c>
      <c r="B4" s="572" t="str">
        <f>+'Balance N-1'!B4</f>
        <v>Amort  frais constitution</v>
      </c>
      <c r="C4" s="679" t="e">
        <f>ROUND('Balance N-1'!#REF!,2)</f>
        <v>#REF!</v>
      </c>
      <c r="D4" s="679" t="e">
        <f>ROUND('Balance N-1'!#REF!,2)</f>
        <v>#REF!</v>
      </c>
      <c r="E4" s="679">
        <f>ROUND('Balance N-1'!C4,2)</f>
        <v>0</v>
      </c>
      <c r="F4" s="679">
        <f>ROUND('Balance N-1'!D4,2)</f>
        <v>694.37</v>
      </c>
      <c r="G4" s="679">
        <f>ROUND('Balance N-1'!E4,2)</f>
        <v>0</v>
      </c>
      <c r="H4" s="679">
        <f>ROUND('Balance N-1'!F4,2)</f>
        <v>694.37</v>
      </c>
      <c r="I4" s="2" t="str">
        <f t="shared" si="2"/>
        <v>2</v>
      </c>
      <c r="J4" s="574">
        <v>3</v>
      </c>
      <c r="K4" s="719" t="e">
        <f t="shared" si="0"/>
        <v>#REF!</v>
      </c>
      <c r="L4" s="719" t="e">
        <f t="shared" si="1"/>
        <v>#REF!</v>
      </c>
      <c r="M4" s="719" t="e">
        <f t="shared" si="3"/>
        <v>#REF!</v>
      </c>
      <c r="N4" s="306" t="e">
        <f>+N3+M4</f>
        <v>#REF!</v>
      </c>
    </row>
    <row r="5" spans="1:17" x14ac:dyDescent="0.2">
      <c r="A5" s="910" t="str">
        <f>FIXED('Balance N-1'!A5,0,1)</f>
        <v>34550300</v>
      </c>
      <c r="B5" s="572" t="str">
        <f>+'Balance N-1'!B5</f>
        <v>TVA10 %</v>
      </c>
      <c r="C5" s="679" t="e">
        <f>ROUND('Balance N-1'!#REF!,2)</f>
        <v>#REF!</v>
      </c>
      <c r="D5" s="679" t="e">
        <f>ROUND('Balance N-1'!#REF!,2)</f>
        <v>#REF!</v>
      </c>
      <c r="E5" s="679">
        <f>ROUND('Balance N-1'!C5,2)</f>
        <v>34.53</v>
      </c>
      <c r="F5" s="679">
        <f>ROUND('Balance N-1'!D5,2)</f>
        <v>0</v>
      </c>
      <c r="G5" s="679">
        <f>ROUND('Balance N-1'!E5,2)</f>
        <v>34.53</v>
      </c>
      <c r="H5" s="679">
        <f>ROUND('Balance N-1'!F5,2)</f>
        <v>0</v>
      </c>
      <c r="I5" s="2" t="str">
        <f t="shared" si="2"/>
        <v>3</v>
      </c>
      <c r="J5" s="574">
        <v>4</v>
      </c>
      <c r="K5" s="719" t="e">
        <f t="shared" si="0"/>
        <v>#REF!</v>
      </c>
      <c r="L5" s="719" t="e">
        <f t="shared" si="1"/>
        <v>#REF!</v>
      </c>
      <c r="M5" s="719" t="e">
        <f t="shared" si="3"/>
        <v>#REF!</v>
      </c>
      <c r="N5" s="306" t="e">
        <f>+N4+M5</f>
        <v>#REF!</v>
      </c>
    </row>
    <row r="6" spans="1:17" x14ac:dyDescent="0.2">
      <c r="A6" s="910" t="str">
        <f>FIXED('Balance N-1'!A6,0,1)</f>
        <v>44320000</v>
      </c>
      <c r="B6" s="572" t="str">
        <f>+'Balance N-1'!B6</f>
        <v>SALAIRE NET</v>
      </c>
      <c r="C6" s="679" t="e">
        <f>ROUND('Balance N-1'!#REF!,2)</f>
        <v>#REF!</v>
      </c>
      <c r="D6" s="679" t="e">
        <f>ROUND('Balance N-1'!#REF!,2)</f>
        <v>#REF!</v>
      </c>
      <c r="E6" s="679">
        <f>ROUND('Balance N-1'!C6,2)</f>
        <v>10000</v>
      </c>
      <c r="F6" s="679">
        <f>ROUND('Balance N-1'!D6,2)</f>
        <v>10000</v>
      </c>
      <c r="G6" s="679">
        <f>ROUND('Balance N-1'!E6,2)</f>
        <v>0</v>
      </c>
      <c r="H6" s="679">
        <f>ROUND('Balance N-1'!F6,2)</f>
        <v>0</v>
      </c>
      <c r="I6" s="2" t="str">
        <f t="shared" si="2"/>
        <v>4</v>
      </c>
      <c r="J6" s="574">
        <v>5</v>
      </c>
      <c r="K6" s="719" t="e">
        <f t="shared" si="0"/>
        <v>#REF!</v>
      </c>
      <c r="L6" s="719" t="e">
        <f t="shared" si="1"/>
        <v>#REF!</v>
      </c>
      <c r="M6" s="719" t="e">
        <f t="shared" si="3"/>
        <v>#REF!</v>
      </c>
      <c r="N6" s="306" t="e">
        <f>+N5+M6</f>
        <v>#REF!</v>
      </c>
      <c r="O6" s="805" t="e">
        <f>SUM(K2:K6)</f>
        <v>#REF!</v>
      </c>
      <c r="P6" s="805" t="e">
        <f>SUM(L2:L6)</f>
        <v>#REF!</v>
      </c>
      <c r="Q6" s="805" t="e">
        <f>+O6-P6</f>
        <v>#REF!</v>
      </c>
    </row>
    <row r="7" spans="1:17" x14ac:dyDescent="0.2">
      <c r="A7" s="910" t="str">
        <f>FIXED('Balance N-1'!A7,0,1)</f>
        <v>44410000</v>
      </c>
      <c r="B7" s="572" t="str">
        <f>+'Balance N-1'!B7</f>
        <v>COT CNSS</v>
      </c>
      <c r="C7" s="679" t="e">
        <f>ROUND('Balance N-1'!#REF!,2)</f>
        <v>#REF!</v>
      </c>
      <c r="D7" s="679" t="e">
        <f>ROUND('Balance N-1'!#REF!,2)</f>
        <v>#REF!</v>
      </c>
      <c r="E7" s="679">
        <f>ROUND('Balance N-1'!C7,2)</f>
        <v>1073</v>
      </c>
      <c r="F7" s="679">
        <f>ROUND('Balance N-1'!D7,2)</f>
        <v>2146</v>
      </c>
      <c r="G7" s="679">
        <f>ROUND('Balance N-1'!E7,2)</f>
        <v>0</v>
      </c>
      <c r="H7" s="679">
        <f>ROUND('Balance N-1'!F7,2)</f>
        <v>1073</v>
      </c>
      <c r="I7" s="2" t="str">
        <f t="shared" si="2"/>
        <v>4</v>
      </c>
      <c r="J7" s="574">
        <v>6</v>
      </c>
      <c r="K7" s="719" t="e">
        <f t="shared" si="0"/>
        <v>#REF!</v>
      </c>
      <c r="L7" s="719" t="e">
        <f t="shared" si="1"/>
        <v>#REF!</v>
      </c>
      <c r="M7" s="719" t="e">
        <f t="shared" si="3"/>
        <v>#REF!</v>
      </c>
      <c r="N7" s="306" t="e">
        <f>M7</f>
        <v>#REF!</v>
      </c>
      <c r="O7" s="16"/>
      <c r="P7" s="16"/>
      <c r="Q7" s="16"/>
    </row>
    <row r="8" spans="1:17" x14ac:dyDescent="0.2">
      <c r="A8" s="910" t="str">
        <f>FIXED('Balance N-1'!A8,0,1)</f>
        <v>44450000</v>
      </c>
      <c r="B8" s="572" t="str">
        <f>+'Balance N-1'!B8</f>
        <v>COT AMO</v>
      </c>
      <c r="C8" s="679" t="e">
        <f>ROUND('Balance N-1'!#REF!,2)</f>
        <v>#REF!</v>
      </c>
      <c r="D8" s="679" t="e">
        <f>ROUND('Balance N-1'!#REF!,2)</f>
        <v>#REF!</v>
      </c>
      <c r="E8" s="679">
        <f>ROUND('Balance N-1'!C8,2)</f>
        <v>318.5</v>
      </c>
      <c r="F8" s="679">
        <f>ROUND('Balance N-1'!D8,2)</f>
        <v>637</v>
      </c>
      <c r="G8" s="679">
        <f>ROUND('Balance N-1'!E8,2)</f>
        <v>0</v>
      </c>
      <c r="H8" s="679">
        <f>ROUND('Balance N-1'!F8,2)</f>
        <v>318.5</v>
      </c>
      <c r="I8" s="2" t="str">
        <f t="shared" si="2"/>
        <v>4</v>
      </c>
      <c r="J8" s="574">
        <v>7</v>
      </c>
      <c r="K8" s="719">
        <f t="shared" si="0"/>
        <v>0</v>
      </c>
      <c r="L8" s="719">
        <f t="shared" si="1"/>
        <v>0</v>
      </c>
      <c r="M8" s="719">
        <f t="shared" si="3"/>
        <v>0</v>
      </c>
      <c r="N8" s="306" t="e">
        <f>+N7+M8</f>
        <v>#REF!</v>
      </c>
      <c r="O8" s="16"/>
      <c r="P8" s="16"/>
      <c r="Q8" s="16"/>
    </row>
    <row r="9" spans="1:17" x14ac:dyDescent="0.2">
      <c r="A9" s="910" t="str">
        <f>FIXED('Balance N-1'!A9,0,1)</f>
        <v>44525000</v>
      </c>
      <c r="B9" s="572" t="str">
        <f>+'Balance N-1'!B9</f>
        <v>IR</v>
      </c>
      <c r="C9" s="679" t="e">
        <f>ROUND('Balance N-1'!#REF!,2)</f>
        <v>#REF!</v>
      </c>
      <c r="D9" s="679" t="e">
        <f>ROUND('Balance N-1'!#REF!,2)</f>
        <v>#REF!</v>
      </c>
      <c r="E9" s="679">
        <f>ROUND('Balance N-1'!C9,2)</f>
        <v>0</v>
      </c>
      <c r="F9" s="679">
        <f>ROUND('Balance N-1'!D9,2)</f>
        <v>88</v>
      </c>
      <c r="G9" s="679">
        <f>ROUND('Balance N-1'!E9,2)</f>
        <v>0</v>
      </c>
      <c r="H9" s="679">
        <f>ROUND('Balance N-1'!F9,2)</f>
        <v>88</v>
      </c>
      <c r="I9" s="2" t="str">
        <f t="shared" si="2"/>
        <v>4</v>
      </c>
      <c r="J9" s="574">
        <v>8</v>
      </c>
      <c r="K9" s="719">
        <f t="shared" si="0"/>
        <v>0</v>
      </c>
      <c r="L9" s="719">
        <f t="shared" si="1"/>
        <v>0</v>
      </c>
      <c r="M9" s="719">
        <f t="shared" si="3"/>
        <v>0</v>
      </c>
      <c r="O9" s="805" t="e">
        <f>SUM(K7:K9)</f>
        <v>#REF!</v>
      </c>
      <c r="P9" s="805" t="e">
        <f>SUM(L7:L9)</f>
        <v>#REF!</v>
      </c>
      <c r="Q9" s="805" t="e">
        <f>+O9-P9</f>
        <v>#REF!</v>
      </c>
    </row>
    <row r="10" spans="1:17" x14ac:dyDescent="0.2">
      <c r="A10" s="910" t="str">
        <f>FIXED('Balance N-1'!A10,0,1)</f>
        <v>44630000</v>
      </c>
      <c r="B10" s="572" t="str">
        <f>+'Balance N-1'!B10</f>
        <v>COMPTE COURANT D'ASSOCIE</v>
      </c>
      <c r="C10" s="679" t="e">
        <f>ROUND('Balance N-1'!#REF!,2)</f>
        <v>#REF!</v>
      </c>
      <c r="D10" s="679" t="e">
        <f>ROUND('Balance N-1'!#REF!,2)</f>
        <v>#REF!</v>
      </c>
      <c r="E10" s="679">
        <f>ROUND('Balance N-1'!C10,2)</f>
        <v>340475.8</v>
      </c>
      <c r="F10" s="679">
        <f>ROUND('Balance N-1'!D10,2)</f>
        <v>574000.80000000005</v>
      </c>
      <c r="G10" s="679">
        <f>ROUND('Balance N-1'!E10,2)</f>
        <v>0</v>
      </c>
      <c r="H10" s="679">
        <f>ROUND('Balance N-1'!F10,2)</f>
        <v>233525</v>
      </c>
      <c r="I10" s="2" t="str">
        <f t="shared" si="2"/>
        <v>4</v>
      </c>
      <c r="J10" s="574" t="s">
        <v>558</v>
      </c>
      <c r="K10" s="719" t="e">
        <f>SUM(K2:K9)</f>
        <v>#REF!</v>
      </c>
      <c r="L10" s="719" t="e">
        <f>SUM(L2:L9)</f>
        <v>#REF!</v>
      </c>
      <c r="M10" s="719" t="e">
        <f>SUM(M2:M9)</f>
        <v>#REF!</v>
      </c>
    </row>
    <row r="11" spans="1:17" x14ac:dyDescent="0.2">
      <c r="A11" s="910" t="str">
        <f>FIXED('Balance N-1'!A11,0,1)</f>
        <v>51410000</v>
      </c>
      <c r="B11" s="572" t="str">
        <f>+'Balance N-1'!B11</f>
        <v>ATTIJARIWAFA BANK</v>
      </c>
      <c r="C11" s="679" t="e">
        <f>ROUND('Balance N-1'!#REF!,2)</f>
        <v>#REF!</v>
      </c>
      <c r="D11" s="679" t="e">
        <f>ROUND('Balance N-1'!#REF!,2)</f>
        <v>#REF!</v>
      </c>
      <c r="E11" s="679">
        <f>ROUND('Balance N-1'!C11,2)</f>
        <v>469000.8</v>
      </c>
      <c r="F11" s="679">
        <f>ROUND('Balance N-1'!D11,2)</f>
        <v>246155.13</v>
      </c>
      <c r="G11" s="679">
        <f>ROUND('Balance N-1'!E11,2)</f>
        <v>222845.67</v>
      </c>
      <c r="H11" s="679">
        <f>ROUND('Balance N-1'!F11,2)</f>
        <v>0</v>
      </c>
      <c r="I11" s="2" t="str">
        <f t="shared" si="2"/>
        <v>5</v>
      </c>
    </row>
    <row r="12" spans="1:17" x14ac:dyDescent="0.2">
      <c r="A12" s="910" t="str">
        <f>FIXED('Balance N-1'!A12,0,1)</f>
        <v>51610000</v>
      </c>
      <c r="B12" s="572" t="str">
        <f>+'Balance N-1'!B12</f>
        <v>CAISSE</v>
      </c>
      <c r="C12" s="679" t="e">
        <f>ROUND('Balance N-1'!#REF!,2)</f>
        <v>#REF!</v>
      </c>
      <c r="D12" s="679" t="e">
        <f>ROUND('Balance N-1'!#REF!,2)</f>
        <v>#REF!</v>
      </c>
      <c r="E12" s="679">
        <f>ROUND('Balance N-1'!C12,2)</f>
        <v>108900</v>
      </c>
      <c r="F12" s="679">
        <f>ROUND('Balance N-1'!D12,2)</f>
        <v>20000</v>
      </c>
      <c r="G12" s="679">
        <f>ROUND('Balance N-1'!E12,2)</f>
        <v>88900</v>
      </c>
      <c r="H12" s="679">
        <f>ROUND('Balance N-1'!F12,2)</f>
        <v>0</v>
      </c>
      <c r="I12" s="2" t="str">
        <f t="shared" si="2"/>
        <v>5</v>
      </c>
    </row>
    <row r="13" spans="1:17" x14ac:dyDescent="0.2">
      <c r="A13" s="910" t="str">
        <f>FIXED('Balance N-1'!A13,0,1)</f>
        <v>61312000</v>
      </c>
      <c r="B13" s="572" t="str">
        <f>+'Balance N-1'!B13</f>
        <v>loyer</v>
      </c>
      <c r="C13" s="679" t="e">
        <f>ROUND('Balance N-1'!#REF!,2)</f>
        <v>#REF!</v>
      </c>
      <c r="D13" s="679" t="e">
        <f>ROUND('Balance N-1'!#REF!,2)</f>
        <v>#REF!</v>
      </c>
      <c r="E13" s="679">
        <f>ROUND('Balance N-1'!C13,2)</f>
        <v>5000</v>
      </c>
      <c r="F13" s="679">
        <f>ROUND('Balance N-1'!D13,2)</f>
        <v>0</v>
      </c>
      <c r="G13" s="679">
        <f>ROUND('Balance N-1'!E13,2)</f>
        <v>5000</v>
      </c>
      <c r="H13" s="679">
        <f>ROUND('Balance N-1'!F13,2)</f>
        <v>0</v>
      </c>
      <c r="I13" s="2" t="str">
        <f t="shared" si="2"/>
        <v>6</v>
      </c>
    </row>
    <row r="14" spans="1:17" x14ac:dyDescent="0.2">
      <c r="A14" s="910" t="str">
        <f>FIXED('Balance N-1'!A14,0,1)</f>
        <v>61470000</v>
      </c>
      <c r="B14" s="572" t="str">
        <f>+'Balance N-1'!B14</f>
        <v>frais bancaire</v>
      </c>
      <c r="C14" s="679" t="e">
        <f>ROUND('Balance N-1'!#REF!,2)</f>
        <v>#REF!</v>
      </c>
      <c r="D14" s="679" t="e">
        <f>ROUND('Balance N-1'!#REF!,2)</f>
        <v>#REF!</v>
      </c>
      <c r="E14" s="679">
        <f>ROUND('Balance N-1'!C14,2)</f>
        <v>353.3</v>
      </c>
      <c r="F14" s="679">
        <f>ROUND('Balance N-1'!D14,2)</f>
        <v>0</v>
      </c>
      <c r="G14" s="679">
        <f>ROUND('Balance N-1'!E14,2)</f>
        <v>353.3</v>
      </c>
      <c r="H14" s="679">
        <f>ROUND('Balance N-1'!F14,2)</f>
        <v>0</v>
      </c>
      <c r="I14" s="2" t="str">
        <f t="shared" si="2"/>
        <v>6</v>
      </c>
    </row>
    <row r="15" spans="1:17" x14ac:dyDescent="0.2">
      <c r="A15" s="910" t="str">
        <f>FIXED('Balance N-1'!A15,0,1)</f>
        <v>61710000</v>
      </c>
      <c r="B15" s="572" t="str">
        <f>+'Balance N-1'!B15</f>
        <v>SALAIRE BRUT</v>
      </c>
      <c r="C15" s="679" t="e">
        <f>ROUND('Balance N-1'!#REF!,2)</f>
        <v>#REF!</v>
      </c>
      <c r="D15" s="679" t="e">
        <f>ROUND('Balance N-1'!#REF!,2)</f>
        <v>#REF!</v>
      </c>
      <c r="E15" s="679">
        <f>ROUND('Balance N-1'!C15,2)</f>
        <v>10762</v>
      </c>
      <c r="F15" s="679">
        <f>ROUND('Balance N-1'!D15,2)</f>
        <v>0</v>
      </c>
      <c r="G15" s="679">
        <f>ROUND('Balance N-1'!E15,2)</f>
        <v>10762</v>
      </c>
      <c r="H15" s="679">
        <f>ROUND('Balance N-1'!F15,2)</f>
        <v>0</v>
      </c>
      <c r="I15" s="2" t="str">
        <f t="shared" si="2"/>
        <v>6</v>
      </c>
    </row>
    <row r="16" spans="1:17" x14ac:dyDescent="0.2">
      <c r="A16" s="910" t="str">
        <f>FIXED('Balance N-1'!A16,0,1)</f>
        <v>61740000</v>
      </c>
      <c r="B16" s="572" t="str">
        <f>+'Balance N-1'!B16</f>
        <v>COT P P</v>
      </c>
      <c r="C16" s="679" t="e">
        <f>ROUND('Balance N-1'!#REF!,2)</f>
        <v>#REF!</v>
      </c>
      <c r="D16" s="679" t="e">
        <f>ROUND('Balance N-1'!#REF!,2)</f>
        <v>#REF!</v>
      </c>
      <c r="E16" s="679">
        <f>ROUND('Balance N-1'!C16,2)</f>
        <v>2109</v>
      </c>
      <c r="F16" s="679">
        <f>ROUND('Balance N-1'!D16,2)</f>
        <v>0</v>
      </c>
      <c r="G16" s="679">
        <f>ROUND('Balance N-1'!E16,2)</f>
        <v>2109</v>
      </c>
      <c r="H16" s="679">
        <f>ROUND('Balance N-1'!F16,2)</f>
        <v>0</v>
      </c>
      <c r="I16" s="2" t="str">
        <f t="shared" si="2"/>
        <v>6</v>
      </c>
    </row>
    <row r="17" spans="1:9" x14ac:dyDescent="0.2">
      <c r="A17" s="910" t="str">
        <f>FIXED('Balance N-1'!A17,0,1)</f>
        <v>61911000</v>
      </c>
      <c r="B17" s="572" t="str">
        <f>+'Balance N-1'!B17</f>
        <v>DEA FRAIS CONSTITUTION</v>
      </c>
      <c r="C17" s="679" t="e">
        <f>ROUND('Balance N-1'!#REF!,2)</f>
        <v>#REF!</v>
      </c>
      <c r="D17" s="679" t="e">
        <f>ROUND('Balance N-1'!#REF!,2)</f>
        <v>#REF!</v>
      </c>
      <c r="E17" s="679">
        <f>ROUND('Balance N-1'!C17,2)</f>
        <v>694.37</v>
      </c>
      <c r="F17" s="679">
        <f>ROUND('Balance N-1'!D17,2)</f>
        <v>0</v>
      </c>
      <c r="G17" s="679">
        <f>ROUND('Balance N-1'!E17,2)</f>
        <v>694.37</v>
      </c>
      <c r="H17" s="679">
        <f>ROUND('Balance N-1'!F17,2)</f>
        <v>0</v>
      </c>
      <c r="I17" s="2" t="str">
        <f t="shared" si="2"/>
        <v>6</v>
      </c>
    </row>
    <row r="18" spans="1:9" x14ac:dyDescent="0.2">
      <c r="A18" s="910" t="str">
        <f>FIXED('Balance N-1'!A18,0,1)</f>
        <v>0</v>
      </c>
      <c r="B18" s="572">
        <f>+'Balance N-1'!B18</f>
        <v>0</v>
      </c>
      <c r="C18" s="679" t="e">
        <f>ROUND('Balance N-1'!#REF!,2)</f>
        <v>#REF!</v>
      </c>
      <c r="D18" s="679" t="e">
        <f>ROUND('Balance N-1'!#REF!,2)</f>
        <v>#REF!</v>
      </c>
      <c r="E18" s="679">
        <f>ROUND('Balance N-1'!C18,2)</f>
        <v>0</v>
      </c>
      <c r="F18" s="679">
        <f>ROUND('Balance N-1'!D18,2)</f>
        <v>0</v>
      </c>
      <c r="G18" s="679">
        <f>ROUND('Balance N-1'!E18,2)</f>
        <v>0</v>
      </c>
      <c r="H18" s="679">
        <f>ROUND('Balance N-1'!F18,2)</f>
        <v>0</v>
      </c>
      <c r="I18" s="2" t="str">
        <f t="shared" si="2"/>
        <v>0</v>
      </c>
    </row>
    <row r="19" spans="1:9" x14ac:dyDescent="0.2">
      <c r="A19" s="910" t="str">
        <f>FIXED('Balance N-1'!A19,0,1)</f>
        <v>0</v>
      </c>
      <c r="B19" s="572">
        <f>+'Balance N-1'!B19</f>
        <v>0</v>
      </c>
      <c r="C19" s="679" t="e">
        <f>ROUND('Balance N-1'!#REF!,2)</f>
        <v>#REF!</v>
      </c>
      <c r="D19" s="679" t="e">
        <f>ROUND('Balance N-1'!#REF!,2)</f>
        <v>#REF!</v>
      </c>
      <c r="E19" s="679">
        <f>ROUND('Balance N-1'!C19,2)</f>
        <v>0</v>
      </c>
      <c r="F19" s="679">
        <f>ROUND('Balance N-1'!D19,2)</f>
        <v>0</v>
      </c>
      <c r="G19" s="679">
        <f>ROUND('Balance N-1'!E19,2)</f>
        <v>0</v>
      </c>
      <c r="H19" s="679">
        <f>ROUND('Balance N-1'!F19,2)</f>
        <v>0</v>
      </c>
      <c r="I19" s="2" t="str">
        <f t="shared" si="2"/>
        <v>0</v>
      </c>
    </row>
    <row r="20" spans="1:9" x14ac:dyDescent="0.2">
      <c r="A20" s="910" t="str">
        <f>FIXED('Balance N-1'!A20,0,1)</f>
        <v>0</v>
      </c>
      <c r="B20" s="572">
        <f>+'Balance N-1'!B20</f>
        <v>0</v>
      </c>
      <c r="C20" s="679" t="e">
        <f>ROUND('Balance N-1'!#REF!,2)</f>
        <v>#REF!</v>
      </c>
      <c r="D20" s="679" t="e">
        <f>ROUND('Balance N-1'!#REF!,2)</f>
        <v>#REF!</v>
      </c>
      <c r="E20" s="679">
        <f>ROUND('Balance N-1'!C20,2)</f>
        <v>0</v>
      </c>
      <c r="F20" s="679">
        <f>ROUND('Balance N-1'!D20,2)</f>
        <v>0</v>
      </c>
      <c r="G20" s="679">
        <f>ROUND('Balance N-1'!E20,2)</f>
        <v>0</v>
      </c>
      <c r="H20" s="679">
        <f>ROUND('Balance N-1'!F20,2)</f>
        <v>0</v>
      </c>
      <c r="I20" s="2" t="str">
        <f t="shared" si="2"/>
        <v>0</v>
      </c>
    </row>
    <row r="21" spans="1:9" x14ac:dyDescent="0.2">
      <c r="A21" s="910" t="str">
        <f>FIXED('Balance N-1'!A21,0,1)</f>
        <v>0</v>
      </c>
      <c r="B21" s="572">
        <f>+'Balance N-1'!B21</f>
        <v>0</v>
      </c>
      <c r="C21" s="679" t="e">
        <f>ROUND('Balance N-1'!#REF!,2)</f>
        <v>#REF!</v>
      </c>
      <c r="D21" s="679" t="e">
        <f>ROUND('Balance N-1'!#REF!,2)</f>
        <v>#REF!</v>
      </c>
      <c r="E21" s="679">
        <f>ROUND('Balance N-1'!C21,2)</f>
        <v>0</v>
      </c>
      <c r="F21" s="679">
        <f>ROUND('Balance N-1'!D21,2)</f>
        <v>0</v>
      </c>
      <c r="G21" s="679">
        <f>ROUND('Balance N-1'!E21,2)</f>
        <v>0</v>
      </c>
      <c r="H21" s="679">
        <f>ROUND('Balance N-1'!F21,2)</f>
        <v>0</v>
      </c>
      <c r="I21" s="2" t="str">
        <f t="shared" si="2"/>
        <v>0</v>
      </c>
    </row>
    <row r="22" spans="1:9" x14ac:dyDescent="0.2">
      <c r="A22" s="910" t="str">
        <f>FIXED('Balance N-1'!A22,0,1)</f>
        <v>0</v>
      </c>
      <c r="B22" s="572">
        <f>+'Balance N-1'!B22</f>
        <v>0</v>
      </c>
      <c r="C22" s="679" t="e">
        <f>ROUND('Balance N-1'!#REF!,2)</f>
        <v>#REF!</v>
      </c>
      <c r="D22" s="679" t="e">
        <f>ROUND('Balance N-1'!#REF!,2)</f>
        <v>#REF!</v>
      </c>
      <c r="E22" s="679">
        <f>ROUND('Balance N-1'!C22,2)</f>
        <v>0</v>
      </c>
      <c r="F22" s="679">
        <f>ROUND('Balance N-1'!D22,2)</f>
        <v>0</v>
      </c>
      <c r="G22" s="679">
        <f>ROUND('Balance N-1'!E22,2)</f>
        <v>0</v>
      </c>
      <c r="H22" s="679">
        <f>ROUND('Balance N-1'!F22,2)</f>
        <v>0</v>
      </c>
      <c r="I22" s="2" t="str">
        <f t="shared" si="2"/>
        <v>0</v>
      </c>
    </row>
    <row r="23" spans="1:9" x14ac:dyDescent="0.2">
      <c r="A23" s="910" t="str">
        <f>FIXED('Balance N-1'!A23,0,1)</f>
        <v>0</v>
      </c>
      <c r="B23" s="572">
        <f>+'Balance N-1'!B23</f>
        <v>0</v>
      </c>
      <c r="C23" s="679" t="e">
        <f>ROUND('Balance N-1'!#REF!,2)</f>
        <v>#REF!</v>
      </c>
      <c r="D23" s="679" t="e">
        <f>ROUND('Balance N-1'!#REF!,2)</f>
        <v>#REF!</v>
      </c>
      <c r="E23" s="679">
        <f>ROUND('Balance N-1'!C23,2)</f>
        <v>0</v>
      </c>
      <c r="F23" s="679">
        <f>ROUND('Balance N-1'!D23,2)</f>
        <v>0</v>
      </c>
      <c r="G23" s="679">
        <f>ROUND('Balance N-1'!E23,2)</f>
        <v>0</v>
      </c>
      <c r="H23" s="679">
        <f>ROUND('Balance N-1'!F23,2)</f>
        <v>0</v>
      </c>
      <c r="I23" s="2" t="str">
        <f t="shared" si="2"/>
        <v>0</v>
      </c>
    </row>
    <row r="24" spans="1:9" x14ac:dyDescent="0.2">
      <c r="A24" s="910" t="str">
        <f>FIXED('Balance N-1'!A24,0,1)</f>
        <v>0</v>
      </c>
      <c r="B24" s="572">
        <f>+'Balance N-1'!B24</f>
        <v>0</v>
      </c>
      <c r="C24" s="679" t="e">
        <f>ROUND('Balance N-1'!#REF!,2)</f>
        <v>#REF!</v>
      </c>
      <c r="D24" s="679" t="e">
        <f>ROUND('Balance N-1'!#REF!,2)</f>
        <v>#REF!</v>
      </c>
      <c r="E24" s="679">
        <f>ROUND('Balance N-1'!C24,2)</f>
        <v>0</v>
      </c>
      <c r="F24" s="679">
        <f>ROUND('Balance N-1'!D24,2)</f>
        <v>0</v>
      </c>
      <c r="G24" s="679">
        <f>ROUND('Balance N-1'!E24,2)</f>
        <v>0</v>
      </c>
      <c r="H24" s="679">
        <f>ROUND('Balance N-1'!F24,2)</f>
        <v>0</v>
      </c>
      <c r="I24" s="2" t="str">
        <f t="shared" si="2"/>
        <v>0</v>
      </c>
    </row>
    <row r="25" spans="1:9" x14ac:dyDescent="0.2">
      <c r="A25" s="910" t="str">
        <f>FIXED('Balance N-1'!A25,0,1)</f>
        <v>0</v>
      </c>
      <c r="B25" s="572">
        <f>+'Balance N-1'!B25</f>
        <v>0</v>
      </c>
      <c r="C25" s="679" t="e">
        <f>ROUND('Balance N-1'!#REF!,2)</f>
        <v>#REF!</v>
      </c>
      <c r="D25" s="679" t="e">
        <f>ROUND('Balance N-1'!#REF!,2)</f>
        <v>#REF!</v>
      </c>
      <c r="E25" s="679">
        <f>ROUND('Balance N-1'!C25,2)</f>
        <v>0</v>
      </c>
      <c r="F25" s="679">
        <f>ROUND('Balance N-1'!D25,2)</f>
        <v>0</v>
      </c>
      <c r="G25" s="679">
        <f>ROUND('Balance N-1'!E25,2)</f>
        <v>0</v>
      </c>
      <c r="H25" s="679">
        <f>ROUND('Balance N-1'!F25,2)</f>
        <v>0</v>
      </c>
      <c r="I25" s="2" t="str">
        <f t="shared" si="2"/>
        <v>0</v>
      </c>
    </row>
    <row r="26" spans="1:9" x14ac:dyDescent="0.2">
      <c r="A26" s="910" t="str">
        <f>FIXED('Balance N-1'!A26,0,1)</f>
        <v>0</v>
      </c>
      <c r="B26" s="572">
        <f>+'Balance N-1'!B26</f>
        <v>0</v>
      </c>
      <c r="C26" s="679" t="e">
        <f>ROUND('Balance N-1'!#REF!,2)</f>
        <v>#REF!</v>
      </c>
      <c r="D26" s="679" t="e">
        <f>ROUND('Balance N-1'!#REF!,2)</f>
        <v>#REF!</v>
      </c>
      <c r="E26" s="679">
        <f>ROUND('Balance N-1'!C26,2)</f>
        <v>0</v>
      </c>
      <c r="F26" s="679">
        <f>ROUND('Balance N-1'!D26,2)</f>
        <v>0</v>
      </c>
      <c r="G26" s="679">
        <f>ROUND('Balance N-1'!E26,2)</f>
        <v>0</v>
      </c>
      <c r="H26" s="679">
        <f>ROUND('Balance N-1'!F26,2)</f>
        <v>0</v>
      </c>
      <c r="I26" s="2" t="str">
        <f t="shared" si="2"/>
        <v>0</v>
      </c>
    </row>
    <row r="27" spans="1:9" x14ac:dyDescent="0.2">
      <c r="A27" s="910" t="str">
        <f>FIXED('Balance N-1'!A27,0,1)</f>
        <v>0</v>
      </c>
      <c r="B27" s="572">
        <f>+'Balance N-1'!B27</f>
        <v>0</v>
      </c>
      <c r="C27" s="679" t="e">
        <f>ROUND('Balance N-1'!#REF!,2)</f>
        <v>#REF!</v>
      </c>
      <c r="D27" s="679" t="e">
        <f>ROUND('Balance N-1'!#REF!,2)</f>
        <v>#REF!</v>
      </c>
      <c r="E27" s="679">
        <f>ROUND('Balance N-1'!C27,2)</f>
        <v>0</v>
      </c>
      <c r="F27" s="679">
        <f>ROUND('Balance N-1'!D27,2)</f>
        <v>0</v>
      </c>
      <c r="G27" s="679">
        <f>ROUND('Balance N-1'!E27,2)</f>
        <v>0</v>
      </c>
      <c r="H27" s="679">
        <f>ROUND('Balance N-1'!F27,2)</f>
        <v>0</v>
      </c>
      <c r="I27" s="2" t="str">
        <f t="shared" si="2"/>
        <v>0</v>
      </c>
    </row>
    <row r="28" spans="1:9" x14ac:dyDescent="0.2">
      <c r="A28" s="910" t="str">
        <f>FIXED('Balance N-1'!A28,0,1)</f>
        <v>0</v>
      </c>
      <c r="B28" s="572">
        <f>+'Balance N-1'!B28</f>
        <v>0</v>
      </c>
      <c r="C28" s="679" t="e">
        <f>ROUND('Balance N-1'!#REF!,2)</f>
        <v>#REF!</v>
      </c>
      <c r="D28" s="679" t="e">
        <f>ROUND('Balance N-1'!#REF!,2)</f>
        <v>#REF!</v>
      </c>
      <c r="E28" s="679">
        <f>ROUND('Balance N-1'!C28,2)</f>
        <v>0</v>
      </c>
      <c r="F28" s="679">
        <f>ROUND('Balance N-1'!D28,2)</f>
        <v>0</v>
      </c>
      <c r="G28" s="679">
        <f>ROUND('Balance N-1'!E28,2)</f>
        <v>0</v>
      </c>
      <c r="H28" s="679">
        <f>ROUND('Balance N-1'!F28,2)</f>
        <v>0</v>
      </c>
      <c r="I28" s="2" t="str">
        <f t="shared" si="2"/>
        <v>0</v>
      </c>
    </row>
    <row r="29" spans="1:9" x14ac:dyDescent="0.2">
      <c r="A29" s="910" t="str">
        <f>FIXED('Balance N-1'!A29,0,1)</f>
        <v>0</v>
      </c>
      <c r="B29" s="572">
        <f>+'Balance N-1'!B29</f>
        <v>0</v>
      </c>
      <c r="C29" s="679" t="e">
        <f>ROUND('Balance N-1'!#REF!,2)</f>
        <v>#REF!</v>
      </c>
      <c r="D29" s="679" t="e">
        <f>ROUND('Balance N-1'!#REF!,2)</f>
        <v>#REF!</v>
      </c>
      <c r="E29" s="679">
        <f>ROUND('Balance N-1'!C29,2)</f>
        <v>0</v>
      </c>
      <c r="F29" s="679">
        <f>ROUND('Balance N-1'!D29,2)</f>
        <v>0</v>
      </c>
      <c r="G29" s="679">
        <f>ROUND('Balance N-1'!E29,2)</f>
        <v>0</v>
      </c>
      <c r="H29" s="679">
        <f>ROUND('Balance N-1'!F29,2)</f>
        <v>0</v>
      </c>
      <c r="I29" s="2" t="str">
        <f t="shared" si="2"/>
        <v>0</v>
      </c>
    </row>
    <row r="30" spans="1:9" x14ac:dyDescent="0.2">
      <c r="A30" s="910" t="str">
        <f>FIXED('Balance N-1'!A30,0,1)</f>
        <v>0</v>
      </c>
      <c r="B30" s="572">
        <f>+'Balance N-1'!B30</f>
        <v>0</v>
      </c>
      <c r="C30" s="679" t="e">
        <f>ROUND('Balance N-1'!#REF!,2)</f>
        <v>#REF!</v>
      </c>
      <c r="D30" s="679" t="e">
        <f>ROUND('Balance N-1'!#REF!,2)</f>
        <v>#REF!</v>
      </c>
      <c r="E30" s="679">
        <f>ROUND('Balance N-1'!C30,2)</f>
        <v>0</v>
      </c>
      <c r="F30" s="679">
        <f>ROUND('Balance N-1'!D30,2)</f>
        <v>0</v>
      </c>
      <c r="G30" s="679">
        <f>ROUND('Balance N-1'!E30,2)</f>
        <v>0</v>
      </c>
      <c r="H30" s="679">
        <f>ROUND('Balance N-1'!F30,2)</f>
        <v>0</v>
      </c>
      <c r="I30" s="2" t="str">
        <f t="shared" si="2"/>
        <v>0</v>
      </c>
    </row>
    <row r="31" spans="1:9" x14ac:dyDescent="0.2">
      <c r="A31" s="910" t="str">
        <f>FIXED('Balance N-1'!A31,0,1)</f>
        <v>0</v>
      </c>
      <c r="B31" s="572">
        <f>+'Balance N-1'!B31</f>
        <v>0</v>
      </c>
      <c r="C31" s="679" t="e">
        <f>ROUND('Balance N-1'!#REF!,2)</f>
        <v>#REF!</v>
      </c>
      <c r="D31" s="679" t="e">
        <f>ROUND('Balance N-1'!#REF!,2)</f>
        <v>#REF!</v>
      </c>
      <c r="E31" s="679">
        <f>ROUND('Balance N-1'!C31,2)</f>
        <v>0</v>
      </c>
      <c r="F31" s="679">
        <f>ROUND('Balance N-1'!D31,2)</f>
        <v>0</v>
      </c>
      <c r="G31" s="679">
        <f>ROUND('Balance N-1'!E31,2)</f>
        <v>0</v>
      </c>
      <c r="H31" s="679">
        <f>ROUND('Balance N-1'!F31,2)</f>
        <v>0</v>
      </c>
      <c r="I31" s="2" t="str">
        <f t="shared" si="2"/>
        <v>0</v>
      </c>
    </row>
    <row r="32" spans="1:9" x14ac:dyDescent="0.2">
      <c r="A32" s="910" t="str">
        <f>FIXED('Balance N-1'!A32,0,1)</f>
        <v>0</v>
      </c>
      <c r="B32" s="572">
        <f>+'Balance N-1'!B32</f>
        <v>0</v>
      </c>
      <c r="C32" s="679" t="e">
        <f>ROUND('Balance N-1'!#REF!,2)</f>
        <v>#REF!</v>
      </c>
      <c r="D32" s="679" t="e">
        <f>ROUND('Balance N-1'!#REF!,2)</f>
        <v>#REF!</v>
      </c>
      <c r="E32" s="679">
        <f>ROUND('Balance N-1'!C32,2)</f>
        <v>0</v>
      </c>
      <c r="F32" s="679">
        <f>ROUND('Balance N-1'!D32,2)</f>
        <v>0</v>
      </c>
      <c r="G32" s="679">
        <f>ROUND('Balance N-1'!E32,2)</f>
        <v>0</v>
      </c>
      <c r="H32" s="679">
        <f>ROUND('Balance N-1'!F32,2)</f>
        <v>0</v>
      </c>
      <c r="I32" s="2" t="str">
        <f t="shared" si="2"/>
        <v>0</v>
      </c>
    </row>
    <row r="33" spans="1:9" x14ac:dyDescent="0.2">
      <c r="A33" s="910" t="str">
        <f>FIXED('Balance N-1'!A33,0,1)</f>
        <v>0</v>
      </c>
      <c r="B33" s="572">
        <f>+'Balance N-1'!B33</f>
        <v>0</v>
      </c>
      <c r="C33" s="679" t="e">
        <f>ROUND('Balance N-1'!#REF!,2)</f>
        <v>#REF!</v>
      </c>
      <c r="D33" s="679" t="e">
        <f>ROUND('Balance N-1'!#REF!,2)</f>
        <v>#REF!</v>
      </c>
      <c r="E33" s="679">
        <f>ROUND('Balance N-1'!C33,2)</f>
        <v>0</v>
      </c>
      <c r="F33" s="679">
        <f>ROUND('Balance N-1'!D33,2)</f>
        <v>0</v>
      </c>
      <c r="G33" s="679">
        <f>ROUND('Balance N-1'!E33,2)</f>
        <v>0</v>
      </c>
      <c r="H33" s="679">
        <f>ROUND('Balance N-1'!F33,2)</f>
        <v>0</v>
      </c>
      <c r="I33" s="2" t="str">
        <f t="shared" si="2"/>
        <v>0</v>
      </c>
    </row>
    <row r="34" spans="1:9" x14ac:dyDescent="0.2">
      <c r="A34" s="910" t="str">
        <f>FIXED('Balance N-1'!A34,0,1)</f>
        <v>0</v>
      </c>
      <c r="B34" s="572">
        <f>+'Balance N-1'!B34</f>
        <v>0</v>
      </c>
      <c r="C34" s="679" t="e">
        <f>ROUND('Balance N-1'!#REF!,2)</f>
        <v>#REF!</v>
      </c>
      <c r="D34" s="679" t="e">
        <f>ROUND('Balance N-1'!#REF!,2)</f>
        <v>#REF!</v>
      </c>
      <c r="E34" s="679">
        <f>ROUND('Balance N-1'!C34,2)</f>
        <v>0</v>
      </c>
      <c r="F34" s="679">
        <f>ROUND('Balance N-1'!D34,2)</f>
        <v>0</v>
      </c>
      <c r="G34" s="679">
        <f>ROUND('Balance N-1'!E34,2)</f>
        <v>0</v>
      </c>
      <c r="H34" s="679">
        <f>ROUND('Balance N-1'!F34,2)</f>
        <v>0</v>
      </c>
      <c r="I34" s="2" t="str">
        <f t="shared" si="2"/>
        <v>0</v>
      </c>
    </row>
    <row r="35" spans="1:9" x14ac:dyDescent="0.2">
      <c r="A35" s="910" t="str">
        <f>FIXED('Balance N-1'!A35,0,1)</f>
        <v>0</v>
      </c>
      <c r="B35" s="572">
        <f>+'Balance N-1'!B35</f>
        <v>0</v>
      </c>
      <c r="C35" s="679" t="e">
        <f>ROUND('Balance N-1'!#REF!,2)</f>
        <v>#REF!</v>
      </c>
      <c r="D35" s="679" t="e">
        <f>ROUND('Balance N-1'!#REF!,2)</f>
        <v>#REF!</v>
      </c>
      <c r="E35" s="679">
        <f>ROUND('Balance N-1'!C35,2)</f>
        <v>0</v>
      </c>
      <c r="F35" s="679">
        <f>ROUND('Balance N-1'!D35,2)</f>
        <v>0</v>
      </c>
      <c r="G35" s="679">
        <f>ROUND('Balance N-1'!E35,2)</f>
        <v>0</v>
      </c>
      <c r="H35" s="679">
        <f>ROUND('Balance N-1'!F35,2)</f>
        <v>0</v>
      </c>
      <c r="I35" s="2" t="str">
        <f t="shared" si="2"/>
        <v>0</v>
      </c>
    </row>
    <row r="36" spans="1:9" x14ac:dyDescent="0.2">
      <c r="A36" s="910" t="str">
        <f>FIXED('Balance N-1'!A36,0,1)</f>
        <v>0</v>
      </c>
      <c r="B36" s="572">
        <f>+'Balance N-1'!B36</f>
        <v>0</v>
      </c>
      <c r="C36" s="679" t="e">
        <f>ROUND('Balance N-1'!#REF!,2)</f>
        <v>#REF!</v>
      </c>
      <c r="D36" s="679" t="e">
        <f>ROUND('Balance N-1'!#REF!,2)</f>
        <v>#REF!</v>
      </c>
      <c r="E36" s="679">
        <f>ROUND('Balance N-1'!C36,2)</f>
        <v>0</v>
      </c>
      <c r="F36" s="679">
        <f>ROUND('Balance N-1'!D36,2)</f>
        <v>0</v>
      </c>
      <c r="G36" s="679">
        <f>ROUND('Balance N-1'!E36,2)</f>
        <v>0</v>
      </c>
      <c r="H36" s="679">
        <f>ROUND('Balance N-1'!F36,2)</f>
        <v>0</v>
      </c>
      <c r="I36" s="2" t="str">
        <f t="shared" si="2"/>
        <v>0</v>
      </c>
    </row>
    <row r="37" spans="1:9" x14ac:dyDescent="0.2">
      <c r="A37" s="910" t="str">
        <f>FIXED('Balance N-1'!A37,0,1)</f>
        <v>0</v>
      </c>
      <c r="B37" s="572">
        <f>+'Balance N-1'!B37</f>
        <v>0</v>
      </c>
      <c r="C37" s="679" t="e">
        <f>ROUND('Balance N-1'!#REF!,2)</f>
        <v>#REF!</v>
      </c>
      <c r="D37" s="679" t="e">
        <f>ROUND('Balance N-1'!#REF!,2)</f>
        <v>#REF!</v>
      </c>
      <c r="E37" s="679">
        <f>ROUND('Balance N-1'!C37,2)</f>
        <v>0</v>
      </c>
      <c r="F37" s="679">
        <f>ROUND('Balance N-1'!D37,2)</f>
        <v>0</v>
      </c>
      <c r="G37" s="679">
        <f>ROUND('Balance N-1'!E37,2)</f>
        <v>0</v>
      </c>
      <c r="H37" s="679">
        <f>ROUND('Balance N-1'!F37,2)</f>
        <v>0</v>
      </c>
      <c r="I37" s="2" t="str">
        <f t="shared" si="2"/>
        <v>0</v>
      </c>
    </row>
    <row r="38" spans="1:9" x14ac:dyDescent="0.2">
      <c r="A38" s="910" t="str">
        <f>FIXED('Balance N-1'!A38,0,1)</f>
        <v>0</v>
      </c>
      <c r="B38" s="572">
        <f>+'Balance N-1'!B38</f>
        <v>0</v>
      </c>
      <c r="C38" s="679" t="e">
        <f>ROUND('Balance N-1'!#REF!,2)</f>
        <v>#REF!</v>
      </c>
      <c r="D38" s="679" t="e">
        <f>ROUND('Balance N-1'!#REF!,2)</f>
        <v>#REF!</v>
      </c>
      <c r="E38" s="679">
        <f>ROUND('Balance N-1'!C38,2)</f>
        <v>0</v>
      </c>
      <c r="F38" s="679">
        <f>ROUND('Balance N-1'!D38,2)</f>
        <v>0</v>
      </c>
      <c r="G38" s="679">
        <f>ROUND('Balance N-1'!E38,2)</f>
        <v>0</v>
      </c>
      <c r="H38" s="679">
        <f>ROUND('Balance N-1'!F38,2)</f>
        <v>0</v>
      </c>
      <c r="I38" s="2" t="str">
        <f t="shared" si="2"/>
        <v>0</v>
      </c>
    </row>
    <row r="39" spans="1:9" x14ac:dyDescent="0.2">
      <c r="A39" s="910" t="str">
        <f>FIXED('Balance N-1'!A39,0,1)</f>
        <v>0</v>
      </c>
      <c r="B39" s="572">
        <f>+'Balance N-1'!B39</f>
        <v>0</v>
      </c>
      <c r="C39" s="679" t="e">
        <f>ROUND('Balance N-1'!#REF!,2)</f>
        <v>#REF!</v>
      </c>
      <c r="D39" s="679" t="e">
        <f>ROUND('Balance N-1'!#REF!,2)</f>
        <v>#REF!</v>
      </c>
      <c r="E39" s="679">
        <f>ROUND('Balance N-1'!C39,2)</f>
        <v>0</v>
      </c>
      <c r="F39" s="679">
        <f>ROUND('Balance N-1'!D39,2)</f>
        <v>0</v>
      </c>
      <c r="G39" s="679">
        <f>ROUND('Balance N-1'!E39,2)</f>
        <v>0</v>
      </c>
      <c r="H39" s="679">
        <f>ROUND('Balance N-1'!F39,2)</f>
        <v>0</v>
      </c>
      <c r="I39" s="2" t="str">
        <f t="shared" si="2"/>
        <v>0</v>
      </c>
    </row>
    <row r="40" spans="1:9" x14ac:dyDescent="0.2">
      <c r="A40" s="910" t="str">
        <f>FIXED('Balance N-1'!A40,0,1)</f>
        <v>0</v>
      </c>
      <c r="B40" s="572">
        <f>+'Balance N-1'!B40</f>
        <v>0</v>
      </c>
      <c r="C40" s="679" t="e">
        <f>ROUND('Balance N-1'!#REF!,2)</f>
        <v>#REF!</v>
      </c>
      <c r="D40" s="679" t="e">
        <f>ROUND('Balance N-1'!#REF!,2)</f>
        <v>#REF!</v>
      </c>
      <c r="E40" s="679">
        <f>ROUND('Balance N-1'!C40,2)</f>
        <v>0</v>
      </c>
      <c r="F40" s="679">
        <f>ROUND('Balance N-1'!D40,2)</f>
        <v>0</v>
      </c>
      <c r="G40" s="679">
        <f>ROUND('Balance N-1'!E40,2)</f>
        <v>0</v>
      </c>
      <c r="H40" s="679">
        <f>ROUND('Balance N-1'!F40,2)</f>
        <v>0</v>
      </c>
      <c r="I40" s="2" t="str">
        <f t="shared" si="2"/>
        <v>0</v>
      </c>
    </row>
    <row r="41" spans="1:9" x14ac:dyDescent="0.2">
      <c r="A41" s="910" t="str">
        <f>FIXED('Balance N-1'!A41,0,1)</f>
        <v>0</v>
      </c>
      <c r="B41" s="572">
        <f>+'Balance N-1'!B41</f>
        <v>0</v>
      </c>
      <c r="C41" s="679" t="e">
        <f>ROUND('Balance N-1'!#REF!,2)</f>
        <v>#REF!</v>
      </c>
      <c r="D41" s="679" t="e">
        <f>ROUND('Balance N-1'!#REF!,2)</f>
        <v>#REF!</v>
      </c>
      <c r="E41" s="679">
        <f>ROUND('Balance N-1'!C41,2)</f>
        <v>0</v>
      </c>
      <c r="F41" s="679">
        <f>ROUND('Balance N-1'!D41,2)</f>
        <v>0</v>
      </c>
      <c r="G41" s="679">
        <f>ROUND('Balance N-1'!E41,2)</f>
        <v>0</v>
      </c>
      <c r="H41" s="679">
        <f>ROUND('Balance N-1'!F41,2)</f>
        <v>0</v>
      </c>
      <c r="I41" s="2" t="str">
        <f t="shared" si="2"/>
        <v>0</v>
      </c>
    </row>
    <row r="42" spans="1:9" x14ac:dyDescent="0.2">
      <c r="A42" s="910" t="str">
        <f>FIXED('Balance N-1'!A42,0,1)</f>
        <v>0</v>
      </c>
      <c r="B42" s="572">
        <f>+'Balance N-1'!B42</f>
        <v>0</v>
      </c>
      <c r="C42" s="679" t="e">
        <f>ROUND('Balance N-1'!#REF!,2)</f>
        <v>#REF!</v>
      </c>
      <c r="D42" s="679" t="e">
        <f>ROUND('Balance N-1'!#REF!,2)</f>
        <v>#REF!</v>
      </c>
      <c r="E42" s="679">
        <f>ROUND('Balance N-1'!C42,2)</f>
        <v>0</v>
      </c>
      <c r="F42" s="679">
        <f>ROUND('Balance N-1'!D42,2)</f>
        <v>0</v>
      </c>
      <c r="G42" s="679">
        <f>ROUND('Balance N-1'!E42,2)</f>
        <v>0</v>
      </c>
      <c r="H42" s="679">
        <f>ROUND('Balance N-1'!F42,2)</f>
        <v>0</v>
      </c>
      <c r="I42" s="2" t="str">
        <f t="shared" si="2"/>
        <v>0</v>
      </c>
    </row>
    <row r="43" spans="1:9" x14ac:dyDescent="0.2">
      <c r="A43" s="910" t="str">
        <f>FIXED('Balance N-1'!A43,0,1)</f>
        <v>0</v>
      </c>
      <c r="B43" s="572">
        <f>+'Balance N-1'!B43</f>
        <v>0</v>
      </c>
      <c r="C43" s="679" t="e">
        <f>ROUND('Balance N-1'!#REF!,2)</f>
        <v>#REF!</v>
      </c>
      <c r="D43" s="679" t="e">
        <f>ROUND('Balance N-1'!#REF!,2)</f>
        <v>#REF!</v>
      </c>
      <c r="E43" s="679">
        <f>ROUND('Balance N-1'!C43,2)</f>
        <v>0</v>
      </c>
      <c r="F43" s="679">
        <f>ROUND('Balance N-1'!D43,2)</f>
        <v>0</v>
      </c>
      <c r="G43" s="679">
        <f>ROUND('Balance N-1'!E43,2)</f>
        <v>0</v>
      </c>
      <c r="H43" s="679">
        <f>ROUND('Balance N-1'!F43,2)</f>
        <v>0</v>
      </c>
      <c r="I43" s="2" t="str">
        <f t="shared" si="2"/>
        <v>0</v>
      </c>
    </row>
    <row r="44" spans="1:9" x14ac:dyDescent="0.2">
      <c r="A44" s="910" t="str">
        <f>FIXED('Balance N-1'!A44,0,1)</f>
        <v>0</v>
      </c>
      <c r="B44" s="572">
        <f>+'Balance N-1'!B44</f>
        <v>0</v>
      </c>
      <c r="C44" s="679" t="e">
        <f>ROUND('Balance N-1'!#REF!,2)</f>
        <v>#REF!</v>
      </c>
      <c r="D44" s="679" t="e">
        <f>ROUND('Balance N-1'!#REF!,2)</f>
        <v>#REF!</v>
      </c>
      <c r="E44" s="679">
        <f>ROUND('Balance N-1'!C44,2)</f>
        <v>0</v>
      </c>
      <c r="F44" s="679">
        <f>ROUND('Balance N-1'!D44,2)</f>
        <v>0</v>
      </c>
      <c r="G44" s="679">
        <f>ROUND('Balance N-1'!E44,2)</f>
        <v>0</v>
      </c>
      <c r="H44" s="679">
        <f>ROUND('Balance N-1'!F44,2)</f>
        <v>0</v>
      </c>
      <c r="I44" s="2" t="str">
        <f t="shared" si="2"/>
        <v>0</v>
      </c>
    </row>
    <row r="45" spans="1:9" x14ac:dyDescent="0.2">
      <c r="A45" s="910" t="str">
        <f>FIXED('Balance N-1'!A45,0,1)</f>
        <v>0</v>
      </c>
      <c r="B45" s="572">
        <f>+'Balance N-1'!B45</f>
        <v>0</v>
      </c>
      <c r="C45" s="679" t="e">
        <f>ROUND('Balance N-1'!#REF!,2)</f>
        <v>#REF!</v>
      </c>
      <c r="D45" s="679" t="e">
        <f>ROUND('Balance N-1'!#REF!,2)</f>
        <v>#REF!</v>
      </c>
      <c r="E45" s="679">
        <f>ROUND('Balance N-1'!C45,2)</f>
        <v>0</v>
      </c>
      <c r="F45" s="679">
        <f>ROUND('Balance N-1'!D45,2)</f>
        <v>0</v>
      </c>
      <c r="G45" s="679">
        <f>ROUND('Balance N-1'!E45,2)</f>
        <v>0</v>
      </c>
      <c r="H45" s="679">
        <f>ROUND('Balance N-1'!F45,2)</f>
        <v>0</v>
      </c>
      <c r="I45" s="2" t="str">
        <f t="shared" si="2"/>
        <v>0</v>
      </c>
    </row>
    <row r="46" spans="1:9" x14ac:dyDescent="0.2">
      <c r="A46" s="910" t="str">
        <f>FIXED('Balance N-1'!A46,0,1)</f>
        <v>0</v>
      </c>
      <c r="B46" s="572">
        <f>+'Balance N-1'!B46</f>
        <v>0</v>
      </c>
      <c r="C46" s="679" t="e">
        <f>ROUND('Balance N-1'!#REF!,2)</f>
        <v>#REF!</v>
      </c>
      <c r="D46" s="679" t="e">
        <f>ROUND('Balance N-1'!#REF!,2)</f>
        <v>#REF!</v>
      </c>
      <c r="E46" s="679">
        <f>ROUND('Balance N-1'!C46,2)</f>
        <v>0</v>
      </c>
      <c r="F46" s="679">
        <f>ROUND('Balance N-1'!D46,2)</f>
        <v>0</v>
      </c>
      <c r="G46" s="679">
        <f>ROUND('Balance N-1'!E46,2)</f>
        <v>0</v>
      </c>
      <c r="H46" s="679">
        <f>ROUND('Balance N-1'!F46,2)</f>
        <v>0</v>
      </c>
      <c r="I46" s="2" t="str">
        <f t="shared" si="2"/>
        <v>0</v>
      </c>
    </row>
    <row r="47" spans="1:9" x14ac:dyDescent="0.2">
      <c r="A47" s="910" t="str">
        <f>FIXED('Balance N-1'!A47,0,1)</f>
        <v>0</v>
      </c>
      <c r="B47" s="572">
        <f>+'Balance N-1'!B47</f>
        <v>0</v>
      </c>
      <c r="C47" s="679" t="e">
        <f>ROUND('Balance N-1'!#REF!,2)</f>
        <v>#REF!</v>
      </c>
      <c r="D47" s="679" t="e">
        <f>ROUND('Balance N-1'!#REF!,2)</f>
        <v>#REF!</v>
      </c>
      <c r="E47" s="679">
        <f>ROUND('Balance N-1'!C47,2)</f>
        <v>0</v>
      </c>
      <c r="F47" s="679">
        <f>ROUND('Balance N-1'!D47,2)</f>
        <v>0</v>
      </c>
      <c r="G47" s="679">
        <f>ROUND('Balance N-1'!E47,2)</f>
        <v>0</v>
      </c>
      <c r="H47" s="679">
        <f>ROUND('Balance N-1'!F47,2)</f>
        <v>0</v>
      </c>
      <c r="I47" s="2" t="str">
        <f t="shared" si="2"/>
        <v>0</v>
      </c>
    </row>
    <row r="48" spans="1:9" x14ac:dyDescent="0.2">
      <c r="A48" s="910" t="str">
        <f>FIXED('Balance N-1'!A48,0,1)</f>
        <v>0</v>
      </c>
      <c r="B48" s="572">
        <f>+'Balance N-1'!B48</f>
        <v>0</v>
      </c>
      <c r="C48" s="679" t="e">
        <f>ROUND('Balance N-1'!#REF!,2)</f>
        <v>#REF!</v>
      </c>
      <c r="D48" s="679" t="e">
        <f>ROUND('Balance N-1'!#REF!,2)</f>
        <v>#REF!</v>
      </c>
      <c r="E48" s="679">
        <f>ROUND('Balance N-1'!C48,2)</f>
        <v>0</v>
      </c>
      <c r="F48" s="679">
        <f>ROUND('Balance N-1'!D48,2)</f>
        <v>0</v>
      </c>
      <c r="G48" s="679">
        <f>ROUND('Balance N-1'!E48,2)</f>
        <v>0</v>
      </c>
      <c r="H48" s="679">
        <f>ROUND('Balance N-1'!F48,2)</f>
        <v>0</v>
      </c>
      <c r="I48" s="2" t="str">
        <f t="shared" si="2"/>
        <v>0</v>
      </c>
    </row>
    <row r="49" spans="1:9" x14ac:dyDescent="0.2">
      <c r="A49" s="910" t="str">
        <f>FIXED('Balance N-1'!A49,0,1)</f>
        <v>0</v>
      </c>
      <c r="B49" s="572">
        <f>+'Balance N-1'!B49</f>
        <v>0</v>
      </c>
      <c r="C49" s="679" t="e">
        <f>ROUND('Balance N-1'!#REF!,2)</f>
        <v>#REF!</v>
      </c>
      <c r="D49" s="679" t="e">
        <f>ROUND('Balance N-1'!#REF!,2)</f>
        <v>#REF!</v>
      </c>
      <c r="E49" s="679">
        <f>ROUND('Balance N-1'!C49,2)</f>
        <v>0</v>
      </c>
      <c r="F49" s="679">
        <f>ROUND('Balance N-1'!D49,2)</f>
        <v>0</v>
      </c>
      <c r="G49" s="679">
        <f>ROUND('Balance N-1'!E49,2)</f>
        <v>0</v>
      </c>
      <c r="H49" s="679">
        <f>ROUND('Balance N-1'!F49,2)</f>
        <v>0</v>
      </c>
      <c r="I49" s="2" t="str">
        <f t="shared" si="2"/>
        <v>0</v>
      </c>
    </row>
    <row r="50" spans="1:9" x14ac:dyDescent="0.2">
      <c r="A50" s="910" t="str">
        <f>FIXED('Balance N-1'!A50,0,1)</f>
        <v>0</v>
      </c>
      <c r="B50" s="572">
        <f>+'Balance N-1'!B50</f>
        <v>0</v>
      </c>
      <c r="C50" s="679" t="e">
        <f>ROUND('Balance N-1'!#REF!,2)</f>
        <v>#REF!</v>
      </c>
      <c r="D50" s="679" t="e">
        <f>ROUND('Balance N-1'!#REF!,2)</f>
        <v>#REF!</v>
      </c>
      <c r="E50" s="679">
        <f>ROUND('Balance N-1'!C50,2)</f>
        <v>0</v>
      </c>
      <c r="F50" s="679">
        <f>ROUND('Balance N-1'!D50,2)</f>
        <v>0</v>
      </c>
      <c r="G50" s="679">
        <f>ROUND('Balance N-1'!E50,2)</f>
        <v>0</v>
      </c>
      <c r="H50" s="679">
        <f>ROUND('Balance N-1'!F50,2)</f>
        <v>0</v>
      </c>
      <c r="I50" s="2" t="str">
        <f t="shared" si="2"/>
        <v>0</v>
      </c>
    </row>
    <row r="51" spans="1:9" x14ac:dyDescent="0.2">
      <c r="A51" s="910" t="str">
        <f>FIXED('Balance N-1'!A51,0,1)</f>
        <v>0</v>
      </c>
      <c r="B51" s="572">
        <f>+'Balance N-1'!B51</f>
        <v>0</v>
      </c>
      <c r="C51" s="679" t="e">
        <f>ROUND('Balance N-1'!#REF!,2)</f>
        <v>#REF!</v>
      </c>
      <c r="D51" s="679" t="e">
        <f>ROUND('Balance N-1'!#REF!,2)</f>
        <v>#REF!</v>
      </c>
      <c r="E51" s="679">
        <f>ROUND('Balance N-1'!C51,2)</f>
        <v>0</v>
      </c>
      <c r="F51" s="679">
        <f>ROUND('Balance N-1'!D51,2)</f>
        <v>0</v>
      </c>
      <c r="G51" s="679">
        <f>ROUND('Balance N-1'!E51,2)</f>
        <v>0</v>
      </c>
      <c r="H51" s="679">
        <f>ROUND('Balance N-1'!F51,2)</f>
        <v>0</v>
      </c>
      <c r="I51" s="2" t="str">
        <f t="shared" si="2"/>
        <v>0</v>
      </c>
    </row>
    <row r="52" spans="1:9" x14ac:dyDescent="0.2">
      <c r="A52" s="910" t="str">
        <f>FIXED('Balance N-1'!A52,0,1)</f>
        <v>0</v>
      </c>
      <c r="B52" s="572">
        <f>+'Balance N-1'!B52</f>
        <v>0</v>
      </c>
      <c r="C52" s="679" t="e">
        <f>ROUND('Balance N-1'!#REF!,2)</f>
        <v>#REF!</v>
      </c>
      <c r="D52" s="679" t="e">
        <f>ROUND('Balance N-1'!#REF!,2)</f>
        <v>#REF!</v>
      </c>
      <c r="E52" s="679">
        <f>ROUND('Balance N-1'!C52,2)</f>
        <v>0</v>
      </c>
      <c r="F52" s="679">
        <f>ROUND('Balance N-1'!D52,2)</f>
        <v>0</v>
      </c>
      <c r="G52" s="679">
        <f>ROUND('Balance N-1'!E52,2)</f>
        <v>0</v>
      </c>
      <c r="H52" s="679">
        <f>ROUND('Balance N-1'!F52,2)</f>
        <v>0</v>
      </c>
      <c r="I52" s="2" t="str">
        <f t="shared" si="2"/>
        <v>0</v>
      </c>
    </row>
    <row r="53" spans="1:9" x14ac:dyDescent="0.2">
      <c r="A53" s="910" t="str">
        <f>FIXED('Balance N-1'!A53,0,1)</f>
        <v>0</v>
      </c>
      <c r="B53" s="572">
        <f>+'Balance N-1'!B53</f>
        <v>0</v>
      </c>
      <c r="C53" s="679" t="e">
        <f>ROUND('Balance N-1'!#REF!,2)</f>
        <v>#REF!</v>
      </c>
      <c r="D53" s="679" t="e">
        <f>ROUND('Balance N-1'!#REF!,2)</f>
        <v>#REF!</v>
      </c>
      <c r="E53" s="679">
        <f>ROUND('Balance N-1'!C53,2)</f>
        <v>0</v>
      </c>
      <c r="F53" s="679">
        <f>ROUND('Balance N-1'!D53,2)</f>
        <v>0</v>
      </c>
      <c r="G53" s="679">
        <f>ROUND('Balance N-1'!E53,2)</f>
        <v>0</v>
      </c>
      <c r="H53" s="679">
        <f>ROUND('Balance N-1'!F53,2)</f>
        <v>0</v>
      </c>
      <c r="I53" s="2" t="str">
        <f t="shared" si="2"/>
        <v>0</v>
      </c>
    </row>
    <row r="54" spans="1:9" x14ac:dyDescent="0.2">
      <c r="A54" s="910" t="str">
        <f>FIXED('Balance N-1'!A54,0,1)</f>
        <v>0</v>
      </c>
      <c r="B54" s="572">
        <f>+'Balance N-1'!B54</f>
        <v>0</v>
      </c>
      <c r="C54" s="679" t="e">
        <f>ROUND('Balance N-1'!#REF!,2)</f>
        <v>#REF!</v>
      </c>
      <c r="D54" s="679" t="e">
        <f>ROUND('Balance N-1'!#REF!,2)</f>
        <v>#REF!</v>
      </c>
      <c r="E54" s="679">
        <f>ROUND('Balance N-1'!C54,2)</f>
        <v>0</v>
      </c>
      <c r="F54" s="679">
        <f>ROUND('Balance N-1'!D54,2)</f>
        <v>0</v>
      </c>
      <c r="G54" s="679">
        <f>ROUND('Balance N-1'!E54,2)</f>
        <v>0</v>
      </c>
      <c r="H54" s="679">
        <f>ROUND('Balance N-1'!F54,2)</f>
        <v>0</v>
      </c>
      <c r="I54" s="2" t="str">
        <f t="shared" si="2"/>
        <v>0</v>
      </c>
    </row>
    <row r="55" spans="1:9" x14ac:dyDescent="0.2">
      <c r="A55" s="910" t="str">
        <f>FIXED('Balance N-1'!A55,0,1)</f>
        <v>0</v>
      </c>
      <c r="B55" s="572">
        <f>+'Balance N-1'!B55</f>
        <v>0</v>
      </c>
      <c r="C55" s="679" t="e">
        <f>ROUND('Balance N-1'!#REF!,2)</f>
        <v>#REF!</v>
      </c>
      <c r="D55" s="679" t="e">
        <f>ROUND('Balance N-1'!#REF!,2)</f>
        <v>#REF!</v>
      </c>
      <c r="E55" s="679">
        <f>ROUND('Balance N-1'!C55,2)</f>
        <v>0</v>
      </c>
      <c r="F55" s="679">
        <f>ROUND('Balance N-1'!D55,2)</f>
        <v>0</v>
      </c>
      <c r="G55" s="679">
        <f>ROUND('Balance N-1'!E55,2)</f>
        <v>0</v>
      </c>
      <c r="H55" s="679">
        <f>ROUND('Balance N-1'!F55,2)</f>
        <v>0</v>
      </c>
      <c r="I55" s="2" t="str">
        <f t="shared" si="2"/>
        <v>0</v>
      </c>
    </row>
    <row r="56" spans="1:9" x14ac:dyDescent="0.2">
      <c r="A56" s="910" t="str">
        <f>FIXED('Balance N-1'!A56,0,1)</f>
        <v>0</v>
      </c>
      <c r="B56" s="572">
        <f>+'Balance N-1'!B56</f>
        <v>0</v>
      </c>
      <c r="C56" s="679" t="e">
        <f>ROUND('Balance N-1'!#REF!,2)</f>
        <v>#REF!</v>
      </c>
      <c r="D56" s="679" t="e">
        <f>ROUND('Balance N-1'!#REF!,2)</f>
        <v>#REF!</v>
      </c>
      <c r="E56" s="679">
        <f>ROUND('Balance N-1'!C56,2)</f>
        <v>0</v>
      </c>
      <c r="F56" s="679">
        <f>ROUND('Balance N-1'!D56,2)</f>
        <v>0</v>
      </c>
      <c r="G56" s="679">
        <f>ROUND('Balance N-1'!E56,2)</f>
        <v>0</v>
      </c>
      <c r="H56" s="679">
        <f>ROUND('Balance N-1'!F56,2)</f>
        <v>0</v>
      </c>
      <c r="I56" s="2" t="str">
        <f t="shared" si="2"/>
        <v>0</v>
      </c>
    </row>
    <row r="57" spans="1:9" x14ac:dyDescent="0.2">
      <c r="A57" s="910" t="str">
        <f>FIXED('Balance N-1'!A57,0,1)</f>
        <v>0</v>
      </c>
      <c r="B57" s="572">
        <f>+'Balance N-1'!B57</f>
        <v>0</v>
      </c>
      <c r="C57" s="679" t="e">
        <f>ROUND('Balance N-1'!#REF!,2)</f>
        <v>#REF!</v>
      </c>
      <c r="D57" s="679" t="e">
        <f>ROUND('Balance N-1'!#REF!,2)</f>
        <v>#REF!</v>
      </c>
      <c r="E57" s="679">
        <f>ROUND('Balance N-1'!C57,2)</f>
        <v>0</v>
      </c>
      <c r="F57" s="679">
        <f>ROUND('Balance N-1'!D57,2)</f>
        <v>0</v>
      </c>
      <c r="G57" s="679">
        <f>ROUND('Balance N-1'!E57,2)</f>
        <v>0</v>
      </c>
      <c r="H57" s="679">
        <f>ROUND('Balance N-1'!F57,2)</f>
        <v>0</v>
      </c>
      <c r="I57" s="2" t="str">
        <f t="shared" si="2"/>
        <v>0</v>
      </c>
    </row>
    <row r="58" spans="1:9" x14ac:dyDescent="0.2">
      <c r="A58" s="910" t="str">
        <f>FIXED('Balance N-1'!A58,0,1)</f>
        <v>0</v>
      </c>
      <c r="B58" s="572">
        <f>+'Balance N-1'!B58</f>
        <v>0</v>
      </c>
      <c r="C58" s="679" t="e">
        <f>ROUND('Balance N-1'!#REF!,2)</f>
        <v>#REF!</v>
      </c>
      <c r="D58" s="679" t="e">
        <f>ROUND('Balance N-1'!#REF!,2)</f>
        <v>#REF!</v>
      </c>
      <c r="E58" s="679">
        <f>ROUND('Balance N-1'!C58,2)</f>
        <v>0</v>
      </c>
      <c r="F58" s="679">
        <f>ROUND('Balance N-1'!D58,2)</f>
        <v>0</v>
      </c>
      <c r="G58" s="679">
        <f>ROUND('Balance N-1'!E58,2)</f>
        <v>0</v>
      </c>
      <c r="H58" s="679">
        <f>ROUND('Balance N-1'!F58,2)</f>
        <v>0</v>
      </c>
      <c r="I58" s="2" t="str">
        <f t="shared" si="2"/>
        <v>0</v>
      </c>
    </row>
    <row r="59" spans="1:9" x14ac:dyDescent="0.2">
      <c r="A59" s="910" t="str">
        <f>FIXED('Balance N-1'!A59,0,1)</f>
        <v>0</v>
      </c>
      <c r="B59" s="572">
        <f>+'Balance N-1'!B59</f>
        <v>0</v>
      </c>
      <c r="C59" s="679" t="e">
        <f>ROUND('Balance N-1'!#REF!,2)</f>
        <v>#REF!</v>
      </c>
      <c r="D59" s="679" t="e">
        <f>ROUND('Balance N-1'!#REF!,2)</f>
        <v>#REF!</v>
      </c>
      <c r="E59" s="679">
        <f>ROUND('Balance N-1'!C59,2)</f>
        <v>0</v>
      </c>
      <c r="F59" s="679">
        <f>ROUND('Balance N-1'!D59,2)</f>
        <v>0</v>
      </c>
      <c r="G59" s="679">
        <f>ROUND('Balance N-1'!E59,2)</f>
        <v>0</v>
      </c>
      <c r="H59" s="679">
        <f>ROUND('Balance N-1'!F59,2)</f>
        <v>0</v>
      </c>
      <c r="I59" s="2" t="str">
        <f t="shared" si="2"/>
        <v>0</v>
      </c>
    </row>
    <row r="60" spans="1:9" x14ac:dyDescent="0.2">
      <c r="A60" s="910" t="str">
        <f>FIXED('Balance N-1'!A60,0,1)</f>
        <v>0</v>
      </c>
      <c r="B60" s="572">
        <f>+'Balance N-1'!B60</f>
        <v>0</v>
      </c>
      <c r="C60" s="679" t="e">
        <f>ROUND('Balance N-1'!#REF!,2)</f>
        <v>#REF!</v>
      </c>
      <c r="D60" s="679" t="e">
        <f>ROUND('Balance N-1'!#REF!,2)</f>
        <v>#REF!</v>
      </c>
      <c r="E60" s="679">
        <f>ROUND('Balance N-1'!C60,2)</f>
        <v>0</v>
      </c>
      <c r="F60" s="679">
        <f>ROUND('Balance N-1'!D60,2)</f>
        <v>0</v>
      </c>
      <c r="G60" s="679">
        <f>ROUND('Balance N-1'!E60,2)</f>
        <v>0</v>
      </c>
      <c r="H60" s="679">
        <f>ROUND('Balance N-1'!F60,2)</f>
        <v>0</v>
      </c>
      <c r="I60" s="2" t="str">
        <f t="shared" si="2"/>
        <v>0</v>
      </c>
    </row>
    <row r="61" spans="1:9" x14ac:dyDescent="0.2">
      <c r="A61" s="910" t="str">
        <f>FIXED('Balance N-1'!A61,0,1)</f>
        <v>0</v>
      </c>
      <c r="B61" s="572">
        <f>+'Balance N-1'!B61</f>
        <v>0</v>
      </c>
      <c r="C61" s="679" t="e">
        <f>ROUND('Balance N-1'!#REF!,2)</f>
        <v>#REF!</v>
      </c>
      <c r="D61" s="679" t="e">
        <f>ROUND('Balance N-1'!#REF!,2)</f>
        <v>#REF!</v>
      </c>
      <c r="E61" s="679">
        <f>ROUND('Balance N-1'!C61,2)</f>
        <v>0</v>
      </c>
      <c r="F61" s="679">
        <f>ROUND('Balance N-1'!D61,2)</f>
        <v>0</v>
      </c>
      <c r="G61" s="679">
        <f>ROUND('Balance N-1'!E61,2)</f>
        <v>0</v>
      </c>
      <c r="H61" s="679">
        <f>ROUND('Balance N-1'!F61,2)</f>
        <v>0</v>
      </c>
      <c r="I61" s="2" t="str">
        <f t="shared" si="2"/>
        <v>0</v>
      </c>
    </row>
    <row r="62" spans="1:9" x14ac:dyDescent="0.2">
      <c r="A62" s="910" t="str">
        <f>FIXED('Balance N-1'!A62,0,1)</f>
        <v>0</v>
      </c>
      <c r="B62" s="572">
        <f>+'Balance N-1'!B62</f>
        <v>0</v>
      </c>
      <c r="C62" s="679" t="e">
        <f>ROUND('Balance N-1'!#REF!,2)</f>
        <v>#REF!</v>
      </c>
      <c r="D62" s="679" t="e">
        <f>ROUND('Balance N-1'!#REF!,2)</f>
        <v>#REF!</v>
      </c>
      <c r="E62" s="679">
        <f>ROUND('Balance N-1'!C62,2)</f>
        <v>0</v>
      </c>
      <c r="F62" s="679">
        <f>ROUND('Balance N-1'!D62,2)</f>
        <v>0</v>
      </c>
      <c r="G62" s="679">
        <f>ROUND('Balance N-1'!E62,2)</f>
        <v>0</v>
      </c>
      <c r="H62" s="679">
        <f>ROUND('Balance N-1'!F62,2)</f>
        <v>0</v>
      </c>
      <c r="I62" s="2" t="str">
        <f t="shared" si="2"/>
        <v>0</v>
      </c>
    </row>
    <row r="63" spans="1:9" x14ac:dyDescent="0.2">
      <c r="A63" s="910" t="str">
        <f>FIXED('Balance N-1'!A63,0,1)</f>
        <v>0</v>
      </c>
      <c r="B63" s="572">
        <f>+'Balance N-1'!B63</f>
        <v>0</v>
      </c>
      <c r="C63" s="679" t="e">
        <f>ROUND('Balance N-1'!#REF!,2)</f>
        <v>#REF!</v>
      </c>
      <c r="D63" s="679" t="e">
        <f>ROUND('Balance N-1'!#REF!,2)</f>
        <v>#REF!</v>
      </c>
      <c r="E63" s="679">
        <f>ROUND('Balance N-1'!C63,2)</f>
        <v>0</v>
      </c>
      <c r="F63" s="679">
        <f>ROUND('Balance N-1'!D63,2)</f>
        <v>0</v>
      </c>
      <c r="G63" s="679">
        <f>ROUND('Balance N-1'!E63,2)</f>
        <v>0</v>
      </c>
      <c r="H63" s="679">
        <f>ROUND('Balance N-1'!F63,2)</f>
        <v>0</v>
      </c>
      <c r="I63" s="2" t="str">
        <f t="shared" si="2"/>
        <v>0</v>
      </c>
    </row>
    <row r="64" spans="1:9" x14ac:dyDescent="0.2">
      <c r="A64" s="910" t="str">
        <f>FIXED('Balance N-1'!A64,0,1)</f>
        <v>0</v>
      </c>
      <c r="B64" s="572">
        <f>+'Balance N-1'!B64</f>
        <v>0</v>
      </c>
      <c r="C64" s="679" t="e">
        <f>ROUND('Balance N-1'!#REF!,2)</f>
        <v>#REF!</v>
      </c>
      <c r="D64" s="679" t="e">
        <f>ROUND('Balance N-1'!#REF!,2)</f>
        <v>#REF!</v>
      </c>
      <c r="E64" s="679">
        <f>ROUND('Balance N-1'!C64,2)</f>
        <v>0</v>
      </c>
      <c r="F64" s="679">
        <f>ROUND('Balance N-1'!D64,2)</f>
        <v>0</v>
      </c>
      <c r="G64" s="679">
        <f>ROUND('Balance N-1'!E64,2)</f>
        <v>0</v>
      </c>
      <c r="H64" s="679">
        <f>ROUND('Balance N-1'!F64,2)</f>
        <v>0</v>
      </c>
      <c r="I64" s="2" t="str">
        <f t="shared" si="2"/>
        <v>0</v>
      </c>
    </row>
    <row r="65" spans="1:9" x14ac:dyDescent="0.2">
      <c r="A65" s="910" t="str">
        <f>FIXED('Balance N-1'!A65,0,1)</f>
        <v>0</v>
      </c>
      <c r="B65" s="572">
        <f>+'Balance N-1'!B65</f>
        <v>0</v>
      </c>
      <c r="C65" s="679" t="e">
        <f>ROUND('Balance N-1'!#REF!,2)</f>
        <v>#REF!</v>
      </c>
      <c r="D65" s="679" t="e">
        <f>ROUND('Balance N-1'!#REF!,2)</f>
        <v>#REF!</v>
      </c>
      <c r="E65" s="679">
        <f>ROUND('Balance N-1'!C65,2)</f>
        <v>0</v>
      </c>
      <c r="F65" s="679">
        <f>ROUND('Balance N-1'!D65,2)</f>
        <v>0</v>
      </c>
      <c r="G65" s="679">
        <f>ROUND('Balance N-1'!E65,2)</f>
        <v>0</v>
      </c>
      <c r="H65" s="679">
        <f>ROUND('Balance N-1'!F65,2)</f>
        <v>0</v>
      </c>
      <c r="I65" s="2" t="str">
        <f t="shared" si="2"/>
        <v>0</v>
      </c>
    </row>
    <row r="66" spans="1:9" x14ac:dyDescent="0.2">
      <c r="A66" s="910" t="str">
        <f>FIXED('Balance N-1'!A66,0,1)</f>
        <v>0</v>
      </c>
      <c r="B66" s="572">
        <f>+'Balance N-1'!B66</f>
        <v>0</v>
      </c>
      <c r="C66" s="679" t="e">
        <f>ROUND('Balance N-1'!#REF!,2)</f>
        <v>#REF!</v>
      </c>
      <c r="D66" s="679" t="e">
        <f>ROUND('Balance N-1'!#REF!,2)</f>
        <v>#REF!</v>
      </c>
      <c r="E66" s="679">
        <f>ROUND('Balance N-1'!C66,2)</f>
        <v>0</v>
      </c>
      <c r="F66" s="679">
        <f>ROUND('Balance N-1'!D66,2)</f>
        <v>0</v>
      </c>
      <c r="G66" s="679">
        <f>ROUND('Balance N-1'!E66,2)</f>
        <v>0</v>
      </c>
      <c r="H66" s="679">
        <f>ROUND('Balance N-1'!F66,2)</f>
        <v>0</v>
      </c>
      <c r="I66" s="2" t="str">
        <f t="shared" si="2"/>
        <v>0</v>
      </c>
    </row>
    <row r="67" spans="1:9" x14ac:dyDescent="0.2">
      <c r="A67" s="910" t="str">
        <f>FIXED('Balance N-1'!A67,0,1)</f>
        <v>0</v>
      </c>
      <c r="B67" s="572">
        <f>+'Balance N-1'!B67</f>
        <v>0</v>
      </c>
      <c r="C67" s="679" t="e">
        <f>ROUND('Balance N-1'!#REF!,2)</f>
        <v>#REF!</v>
      </c>
      <c r="D67" s="679" t="e">
        <f>ROUND('Balance N-1'!#REF!,2)</f>
        <v>#REF!</v>
      </c>
      <c r="E67" s="679">
        <f>ROUND('Balance N-1'!C67,2)</f>
        <v>0</v>
      </c>
      <c r="F67" s="679">
        <f>ROUND('Balance N-1'!D67,2)</f>
        <v>0</v>
      </c>
      <c r="G67" s="679">
        <f>ROUND('Balance N-1'!E67,2)</f>
        <v>0</v>
      </c>
      <c r="H67" s="679">
        <f>ROUND('Balance N-1'!F67,2)</f>
        <v>0</v>
      </c>
      <c r="I67" s="2" t="str">
        <f t="shared" ref="I67:I130" si="4">MID(A67,1,1)</f>
        <v>0</v>
      </c>
    </row>
    <row r="68" spans="1:9" x14ac:dyDescent="0.2">
      <c r="A68" s="910" t="str">
        <f>FIXED('Balance N-1'!A68,0,1)</f>
        <v>0</v>
      </c>
      <c r="B68" s="572">
        <f>+'Balance N-1'!B68</f>
        <v>0</v>
      </c>
      <c r="C68" s="679" t="e">
        <f>ROUND('Balance N-1'!#REF!,2)</f>
        <v>#REF!</v>
      </c>
      <c r="D68" s="679" t="e">
        <f>ROUND('Balance N-1'!#REF!,2)</f>
        <v>#REF!</v>
      </c>
      <c r="E68" s="679">
        <f>ROUND('Balance N-1'!C68,2)</f>
        <v>0</v>
      </c>
      <c r="F68" s="679">
        <f>ROUND('Balance N-1'!D68,2)</f>
        <v>0</v>
      </c>
      <c r="G68" s="679">
        <f>ROUND('Balance N-1'!E68,2)</f>
        <v>0</v>
      </c>
      <c r="H68" s="679">
        <f>ROUND('Balance N-1'!F68,2)</f>
        <v>0</v>
      </c>
      <c r="I68" s="2" t="str">
        <f t="shared" si="4"/>
        <v>0</v>
      </c>
    </row>
    <row r="69" spans="1:9" x14ac:dyDescent="0.2">
      <c r="A69" s="910" t="str">
        <f>FIXED('Balance N-1'!A69,0,1)</f>
        <v>0</v>
      </c>
      <c r="B69" s="572">
        <f>+'Balance N-1'!B69</f>
        <v>0</v>
      </c>
      <c r="C69" s="679" t="e">
        <f>ROUND('Balance N-1'!#REF!,2)</f>
        <v>#REF!</v>
      </c>
      <c r="D69" s="679" t="e">
        <f>ROUND('Balance N-1'!#REF!,2)</f>
        <v>#REF!</v>
      </c>
      <c r="E69" s="679">
        <f>ROUND('Balance N-1'!C69,2)</f>
        <v>0</v>
      </c>
      <c r="F69" s="679">
        <f>ROUND('Balance N-1'!D69,2)</f>
        <v>0</v>
      </c>
      <c r="G69" s="679">
        <f>ROUND('Balance N-1'!E69,2)</f>
        <v>0</v>
      </c>
      <c r="H69" s="679">
        <f>ROUND('Balance N-1'!F69,2)</f>
        <v>0</v>
      </c>
      <c r="I69" s="2" t="str">
        <f t="shared" si="4"/>
        <v>0</v>
      </c>
    </row>
    <row r="70" spans="1:9" x14ac:dyDescent="0.2">
      <c r="A70" s="910" t="str">
        <f>FIXED('Balance N-1'!A70,0,1)</f>
        <v>0</v>
      </c>
      <c r="B70" s="572">
        <f>+'Balance N-1'!B70</f>
        <v>0</v>
      </c>
      <c r="C70" s="679" t="e">
        <f>ROUND('Balance N-1'!#REF!,2)</f>
        <v>#REF!</v>
      </c>
      <c r="D70" s="679" t="e">
        <f>ROUND('Balance N-1'!#REF!,2)</f>
        <v>#REF!</v>
      </c>
      <c r="E70" s="679">
        <f>ROUND('Balance N-1'!C70,2)</f>
        <v>0</v>
      </c>
      <c r="F70" s="679">
        <f>ROUND('Balance N-1'!D70,2)</f>
        <v>0</v>
      </c>
      <c r="G70" s="679">
        <f>ROUND('Balance N-1'!E70,2)</f>
        <v>0</v>
      </c>
      <c r="H70" s="679">
        <f>ROUND('Balance N-1'!F70,2)</f>
        <v>0</v>
      </c>
      <c r="I70" s="2" t="str">
        <f t="shared" si="4"/>
        <v>0</v>
      </c>
    </row>
    <row r="71" spans="1:9" x14ac:dyDescent="0.2">
      <c r="A71" s="910" t="str">
        <f>FIXED('Balance N-1'!A71,0,1)</f>
        <v>0</v>
      </c>
      <c r="B71" s="572">
        <f>+'Balance N-1'!B71</f>
        <v>0</v>
      </c>
      <c r="C71" s="679" t="e">
        <f>ROUND('Balance N-1'!#REF!,2)</f>
        <v>#REF!</v>
      </c>
      <c r="D71" s="679" t="e">
        <f>ROUND('Balance N-1'!#REF!,2)</f>
        <v>#REF!</v>
      </c>
      <c r="E71" s="679">
        <f>ROUND('Balance N-1'!C71,2)</f>
        <v>0</v>
      </c>
      <c r="F71" s="679">
        <f>ROUND('Balance N-1'!D71,2)</f>
        <v>0</v>
      </c>
      <c r="G71" s="679">
        <f>ROUND('Balance N-1'!E71,2)</f>
        <v>0</v>
      </c>
      <c r="H71" s="679">
        <f>ROUND('Balance N-1'!F71,2)</f>
        <v>0</v>
      </c>
      <c r="I71" s="2" t="str">
        <f t="shared" si="4"/>
        <v>0</v>
      </c>
    </row>
    <row r="72" spans="1:9" x14ac:dyDescent="0.2">
      <c r="A72" s="910" t="str">
        <f>FIXED('Balance N-1'!A72,0,1)</f>
        <v>0</v>
      </c>
      <c r="B72" s="572">
        <f>+'Balance N-1'!B72</f>
        <v>0</v>
      </c>
      <c r="C72" s="679" t="e">
        <f>ROUND('Balance N-1'!#REF!,2)</f>
        <v>#REF!</v>
      </c>
      <c r="D72" s="679" t="e">
        <f>ROUND('Balance N-1'!#REF!,2)</f>
        <v>#REF!</v>
      </c>
      <c r="E72" s="679">
        <f>ROUND('Balance N-1'!C72,2)</f>
        <v>0</v>
      </c>
      <c r="F72" s="679">
        <f>ROUND('Balance N-1'!D72,2)</f>
        <v>0</v>
      </c>
      <c r="G72" s="679">
        <f>ROUND('Balance N-1'!E72,2)</f>
        <v>0</v>
      </c>
      <c r="H72" s="679">
        <f>ROUND('Balance N-1'!F72,2)</f>
        <v>0</v>
      </c>
      <c r="I72" s="2" t="str">
        <f t="shared" si="4"/>
        <v>0</v>
      </c>
    </row>
    <row r="73" spans="1:9" x14ac:dyDescent="0.2">
      <c r="A73" s="910" t="str">
        <f>FIXED('Balance N-1'!A73,0,1)</f>
        <v>0</v>
      </c>
      <c r="B73" s="572">
        <f>+'Balance N-1'!B73</f>
        <v>0</v>
      </c>
      <c r="C73" s="679" t="e">
        <f>ROUND('Balance N-1'!#REF!,2)</f>
        <v>#REF!</v>
      </c>
      <c r="D73" s="679" t="e">
        <f>ROUND('Balance N-1'!#REF!,2)</f>
        <v>#REF!</v>
      </c>
      <c r="E73" s="679">
        <f>ROUND('Balance N-1'!C73,2)</f>
        <v>0</v>
      </c>
      <c r="F73" s="679">
        <f>ROUND('Balance N-1'!D73,2)</f>
        <v>0</v>
      </c>
      <c r="G73" s="679">
        <f>ROUND('Balance N-1'!E73,2)</f>
        <v>0</v>
      </c>
      <c r="H73" s="679">
        <f>ROUND('Balance N-1'!F73,2)</f>
        <v>0</v>
      </c>
      <c r="I73" s="2" t="str">
        <f t="shared" si="4"/>
        <v>0</v>
      </c>
    </row>
    <row r="74" spans="1:9" x14ac:dyDescent="0.2">
      <c r="A74" s="910" t="str">
        <f>FIXED('Balance N-1'!A74,0,1)</f>
        <v>0</v>
      </c>
      <c r="B74" s="572">
        <f>+'Balance N-1'!B74</f>
        <v>0</v>
      </c>
      <c r="C74" s="679" t="e">
        <f>ROUND('Balance N-1'!#REF!,2)</f>
        <v>#REF!</v>
      </c>
      <c r="D74" s="679" t="e">
        <f>ROUND('Balance N-1'!#REF!,2)</f>
        <v>#REF!</v>
      </c>
      <c r="E74" s="679">
        <f>ROUND('Balance N-1'!C74,2)</f>
        <v>0</v>
      </c>
      <c r="F74" s="679">
        <f>ROUND('Balance N-1'!D74,2)</f>
        <v>0</v>
      </c>
      <c r="G74" s="679">
        <f>ROUND('Balance N-1'!E74,2)</f>
        <v>0</v>
      </c>
      <c r="H74" s="679">
        <f>ROUND('Balance N-1'!F74,2)</f>
        <v>0</v>
      </c>
      <c r="I74" s="2" t="str">
        <f t="shared" si="4"/>
        <v>0</v>
      </c>
    </row>
    <row r="75" spans="1:9" x14ac:dyDescent="0.2">
      <c r="A75" s="910" t="str">
        <f>FIXED('Balance N-1'!A75,0,1)</f>
        <v>0</v>
      </c>
      <c r="B75" s="572">
        <f>+'Balance N-1'!B75</f>
        <v>0</v>
      </c>
      <c r="C75" s="679" t="e">
        <f>ROUND('Balance N-1'!#REF!,2)</f>
        <v>#REF!</v>
      </c>
      <c r="D75" s="679" t="e">
        <f>ROUND('Balance N-1'!#REF!,2)</f>
        <v>#REF!</v>
      </c>
      <c r="E75" s="679">
        <f>ROUND('Balance N-1'!C75,2)</f>
        <v>0</v>
      </c>
      <c r="F75" s="679">
        <f>ROUND('Balance N-1'!D75,2)</f>
        <v>0</v>
      </c>
      <c r="G75" s="679">
        <f>ROUND('Balance N-1'!E75,2)</f>
        <v>0</v>
      </c>
      <c r="H75" s="679">
        <f>ROUND('Balance N-1'!F75,2)</f>
        <v>0</v>
      </c>
      <c r="I75" s="2" t="str">
        <f t="shared" si="4"/>
        <v>0</v>
      </c>
    </row>
    <row r="76" spans="1:9" x14ac:dyDescent="0.2">
      <c r="A76" s="910" t="str">
        <f>FIXED('Balance N-1'!A76,0,1)</f>
        <v>0</v>
      </c>
      <c r="B76" s="572">
        <f>+'Balance N-1'!B76</f>
        <v>0</v>
      </c>
      <c r="C76" s="679" t="e">
        <f>ROUND('Balance N-1'!#REF!,2)</f>
        <v>#REF!</v>
      </c>
      <c r="D76" s="679" t="e">
        <f>ROUND('Balance N-1'!#REF!,2)</f>
        <v>#REF!</v>
      </c>
      <c r="E76" s="679">
        <f>ROUND('Balance N-1'!C76,2)</f>
        <v>0</v>
      </c>
      <c r="F76" s="679">
        <f>ROUND('Balance N-1'!D76,2)</f>
        <v>0</v>
      </c>
      <c r="G76" s="679">
        <f>ROUND('Balance N-1'!E76,2)</f>
        <v>0</v>
      </c>
      <c r="H76" s="679">
        <f>ROUND('Balance N-1'!F76,2)</f>
        <v>0</v>
      </c>
      <c r="I76" s="2" t="str">
        <f t="shared" si="4"/>
        <v>0</v>
      </c>
    </row>
    <row r="77" spans="1:9" x14ac:dyDescent="0.2">
      <c r="A77" s="910" t="str">
        <f>FIXED('Balance N-1'!A77,0,1)</f>
        <v>0</v>
      </c>
      <c r="B77" s="572">
        <f>+'Balance N-1'!B77</f>
        <v>0</v>
      </c>
      <c r="C77" s="679" t="e">
        <f>ROUND('Balance N-1'!#REF!,2)</f>
        <v>#REF!</v>
      </c>
      <c r="D77" s="679" t="e">
        <f>ROUND('Balance N-1'!#REF!,2)</f>
        <v>#REF!</v>
      </c>
      <c r="E77" s="679">
        <f>ROUND('Balance N-1'!C77,2)</f>
        <v>0</v>
      </c>
      <c r="F77" s="679">
        <f>ROUND('Balance N-1'!D77,2)</f>
        <v>0</v>
      </c>
      <c r="G77" s="679">
        <f>ROUND('Balance N-1'!E77,2)</f>
        <v>0</v>
      </c>
      <c r="H77" s="679">
        <f>ROUND('Balance N-1'!F77,2)</f>
        <v>0</v>
      </c>
      <c r="I77" s="2" t="str">
        <f t="shared" si="4"/>
        <v>0</v>
      </c>
    </row>
    <row r="78" spans="1:9" x14ac:dyDescent="0.2">
      <c r="A78" s="910" t="str">
        <f>FIXED('Balance N-1'!A78,0,1)</f>
        <v>0</v>
      </c>
      <c r="B78" s="572">
        <f>+'Balance N-1'!B78</f>
        <v>0</v>
      </c>
      <c r="C78" s="679" t="e">
        <f>ROUND('Balance N-1'!#REF!,2)</f>
        <v>#REF!</v>
      </c>
      <c r="D78" s="679" t="e">
        <f>ROUND('Balance N-1'!#REF!,2)</f>
        <v>#REF!</v>
      </c>
      <c r="E78" s="679">
        <f>ROUND('Balance N-1'!C78,2)</f>
        <v>0</v>
      </c>
      <c r="F78" s="679">
        <f>ROUND('Balance N-1'!D78,2)</f>
        <v>0</v>
      </c>
      <c r="G78" s="679">
        <f>ROUND('Balance N-1'!E78,2)</f>
        <v>0</v>
      </c>
      <c r="H78" s="679">
        <f>ROUND('Balance N-1'!F78,2)</f>
        <v>0</v>
      </c>
      <c r="I78" s="2" t="str">
        <f t="shared" si="4"/>
        <v>0</v>
      </c>
    </row>
    <row r="79" spans="1:9" x14ac:dyDescent="0.2">
      <c r="A79" s="910" t="str">
        <f>FIXED('Balance N-1'!A79,0,1)</f>
        <v>0</v>
      </c>
      <c r="B79" s="572">
        <f>+'Balance N-1'!B79</f>
        <v>0</v>
      </c>
      <c r="C79" s="679" t="e">
        <f>ROUND('Balance N-1'!#REF!,2)</f>
        <v>#REF!</v>
      </c>
      <c r="D79" s="679" t="e">
        <f>ROUND('Balance N-1'!#REF!,2)</f>
        <v>#REF!</v>
      </c>
      <c r="E79" s="679">
        <f>ROUND('Balance N-1'!C79,2)</f>
        <v>0</v>
      </c>
      <c r="F79" s="679">
        <f>ROUND('Balance N-1'!D79,2)</f>
        <v>0</v>
      </c>
      <c r="G79" s="679">
        <f>ROUND('Balance N-1'!E79,2)</f>
        <v>0</v>
      </c>
      <c r="H79" s="679">
        <f>ROUND('Balance N-1'!F79,2)</f>
        <v>0</v>
      </c>
      <c r="I79" s="2" t="str">
        <f t="shared" si="4"/>
        <v>0</v>
      </c>
    </row>
    <row r="80" spans="1:9" x14ac:dyDescent="0.2">
      <c r="A80" s="910" t="str">
        <f>FIXED('Balance N-1'!A80,0,1)</f>
        <v>0</v>
      </c>
      <c r="B80" s="572">
        <f>+'Balance N-1'!B80</f>
        <v>0</v>
      </c>
      <c r="C80" s="679" t="e">
        <f>ROUND('Balance N-1'!#REF!,2)</f>
        <v>#REF!</v>
      </c>
      <c r="D80" s="679" t="e">
        <f>ROUND('Balance N-1'!#REF!,2)</f>
        <v>#REF!</v>
      </c>
      <c r="E80" s="679">
        <f>ROUND('Balance N-1'!C80,2)</f>
        <v>0</v>
      </c>
      <c r="F80" s="679">
        <f>ROUND('Balance N-1'!D80,2)</f>
        <v>0</v>
      </c>
      <c r="G80" s="679">
        <f>ROUND('Balance N-1'!E80,2)</f>
        <v>0</v>
      </c>
      <c r="H80" s="679">
        <f>ROUND('Balance N-1'!F80,2)</f>
        <v>0</v>
      </c>
      <c r="I80" s="2" t="str">
        <f t="shared" si="4"/>
        <v>0</v>
      </c>
    </row>
    <row r="81" spans="1:9" x14ac:dyDescent="0.2">
      <c r="A81" s="910" t="str">
        <f>FIXED('Balance N-1'!A81,0,1)</f>
        <v>0</v>
      </c>
      <c r="B81" s="572">
        <f>+'Balance N-1'!B81</f>
        <v>0</v>
      </c>
      <c r="C81" s="679" t="e">
        <f>ROUND('Balance N-1'!#REF!,2)</f>
        <v>#REF!</v>
      </c>
      <c r="D81" s="679" t="e">
        <f>ROUND('Balance N-1'!#REF!,2)</f>
        <v>#REF!</v>
      </c>
      <c r="E81" s="679">
        <f>ROUND('Balance N-1'!C81,2)</f>
        <v>0</v>
      </c>
      <c r="F81" s="679">
        <f>ROUND('Balance N-1'!D81,2)</f>
        <v>0</v>
      </c>
      <c r="G81" s="679">
        <f>ROUND('Balance N-1'!E81,2)</f>
        <v>0</v>
      </c>
      <c r="H81" s="679">
        <f>ROUND('Balance N-1'!F81,2)</f>
        <v>0</v>
      </c>
      <c r="I81" s="2" t="str">
        <f t="shared" si="4"/>
        <v>0</v>
      </c>
    </row>
    <row r="82" spans="1:9" x14ac:dyDescent="0.2">
      <c r="A82" s="910" t="str">
        <f>FIXED('Balance N-1'!A82,0,1)</f>
        <v>0</v>
      </c>
      <c r="B82" s="572">
        <f>+'Balance N-1'!B82</f>
        <v>0</v>
      </c>
      <c r="C82" s="679" t="e">
        <f>ROUND('Balance N-1'!#REF!,2)</f>
        <v>#REF!</v>
      </c>
      <c r="D82" s="679" t="e">
        <f>ROUND('Balance N-1'!#REF!,2)</f>
        <v>#REF!</v>
      </c>
      <c r="E82" s="679">
        <f>ROUND('Balance N-1'!C82,2)</f>
        <v>0</v>
      </c>
      <c r="F82" s="679">
        <f>ROUND('Balance N-1'!D82,2)</f>
        <v>0</v>
      </c>
      <c r="G82" s="679">
        <f>ROUND('Balance N-1'!E82,2)</f>
        <v>0</v>
      </c>
      <c r="H82" s="679">
        <f>ROUND('Balance N-1'!F82,2)</f>
        <v>0</v>
      </c>
      <c r="I82" s="2" t="str">
        <f t="shared" si="4"/>
        <v>0</v>
      </c>
    </row>
    <row r="83" spans="1:9" x14ac:dyDescent="0.2">
      <c r="A83" s="910" t="str">
        <f>FIXED('Balance N-1'!A83,0,1)</f>
        <v>0</v>
      </c>
      <c r="B83" s="572">
        <f>+'Balance N-1'!B83</f>
        <v>0</v>
      </c>
      <c r="C83" s="679" t="e">
        <f>ROUND('Balance N-1'!#REF!,2)</f>
        <v>#REF!</v>
      </c>
      <c r="D83" s="679" t="e">
        <f>ROUND('Balance N-1'!#REF!,2)</f>
        <v>#REF!</v>
      </c>
      <c r="E83" s="679">
        <f>ROUND('Balance N-1'!C83,2)</f>
        <v>0</v>
      </c>
      <c r="F83" s="679">
        <f>ROUND('Balance N-1'!D83,2)</f>
        <v>0</v>
      </c>
      <c r="G83" s="679">
        <f>ROUND('Balance N-1'!E83,2)</f>
        <v>0</v>
      </c>
      <c r="H83" s="679">
        <f>ROUND('Balance N-1'!F83,2)</f>
        <v>0</v>
      </c>
      <c r="I83" s="2" t="str">
        <f t="shared" si="4"/>
        <v>0</v>
      </c>
    </row>
    <row r="84" spans="1:9" x14ac:dyDescent="0.2">
      <c r="A84" s="910" t="str">
        <f>FIXED('Balance N-1'!A84,0,1)</f>
        <v>0</v>
      </c>
      <c r="B84" s="572">
        <f>+'Balance N-1'!B84</f>
        <v>0</v>
      </c>
      <c r="C84" s="679" t="e">
        <f>ROUND('Balance N-1'!#REF!,2)</f>
        <v>#REF!</v>
      </c>
      <c r="D84" s="679" t="e">
        <f>ROUND('Balance N-1'!#REF!,2)</f>
        <v>#REF!</v>
      </c>
      <c r="E84" s="679">
        <f>ROUND('Balance N-1'!C84,2)</f>
        <v>0</v>
      </c>
      <c r="F84" s="679">
        <f>ROUND('Balance N-1'!D84,2)</f>
        <v>0</v>
      </c>
      <c r="G84" s="679">
        <f>ROUND('Balance N-1'!E84,2)</f>
        <v>0</v>
      </c>
      <c r="H84" s="679">
        <f>ROUND('Balance N-1'!F84,2)</f>
        <v>0</v>
      </c>
      <c r="I84" s="2" t="str">
        <f t="shared" si="4"/>
        <v>0</v>
      </c>
    </row>
    <row r="85" spans="1:9" x14ac:dyDescent="0.2">
      <c r="A85" s="910" t="str">
        <f>FIXED('Balance N-1'!A85,0,1)</f>
        <v>0</v>
      </c>
      <c r="B85" s="572">
        <f>+'Balance N-1'!B85</f>
        <v>0</v>
      </c>
      <c r="C85" s="679" t="e">
        <f>ROUND('Balance N-1'!#REF!,2)</f>
        <v>#REF!</v>
      </c>
      <c r="D85" s="679" t="e">
        <f>ROUND('Balance N-1'!#REF!,2)</f>
        <v>#REF!</v>
      </c>
      <c r="E85" s="679">
        <f>ROUND('Balance N-1'!C85,2)</f>
        <v>0</v>
      </c>
      <c r="F85" s="679">
        <f>ROUND('Balance N-1'!D85,2)</f>
        <v>0</v>
      </c>
      <c r="G85" s="679">
        <f>ROUND('Balance N-1'!E85,2)</f>
        <v>0</v>
      </c>
      <c r="H85" s="679">
        <f>ROUND('Balance N-1'!F85,2)</f>
        <v>0</v>
      </c>
      <c r="I85" s="2" t="str">
        <f t="shared" si="4"/>
        <v>0</v>
      </c>
    </row>
    <row r="86" spans="1:9" x14ac:dyDescent="0.2">
      <c r="A86" s="910" t="str">
        <f>FIXED('Balance N-1'!A86,0,1)</f>
        <v>0</v>
      </c>
      <c r="B86" s="572">
        <f>+'Balance N-1'!B86</f>
        <v>0</v>
      </c>
      <c r="C86" s="679" t="e">
        <f>ROUND('Balance N-1'!#REF!,2)</f>
        <v>#REF!</v>
      </c>
      <c r="D86" s="679" t="e">
        <f>ROUND('Balance N-1'!#REF!,2)</f>
        <v>#REF!</v>
      </c>
      <c r="E86" s="679">
        <f>ROUND('Balance N-1'!C86,2)</f>
        <v>0</v>
      </c>
      <c r="F86" s="679">
        <f>ROUND('Balance N-1'!D86,2)</f>
        <v>0</v>
      </c>
      <c r="G86" s="679">
        <f>ROUND('Balance N-1'!E86,2)</f>
        <v>0</v>
      </c>
      <c r="H86" s="679">
        <f>ROUND('Balance N-1'!F86,2)</f>
        <v>0</v>
      </c>
      <c r="I86" s="2" t="str">
        <f t="shared" si="4"/>
        <v>0</v>
      </c>
    </row>
    <row r="87" spans="1:9" x14ac:dyDescent="0.2">
      <c r="A87" s="910" t="str">
        <f>FIXED('Balance N-1'!A87,0,1)</f>
        <v>0</v>
      </c>
      <c r="B87" s="572">
        <f>+'Balance N-1'!B87</f>
        <v>0</v>
      </c>
      <c r="C87" s="679" t="e">
        <f>ROUND('Balance N-1'!#REF!,2)</f>
        <v>#REF!</v>
      </c>
      <c r="D87" s="679" t="e">
        <f>ROUND('Balance N-1'!#REF!,2)</f>
        <v>#REF!</v>
      </c>
      <c r="E87" s="679">
        <f>ROUND('Balance N-1'!C87,2)</f>
        <v>0</v>
      </c>
      <c r="F87" s="679">
        <f>ROUND('Balance N-1'!D87,2)</f>
        <v>0</v>
      </c>
      <c r="G87" s="679">
        <f>ROUND('Balance N-1'!E87,2)</f>
        <v>0</v>
      </c>
      <c r="H87" s="679">
        <f>ROUND('Balance N-1'!F87,2)</f>
        <v>0</v>
      </c>
      <c r="I87" s="2" t="str">
        <f t="shared" si="4"/>
        <v>0</v>
      </c>
    </row>
    <row r="88" spans="1:9" x14ac:dyDescent="0.2">
      <c r="A88" s="910" t="str">
        <f>FIXED('Balance N-1'!A88,0,1)</f>
        <v>0</v>
      </c>
      <c r="B88" s="572">
        <f>+'Balance N-1'!B88</f>
        <v>0</v>
      </c>
      <c r="C88" s="679" t="e">
        <f>ROUND('Balance N-1'!#REF!,2)</f>
        <v>#REF!</v>
      </c>
      <c r="D88" s="679" t="e">
        <f>ROUND('Balance N-1'!#REF!,2)</f>
        <v>#REF!</v>
      </c>
      <c r="E88" s="679">
        <f>ROUND('Balance N-1'!C88,2)</f>
        <v>0</v>
      </c>
      <c r="F88" s="679">
        <f>ROUND('Balance N-1'!D88,2)</f>
        <v>0</v>
      </c>
      <c r="G88" s="679">
        <f>ROUND('Balance N-1'!E88,2)</f>
        <v>0</v>
      </c>
      <c r="H88" s="679">
        <f>ROUND('Balance N-1'!F88,2)</f>
        <v>0</v>
      </c>
      <c r="I88" s="2" t="str">
        <f t="shared" si="4"/>
        <v>0</v>
      </c>
    </row>
    <row r="89" spans="1:9" x14ac:dyDescent="0.2">
      <c r="A89" s="910" t="str">
        <f>FIXED('Balance N-1'!A89,0,1)</f>
        <v>0</v>
      </c>
      <c r="B89" s="572">
        <f>+'Balance N-1'!B89</f>
        <v>0</v>
      </c>
      <c r="C89" s="679" t="e">
        <f>ROUND('Balance N-1'!#REF!,2)</f>
        <v>#REF!</v>
      </c>
      <c r="D89" s="679" t="e">
        <f>ROUND('Balance N-1'!#REF!,2)</f>
        <v>#REF!</v>
      </c>
      <c r="E89" s="679">
        <f>ROUND('Balance N-1'!C89,2)</f>
        <v>0</v>
      </c>
      <c r="F89" s="679">
        <f>ROUND('Balance N-1'!D89,2)</f>
        <v>0</v>
      </c>
      <c r="G89" s="679">
        <f>ROUND('Balance N-1'!E89,2)</f>
        <v>0</v>
      </c>
      <c r="H89" s="679">
        <f>ROUND('Balance N-1'!F89,2)</f>
        <v>0</v>
      </c>
      <c r="I89" s="2" t="str">
        <f t="shared" si="4"/>
        <v>0</v>
      </c>
    </row>
    <row r="90" spans="1:9" x14ac:dyDescent="0.2">
      <c r="A90" s="910" t="str">
        <f>FIXED('Balance N-1'!A90,0,1)</f>
        <v>0</v>
      </c>
      <c r="B90" s="572">
        <f>+'Balance N-1'!B90</f>
        <v>0</v>
      </c>
      <c r="C90" s="679" t="e">
        <f>ROUND('Balance N-1'!#REF!,2)</f>
        <v>#REF!</v>
      </c>
      <c r="D90" s="679" t="e">
        <f>ROUND('Balance N-1'!#REF!,2)</f>
        <v>#REF!</v>
      </c>
      <c r="E90" s="679">
        <f>ROUND('Balance N-1'!C90,2)</f>
        <v>0</v>
      </c>
      <c r="F90" s="679">
        <f>ROUND('Balance N-1'!D90,2)</f>
        <v>0</v>
      </c>
      <c r="G90" s="679">
        <f>ROUND('Balance N-1'!E90,2)</f>
        <v>0</v>
      </c>
      <c r="H90" s="679">
        <f>ROUND('Balance N-1'!F90,2)</f>
        <v>0</v>
      </c>
      <c r="I90" s="2" t="str">
        <f t="shared" si="4"/>
        <v>0</v>
      </c>
    </row>
    <row r="91" spans="1:9" x14ac:dyDescent="0.2">
      <c r="A91" s="910" t="str">
        <f>FIXED('Balance N-1'!A91,0,1)</f>
        <v>0</v>
      </c>
      <c r="B91" s="572">
        <f>+'Balance N-1'!B91</f>
        <v>0</v>
      </c>
      <c r="C91" s="679" t="e">
        <f>ROUND('Balance N-1'!#REF!,2)</f>
        <v>#REF!</v>
      </c>
      <c r="D91" s="679" t="e">
        <f>ROUND('Balance N-1'!#REF!,2)</f>
        <v>#REF!</v>
      </c>
      <c r="E91" s="679">
        <f>ROUND('Balance N-1'!C91,2)</f>
        <v>0</v>
      </c>
      <c r="F91" s="679">
        <f>ROUND('Balance N-1'!D91,2)</f>
        <v>0</v>
      </c>
      <c r="G91" s="679">
        <f>ROUND('Balance N-1'!E91,2)</f>
        <v>0</v>
      </c>
      <c r="H91" s="679">
        <f>ROUND('Balance N-1'!F91,2)</f>
        <v>0</v>
      </c>
      <c r="I91" s="2" t="str">
        <f t="shared" si="4"/>
        <v>0</v>
      </c>
    </row>
    <row r="92" spans="1:9" x14ac:dyDescent="0.2">
      <c r="A92" s="910" t="str">
        <f>FIXED('Balance N-1'!A92,0,1)</f>
        <v>0</v>
      </c>
      <c r="B92" s="572">
        <f>+'Balance N-1'!B92</f>
        <v>0</v>
      </c>
      <c r="C92" s="679" t="e">
        <f>ROUND('Balance N-1'!#REF!,2)</f>
        <v>#REF!</v>
      </c>
      <c r="D92" s="679" t="e">
        <f>ROUND('Balance N-1'!#REF!,2)</f>
        <v>#REF!</v>
      </c>
      <c r="E92" s="679">
        <f>ROUND('Balance N-1'!C92,2)</f>
        <v>0</v>
      </c>
      <c r="F92" s="679">
        <f>ROUND('Balance N-1'!D92,2)</f>
        <v>0</v>
      </c>
      <c r="G92" s="679">
        <f>ROUND('Balance N-1'!E92,2)</f>
        <v>0</v>
      </c>
      <c r="H92" s="679">
        <f>ROUND('Balance N-1'!F92,2)</f>
        <v>0</v>
      </c>
      <c r="I92" s="2" t="str">
        <f t="shared" si="4"/>
        <v>0</v>
      </c>
    </row>
    <row r="93" spans="1:9" x14ac:dyDescent="0.2">
      <c r="A93" s="910" t="str">
        <f>FIXED('Balance N-1'!A93,0,1)</f>
        <v>0</v>
      </c>
      <c r="B93" s="572">
        <f>+'Balance N-1'!B93</f>
        <v>0</v>
      </c>
      <c r="C93" s="679" t="e">
        <f>ROUND('Balance N-1'!#REF!,2)</f>
        <v>#REF!</v>
      </c>
      <c r="D93" s="679" t="e">
        <f>ROUND('Balance N-1'!#REF!,2)</f>
        <v>#REF!</v>
      </c>
      <c r="E93" s="679">
        <f>ROUND('Balance N-1'!C93,2)</f>
        <v>0</v>
      </c>
      <c r="F93" s="679">
        <f>ROUND('Balance N-1'!D93,2)</f>
        <v>0</v>
      </c>
      <c r="G93" s="679">
        <f>ROUND('Balance N-1'!E93,2)</f>
        <v>0</v>
      </c>
      <c r="H93" s="679">
        <f>ROUND('Balance N-1'!F93,2)</f>
        <v>0</v>
      </c>
      <c r="I93" s="2" t="str">
        <f t="shared" si="4"/>
        <v>0</v>
      </c>
    </row>
    <row r="94" spans="1:9" x14ac:dyDescent="0.2">
      <c r="A94" s="910" t="str">
        <f>FIXED('Balance N-1'!A94,0,1)</f>
        <v>0</v>
      </c>
      <c r="B94" s="572">
        <f>+'Balance N-1'!B94</f>
        <v>0</v>
      </c>
      <c r="C94" s="679" t="e">
        <f>ROUND('Balance N-1'!#REF!,2)</f>
        <v>#REF!</v>
      </c>
      <c r="D94" s="679" t="e">
        <f>ROUND('Balance N-1'!#REF!,2)</f>
        <v>#REF!</v>
      </c>
      <c r="E94" s="679">
        <f>ROUND('Balance N-1'!C94,2)</f>
        <v>0</v>
      </c>
      <c r="F94" s="679">
        <f>ROUND('Balance N-1'!D94,2)</f>
        <v>0</v>
      </c>
      <c r="G94" s="679">
        <f>ROUND('Balance N-1'!E94,2)</f>
        <v>0</v>
      </c>
      <c r="H94" s="679">
        <f>ROUND('Balance N-1'!F94,2)</f>
        <v>0</v>
      </c>
      <c r="I94" s="2" t="str">
        <f t="shared" si="4"/>
        <v>0</v>
      </c>
    </row>
    <row r="95" spans="1:9" x14ac:dyDescent="0.2">
      <c r="A95" s="910" t="str">
        <f>FIXED('Balance N-1'!A95,0,1)</f>
        <v>0</v>
      </c>
      <c r="B95" s="572">
        <f>+'Balance N-1'!B95</f>
        <v>0</v>
      </c>
      <c r="C95" s="679" t="e">
        <f>ROUND('Balance N-1'!#REF!,2)</f>
        <v>#REF!</v>
      </c>
      <c r="D95" s="679" t="e">
        <f>ROUND('Balance N-1'!#REF!,2)</f>
        <v>#REF!</v>
      </c>
      <c r="E95" s="679">
        <f>ROUND('Balance N-1'!C95,2)</f>
        <v>0</v>
      </c>
      <c r="F95" s="679">
        <f>ROUND('Balance N-1'!D95,2)</f>
        <v>0</v>
      </c>
      <c r="G95" s="679">
        <f>ROUND('Balance N-1'!E95,2)</f>
        <v>0</v>
      </c>
      <c r="H95" s="679">
        <f>ROUND('Balance N-1'!F95,2)</f>
        <v>0</v>
      </c>
      <c r="I95" s="2" t="str">
        <f t="shared" si="4"/>
        <v>0</v>
      </c>
    </row>
    <row r="96" spans="1:9" x14ac:dyDescent="0.2">
      <c r="A96" s="910" t="str">
        <f>FIXED('Balance N-1'!A96,0,1)</f>
        <v>0</v>
      </c>
      <c r="B96" s="572">
        <f>+'Balance N-1'!B96</f>
        <v>0</v>
      </c>
      <c r="C96" s="679" t="e">
        <f>ROUND('Balance N-1'!#REF!,2)</f>
        <v>#REF!</v>
      </c>
      <c r="D96" s="679" t="e">
        <f>ROUND('Balance N-1'!#REF!,2)</f>
        <v>#REF!</v>
      </c>
      <c r="E96" s="679">
        <f>ROUND('Balance N-1'!C96,2)</f>
        <v>0</v>
      </c>
      <c r="F96" s="679">
        <f>ROUND('Balance N-1'!D96,2)</f>
        <v>0</v>
      </c>
      <c r="G96" s="679">
        <f>ROUND('Balance N-1'!E96,2)</f>
        <v>0</v>
      </c>
      <c r="H96" s="679">
        <f>ROUND('Balance N-1'!F96,2)</f>
        <v>0</v>
      </c>
      <c r="I96" s="2" t="str">
        <f t="shared" si="4"/>
        <v>0</v>
      </c>
    </row>
    <row r="97" spans="1:9" x14ac:dyDescent="0.2">
      <c r="A97" s="910" t="str">
        <f>FIXED('Balance N-1'!A97,0,1)</f>
        <v>0</v>
      </c>
      <c r="B97" s="572">
        <f>+'Balance N-1'!B97</f>
        <v>0</v>
      </c>
      <c r="C97" s="679" t="e">
        <f>ROUND('Balance N-1'!#REF!,2)</f>
        <v>#REF!</v>
      </c>
      <c r="D97" s="679" t="e">
        <f>ROUND('Balance N-1'!#REF!,2)</f>
        <v>#REF!</v>
      </c>
      <c r="E97" s="679">
        <f>ROUND('Balance N-1'!C97,2)</f>
        <v>0</v>
      </c>
      <c r="F97" s="679">
        <f>ROUND('Balance N-1'!D97,2)</f>
        <v>0</v>
      </c>
      <c r="G97" s="679">
        <f>ROUND('Balance N-1'!E97,2)</f>
        <v>0</v>
      </c>
      <c r="H97" s="679">
        <f>ROUND('Balance N-1'!F97,2)</f>
        <v>0</v>
      </c>
      <c r="I97" s="2" t="str">
        <f t="shared" si="4"/>
        <v>0</v>
      </c>
    </row>
    <row r="98" spans="1:9" x14ac:dyDescent="0.2">
      <c r="A98" s="910" t="str">
        <f>FIXED('Balance N-1'!A98,0,1)</f>
        <v>0</v>
      </c>
      <c r="B98" s="572">
        <f>+'Balance N-1'!B98</f>
        <v>0</v>
      </c>
      <c r="C98" s="679" t="e">
        <f>ROUND('Balance N-1'!#REF!,2)</f>
        <v>#REF!</v>
      </c>
      <c r="D98" s="679" t="e">
        <f>ROUND('Balance N-1'!#REF!,2)</f>
        <v>#REF!</v>
      </c>
      <c r="E98" s="679">
        <f>ROUND('Balance N-1'!C98,2)</f>
        <v>0</v>
      </c>
      <c r="F98" s="679">
        <f>ROUND('Balance N-1'!D98,2)</f>
        <v>0</v>
      </c>
      <c r="G98" s="679">
        <f>ROUND('Balance N-1'!E98,2)</f>
        <v>0</v>
      </c>
      <c r="H98" s="679">
        <f>ROUND('Balance N-1'!F98,2)</f>
        <v>0</v>
      </c>
      <c r="I98" s="2" t="str">
        <f t="shared" si="4"/>
        <v>0</v>
      </c>
    </row>
    <row r="99" spans="1:9" x14ac:dyDescent="0.2">
      <c r="A99" s="910" t="str">
        <f>FIXED('Balance N-1'!A99,0,1)</f>
        <v>0</v>
      </c>
      <c r="B99" s="572">
        <f>+'Balance N-1'!B99</f>
        <v>0</v>
      </c>
      <c r="C99" s="679" t="e">
        <f>ROUND('Balance N-1'!#REF!,2)</f>
        <v>#REF!</v>
      </c>
      <c r="D99" s="679" t="e">
        <f>ROUND('Balance N-1'!#REF!,2)</f>
        <v>#REF!</v>
      </c>
      <c r="E99" s="679">
        <f>ROUND('Balance N-1'!C99,2)</f>
        <v>0</v>
      </c>
      <c r="F99" s="679">
        <f>ROUND('Balance N-1'!D99,2)</f>
        <v>0</v>
      </c>
      <c r="G99" s="679">
        <f>ROUND('Balance N-1'!E99,2)</f>
        <v>0</v>
      </c>
      <c r="H99" s="679">
        <f>ROUND('Balance N-1'!F99,2)</f>
        <v>0</v>
      </c>
      <c r="I99" s="2" t="str">
        <f t="shared" si="4"/>
        <v>0</v>
      </c>
    </row>
    <row r="100" spans="1:9" x14ac:dyDescent="0.2">
      <c r="A100" s="910" t="str">
        <f>FIXED('Balance N-1'!A100,0,1)</f>
        <v>0</v>
      </c>
      <c r="B100" s="572">
        <f>+'Balance N-1'!B100</f>
        <v>0</v>
      </c>
      <c r="C100" s="679" t="e">
        <f>ROUND('Balance N-1'!#REF!,2)</f>
        <v>#REF!</v>
      </c>
      <c r="D100" s="679" t="e">
        <f>ROUND('Balance N-1'!#REF!,2)</f>
        <v>#REF!</v>
      </c>
      <c r="E100" s="679">
        <f>ROUND('Balance N-1'!C100,2)</f>
        <v>0</v>
      </c>
      <c r="F100" s="679">
        <f>ROUND('Balance N-1'!D100,2)</f>
        <v>0</v>
      </c>
      <c r="G100" s="679">
        <f>ROUND('Balance N-1'!E100,2)</f>
        <v>0</v>
      </c>
      <c r="H100" s="679">
        <f>ROUND('Balance N-1'!F100,2)</f>
        <v>0</v>
      </c>
      <c r="I100" s="2" t="str">
        <f t="shared" si="4"/>
        <v>0</v>
      </c>
    </row>
    <row r="101" spans="1:9" x14ac:dyDescent="0.2">
      <c r="A101" s="910" t="str">
        <f>FIXED('Balance N-1'!A101,0,1)</f>
        <v>0</v>
      </c>
      <c r="B101" s="572">
        <f>+'Balance N-1'!B101</f>
        <v>0</v>
      </c>
      <c r="C101" s="679" t="e">
        <f>ROUND('Balance N-1'!#REF!,2)</f>
        <v>#REF!</v>
      </c>
      <c r="D101" s="679" t="e">
        <f>ROUND('Balance N-1'!#REF!,2)</f>
        <v>#REF!</v>
      </c>
      <c r="E101" s="679">
        <f>ROUND('Balance N-1'!C101,2)</f>
        <v>0</v>
      </c>
      <c r="F101" s="679">
        <f>ROUND('Balance N-1'!D101,2)</f>
        <v>0</v>
      </c>
      <c r="G101" s="679">
        <f>ROUND('Balance N-1'!E101,2)</f>
        <v>0</v>
      </c>
      <c r="H101" s="679">
        <f>ROUND('Balance N-1'!F101,2)</f>
        <v>0</v>
      </c>
      <c r="I101" s="2" t="str">
        <f t="shared" si="4"/>
        <v>0</v>
      </c>
    </row>
    <row r="102" spans="1:9" x14ac:dyDescent="0.2">
      <c r="A102" s="910" t="str">
        <f>FIXED('Balance N-1'!A102,0,1)</f>
        <v>0</v>
      </c>
      <c r="B102" s="572">
        <f>+'Balance N-1'!B102</f>
        <v>0</v>
      </c>
      <c r="C102" s="679" t="e">
        <f>ROUND('Balance N-1'!#REF!,2)</f>
        <v>#REF!</v>
      </c>
      <c r="D102" s="679" t="e">
        <f>ROUND('Balance N-1'!#REF!,2)</f>
        <v>#REF!</v>
      </c>
      <c r="E102" s="679">
        <f>ROUND('Balance N-1'!C102,2)</f>
        <v>0</v>
      </c>
      <c r="F102" s="679">
        <f>ROUND('Balance N-1'!D102,2)</f>
        <v>0</v>
      </c>
      <c r="G102" s="679">
        <f>ROUND('Balance N-1'!E102,2)</f>
        <v>0</v>
      </c>
      <c r="H102" s="679">
        <f>ROUND('Balance N-1'!F102,2)</f>
        <v>0</v>
      </c>
      <c r="I102" s="2" t="str">
        <f t="shared" si="4"/>
        <v>0</v>
      </c>
    </row>
    <row r="103" spans="1:9" x14ac:dyDescent="0.2">
      <c r="A103" s="910" t="str">
        <f>FIXED('Balance N-1'!A103,0,1)</f>
        <v>0</v>
      </c>
      <c r="B103" s="572">
        <f>+'Balance N-1'!B103</f>
        <v>0</v>
      </c>
      <c r="C103" s="679" t="e">
        <f>ROUND('Balance N-1'!#REF!,2)</f>
        <v>#REF!</v>
      </c>
      <c r="D103" s="679" t="e">
        <f>ROUND('Balance N-1'!#REF!,2)</f>
        <v>#REF!</v>
      </c>
      <c r="E103" s="679">
        <f>ROUND('Balance N-1'!C103,2)</f>
        <v>0</v>
      </c>
      <c r="F103" s="679">
        <f>ROUND('Balance N-1'!D103,2)</f>
        <v>0</v>
      </c>
      <c r="G103" s="679">
        <f>ROUND('Balance N-1'!E103,2)</f>
        <v>0</v>
      </c>
      <c r="H103" s="679">
        <f>ROUND('Balance N-1'!F103,2)</f>
        <v>0</v>
      </c>
      <c r="I103" s="2" t="str">
        <f t="shared" si="4"/>
        <v>0</v>
      </c>
    </row>
    <row r="104" spans="1:9" x14ac:dyDescent="0.2">
      <c r="A104" s="910" t="str">
        <f>FIXED('Balance N-1'!A104,0,1)</f>
        <v>0</v>
      </c>
      <c r="B104" s="572">
        <f>+'Balance N-1'!B104</f>
        <v>0</v>
      </c>
      <c r="C104" s="679" t="e">
        <f>ROUND('Balance N-1'!#REF!,2)</f>
        <v>#REF!</v>
      </c>
      <c r="D104" s="679" t="e">
        <f>ROUND('Balance N-1'!#REF!,2)</f>
        <v>#REF!</v>
      </c>
      <c r="E104" s="679">
        <f>ROUND('Balance N-1'!C104,2)</f>
        <v>0</v>
      </c>
      <c r="F104" s="679">
        <f>ROUND('Balance N-1'!D104,2)</f>
        <v>0</v>
      </c>
      <c r="G104" s="679">
        <f>ROUND('Balance N-1'!E104,2)</f>
        <v>0</v>
      </c>
      <c r="H104" s="679">
        <f>ROUND('Balance N-1'!F104,2)</f>
        <v>0</v>
      </c>
      <c r="I104" s="2" t="str">
        <f t="shared" si="4"/>
        <v>0</v>
      </c>
    </row>
    <row r="105" spans="1:9" x14ac:dyDescent="0.2">
      <c r="A105" s="910" t="str">
        <f>FIXED('Balance N-1'!A105,0,1)</f>
        <v>0</v>
      </c>
      <c r="B105" s="572">
        <f>+'Balance N-1'!B105</f>
        <v>0</v>
      </c>
      <c r="C105" s="679" t="e">
        <f>ROUND('Balance N-1'!#REF!,2)</f>
        <v>#REF!</v>
      </c>
      <c r="D105" s="679" t="e">
        <f>ROUND('Balance N-1'!#REF!,2)</f>
        <v>#REF!</v>
      </c>
      <c r="E105" s="679">
        <f>ROUND('Balance N-1'!C105,2)</f>
        <v>0</v>
      </c>
      <c r="F105" s="679">
        <f>ROUND('Balance N-1'!D105,2)</f>
        <v>0</v>
      </c>
      <c r="G105" s="679">
        <f>ROUND('Balance N-1'!E105,2)</f>
        <v>0</v>
      </c>
      <c r="H105" s="679">
        <f>ROUND('Balance N-1'!F105,2)</f>
        <v>0</v>
      </c>
      <c r="I105" s="2" t="str">
        <f t="shared" si="4"/>
        <v>0</v>
      </c>
    </row>
    <row r="106" spans="1:9" x14ac:dyDescent="0.2">
      <c r="A106" s="910" t="str">
        <f>FIXED('Balance N-1'!A106,0,1)</f>
        <v>0</v>
      </c>
      <c r="B106" s="572">
        <f>+'Balance N-1'!B106</f>
        <v>0</v>
      </c>
      <c r="C106" s="679" t="e">
        <f>ROUND('Balance N-1'!#REF!,2)</f>
        <v>#REF!</v>
      </c>
      <c r="D106" s="679" t="e">
        <f>ROUND('Balance N-1'!#REF!,2)</f>
        <v>#REF!</v>
      </c>
      <c r="E106" s="679">
        <f>ROUND('Balance N-1'!C106,2)</f>
        <v>0</v>
      </c>
      <c r="F106" s="679">
        <f>ROUND('Balance N-1'!D106,2)</f>
        <v>0</v>
      </c>
      <c r="G106" s="679">
        <f>ROUND('Balance N-1'!E106,2)</f>
        <v>0</v>
      </c>
      <c r="H106" s="679">
        <f>ROUND('Balance N-1'!F106,2)</f>
        <v>0</v>
      </c>
      <c r="I106" s="2" t="str">
        <f t="shared" si="4"/>
        <v>0</v>
      </c>
    </row>
    <row r="107" spans="1:9" x14ac:dyDescent="0.2">
      <c r="A107" s="910" t="str">
        <f>FIXED('Balance N-1'!A107,0,1)</f>
        <v>0</v>
      </c>
      <c r="B107" s="572">
        <f>+'Balance N-1'!B107</f>
        <v>0</v>
      </c>
      <c r="C107" s="679" t="e">
        <f>ROUND('Balance N-1'!#REF!,2)</f>
        <v>#REF!</v>
      </c>
      <c r="D107" s="679" t="e">
        <f>ROUND('Balance N-1'!#REF!,2)</f>
        <v>#REF!</v>
      </c>
      <c r="E107" s="679">
        <f>ROUND('Balance N-1'!C107,2)</f>
        <v>0</v>
      </c>
      <c r="F107" s="679">
        <f>ROUND('Balance N-1'!D107,2)</f>
        <v>0</v>
      </c>
      <c r="G107" s="679">
        <f>ROUND('Balance N-1'!E107,2)</f>
        <v>0</v>
      </c>
      <c r="H107" s="679">
        <f>ROUND('Balance N-1'!F107,2)</f>
        <v>0</v>
      </c>
      <c r="I107" s="2" t="str">
        <f t="shared" si="4"/>
        <v>0</v>
      </c>
    </row>
    <row r="108" spans="1:9" x14ac:dyDescent="0.2">
      <c r="A108" s="910" t="str">
        <f>FIXED('Balance N-1'!A108,0,1)</f>
        <v>0</v>
      </c>
      <c r="B108" s="572">
        <f>+'Balance N-1'!B108</f>
        <v>0</v>
      </c>
      <c r="C108" s="679" t="e">
        <f>ROUND('Balance N-1'!#REF!,2)</f>
        <v>#REF!</v>
      </c>
      <c r="D108" s="679" t="e">
        <f>ROUND('Balance N-1'!#REF!,2)</f>
        <v>#REF!</v>
      </c>
      <c r="E108" s="679">
        <f>ROUND('Balance N-1'!C108,2)</f>
        <v>0</v>
      </c>
      <c r="F108" s="679">
        <f>ROUND('Balance N-1'!D108,2)</f>
        <v>0</v>
      </c>
      <c r="G108" s="679">
        <f>ROUND('Balance N-1'!E108,2)</f>
        <v>0</v>
      </c>
      <c r="H108" s="679">
        <f>ROUND('Balance N-1'!F108,2)</f>
        <v>0</v>
      </c>
      <c r="I108" s="2" t="str">
        <f t="shared" si="4"/>
        <v>0</v>
      </c>
    </row>
    <row r="109" spans="1:9" x14ac:dyDescent="0.2">
      <c r="A109" s="910" t="str">
        <f>FIXED('Balance N-1'!A109,0,1)</f>
        <v>0</v>
      </c>
      <c r="B109" s="572">
        <f>+'Balance N-1'!B109</f>
        <v>0</v>
      </c>
      <c r="C109" s="679" t="e">
        <f>ROUND('Balance N-1'!#REF!,2)</f>
        <v>#REF!</v>
      </c>
      <c r="D109" s="679" t="e">
        <f>ROUND('Balance N-1'!#REF!,2)</f>
        <v>#REF!</v>
      </c>
      <c r="E109" s="679">
        <f>ROUND('Balance N-1'!C109,2)</f>
        <v>0</v>
      </c>
      <c r="F109" s="679">
        <f>ROUND('Balance N-1'!D109,2)</f>
        <v>0</v>
      </c>
      <c r="G109" s="679">
        <f>ROUND('Balance N-1'!E109,2)</f>
        <v>0</v>
      </c>
      <c r="H109" s="679">
        <f>ROUND('Balance N-1'!F109,2)</f>
        <v>0</v>
      </c>
      <c r="I109" s="2" t="str">
        <f t="shared" si="4"/>
        <v>0</v>
      </c>
    </row>
    <row r="110" spans="1:9" x14ac:dyDescent="0.2">
      <c r="A110" s="910" t="str">
        <f>FIXED('Balance N-1'!A110,0,1)</f>
        <v>0</v>
      </c>
      <c r="B110" s="572">
        <f>+'Balance N-1'!B110</f>
        <v>0</v>
      </c>
      <c r="C110" s="679" t="e">
        <f>ROUND('Balance N-1'!#REF!,2)</f>
        <v>#REF!</v>
      </c>
      <c r="D110" s="679" t="e">
        <f>ROUND('Balance N-1'!#REF!,2)</f>
        <v>#REF!</v>
      </c>
      <c r="E110" s="679">
        <f>ROUND('Balance N-1'!C110,2)</f>
        <v>0</v>
      </c>
      <c r="F110" s="679">
        <f>ROUND('Balance N-1'!D110,2)</f>
        <v>0</v>
      </c>
      <c r="G110" s="679">
        <f>ROUND('Balance N-1'!E110,2)</f>
        <v>0</v>
      </c>
      <c r="H110" s="679">
        <f>ROUND('Balance N-1'!F110,2)</f>
        <v>0</v>
      </c>
      <c r="I110" s="2" t="str">
        <f t="shared" si="4"/>
        <v>0</v>
      </c>
    </row>
    <row r="111" spans="1:9" x14ac:dyDescent="0.2">
      <c r="A111" s="910" t="str">
        <f>FIXED('Balance N-1'!A111,0,1)</f>
        <v>0</v>
      </c>
      <c r="B111" s="572">
        <f>+'Balance N-1'!B111</f>
        <v>0</v>
      </c>
      <c r="C111" s="679" t="e">
        <f>ROUND('Balance N-1'!#REF!,2)</f>
        <v>#REF!</v>
      </c>
      <c r="D111" s="679" t="e">
        <f>ROUND('Balance N-1'!#REF!,2)</f>
        <v>#REF!</v>
      </c>
      <c r="E111" s="679">
        <f>ROUND('Balance N-1'!C111,2)</f>
        <v>0</v>
      </c>
      <c r="F111" s="679">
        <f>ROUND('Balance N-1'!D111,2)</f>
        <v>0</v>
      </c>
      <c r="G111" s="679">
        <f>ROUND('Balance N-1'!E111,2)</f>
        <v>0</v>
      </c>
      <c r="H111" s="679">
        <f>ROUND('Balance N-1'!F111,2)</f>
        <v>0</v>
      </c>
      <c r="I111" s="2" t="str">
        <f t="shared" si="4"/>
        <v>0</v>
      </c>
    </row>
    <row r="112" spans="1:9" x14ac:dyDescent="0.2">
      <c r="A112" s="910" t="str">
        <f>FIXED('Balance N-1'!A112,0,1)</f>
        <v>0</v>
      </c>
      <c r="B112" s="572">
        <f>+'Balance N-1'!B112</f>
        <v>0</v>
      </c>
      <c r="C112" s="679" t="e">
        <f>ROUND('Balance N-1'!#REF!,2)</f>
        <v>#REF!</v>
      </c>
      <c r="D112" s="679" t="e">
        <f>ROUND('Balance N-1'!#REF!,2)</f>
        <v>#REF!</v>
      </c>
      <c r="E112" s="679">
        <f>ROUND('Balance N-1'!C112,2)</f>
        <v>0</v>
      </c>
      <c r="F112" s="679">
        <f>ROUND('Balance N-1'!D112,2)</f>
        <v>0</v>
      </c>
      <c r="G112" s="679">
        <f>ROUND('Balance N-1'!E112,2)</f>
        <v>0</v>
      </c>
      <c r="H112" s="679">
        <f>ROUND('Balance N-1'!F112,2)</f>
        <v>0</v>
      </c>
      <c r="I112" s="2" t="str">
        <f t="shared" si="4"/>
        <v>0</v>
      </c>
    </row>
    <row r="113" spans="1:9" x14ac:dyDescent="0.2">
      <c r="A113" s="910" t="str">
        <f>FIXED('Balance N-1'!A113,0,1)</f>
        <v>0</v>
      </c>
      <c r="B113" s="572">
        <f>+'Balance N-1'!B113</f>
        <v>0</v>
      </c>
      <c r="C113" s="679" t="e">
        <f>ROUND('Balance N-1'!#REF!,2)</f>
        <v>#REF!</v>
      </c>
      <c r="D113" s="679" t="e">
        <f>ROUND('Balance N-1'!#REF!,2)</f>
        <v>#REF!</v>
      </c>
      <c r="E113" s="679">
        <f>ROUND('Balance N-1'!C113,2)</f>
        <v>0</v>
      </c>
      <c r="F113" s="679">
        <f>ROUND('Balance N-1'!D113,2)</f>
        <v>0</v>
      </c>
      <c r="G113" s="679">
        <f>ROUND('Balance N-1'!E113,2)</f>
        <v>0</v>
      </c>
      <c r="H113" s="679">
        <f>ROUND('Balance N-1'!F113,2)</f>
        <v>0</v>
      </c>
      <c r="I113" s="2" t="str">
        <f t="shared" si="4"/>
        <v>0</v>
      </c>
    </row>
    <row r="114" spans="1:9" x14ac:dyDescent="0.2">
      <c r="A114" s="910" t="str">
        <f>FIXED('Balance N-1'!A114,0,1)</f>
        <v>0</v>
      </c>
      <c r="B114" s="572">
        <f>+'Balance N-1'!B114</f>
        <v>0</v>
      </c>
      <c r="C114" s="679" t="e">
        <f>ROUND('Balance N-1'!#REF!,2)</f>
        <v>#REF!</v>
      </c>
      <c r="D114" s="679" t="e">
        <f>ROUND('Balance N-1'!#REF!,2)</f>
        <v>#REF!</v>
      </c>
      <c r="E114" s="679">
        <f>ROUND('Balance N-1'!C114,2)</f>
        <v>0</v>
      </c>
      <c r="F114" s="679">
        <f>ROUND('Balance N-1'!D114,2)</f>
        <v>0</v>
      </c>
      <c r="G114" s="679">
        <f>ROUND('Balance N-1'!E114,2)</f>
        <v>0</v>
      </c>
      <c r="H114" s="679">
        <f>ROUND('Balance N-1'!F114,2)</f>
        <v>0</v>
      </c>
      <c r="I114" s="2" t="str">
        <f t="shared" si="4"/>
        <v>0</v>
      </c>
    </row>
    <row r="115" spans="1:9" x14ac:dyDescent="0.2">
      <c r="A115" s="910" t="str">
        <f>FIXED('Balance N-1'!A115,0,1)</f>
        <v>0</v>
      </c>
      <c r="B115" s="572">
        <f>+'Balance N-1'!B115</f>
        <v>0</v>
      </c>
      <c r="C115" s="679" t="e">
        <f>ROUND('Balance N-1'!#REF!,2)</f>
        <v>#REF!</v>
      </c>
      <c r="D115" s="679" t="e">
        <f>ROUND('Balance N-1'!#REF!,2)</f>
        <v>#REF!</v>
      </c>
      <c r="E115" s="679">
        <f>ROUND('Balance N-1'!C115,2)</f>
        <v>0</v>
      </c>
      <c r="F115" s="679">
        <f>ROUND('Balance N-1'!D115,2)</f>
        <v>0</v>
      </c>
      <c r="G115" s="679">
        <f>ROUND('Balance N-1'!E115,2)</f>
        <v>0</v>
      </c>
      <c r="H115" s="679">
        <f>ROUND('Balance N-1'!F115,2)</f>
        <v>0</v>
      </c>
      <c r="I115" s="2" t="str">
        <f t="shared" si="4"/>
        <v>0</v>
      </c>
    </row>
    <row r="116" spans="1:9" x14ac:dyDescent="0.2">
      <c r="A116" s="910" t="str">
        <f>FIXED('Balance N-1'!A116,0,1)</f>
        <v>0</v>
      </c>
      <c r="B116" s="572">
        <f>+'Balance N-1'!B116</f>
        <v>0</v>
      </c>
      <c r="C116" s="679" t="e">
        <f>ROUND('Balance N-1'!#REF!,2)</f>
        <v>#REF!</v>
      </c>
      <c r="D116" s="679" t="e">
        <f>ROUND('Balance N-1'!#REF!,2)</f>
        <v>#REF!</v>
      </c>
      <c r="E116" s="679">
        <f>ROUND('Balance N-1'!C116,2)</f>
        <v>0</v>
      </c>
      <c r="F116" s="679">
        <f>ROUND('Balance N-1'!D116,2)</f>
        <v>0</v>
      </c>
      <c r="G116" s="679">
        <f>ROUND('Balance N-1'!E116,2)</f>
        <v>0</v>
      </c>
      <c r="H116" s="679">
        <f>ROUND('Balance N-1'!F116,2)</f>
        <v>0</v>
      </c>
      <c r="I116" s="2" t="str">
        <f t="shared" si="4"/>
        <v>0</v>
      </c>
    </row>
    <row r="117" spans="1:9" x14ac:dyDescent="0.2">
      <c r="A117" s="910" t="str">
        <f>FIXED('Balance N-1'!A117,0,1)</f>
        <v>0</v>
      </c>
      <c r="B117" s="572">
        <f>+'Balance N-1'!B117</f>
        <v>0</v>
      </c>
      <c r="C117" s="679" t="e">
        <f>ROUND('Balance N-1'!#REF!,2)</f>
        <v>#REF!</v>
      </c>
      <c r="D117" s="679" t="e">
        <f>ROUND('Balance N-1'!#REF!,2)</f>
        <v>#REF!</v>
      </c>
      <c r="E117" s="679">
        <f>ROUND('Balance N-1'!C117,2)</f>
        <v>0</v>
      </c>
      <c r="F117" s="679">
        <f>ROUND('Balance N-1'!D117,2)</f>
        <v>0</v>
      </c>
      <c r="G117" s="679">
        <f>ROUND('Balance N-1'!E117,2)</f>
        <v>0</v>
      </c>
      <c r="H117" s="679">
        <f>ROUND('Balance N-1'!F117,2)</f>
        <v>0</v>
      </c>
      <c r="I117" s="2" t="str">
        <f t="shared" si="4"/>
        <v>0</v>
      </c>
    </row>
    <row r="118" spans="1:9" x14ac:dyDescent="0.2">
      <c r="A118" s="910" t="str">
        <f>FIXED('Balance N-1'!A118,0,1)</f>
        <v>0</v>
      </c>
      <c r="B118" s="572">
        <f>+'Balance N-1'!B118</f>
        <v>0</v>
      </c>
      <c r="C118" s="679" t="e">
        <f>ROUND('Balance N-1'!#REF!,2)</f>
        <v>#REF!</v>
      </c>
      <c r="D118" s="679" t="e">
        <f>ROUND('Balance N-1'!#REF!,2)</f>
        <v>#REF!</v>
      </c>
      <c r="E118" s="679">
        <f>ROUND('Balance N-1'!C118,2)</f>
        <v>0</v>
      </c>
      <c r="F118" s="679">
        <f>ROUND('Balance N-1'!D118,2)</f>
        <v>0</v>
      </c>
      <c r="G118" s="679">
        <f>ROUND('Balance N-1'!E118,2)</f>
        <v>0</v>
      </c>
      <c r="H118" s="679">
        <f>ROUND('Balance N-1'!F118,2)</f>
        <v>0</v>
      </c>
      <c r="I118" s="2" t="str">
        <f t="shared" si="4"/>
        <v>0</v>
      </c>
    </row>
    <row r="119" spans="1:9" x14ac:dyDescent="0.2">
      <c r="A119" s="910" t="str">
        <f>FIXED('Balance N-1'!A119,0,1)</f>
        <v>0</v>
      </c>
      <c r="B119" s="572">
        <f>+'Balance N-1'!B119</f>
        <v>0</v>
      </c>
      <c r="C119" s="679" t="e">
        <f>ROUND('Balance N-1'!#REF!,2)</f>
        <v>#REF!</v>
      </c>
      <c r="D119" s="679" t="e">
        <f>ROUND('Balance N-1'!#REF!,2)</f>
        <v>#REF!</v>
      </c>
      <c r="E119" s="679">
        <f>ROUND('Balance N-1'!C119,2)</f>
        <v>0</v>
      </c>
      <c r="F119" s="679">
        <f>ROUND('Balance N-1'!D119,2)</f>
        <v>0</v>
      </c>
      <c r="G119" s="679">
        <f>ROUND('Balance N-1'!E119,2)</f>
        <v>0</v>
      </c>
      <c r="H119" s="679">
        <f>ROUND('Balance N-1'!F119,2)</f>
        <v>0</v>
      </c>
      <c r="I119" s="2" t="str">
        <f t="shared" si="4"/>
        <v>0</v>
      </c>
    </row>
    <row r="120" spans="1:9" x14ac:dyDescent="0.2">
      <c r="A120" s="910" t="str">
        <f>FIXED('Balance N-1'!A120,0,1)</f>
        <v>0</v>
      </c>
      <c r="B120" s="572">
        <f>+'Balance N-1'!B120</f>
        <v>0</v>
      </c>
      <c r="C120" s="679" t="e">
        <f>ROUND('Balance N-1'!#REF!,2)</f>
        <v>#REF!</v>
      </c>
      <c r="D120" s="679" t="e">
        <f>ROUND('Balance N-1'!#REF!,2)</f>
        <v>#REF!</v>
      </c>
      <c r="E120" s="679">
        <f>ROUND('Balance N-1'!C120,2)</f>
        <v>0</v>
      </c>
      <c r="F120" s="679">
        <f>ROUND('Balance N-1'!D120,2)</f>
        <v>0</v>
      </c>
      <c r="G120" s="679">
        <f>ROUND('Balance N-1'!E120,2)</f>
        <v>0</v>
      </c>
      <c r="H120" s="679">
        <f>ROUND('Balance N-1'!F120,2)</f>
        <v>0</v>
      </c>
      <c r="I120" s="2" t="str">
        <f t="shared" si="4"/>
        <v>0</v>
      </c>
    </row>
    <row r="121" spans="1:9" x14ac:dyDescent="0.2">
      <c r="A121" s="910" t="str">
        <f>FIXED('Balance N-1'!A121,0,1)</f>
        <v>0</v>
      </c>
      <c r="B121" s="572">
        <f>+'Balance N-1'!B121</f>
        <v>0</v>
      </c>
      <c r="C121" s="679" t="e">
        <f>ROUND('Balance N-1'!#REF!,2)</f>
        <v>#REF!</v>
      </c>
      <c r="D121" s="679" t="e">
        <f>ROUND('Balance N-1'!#REF!,2)</f>
        <v>#REF!</v>
      </c>
      <c r="E121" s="679">
        <f>ROUND('Balance N-1'!C121,2)</f>
        <v>0</v>
      </c>
      <c r="F121" s="679">
        <f>ROUND('Balance N-1'!D121,2)</f>
        <v>0</v>
      </c>
      <c r="G121" s="679">
        <f>ROUND('Balance N-1'!E121,2)</f>
        <v>0</v>
      </c>
      <c r="H121" s="679">
        <f>ROUND('Balance N-1'!F121,2)</f>
        <v>0</v>
      </c>
      <c r="I121" s="2" t="str">
        <f t="shared" si="4"/>
        <v>0</v>
      </c>
    </row>
    <row r="122" spans="1:9" x14ac:dyDescent="0.2">
      <c r="A122" s="910" t="str">
        <f>FIXED('Balance N-1'!A122,0,1)</f>
        <v>0</v>
      </c>
      <c r="B122" s="572">
        <f>+'Balance N-1'!B122</f>
        <v>0</v>
      </c>
      <c r="C122" s="679" t="e">
        <f>ROUND('Balance N-1'!#REF!,2)</f>
        <v>#REF!</v>
      </c>
      <c r="D122" s="679" t="e">
        <f>ROUND('Balance N-1'!#REF!,2)</f>
        <v>#REF!</v>
      </c>
      <c r="E122" s="679">
        <f>ROUND('Balance N-1'!C122,2)</f>
        <v>0</v>
      </c>
      <c r="F122" s="679">
        <f>ROUND('Balance N-1'!D122,2)</f>
        <v>0</v>
      </c>
      <c r="G122" s="679">
        <f>ROUND('Balance N-1'!E122,2)</f>
        <v>0</v>
      </c>
      <c r="H122" s="679">
        <f>ROUND('Balance N-1'!F122,2)</f>
        <v>0</v>
      </c>
      <c r="I122" s="2" t="str">
        <f t="shared" si="4"/>
        <v>0</v>
      </c>
    </row>
    <row r="123" spans="1:9" x14ac:dyDescent="0.2">
      <c r="A123" s="910" t="str">
        <f>FIXED('Balance N-1'!A123,0,1)</f>
        <v>0</v>
      </c>
      <c r="B123" s="572">
        <f>+'Balance N-1'!B123</f>
        <v>0</v>
      </c>
      <c r="C123" s="679" t="e">
        <f>ROUND('Balance N-1'!#REF!,2)</f>
        <v>#REF!</v>
      </c>
      <c r="D123" s="679" t="e">
        <f>ROUND('Balance N-1'!#REF!,2)</f>
        <v>#REF!</v>
      </c>
      <c r="E123" s="679">
        <f>ROUND('Balance N-1'!C123,2)</f>
        <v>0</v>
      </c>
      <c r="F123" s="679">
        <f>ROUND('Balance N-1'!D123,2)</f>
        <v>0</v>
      </c>
      <c r="G123" s="679">
        <f>ROUND('Balance N-1'!E123,2)</f>
        <v>0</v>
      </c>
      <c r="H123" s="679">
        <f>ROUND('Balance N-1'!F123,2)</f>
        <v>0</v>
      </c>
      <c r="I123" s="2" t="str">
        <f t="shared" si="4"/>
        <v>0</v>
      </c>
    </row>
    <row r="124" spans="1:9" x14ac:dyDescent="0.2">
      <c r="A124" s="910" t="str">
        <f>FIXED('Balance N-1'!A124,0,1)</f>
        <v>0</v>
      </c>
      <c r="B124" s="572">
        <f>+'Balance N-1'!B124</f>
        <v>0</v>
      </c>
      <c r="C124" s="679" t="e">
        <f>ROUND('Balance N-1'!#REF!,2)</f>
        <v>#REF!</v>
      </c>
      <c r="D124" s="679" t="e">
        <f>ROUND('Balance N-1'!#REF!,2)</f>
        <v>#REF!</v>
      </c>
      <c r="E124" s="679">
        <f>ROUND('Balance N-1'!C124,2)</f>
        <v>0</v>
      </c>
      <c r="F124" s="679">
        <f>ROUND('Balance N-1'!D124,2)</f>
        <v>0</v>
      </c>
      <c r="G124" s="679">
        <f>ROUND('Balance N-1'!E124,2)</f>
        <v>0</v>
      </c>
      <c r="H124" s="679">
        <f>ROUND('Balance N-1'!F124,2)</f>
        <v>0</v>
      </c>
      <c r="I124" s="2" t="str">
        <f t="shared" si="4"/>
        <v>0</v>
      </c>
    </row>
    <row r="125" spans="1:9" x14ac:dyDescent="0.2">
      <c r="A125" s="910" t="str">
        <f>FIXED('Balance N-1'!A125,0,1)</f>
        <v>0</v>
      </c>
      <c r="B125" s="572">
        <f>+'Balance N-1'!B125</f>
        <v>0</v>
      </c>
      <c r="C125" s="679" t="e">
        <f>ROUND('Balance N-1'!#REF!,2)</f>
        <v>#REF!</v>
      </c>
      <c r="D125" s="679" t="e">
        <f>ROUND('Balance N-1'!#REF!,2)</f>
        <v>#REF!</v>
      </c>
      <c r="E125" s="679">
        <f>ROUND('Balance N-1'!C125,2)</f>
        <v>0</v>
      </c>
      <c r="F125" s="679">
        <f>ROUND('Balance N-1'!D125,2)</f>
        <v>0</v>
      </c>
      <c r="G125" s="679">
        <f>ROUND('Balance N-1'!E125,2)</f>
        <v>0</v>
      </c>
      <c r="H125" s="679">
        <f>ROUND('Balance N-1'!F125,2)</f>
        <v>0</v>
      </c>
      <c r="I125" s="2" t="str">
        <f t="shared" si="4"/>
        <v>0</v>
      </c>
    </row>
    <row r="126" spans="1:9" x14ac:dyDescent="0.2">
      <c r="A126" s="910" t="str">
        <f>FIXED('Balance N-1'!A126,0,1)</f>
        <v>0</v>
      </c>
      <c r="B126" s="572">
        <f>+'Balance N-1'!B126</f>
        <v>0</v>
      </c>
      <c r="C126" s="679" t="e">
        <f>ROUND('Balance N-1'!#REF!,2)</f>
        <v>#REF!</v>
      </c>
      <c r="D126" s="679" t="e">
        <f>ROUND('Balance N-1'!#REF!,2)</f>
        <v>#REF!</v>
      </c>
      <c r="E126" s="679">
        <f>ROUND('Balance N-1'!C126,2)</f>
        <v>0</v>
      </c>
      <c r="F126" s="679">
        <f>ROUND('Balance N-1'!D126,2)</f>
        <v>0</v>
      </c>
      <c r="G126" s="679">
        <f>ROUND('Balance N-1'!E126,2)</f>
        <v>0</v>
      </c>
      <c r="H126" s="679">
        <f>ROUND('Balance N-1'!F126,2)</f>
        <v>0</v>
      </c>
      <c r="I126" s="2" t="str">
        <f t="shared" si="4"/>
        <v>0</v>
      </c>
    </row>
    <row r="127" spans="1:9" x14ac:dyDescent="0.2">
      <c r="A127" s="910" t="str">
        <f>FIXED('Balance N-1'!A127,0,1)</f>
        <v>0</v>
      </c>
      <c r="B127" s="572">
        <f>+'Balance N-1'!B127</f>
        <v>0</v>
      </c>
      <c r="C127" s="679" t="e">
        <f>ROUND('Balance N-1'!#REF!,2)</f>
        <v>#REF!</v>
      </c>
      <c r="D127" s="679" t="e">
        <f>ROUND('Balance N-1'!#REF!,2)</f>
        <v>#REF!</v>
      </c>
      <c r="E127" s="679">
        <f>ROUND('Balance N-1'!C127,2)</f>
        <v>0</v>
      </c>
      <c r="F127" s="679">
        <f>ROUND('Balance N-1'!D127,2)</f>
        <v>0</v>
      </c>
      <c r="G127" s="679">
        <f>ROUND('Balance N-1'!E127,2)</f>
        <v>0</v>
      </c>
      <c r="H127" s="679">
        <f>ROUND('Balance N-1'!F127,2)</f>
        <v>0</v>
      </c>
      <c r="I127" s="2" t="str">
        <f t="shared" si="4"/>
        <v>0</v>
      </c>
    </row>
    <row r="128" spans="1:9" x14ac:dyDescent="0.2">
      <c r="A128" s="910" t="str">
        <f>FIXED('Balance N-1'!A128,0,1)</f>
        <v>0</v>
      </c>
      <c r="B128" s="572">
        <f>+'Balance N-1'!B128</f>
        <v>0</v>
      </c>
      <c r="C128" s="679" t="e">
        <f>ROUND('Balance N-1'!#REF!,2)</f>
        <v>#REF!</v>
      </c>
      <c r="D128" s="679" t="e">
        <f>ROUND('Balance N-1'!#REF!,2)</f>
        <v>#REF!</v>
      </c>
      <c r="E128" s="679">
        <f>ROUND('Balance N-1'!C128,2)</f>
        <v>0</v>
      </c>
      <c r="F128" s="679">
        <f>ROUND('Balance N-1'!D128,2)</f>
        <v>0</v>
      </c>
      <c r="G128" s="679">
        <f>ROUND('Balance N-1'!E128,2)</f>
        <v>0</v>
      </c>
      <c r="H128" s="679">
        <f>ROUND('Balance N-1'!F128,2)</f>
        <v>0</v>
      </c>
      <c r="I128" s="2" t="str">
        <f t="shared" si="4"/>
        <v>0</v>
      </c>
    </row>
    <row r="129" spans="1:9" x14ac:dyDescent="0.2">
      <c r="A129" s="910" t="str">
        <f>FIXED('Balance N-1'!A129,0,1)</f>
        <v>0</v>
      </c>
      <c r="B129" s="572">
        <f>+'Balance N-1'!B129</f>
        <v>0</v>
      </c>
      <c r="C129" s="679" t="e">
        <f>ROUND('Balance N-1'!#REF!,2)</f>
        <v>#REF!</v>
      </c>
      <c r="D129" s="679" t="e">
        <f>ROUND('Balance N-1'!#REF!,2)</f>
        <v>#REF!</v>
      </c>
      <c r="E129" s="679">
        <f>ROUND('Balance N-1'!C129,2)</f>
        <v>0</v>
      </c>
      <c r="F129" s="679">
        <f>ROUND('Balance N-1'!D129,2)</f>
        <v>0</v>
      </c>
      <c r="G129" s="679">
        <f>ROUND('Balance N-1'!E129,2)</f>
        <v>0</v>
      </c>
      <c r="H129" s="679">
        <f>ROUND('Balance N-1'!F129,2)</f>
        <v>0</v>
      </c>
      <c r="I129" s="2" t="str">
        <f t="shared" si="4"/>
        <v>0</v>
      </c>
    </row>
    <row r="130" spans="1:9" x14ac:dyDescent="0.2">
      <c r="A130" s="910" t="str">
        <f>FIXED('Balance N-1'!A130,0,1)</f>
        <v>0</v>
      </c>
      <c r="B130" s="572">
        <f>+'Balance N-1'!B130</f>
        <v>0</v>
      </c>
      <c r="C130" s="679" t="e">
        <f>ROUND('Balance N-1'!#REF!,2)</f>
        <v>#REF!</v>
      </c>
      <c r="D130" s="679" t="e">
        <f>ROUND('Balance N-1'!#REF!,2)</f>
        <v>#REF!</v>
      </c>
      <c r="E130" s="679">
        <f>ROUND('Balance N-1'!C130,2)</f>
        <v>0</v>
      </c>
      <c r="F130" s="679">
        <f>ROUND('Balance N-1'!D130,2)</f>
        <v>0</v>
      </c>
      <c r="G130" s="679">
        <f>ROUND('Balance N-1'!E130,2)</f>
        <v>0</v>
      </c>
      <c r="H130" s="679">
        <f>ROUND('Balance N-1'!F130,2)</f>
        <v>0</v>
      </c>
      <c r="I130" s="2" t="str">
        <f t="shared" si="4"/>
        <v>0</v>
      </c>
    </row>
    <row r="131" spans="1:9" x14ac:dyDescent="0.2">
      <c r="A131" s="910" t="str">
        <f>FIXED('Balance N-1'!A131,0,1)</f>
        <v>0</v>
      </c>
      <c r="B131" s="572">
        <f>+'Balance N-1'!B131</f>
        <v>0</v>
      </c>
      <c r="C131" s="679" t="e">
        <f>ROUND('Balance N-1'!#REF!,2)</f>
        <v>#REF!</v>
      </c>
      <c r="D131" s="679" t="e">
        <f>ROUND('Balance N-1'!#REF!,2)</f>
        <v>#REF!</v>
      </c>
      <c r="E131" s="679">
        <f>ROUND('Balance N-1'!C131,2)</f>
        <v>0</v>
      </c>
      <c r="F131" s="679">
        <f>ROUND('Balance N-1'!D131,2)</f>
        <v>0</v>
      </c>
      <c r="G131" s="679">
        <f>ROUND('Balance N-1'!E131,2)</f>
        <v>0</v>
      </c>
      <c r="H131" s="679">
        <f>ROUND('Balance N-1'!F131,2)</f>
        <v>0</v>
      </c>
      <c r="I131" s="2" t="str">
        <f t="shared" ref="I131:I194" si="5">MID(A131,1,1)</f>
        <v>0</v>
      </c>
    </row>
    <row r="132" spans="1:9" x14ac:dyDescent="0.2">
      <c r="A132" s="910" t="str">
        <f>FIXED('Balance N-1'!A132,0,1)</f>
        <v>0</v>
      </c>
      <c r="B132" s="572">
        <f>+'Balance N-1'!B132</f>
        <v>0</v>
      </c>
      <c r="C132" s="679" t="e">
        <f>ROUND('Balance N-1'!#REF!,2)</f>
        <v>#REF!</v>
      </c>
      <c r="D132" s="679" t="e">
        <f>ROUND('Balance N-1'!#REF!,2)</f>
        <v>#REF!</v>
      </c>
      <c r="E132" s="679">
        <f>ROUND('Balance N-1'!C132,2)</f>
        <v>0</v>
      </c>
      <c r="F132" s="679">
        <f>ROUND('Balance N-1'!D132,2)</f>
        <v>0</v>
      </c>
      <c r="G132" s="679">
        <f>ROUND('Balance N-1'!E132,2)</f>
        <v>0</v>
      </c>
      <c r="H132" s="679">
        <f>ROUND('Balance N-1'!F132,2)</f>
        <v>0</v>
      </c>
      <c r="I132" s="2" t="str">
        <f t="shared" si="5"/>
        <v>0</v>
      </c>
    </row>
    <row r="133" spans="1:9" x14ac:dyDescent="0.2">
      <c r="A133" s="910" t="str">
        <f>FIXED('Balance N-1'!A133,0,1)</f>
        <v>0</v>
      </c>
      <c r="B133" s="572">
        <f>+'Balance N-1'!B133</f>
        <v>0</v>
      </c>
      <c r="C133" s="679" t="e">
        <f>ROUND('Balance N-1'!#REF!,2)</f>
        <v>#REF!</v>
      </c>
      <c r="D133" s="679" t="e">
        <f>ROUND('Balance N-1'!#REF!,2)</f>
        <v>#REF!</v>
      </c>
      <c r="E133" s="679">
        <f>ROUND('Balance N-1'!C133,2)</f>
        <v>0</v>
      </c>
      <c r="F133" s="679">
        <f>ROUND('Balance N-1'!D133,2)</f>
        <v>0</v>
      </c>
      <c r="G133" s="679">
        <f>ROUND('Balance N-1'!E133,2)</f>
        <v>0</v>
      </c>
      <c r="H133" s="679">
        <f>ROUND('Balance N-1'!F133,2)</f>
        <v>0</v>
      </c>
      <c r="I133" s="2" t="str">
        <f t="shared" si="5"/>
        <v>0</v>
      </c>
    </row>
    <row r="134" spans="1:9" x14ac:dyDescent="0.2">
      <c r="A134" s="910" t="str">
        <f>FIXED('Balance N-1'!A134,0,1)</f>
        <v>0</v>
      </c>
      <c r="B134" s="572">
        <f>+'Balance N-1'!B134</f>
        <v>0</v>
      </c>
      <c r="C134" s="679" t="e">
        <f>ROUND('Balance N-1'!#REF!,2)</f>
        <v>#REF!</v>
      </c>
      <c r="D134" s="679" t="e">
        <f>ROUND('Balance N-1'!#REF!,2)</f>
        <v>#REF!</v>
      </c>
      <c r="E134" s="679">
        <f>ROUND('Balance N-1'!C134,2)</f>
        <v>0</v>
      </c>
      <c r="F134" s="679">
        <f>ROUND('Balance N-1'!D134,2)</f>
        <v>0</v>
      </c>
      <c r="G134" s="679">
        <f>ROUND('Balance N-1'!E134,2)</f>
        <v>0</v>
      </c>
      <c r="H134" s="679">
        <f>ROUND('Balance N-1'!F134,2)</f>
        <v>0</v>
      </c>
      <c r="I134" s="2" t="str">
        <f t="shared" si="5"/>
        <v>0</v>
      </c>
    </row>
    <row r="135" spans="1:9" x14ac:dyDescent="0.2">
      <c r="A135" s="910" t="str">
        <f>FIXED('Balance N-1'!A135,0,1)</f>
        <v>0</v>
      </c>
      <c r="B135" s="572">
        <f>+'Balance N-1'!B135</f>
        <v>0</v>
      </c>
      <c r="C135" s="679" t="e">
        <f>ROUND('Balance N-1'!#REF!,2)</f>
        <v>#REF!</v>
      </c>
      <c r="D135" s="679" t="e">
        <f>ROUND('Balance N-1'!#REF!,2)</f>
        <v>#REF!</v>
      </c>
      <c r="E135" s="679">
        <f>ROUND('Balance N-1'!C135,2)</f>
        <v>0</v>
      </c>
      <c r="F135" s="679">
        <f>ROUND('Balance N-1'!D135,2)</f>
        <v>0</v>
      </c>
      <c r="G135" s="679">
        <f>ROUND('Balance N-1'!E135,2)</f>
        <v>0</v>
      </c>
      <c r="H135" s="679">
        <f>ROUND('Balance N-1'!F135,2)</f>
        <v>0</v>
      </c>
      <c r="I135" s="2" t="str">
        <f t="shared" si="5"/>
        <v>0</v>
      </c>
    </row>
    <row r="136" spans="1:9" x14ac:dyDescent="0.2">
      <c r="A136" s="910" t="str">
        <f>FIXED('Balance N-1'!A136,0,1)</f>
        <v>0</v>
      </c>
      <c r="B136" s="572">
        <f>+'Balance N-1'!B136</f>
        <v>0</v>
      </c>
      <c r="C136" s="679" t="e">
        <f>ROUND('Balance N-1'!#REF!,2)</f>
        <v>#REF!</v>
      </c>
      <c r="D136" s="679" t="e">
        <f>ROUND('Balance N-1'!#REF!,2)</f>
        <v>#REF!</v>
      </c>
      <c r="E136" s="679">
        <f>ROUND('Balance N-1'!C136,2)</f>
        <v>0</v>
      </c>
      <c r="F136" s="679">
        <f>ROUND('Balance N-1'!D136,2)</f>
        <v>0</v>
      </c>
      <c r="G136" s="679">
        <f>ROUND('Balance N-1'!E136,2)</f>
        <v>0</v>
      </c>
      <c r="H136" s="679">
        <f>ROUND('Balance N-1'!F136,2)</f>
        <v>0</v>
      </c>
      <c r="I136" s="2" t="str">
        <f t="shared" si="5"/>
        <v>0</v>
      </c>
    </row>
    <row r="137" spans="1:9" x14ac:dyDescent="0.2">
      <c r="A137" s="910" t="str">
        <f>FIXED('Balance N-1'!A137,0,1)</f>
        <v>0</v>
      </c>
      <c r="B137" s="572">
        <f>+'Balance N-1'!B137</f>
        <v>0</v>
      </c>
      <c r="C137" s="679" t="e">
        <f>ROUND('Balance N-1'!#REF!,2)</f>
        <v>#REF!</v>
      </c>
      <c r="D137" s="679" t="e">
        <f>ROUND('Balance N-1'!#REF!,2)</f>
        <v>#REF!</v>
      </c>
      <c r="E137" s="679">
        <f>ROUND('Balance N-1'!C137,2)</f>
        <v>0</v>
      </c>
      <c r="F137" s="679">
        <f>ROUND('Balance N-1'!D137,2)</f>
        <v>0</v>
      </c>
      <c r="G137" s="679">
        <f>ROUND('Balance N-1'!E137,2)</f>
        <v>0</v>
      </c>
      <c r="H137" s="679">
        <f>ROUND('Balance N-1'!F137,2)</f>
        <v>0</v>
      </c>
      <c r="I137" s="2" t="str">
        <f t="shared" si="5"/>
        <v>0</v>
      </c>
    </row>
    <row r="138" spans="1:9" x14ac:dyDescent="0.2">
      <c r="A138" s="910" t="str">
        <f>FIXED('Balance N-1'!A138,0,1)</f>
        <v>0</v>
      </c>
      <c r="B138" s="572">
        <f>+'Balance N-1'!B138</f>
        <v>0</v>
      </c>
      <c r="C138" s="679" t="e">
        <f>ROUND('Balance N-1'!#REF!,2)</f>
        <v>#REF!</v>
      </c>
      <c r="D138" s="679" t="e">
        <f>ROUND('Balance N-1'!#REF!,2)</f>
        <v>#REF!</v>
      </c>
      <c r="E138" s="679">
        <f>ROUND('Balance N-1'!C138,2)</f>
        <v>0</v>
      </c>
      <c r="F138" s="679">
        <f>ROUND('Balance N-1'!D138,2)</f>
        <v>0</v>
      </c>
      <c r="G138" s="679">
        <f>ROUND('Balance N-1'!E138,2)</f>
        <v>0</v>
      </c>
      <c r="H138" s="679">
        <f>ROUND('Balance N-1'!F138,2)</f>
        <v>0</v>
      </c>
      <c r="I138" s="2" t="str">
        <f t="shared" si="5"/>
        <v>0</v>
      </c>
    </row>
    <row r="139" spans="1:9" x14ac:dyDescent="0.2">
      <c r="A139" s="910" t="str">
        <f>FIXED('Balance N-1'!A139,0,1)</f>
        <v>0</v>
      </c>
      <c r="B139" s="572">
        <f>+'Balance N-1'!B139</f>
        <v>0</v>
      </c>
      <c r="C139" s="679" t="e">
        <f>ROUND('Balance N-1'!#REF!,2)</f>
        <v>#REF!</v>
      </c>
      <c r="D139" s="679" t="e">
        <f>ROUND('Balance N-1'!#REF!,2)</f>
        <v>#REF!</v>
      </c>
      <c r="E139" s="679">
        <f>ROUND('Balance N-1'!C139,2)</f>
        <v>0</v>
      </c>
      <c r="F139" s="679">
        <f>ROUND('Balance N-1'!D139,2)</f>
        <v>0</v>
      </c>
      <c r="G139" s="679">
        <f>ROUND('Balance N-1'!E139,2)</f>
        <v>0</v>
      </c>
      <c r="H139" s="679">
        <f>ROUND('Balance N-1'!F139,2)</f>
        <v>0</v>
      </c>
      <c r="I139" s="2" t="str">
        <f t="shared" si="5"/>
        <v>0</v>
      </c>
    </row>
    <row r="140" spans="1:9" x14ac:dyDescent="0.2">
      <c r="A140" s="910" t="str">
        <f>FIXED('Balance N-1'!A140,0,1)</f>
        <v>0</v>
      </c>
      <c r="B140" s="572">
        <f>+'Balance N-1'!B140</f>
        <v>0</v>
      </c>
      <c r="C140" s="679" t="e">
        <f>ROUND('Balance N-1'!#REF!,2)</f>
        <v>#REF!</v>
      </c>
      <c r="D140" s="679" t="e">
        <f>ROUND('Balance N-1'!#REF!,2)</f>
        <v>#REF!</v>
      </c>
      <c r="E140" s="679">
        <f>ROUND('Balance N-1'!C140,2)</f>
        <v>0</v>
      </c>
      <c r="F140" s="679">
        <f>ROUND('Balance N-1'!D140,2)</f>
        <v>0</v>
      </c>
      <c r="G140" s="679">
        <f>ROUND('Balance N-1'!E140,2)</f>
        <v>0</v>
      </c>
      <c r="H140" s="679">
        <f>ROUND('Balance N-1'!F140,2)</f>
        <v>0</v>
      </c>
      <c r="I140" s="2" t="str">
        <f t="shared" si="5"/>
        <v>0</v>
      </c>
    </row>
    <row r="141" spans="1:9" x14ac:dyDescent="0.2">
      <c r="A141" s="910" t="str">
        <f>FIXED('Balance N-1'!A141,0,1)</f>
        <v>0</v>
      </c>
      <c r="B141" s="572">
        <f>+'Balance N-1'!B141</f>
        <v>0</v>
      </c>
      <c r="C141" s="679" t="e">
        <f>ROUND('Balance N-1'!#REF!,2)</f>
        <v>#REF!</v>
      </c>
      <c r="D141" s="679" t="e">
        <f>ROUND('Balance N-1'!#REF!,2)</f>
        <v>#REF!</v>
      </c>
      <c r="E141" s="679">
        <f>ROUND('Balance N-1'!C141,2)</f>
        <v>0</v>
      </c>
      <c r="F141" s="679">
        <f>ROUND('Balance N-1'!D141,2)</f>
        <v>0</v>
      </c>
      <c r="G141" s="679">
        <f>ROUND('Balance N-1'!E141,2)</f>
        <v>0</v>
      </c>
      <c r="H141" s="679">
        <f>ROUND('Balance N-1'!F141,2)</f>
        <v>0</v>
      </c>
      <c r="I141" s="2" t="str">
        <f t="shared" si="5"/>
        <v>0</v>
      </c>
    </row>
    <row r="142" spans="1:9" x14ac:dyDescent="0.2">
      <c r="A142" s="910" t="str">
        <f>FIXED('Balance N-1'!A142,0,1)</f>
        <v>0</v>
      </c>
      <c r="B142" s="572">
        <f>+'Balance N-1'!B142</f>
        <v>0</v>
      </c>
      <c r="C142" s="679" t="e">
        <f>ROUND('Balance N-1'!#REF!,2)</f>
        <v>#REF!</v>
      </c>
      <c r="D142" s="679" t="e">
        <f>ROUND('Balance N-1'!#REF!,2)</f>
        <v>#REF!</v>
      </c>
      <c r="E142" s="679">
        <f>ROUND('Balance N-1'!C142,2)</f>
        <v>0</v>
      </c>
      <c r="F142" s="679">
        <f>ROUND('Balance N-1'!D142,2)</f>
        <v>0</v>
      </c>
      <c r="G142" s="679">
        <f>ROUND('Balance N-1'!E142,2)</f>
        <v>0</v>
      </c>
      <c r="H142" s="679">
        <f>ROUND('Balance N-1'!F142,2)</f>
        <v>0</v>
      </c>
      <c r="I142" s="2" t="str">
        <f t="shared" si="5"/>
        <v>0</v>
      </c>
    </row>
    <row r="143" spans="1:9" x14ac:dyDescent="0.2">
      <c r="A143" s="910" t="str">
        <f>FIXED('Balance N-1'!A143,0,1)</f>
        <v>0</v>
      </c>
      <c r="B143" s="572">
        <f>+'Balance N-1'!B143</f>
        <v>0</v>
      </c>
      <c r="C143" s="679" t="e">
        <f>ROUND('Balance N-1'!#REF!,2)</f>
        <v>#REF!</v>
      </c>
      <c r="D143" s="679" t="e">
        <f>ROUND('Balance N-1'!#REF!,2)</f>
        <v>#REF!</v>
      </c>
      <c r="E143" s="679">
        <f>ROUND('Balance N-1'!C143,2)</f>
        <v>0</v>
      </c>
      <c r="F143" s="679">
        <f>ROUND('Balance N-1'!D143,2)</f>
        <v>0</v>
      </c>
      <c r="G143" s="679">
        <f>ROUND('Balance N-1'!E143,2)</f>
        <v>0</v>
      </c>
      <c r="H143" s="679">
        <f>ROUND('Balance N-1'!F143,2)</f>
        <v>0</v>
      </c>
      <c r="I143" s="2" t="str">
        <f t="shared" si="5"/>
        <v>0</v>
      </c>
    </row>
    <row r="144" spans="1:9" x14ac:dyDescent="0.2">
      <c r="A144" s="910" t="str">
        <f>FIXED('Balance N-1'!A144,0,1)</f>
        <v>0</v>
      </c>
      <c r="B144" s="572">
        <f>+'Balance N-1'!B144</f>
        <v>0</v>
      </c>
      <c r="C144" s="679" t="e">
        <f>ROUND('Balance N-1'!#REF!,2)</f>
        <v>#REF!</v>
      </c>
      <c r="D144" s="679" t="e">
        <f>ROUND('Balance N-1'!#REF!,2)</f>
        <v>#REF!</v>
      </c>
      <c r="E144" s="679">
        <f>ROUND('Balance N-1'!C144,2)</f>
        <v>0</v>
      </c>
      <c r="F144" s="679">
        <f>ROUND('Balance N-1'!D144,2)</f>
        <v>0</v>
      </c>
      <c r="G144" s="679">
        <f>ROUND('Balance N-1'!E144,2)</f>
        <v>0</v>
      </c>
      <c r="H144" s="679">
        <f>ROUND('Balance N-1'!F144,2)</f>
        <v>0</v>
      </c>
      <c r="I144" s="2" t="str">
        <f t="shared" si="5"/>
        <v>0</v>
      </c>
    </row>
    <row r="145" spans="1:9" x14ac:dyDescent="0.2">
      <c r="A145" s="910" t="str">
        <f>FIXED('Balance N-1'!A145,0,1)</f>
        <v>0</v>
      </c>
      <c r="B145" s="572">
        <f>+'Balance N-1'!B145</f>
        <v>0</v>
      </c>
      <c r="C145" s="679" t="e">
        <f>ROUND('Balance N-1'!#REF!,2)</f>
        <v>#REF!</v>
      </c>
      <c r="D145" s="679" t="e">
        <f>ROUND('Balance N-1'!#REF!,2)</f>
        <v>#REF!</v>
      </c>
      <c r="E145" s="679">
        <f>ROUND('Balance N-1'!C145,2)</f>
        <v>0</v>
      </c>
      <c r="F145" s="679">
        <f>ROUND('Balance N-1'!D145,2)</f>
        <v>0</v>
      </c>
      <c r="G145" s="679">
        <f>ROUND('Balance N-1'!E145,2)</f>
        <v>0</v>
      </c>
      <c r="H145" s="679">
        <f>ROUND('Balance N-1'!F145,2)</f>
        <v>0</v>
      </c>
      <c r="I145" s="2" t="str">
        <f t="shared" si="5"/>
        <v>0</v>
      </c>
    </row>
    <row r="146" spans="1:9" x14ac:dyDescent="0.2">
      <c r="A146" s="910" t="str">
        <f>FIXED('Balance N-1'!A146,0,1)</f>
        <v>0</v>
      </c>
      <c r="B146" s="572">
        <f>+'Balance N-1'!B146</f>
        <v>0</v>
      </c>
      <c r="C146" s="679" t="e">
        <f>ROUND('Balance N-1'!#REF!,2)</f>
        <v>#REF!</v>
      </c>
      <c r="D146" s="679" t="e">
        <f>ROUND('Balance N-1'!#REF!,2)</f>
        <v>#REF!</v>
      </c>
      <c r="E146" s="679">
        <f>ROUND('Balance N-1'!C146,2)</f>
        <v>0</v>
      </c>
      <c r="F146" s="679">
        <f>ROUND('Balance N-1'!D146,2)</f>
        <v>0</v>
      </c>
      <c r="G146" s="679">
        <f>ROUND('Balance N-1'!E146,2)</f>
        <v>0</v>
      </c>
      <c r="H146" s="679">
        <f>ROUND('Balance N-1'!F146,2)</f>
        <v>0</v>
      </c>
      <c r="I146" s="2" t="str">
        <f t="shared" si="5"/>
        <v>0</v>
      </c>
    </row>
    <row r="147" spans="1:9" x14ac:dyDescent="0.2">
      <c r="A147" s="910" t="str">
        <f>FIXED('Balance N-1'!A147,0,1)</f>
        <v>0</v>
      </c>
      <c r="B147" s="572">
        <f>+'Balance N-1'!B147</f>
        <v>0</v>
      </c>
      <c r="C147" s="679" t="e">
        <f>ROUND('Balance N-1'!#REF!,2)</f>
        <v>#REF!</v>
      </c>
      <c r="D147" s="679" t="e">
        <f>ROUND('Balance N-1'!#REF!,2)</f>
        <v>#REF!</v>
      </c>
      <c r="E147" s="679">
        <f>ROUND('Balance N-1'!C147,2)</f>
        <v>0</v>
      </c>
      <c r="F147" s="679">
        <f>ROUND('Balance N-1'!D147,2)</f>
        <v>0</v>
      </c>
      <c r="G147" s="679">
        <f>ROUND('Balance N-1'!E147,2)</f>
        <v>0</v>
      </c>
      <c r="H147" s="679">
        <f>ROUND('Balance N-1'!F147,2)</f>
        <v>0</v>
      </c>
      <c r="I147" s="2" t="str">
        <f t="shared" si="5"/>
        <v>0</v>
      </c>
    </row>
    <row r="148" spans="1:9" x14ac:dyDescent="0.2">
      <c r="A148" s="910" t="str">
        <f>FIXED('Balance N-1'!A148,0,1)</f>
        <v>0</v>
      </c>
      <c r="B148" s="572">
        <f>+'Balance N-1'!B148</f>
        <v>0</v>
      </c>
      <c r="C148" s="679" t="e">
        <f>ROUND('Balance N-1'!#REF!,2)</f>
        <v>#REF!</v>
      </c>
      <c r="D148" s="679" t="e">
        <f>ROUND('Balance N-1'!#REF!,2)</f>
        <v>#REF!</v>
      </c>
      <c r="E148" s="679">
        <f>ROUND('Balance N-1'!C148,2)</f>
        <v>0</v>
      </c>
      <c r="F148" s="679">
        <f>ROUND('Balance N-1'!D148,2)</f>
        <v>0</v>
      </c>
      <c r="G148" s="679">
        <f>ROUND('Balance N-1'!E148,2)</f>
        <v>0</v>
      </c>
      <c r="H148" s="679">
        <f>ROUND('Balance N-1'!F148,2)</f>
        <v>0</v>
      </c>
      <c r="I148" s="2" t="str">
        <f t="shared" si="5"/>
        <v>0</v>
      </c>
    </row>
    <row r="149" spans="1:9" x14ac:dyDescent="0.2">
      <c r="A149" s="910" t="str">
        <f>FIXED('Balance N-1'!A149,0,1)</f>
        <v>0</v>
      </c>
      <c r="B149" s="572">
        <f>+'Balance N-1'!B149</f>
        <v>0</v>
      </c>
      <c r="C149" s="679" t="e">
        <f>ROUND('Balance N-1'!#REF!,2)</f>
        <v>#REF!</v>
      </c>
      <c r="D149" s="679" t="e">
        <f>ROUND('Balance N-1'!#REF!,2)</f>
        <v>#REF!</v>
      </c>
      <c r="E149" s="679">
        <f>ROUND('Balance N-1'!C149,2)</f>
        <v>0</v>
      </c>
      <c r="F149" s="679">
        <f>ROUND('Balance N-1'!D149,2)</f>
        <v>0</v>
      </c>
      <c r="G149" s="679">
        <f>ROUND('Balance N-1'!E149,2)</f>
        <v>0</v>
      </c>
      <c r="H149" s="679">
        <f>ROUND('Balance N-1'!F149,2)</f>
        <v>0</v>
      </c>
      <c r="I149" s="2" t="str">
        <f t="shared" si="5"/>
        <v>0</v>
      </c>
    </row>
    <row r="150" spans="1:9" x14ac:dyDescent="0.2">
      <c r="A150" s="910" t="str">
        <f>FIXED('Balance N-1'!A150,0,1)</f>
        <v>0</v>
      </c>
      <c r="B150" s="572">
        <f>+'Balance N-1'!B150</f>
        <v>0</v>
      </c>
      <c r="C150" s="679" t="e">
        <f>ROUND('Balance N-1'!#REF!,2)</f>
        <v>#REF!</v>
      </c>
      <c r="D150" s="679" t="e">
        <f>ROUND('Balance N-1'!#REF!,2)</f>
        <v>#REF!</v>
      </c>
      <c r="E150" s="679">
        <f>ROUND('Balance N-1'!C150,2)</f>
        <v>0</v>
      </c>
      <c r="F150" s="679">
        <f>ROUND('Balance N-1'!D150,2)</f>
        <v>0</v>
      </c>
      <c r="G150" s="679">
        <f>ROUND('Balance N-1'!E150,2)</f>
        <v>0</v>
      </c>
      <c r="H150" s="679">
        <f>ROUND('Balance N-1'!F150,2)</f>
        <v>0</v>
      </c>
      <c r="I150" s="2" t="str">
        <f t="shared" si="5"/>
        <v>0</v>
      </c>
    </row>
    <row r="151" spans="1:9" x14ac:dyDescent="0.2">
      <c r="A151" s="910" t="str">
        <f>FIXED('Balance N-1'!A151,0,1)</f>
        <v>0</v>
      </c>
      <c r="B151" s="572">
        <f>+'Balance N-1'!B151</f>
        <v>0</v>
      </c>
      <c r="C151" s="679" t="e">
        <f>ROUND('Balance N-1'!#REF!,2)</f>
        <v>#REF!</v>
      </c>
      <c r="D151" s="679" t="e">
        <f>ROUND('Balance N-1'!#REF!,2)</f>
        <v>#REF!</v>
      </c>
      <c r="E151" s="679">
        <f>ROUND('Balance N-1'!C151,2)</f>
        <v>0</v>
      </c>
      <c r="F151" s="679">
        <f>ROUND('Balance N-1'!D151,2)</f>
        <v>0</v>
      </c>
      <c r="G151" s="679">
        <f>ROUND('Balance N-1'!E151,2)</f>
        <v>0</v>
      </c>
      <c r="H151" s="679">
        <f>ROUND('Balance N-1'!F151,2)</f>
        <v>0</v>
      </c>
      <c r="I151" s="2" t="str">
        <f t="shared" si="5"/>
        <v>0</v>
      </c>
    </row>
    <row r="152" spans="1:9" x14ac:dyDescent="0.2">
      <c r="A152" s="910" t="str">
        <f>FIXED('Balance N-1'!A152,0,1)</f>
        <v>0</v>
      </c>
      <c r="B152" s="572">
        <f>+'Balance N-1'!B152</f>
        <v>0</v>
      </c>
      <c r="C152" s="679" t="e">
        <f>ROUND('Balance N-1'!#REF!,2)</f>
        <v>#REF!</v>
      </c>
      <c r="D152" s="679" t="e">
        <f>ROUND('Balance N-1'!#REF!,2)</f>
        <v>#REF!</v>
      </c>
      <c r="E152" s="679">
        <f>ROUND('Balance N-1'!C152,2)</f>
        <v>0</v>
      </c>
      <c r="F152" s="679">
        <f>ROUND('Balance N-1'!D152,2)</f>
        <v>0</v>
      </c>
      <c r="G152" s="679">
        <f>ROUND('Balance N-1'!E152,2)</f>
        <v>0</v>
      </c>
      <c r="H152" s="679">
        <f>ROUND('Balance N-1'!F152,2)</f>
        <v>0</v>
      </c>
      <c r="I152" s="2" t="str">
        <f t="shared" si="5"/>
        <v>0</v>
      </c>
    </row>
    <row r="153" spans="1:9" x14ac:dyDescent="0.2">
      <c r="A153" s="910" t="str">
        <f>FIXED('Balance N-1'!A153,0,1)</f>
        <v>0</v>
      </c>
      <c r="B153" s="572">
        <f>+'Balance N-1'!B153</f>
        <v>0</v>
      </c>
      <c r="C153" s="679" t="e">
        <f>ROUND('Balance N-1'!#REF!,2)</f>
        <v>#REF!</v>
      </c>
      <c r="D153" s="679" t="e">
        <f>ROUND('Balance N-1'!#REF!,2)</f>
        <v>#REF!</v>
      </c>
      <c r="E153" s="679">
        <f>ROUND('Balance N-1'!C153,2)</f>
        <v>0</v>
      </c>
      <c r="F153" s="679">
        <f>ROUND('Balance N-1'!D153,2)</f>
        <v>0</v>
      </c>
      <c r="G153" s="679">
        <f>ROUND('Balance N-1'!E153,2)</f>
        <v>0</v>
      </c>
      <c r="H153" s="679">
        <f>ROUND('Balance N-1'!F153,2)</f>
        <v>0</v>
      </c>
      <c r="I153" s="2" t="str">
        <f t="shared" si="5"/>
        <v>0</v>
      </c>
    </row>
    <row r="154" spans="1:9" x14ac:dyDescent="0.2">
      <c r="A154" s="910" t="str">
        <f>FIXED('Balance N-1'!A154,0,1)</f>
        <v>0</v>
      </c>
      <c r="B154" s="572">
        <f>+'Balance N-1'!B154</f>
        <v>0</v>
      </c>
      <c r="C154" s="679" t="e">
        <f>ROUND('Balance N-1'!#REF!,2)</f>
        <v>#REF!</v>
      </c>
      <c r="D154" s="679" t="e">
        <f>ROUND('Balance N-1'!#REF!,2)</f>
        <v>#REF!</v>
      </c>
      <c r="E154" s="679">
        <f>ROUND('Balance N-1'!C154,2)</f>
        <v>0</v>
      </c>
      <c r="F154" s="679">
        <f>ROUND('Balance N-1'!D154,2)</f>
        <v>0</v>
      </c>
      <c r="G154" s="679">
        <f>ROUND('Balance N-1'!E154,2)</f>
        <v>0</v>
      </c>
      <c r="H154" s="679">
        <f>ROUND('Balance N-1'!F154,2)</f>
        <v>0</v>
      </c>
      <c r="I154" s="2" t="str">
        <f t="shared" si="5"/>
        <v>0</v>
      </c>
    </row>
    <row r="155" spans="1:9" x14ac:dyDescent="0.2">
      <c r="A155" s="910" t="str">
        <f>FIXED('Balance N-1'!A155,0,1)</f>
        <v>0</v>
      </c>
      <c r="B155" s="572">
        <f>+'Balance N-1'!B155</f>
        <v>0</v>
      </c>
      <c r="C155" s="679" t="e">
        <f>ROUND('Balance N-1'!#REF!,2)</f>
        <v>#REF!</v>
      </c>
      <c r="D155" s="679" t="e">
        <f>ROUND('Balance N-1'!#REF!,2)</f>
        <v>#REF!</v>
      </c>
      <c r="E155" s="679">
        <f>ROUND('Balance N-1'!C155,2)</f>
        <v>0</v>
      </c>
      <c r="F155" s="679">
        <f>ROUND('Balance N-1'!D155,2)</f>
        <v>0</v>
      </c>
      <c r="G155" s="679">
        <f>ROUND('Balance N-1'!E155,2)</f>
        <v>0</v>
      </c>
      <c r="H155" s="679">
        <f>ROUND('Balance N-1'!F155,2)</f>
        <v>0</v>
      </c>
      <c r="I155" s="2" t="str">
        <f t="shared" si="5"/>
        <v>0</v>
      </c>
    </row>
    <row r="156" spans="1:9" x14ac:dyDescent="0.2">
      <c r="A156" s="910" t="str">
        <f>FIXED('Balance N-1'!A156,0,1)</f>
        <v>0</v>
      </c>
      <c r="B156" s="572">
        <f>+'Balance N-1'!B156</f>
        <v>0</v>
      </c>
      <c r="C156" s="679" t="e">
        <f>ROUND('Balance N-1'!#REF!,2)</f>
        <v>#REF!</v>
      </c>
      <c r="D156" s="679" t="e">
        <f>ROUND('Balance N-1'!#REF!,2)</f>
        <v>#REF!</v>
      </c>
      <c r="E156" s="679">
        <f>ROUND('Balance N-1'!C156,2)</f>
        <v>0</v>
      </c>
      <c r="F156" s="679">
        <f>ROUND('Balance N-1'!D156,2)</f>
        <v>0</v>
      </c>
      <c r="G156" s="679">
        <f>ROUND('Balance N-1'!E156,2)</f>
        <v>0</v>
      </c>
      <c r="H156" s="679">
        <f>ROUND('Balance N-1'!F156,2)</f>
        <v>0</v>
      </c>
      <c r="I156" s="2" t="str">
        <f t="shared" si="5"/>
        <v>0</v>
      </c>
    </row>
    <row r="157" spans="1:9" x14ac:dyDescent="0.2">
      <c r="A157" s="910" t="str">
        <f>FIXED('Balance N-1'!A157,0,1)</f>
        <v>0</v>
      </c>
      <c r="B157" s="572">
        <f>+'Balance N-1'!B157</f>
        <v>0</v>
      </c>
      <c r="C157" s="679" t="e">
        <f>ROUND('Balance N-1'!#REF!,2)</f>
        <v>#REF!</v>
      </c>
      <c r="D157" s="679" t="e">
        <f>ROUND('Balance N-1'!#REF!,2)</f>
        <v>#REF!</v>
      </c>
      <c r="E157" s="679">
        <f>ROUND('Balance N-1'!C157,2)</f>
        <v>0</v>
      </c>
      <c r="F157" s="679">
        <f>ROUND('Balance N-1'!D157,2)</f>
        <v>0</v>
      </c>
      <c r="G157" s="679">
        <f>ROUND('Balance N-1'!E157,2)</f>
        <v>0</v>
      </c>
      <c r="H157" s="679">
        <f>ROUND('Balance N-1'!F157,2)</f>
        <v>0</v>
      </c>
      <c r="I157" s="2" t="str">
        <f t="shared" si="5"/>
        <v>0</v>
      </c>
    </row>
    <row r="158" spans="1:9" x14ac:dyDescent="0.2">
      <c r="A158" s="910" t="str">
        <f>FIXED('Balance N-1'!A158,0,1)</f>
        <v>0</v>
      </c>
      <c r="B158" s="572">
        <f>+'Balance N-1'!B158</f>
        <v>0</v>
      </c>
      <c r="C158" s="679" t="e">
        <f>ROUND('Balance N-1'!#REF!,2)</f>
        <v>#REF!</v>
      </c>
      <c r="D158" s="679" t="e">
        <f>ROUND('Balance N-1'!#REF!,2)</f>
        <v>#REF!</v>
      </c>
      <c r="E158" s="679">
        <f>ROUND('Balance N-1'!C158,2)</f>
        <v>0</v>
      </c>
      <c r="F158" s="679">
        <f>ROUND('Balance N-1'!D158,2)</f>
        <v>0</v>
      </c>
      <c r="G158" s="679">
        <f>ROUND('Balance N-1'!E158,2)</f>
        <v>0</v>
      </c>
      <c r="H158" s="679">
        <f>ROUND('Balance N-1'!F158,2)</f>
        <v>0</v>
      </c>
      <c r="I158" s="2" t="str">
        <f t="shared" si="5"/>
        <v>0</v>
      </c>
    </row>
    <row r="159" spans="1:9" x14ac:dyDescent="0.2">
      <c r="A159" s="910" t="str">
        <f>FIXED('Balance N-1'!A159,0,1)</f>
        <v>0</v>
      </c>
      <c r="B159" s="572">
        <f>+'Balance N-1'!B159</f>
        <v>0</v>
      </c>
      <c r="C159" s="679" t="e">
        <f>ROUND('Balance N-1'!#REF!,2)</f>
        <v>#REF!</v>
      </c>
      <c r="D159" s="679" t="e">
        <f>ROUND('Balance N-1'!#REF!,2)</f>
        <v>#REF!</v>
      </c>
      <c r="E159" s="679">
        <f>ROUND('Balance N-1'!C159,2)</f>
        <v>0</v>
      </c>
      <c r="F159" s="679">
        <f>ROUND('Balance N-1'!D159,2)</f>
        <v>0</v>
      </c>
      <c r="G159" s="679">
        <f>ROUND('Balance N-1'!E159,2)</f>
        <v>0</v>
      </c>
      <c r="H159" s="679">
        <f>ROUND('Balance N-1'!F159,2)</f>
        <v>0</v>
      </c>
      <c r="I159" s="2" t="str">
        <f t="shared" si="5"/>
        <v>0</v>
      </c>
    </row>
    <row r="160" spans="1:9" x14ac:dyDescent="0.2">
      <c r="A160" s="910" t="str">
        <f>FIXED('Balance N-1'!A160,0,1)</f>
        <v>0</v>
      </c>
      <c r="B160" s="572">
        <f>+'Balance N-1'!B160</f>
        <v>0</v>
      </c>
      <c r="C160" s="679" t="e">
        <f>ROUND('Balance N-1'!#REF!,2)</f>
        <v>#REF!</v>
      </c>
      <c r="D160" s="679" t="e">
        <f>ROUND('Balance N-1'!#REF!,2)</f>
        <v>#REF!</v>
      </c>
      <c r="E160" s="679">
        <f>ROUND('Balance N-1'!C160,2)</f>
        <v>0</v>
      </c>
      <c r="F160" s="679">
        <f>ROUND('Balance N-1'!D160,2)</f>
        <v>0</v>
      </c>
      <c r="G160" s="679">
        <f>ROUND('Balance N-1'!E160,2)</f>
        <v>0</v>
      </c>
      <c r="H160" s="679">
        <f>ROUND('Balance N-1'!F160,2)</f>
        <v>0</v>
      </c>
      <c r="I160" s="2" t="str">
        <f t="shared" si="5"/>
        <v>0</v>
      </c>
    </row>
    <row r="161" spans="1:9" x14ac:dyDescent="0.2">
      <c r="A161" s="910" t="str">
        <f>FIXED('Balance N-1'!A161,0,1)</f>
        <v>0</v>
      </c>
      <c r="B161" s="572">
        <f>+'Balance N-1'!B161</f>
        <v>0</v>
      </c>
      <c r="C161" s="679" t="e">
        <f>ROUND('Balance N-1'!#REF!,2)</f>
        <v>#REF!</v>
      </c>
      <c r="D161" s="679" t="e">
        <f>ROUND('Balance N-1'!#REF!,2)</f>
        <v>#REF!</v>
      </c>
      <c r="E161" s="679">
        <f>ROUND('Balance N-1'!C161,2)</f>
        <v>0</v>
      </c>
      <c r="F161" s="679">
        <f>ROUND('Balance N-1'!D161,2)</f>
        <v>0</v>
      </c>
      <c r="G161" s="679">
        <f>ROUND('Balance N-1'!E161,2)</f>
        <v>0</v>
      </c>
      <c r="H161" s="679">
        <f>ROUND('Balance N-1'!F161,2)</f>
        <v>0</v>
      </c>
      <c r="I161" s="2" t="str">
        <f t="shared" si="5"/>
        <v>0</v>
      </c>
    </row>
    <row r="162" spans="1:9" x14ac:dyDescent="0.2">
      <c r="A162" s="910" t="str">
        <f>FIXED('Balance N-1'!A162,0,1)</f>
        <v>0</v>
      </c>
      <c r="B162" s="572">
        <f>+'Balance N-1'!B162</f>
        <v>0</v>
      </c>
      <c r="C162" s="679" t="e">
        <f>ROUND('Balance N-1'!#REF!,2)</f>
        <v>#REF!</v>
      </c>
      <c r="D162" s="679" t="e">
        <f>ROUND('Balance N-1'!#REF!,2)</f>
        <v>#REF!</v>
      </c>
      <c r="E162" s="679">
        <f>ROUND('Balance N-1'!C162,2)</f>
        <v>0</v>
      </c>
      <c r="F162" s="679">
        <f>ROUND('Balance N-1'!D162,2)</f>
        <v>0</v>
      </c>
      <c r="G162" s="679">
        <f>ROUND('Balance N-1'!E162,2)</f>
        <v>0</v>
      </c>
      <c r="H162" s="679">
        <f>ROUND('Balance N-1'!F162,2)</f>
        <v>0</v>
      </c>
      <c r="I162" s="2" t="str">
        <f t="shared" si="5"/>
        <v>0</v>
      </c>
    </row>
    <row r="163" spans="1:9" x14ac:dyDescent="0.2">
      <c r="A163" s="910" t="str">
        <f>FIXED('Balance N-1'!A163,0,1)</f>
        <v>0</v>
      </c>
      <c r="B163" s="572">
        <f>+'Balance N-1'!B163</f>
        <v>0</v>
      </c>
      <c r="C163" s="679" t="e">
        <f>ROUND('Balance N-1'!#REF!,2)</f>
        <v>#REF!</v>
      </c>
      <c r="D163" s="679" t="e">
        <f>ROUND('Balance N-1'!#REF!,2)</f>
        <v>#REF!</v>
      </c>
      <c r="E163" s="679">
        <f>ROUND('Balance N-1'!C163,2)</f>
        <v>0</v>
      </c>
      <c r="F163" s="679">
        <f>ROUND('Balance N-1'!D163,2)</f>
        <v>0</v>
      </c>
      <c r="G163" s="679">
        <f>ROUND('Balance N-1'!E163,2)</f>
        <v>0</v>
      </c>
      <c r="H163" s="679">
        <f>ROUND('Balance N-1'!F163,2)</f>
        <v>0</v>
      </c>
      <c r="I163" s="2" t="str">
        <f t="shared" si="5"/>
        <v>0</v>
      </c>
    </row>
    <row r="164" spans="1:9" x14ac:dyDescent="0.2">
      <c r="A164" s="910" t="str">
        <f>FIXED('Balance N-1'!A164,0,1)</f>
        <v>0</v>
      </c>
      <c r="B164" s="572">
        <f>+'Balance N-1'!B164</f>
        <v>0</v>
      </c>
      <c r="C164" s="679" t="e">
        <f>ROUND('Balance N-1'!#REF!,2)</f>
        <v>#REF!</v>
      </c>
      <c r="D164" s="679" t="e">
        <f>ROUND('Balance N-1'!#REF!,2)</f>
        <v>#REF!</v>
      </c>
      <c r="E164" s="679">
        <f>ROUND('Balance N-1'!C164,2)</f>
        <v>0</v>
      </c>
      <c r="F164" s="679">
        <f>ROUND('Balance N-1'!D164,2)</f>
        <v>0</v>
      </c>
      <c r="G164" s="679">
        <f>ROUND('Balance N-1'!E164,2)</f>
        <v>0</v>
      </c>
      <c r="H164" s="679">
        <f>ROUND('Balance N-1'!F164,2)</f>
        <v>0</v>
      </c>
      <c r="I164" s="2" t="str">
        <f t="shared" si="5"/>
        <v>0</v>
      </c>
    </row>
    <row r="165" spans="1:9" x14ac:dyDescent="0.2">
      <c r="A165" s="910" t="str">
        <f>FIXED('Balance N-1'!A165,0,1)</f>
        <v>0</v>
      </c>
      <c r="B165" s="572">
        <f>+'Balance N-1'!B165</f>
        <v>0</v>
      </c>
      <c r="C165" s="679" t="e">
        <f>ROUND('Balance N-1'!#REF!,2)</f>
        <v>#REF!</v>
      </c>
      <c r="D165" s="679" t="e">
        <f>ROUND('Balance N-1'!#REF!,2)</f>
        <v>#REF!</v>
      </c>
      <c r="E165" s="679">
        <f>ROUND('Balance N-1'!C165,2)</f>
        <v>0</v>
      </c>
      <c r="F165" s="679">
        <f>ROUND('Balance N-1'!D165,2)</f>
        <v>0</v>
      </c>
      <c r="G165" s="679">
        <f>ROUND('Balance N-1'!E165,2)</f>
        <v>0</v>
      </c>
      <c r="H165" s="679">
        <f>ROUND('Balance N-1'!F165,2)</f>
        <v>0</v>
      </c>
      <c r="I165" s="2" t="str">
        <f t="shared" si="5"/>
        <v>0</v>
      </c>
    </row>
    <row r="166" spans="1:9" x14ac:dyDescent="0.2">
      <c r="A166" s="910" t="str">
        <f>FIXED('Balance N-1'!A166,0,1)</f>
        <v>0</v>
      </c>
      <c r="B166" s="572">
        <f>+'Balance N-1'!B166</f>
        <v>0</v>
      </c>
      <c r="C166" s="679" t="e">
        <f>ROUND('Balance N-1'!#REF!,2)</f>
        <v>#REF!</v>
      </c>
      <c r="D166" s="679" t="e">
        <f>ROUND('Balance N-1'!#REF!,2)</f>
        <v>#REF!</v>
      </c>
      <c r="E166" s="679">
        <f>ROUND('Balance N-1'!C166,2)</f>
        <v>0</v>
      </c>
      <c r="F166" s="679">
        <f>ROUND('Balance N-1'!D166,2)</f>
        <v>0</v>
      </c>
      <c r="G166" s="679">
        <f>ROUND('Balance N-1'!E166,2)</f>
        <v>0</v>
      </c>
      <c r="H166" s="679">
        <f>ROUND('Balance N-1'!F166,2)</f>
        <v>0</v>
      </c>
      <c r="I166" s="2" t="str">
        <f t="shared" si="5"/>
        <v>0</v>
      </c>
    </row>
    <row r="167" spans="1:9" x14ac:dyDescent="0.2">
      <c r="A167" s="910" t="str">
        <f>FIXED('Balance N-1'!A167,0,1)</f>
        <v>0</v>
      </c>
      <c r="B167" s="572">
        <f>+'Balance N-1'!B167</f>
        <v>0</v>
      </c>
      <c r="C167" s="679" t="e">
        <f>ROUND('Balance N-1'!#REF!,2)</f>
        <v>#REF!</v>
      </c>
      <c r="D167" s="679" t="e">
        <f>ROUND('Balance N-1'!#REF!,2)</f>
        <v>#REF!</v>
      </c>
      <c r="E167" s="679">
        <f>ROUND('Balance N-1'!C167,2)</f>
        <v>0</v>
      </c>
      <c r="F167" s="679">
        <f>ROUND('Balance N-1'!D167,2)</f>
        <v>0</v>
      </c>
      <c r="G167" s="679">
        <f>ROUND('Balance N-1'!E167,2)</f>
        <v>0</v>
      </c>
      <c r="H167" s="679">
        <f>ROUND('Balance N-1'!F167,2)</f>
        <v>0</v>
      </c>
      <c r="I167" s="2" t="str">
        <f t="shared" si="5"/>
        <v>0</v>
      </c>
    </row>
    <row r="168" spans="1:9" x14ac:dyDescent="0.2">
      <c r="A168" s="910" t="str">
        <f>FIXED('Balance N-1'!A168,0,1)</f>
        <v>0</v>
      </c>
      <c r="B168" s="572">
        <f>+'Balance N-1'!B168</f>
        <v>0</v>
      </c>
      <c r="C168" s="679" t="e">
        <f>ROUND('Balance N-1'!#REF!,2)</f>
        <v>#REF!</v>
      </c>
      <c r="D168" s="679" t="e">
        <f>ROUND('Balance N-1'!#REF!,2)</f>
        <v>#REF!</v>
      </c>
      <c r="E168" s="679">
        <f>ROUND('Balance N-1'!C168,2)</f>
        <v>0</v>
      </c>
      <c r="F168" s="679">
        <f>ROUND('Balance N-1'!D168,2)</f>
        <v>0</v>
      </c>
      <c r="G168" s="679">
        <f>ROUND('Balance N-1'!E168,2)</f>
        <v>0</v>
      </c>
      <c r="H168" s="679">
        <f>ROUND('Balance N-1'!F168,2)</f>
        <v>0</v>
      </c>
      <c r="I168" s="2" t="str">
        <f t="shared" si="5"/>
        <v>0</v>
      </c>
    </row>
    <row r="169" spans="1:9" x14ac:dyDescent="0.2">
      <c r="A169" s="910" t="str">
        <f>FIXED('Balance N-1'!A169,0,1)</f>
        <v>0</v>
      </c>
      <c r="B169" s="572">
        <f>+'Balance N-1'!B169</f>
        <v>0</v>
      </c>
      <c r="C169" s="679" t="e">
        <f>ROUND('Balance N-1'!#REF!,2)</f>
        <v>#REF!</v>
      </c>
      <c r="D169" s="679" t="e">
        <f>ROUND('Balance N-1'!#REF!,2)</f>
        <v>#REF!</v>
      </c>
      <c r="E169" s="679">
        <f>ROUND('Balance N-1'!C169,2)</f>
        <v>0</v>
      </c>
      <c r="F169" s="679">
        <f>ROUND('Balance N-1'!D169,2)</f>
        <v>0</v>
      </c>
      <c r="G169" s="679">
        <f>ROUND('Balance N-1'!E169,2)</f>
        <v>0</v>
      </c>
      <c r="H169" s="679">
        <f>ROUND('Balance N-1'!F169,2)</f>
        <v>0</v>
      </c>
      <c r="I169" s="2" t="str">
        <f t="shared" si="5"/>
        <v>0</v>
      </c>
    </row>
    <row r="170" spans="1:9" x14ac:dyDescent="0.2">
      <c r="A170" s="910" t="str">
        <f>FIXED('Balance N-1'!A170,0,1)</f>
        <v>0</v>
      </c>
      <c r="B170" s="572">
        <f>+'Balance N-1'!B170</f>
        <v>0</v>
      </c>
      <c r="C170" s="679" t="e">
        <f>ROUND('Balance N-1'!#REF!,2)</f>
        <v>#REF!</v>
      </c>
      <c r="D170" s="679" t="e">
        <f>ROUND('Balance N-1'!#REF!,2)</f>
        <v>#REF!</v>
      </c>
      <c r="E170" s="679">
        <f>ROUND('Balance N-1'!C170,2)</f>
        <v>0</v>
      </c>
      <c r="F170" s="679">
        <f>ROUND('Balance N-1'!D170,2)</f>
        <v>0</v>
      </c>
      <c r="G170" s="679">
        <f>ROUND('Balance N-1'!E170,2)</f>
        <v>0</v>
      </c>
      <c r="H170" s="679">
        <f>ROUND('Balance N-1'!F170,2)</f>
        <v>0</v>
      </c>
      <c r="I170" s="2" t="str">
        <f t="shared" si="5"/>
        <v>0</v>
      </c>
    </row>
    <row r="171" spans="1:9" x14ac:dyDescent="0.2">
      <c r="A171" s="910" t="str">
        <f>FIXED('Balance N-1'!A171,0,1)</f>
        <v>0</v>
      </c>
      <c r="B171" s="572">
        <f>+'Balance N-1'!B171</f>
        <v>0</v>
      </c>
      <c r="C171" s="679" t="e">
        <f>ROUND('Balance N-1'!#REF!,2)</f>
        <v>#REF!</v>
      </c>
      <c r="D171" s="679" t="e">
        <f>ROUND('Balance N-1'!#REF!,2)</f>
        <v>#REF!</v>
      </c>
      <c r="E171" s="679">
        <f>ROUND('Balance N-1'!C171,2)</f>
        <v>0</v>
      </c>
      <c r="F171" s="679">
        <f>ROUND('Balance N-1'!D171,2)</f>
        <v>0</v>
      </c>
      <c r="G171" s="679">
        <f>ROUND('Balance N-1'!E171,2)</f>
        <v>0</v>
      </c>
      <c r="H171" s="679">
        <f>ROUND('Balance N-1'!F171,2)</f>
        <v>0</v>
      </c>
      <c r="I171" s="2" t="str">
        <f t="shared" si="5"/>
        <v>0</v>
      </c>
    </row>
    <row r="172" spans="1:9" x14ac:dyDescent="0.2">
      <c r="A172" s="910" t="str">
        <f>FIXED('Balance N-1'!A172,0,1)</f>
        <v>0</v>
      </c>
      <c r="B172" s="572">
        <f>+'Balance N-1'!B172</f>
        <v>0</v>
      </c>
      <c r="C172" s="679" t="e">
        <f>ROUND('Balance N-1'!#REF!,2)</f>
        <v>#REF!</v>
      </c>
      <c r="D172" s="679" t="e">
        <f>ROUND('Balance N-1'!#REF!,2)</f>
        <v>#REF!</v>
      </c>
      <c r="E172" s="679">
        <f>ROUND('Balance N-1'!C172,2)</f>
        <v>0</v>
      </c>
      <c r="F172" s="679">
        <f>ROUND('Balance N-1'!D172,2)</f>
        <v>0</v>
      </c>
      <c r="G172" s="679">
        <f>ROUND('Balance N-1'!E172,2)</f>
        <v>0</v>
      </c>
      <c r="H172" s="679">
        <f>ROUND('Balance N-1'!F172,2)</f>
        <v>0</v>
      </c>
      <c r="I172" s="2" t="str">
        <f t="shared" si="5"/>
        <v>0</v>
      </c>
    </row>
    <row r="173" spans="1:9" x14ac:dyDescent="0.2">
      <c r="A173" s="910" t="str">
        <f>FIXED('Balance N-1'!A173,0,1)</f>
        <v>0</v>
      </c>
      <c r="B173" s="572">
        <f>+'Balance N-1'!B173</f>
        <v>0</v>
      </c>
      <c r="C173" s="679" t="e">
        <f>ROUND('Balance N-1'!#REF!,2)</f>
        <v>#REF!</v>
      </c>
      <c r="D173" s="679" t="e">
        <f>ROUND('Balance N-1'!#REF!,2)</f>
        <v>#REF!</v>
      </c>
      <c r="E173" s="679">
        <f>ROUND('Balance N-1'!C173,2)</f>
        <v>0</v>
      </c>
      <c r="F173" s="679">
        <f>ROUND('Balance N-1'!D173,2)</f>
        <v>0</v>
      </c>
      <c r="G173" s="679">
        <f>ROUND('Balance N-1'!E173,2)</f>
        <v>0</v>
      </c>
      <c r="H173" s="679">
        <f>ROUND('Balance N-1'!F173,2)</f>
        <v>0</v>
      </c>
      <c r="I173" s="2" t="str">
        <f t="shared" si="5"/>
        <v>0</v>
      </c>
    </row>
    <row r="174" spans="1:9" x14ac:dyDescent="0.2">
      <c r="A174" s="910" t="str">
        <f>FIXED('Balance N-1'!A174,0,1)</f>
        <v>0</v>
      </c>
      <c r="B174" s="572">
        <f>+'Balance N-1'!B174</f>
        <v>0</v>
      </c>
      <c r="C174" s="679" t="e">
        <f>ROUND('Balance N-1'!#REF!,2)</f>
        <v>#REF!</v>
      </c>
      <c r="D174" s="679" t="e">
        <f>ROUND('Balance N-1'!#REF!,2)</f>
        <v>#REF!</v>
      </c>
      <c r="E174" s="679">
        <f>ROUND('Balance N-1'!C174,2)</f>
        <v>0</v>
      </c>
      <c r="F174" s="679">
        <f>ROUND('Balance N-1'!D174,2)</f>
        <v>0</v>
      </c>
      <c r="G174" s="679">
        <f>ROUND('Balance N-1'!E174,2)</f>
        <v>0</v>
      </c>
      <c r="H174" s="679">
        <f>ROUND('Balance N-1'!F174,2)</f>
        <v>0</v>
      </c>
      <c r="I174" s="2" t="str">
        <f t="shared" si="5"/>
        <v>0</v>
      </c>
    </row>
    <row r="175" spans="1:9" x14ac:dyDescent="0.2">
      <c r="A175" s="910" t="str">
        <f>FIXED('Balance N-1'!A175,0,1)</f>
        <v>0</v>
      </c>
      <c r="B175" s="572">
        <f>+'Balance N-1'!B175</f>
        <v>0</v>
      </c>
      <c r="C175" s="679" t="e">
        <f>ROUND('Balance N-1'!#REF!,2)</f>
        <v>#REF!</v>
      </c>
      <c r="D175" s="679" t="e">
        <f>ROUND('Balance N-1'!#REF!,2)</f>
        <v>#REF!</v>
      </c>
      <c r="E175" s="679">
        <f>ROUND('Balance N-1'!C175,2)</f>
        <v>0</v>
      </c>
      <c r="F175" s="679">
        <f>ROUND('Balance N-1'!D175,2)</f>
        <v>0</v>
      </c>
      <c r="G175" s="679">
        <f>ROUND('Balance N-1'!E175,2)</f>
        <v>0</v>
      </c>
      <c r="H175" s="679">
        <f>ROUND('Balance N-1'!F175,2)</f>
        <v>0</v>
      </c>
      <c r="I175" s="2" t="str">
        <f t="shared" si="5"/>
        <v>0</v>
      </c>
    </row>
    <row r="176" spans="1:9" x14ac:dyDescent="0.2">
      <c r="A176" s="910" t="str">
        <f>FIXED('Balance N-1'!A176,0,1)</f>
        <v>0</v>
      </c>
      <c r="B176" s="572">
        <f>+'Balance N-1'!B176</f>
        <v>0</v>
      </c>
      <c r="C176" s="679" t="e">
        <f>ROUND('Balance N-1'!#REF!,2)</f>
        <v>#REF!</v>
      </c>
      <c r="D176" s="679" t="e">
        <f>ROUND('Balance N-1'!#REF!,2)</f>
        <v>#REF!</v>
      </c>
      <c r="E176" s="679">
        <f>ROUND('Balance N-1'!C176,2)</f>
        <v>0</v>
      </c>
      <c r="F176" s="679">
        <f>ROUND('Balance N-1'!D176,2)</f>
        <v>0</v>
      </c>
      <c r="G176" s="679">
        <f>ROUND('Balance N-1'!E176,2)</f>
        <v>0</v>
      </c>
      <c r="H176" s="679">
        <f>ROUND('Balance N-1'!F176,2)</f>
        <v>0</v>
      </c>
      <c r="I176" s="2" t="str">
        <f t="shared" si="5"/>
        <v>0</v>
      </c>
    </row>
    <row r="177" spans="1:9" x14ac:dyDescent="0.2">
      <c r="A177" s="910" t="str">
        <f>FIXED('Balance N-1'!A177,0,1)</f>
        <v>0</v>
      </c>
      <c r="B177" s="572">
        <f>+'Balance N-1'!B177</f>
        <v>0</v>
      </c>
      <c r="C177" s="679" t="e">
        <f>ROUND('Balance N-1'!#REF!,2)</f>
        <v>#REF!</v>
      </c>
      <c r="D177" s="679" t="e">
        <f>ROUND('Balance N-1'!#REF!,2)</f>
        <v>#REF!</v>
      </c>
      <c r="E177" s="679">
        <f>ROUND('Balance N-1'!C177,2)</f>
        <v>0</v>
      </c>
      <c r="F177" s="679">
        <f>ROUND('Balance N-1'!D177,2)</f>
        <v>0</v>
      </c>
      <c r="G177" s="679">
        <f>ROUND('Balance N-1'!E177,2)</f>
        <v>0</v>
      </c>
      <c r="H177" s="679">
        <f>ROUND('Balance N-1'!F177,2)</f>
        <v>0</v>
      </c>
      <c r="I177" s="2" t="str">
        <f t="shared" si="5"/>
        <v>0</v>
      </c>
    </row>
    <row r="178" spans="1:9" x14ac:dyDescent="0.2">
      <c r="A178" s="910" t="str">
        <f>FIXED('Balance N-1'!A178,0,1)</f>
        <v>0</v>
      </c>
      <c r="B178" s="572">
        <f>+'Balance N-1'!B178</f>
        <v>0</v>
      </c>
      <c r="C178" s="679" t="e">
        <f>ROUND('Balance N-1'!#REF!,2)</f>
        <v>#REF!</v>
      </c>
      <c r="D178" s="679" t="e">
        <f>ROUND('Balance N-1'!#REF!,2)</f>
        <v>#REF!</v>
      </c>
      <c r="E178" s="679">
        <f>ROUND('Balance N-1'!C178,2)</f>
        <v>0</v>
      </c>
      <c r="F178" s="679">
        <f>ROUND('Balance N-1'!D178,2)</f>
        <v>0</v>
      </c>
      <c r="G178" s="679">
        <f>ROUND('Balance N-1'!E178,2)</f>
        <v>0</v>
      </c>
      <c r="H178" s="679">
        <f>ROUND('Balance N-1'!F178,2)</f>
        <v>0</v>
      </c>
      <c r="I178" s="2" t="str">
        <f t="shared" si="5"/>
        <v>0</v>
      </c>
    </row>
    <row r="179" spans="1:9" x14ac:dyDescent="0.2">
      <c r="A179" s="910" t="str">
        <f>FIXED('Balance N-1'!A179,0,1)</f>
        <v>0</v>
      </c>
      <c r="B179" s="572">
        <f>+'Balance N-1'!B179</f>
        <v>0</v>
      </c>
      <c r="C179" s="679" t="e">
        <f>ROUND('Balance N-1'!#REF!,2)</f>
        <v>#REF!</v>
      </c>
      <c r="D179" s="679" t="e">
        <f>ROUND('Balance N-1'!#REF!,2)</f>
        <v>#REF!</v>
      </c>
      <c r="E179" s="679">
        <f>ROUND('Balance N-1'!C179,2)</f>
        <v>0</v>
      </c>
      <c r="F179" s="679">
        <f>ROUND('Balance N-1'!D179,2)</f>
        <v>0</v>
      </c>
      <c r="G179" s="679">
        <f>ROUND('Balance N-1'!E179,2)</f>
        <v>0</v>
      </c>
      <c r="H179" s="679">
        <f>ROUND('Balance N-1'!F179,2)</f>
        <v>0</v>
      </c>
      <c r="I179" s="2" t="str">
        <f t="shared" si="5"/>
        <v>0</v>
      </c>
    </row>
    <row r="180" spans="1:9" x14ac:dyDescent="0.2">
      <c r="A180" s="910" t="str">
        <f>FIXED('Balance N-1'!A180,0,1)</f>
        <v>0</v>
      </c>
      <c r="B180" s="572">
        <f>+'Balance N-1'!B180</f>
        <v>0</v>
      </c>
      <c r="C180" s="679" t="e">
        <f>ROUND('Balance N-1'!#REF!,2)</f>
        <v>#REF!</v>
      </c>
      <c r="D180" s="679" t="e">
        <f>ROUND('Balance N-1'!#REF!,2)</f>
        <v>#REF!</v>
      </c>
      <c r="E180" s="679">
        <f>ROUND('Balance N-1'!C180,2)</f>
        <v>0</v>
      </c>
      <c r="F180" s="679">
        <f>ROUND('Balance N-1'!D180,2)</f>
        <v>0</v>
      </c>
      <c r="G180" s="679">
        <f>ROUND('Balance N-1'!E180,2)</f>
        <v>0</v>
      </c>
      <c r="H180" s="679">
        <f>ROUND('Balance N-1'!F180,2)</f>
        <v>0</v>
      </c>
      <c r="I180" s="2" t="str">
        <f t="shared" si="5"/>
        <v>0</v>
      </c>
    </row>
    <row r="181" spans="1:9" x14ac:dyDescent="0.2">
      <c r="A181" s="910" t="str">
        <f>FIXED('Balance N-1'!A181,0,1)</f>
        <v>0</v>
      </c>
      <c r="B181" s="572">
        <f>+'Balance N-1'!B181</f>
        <v>0</v>
      </c>
      <c r="C181" s="679" t="e">
        <f>ROUND('Balance N-1'!#REF!,2)</f>
        <v>#REF!</v>
      </c>
      <c r="D181" s="679" t="e">
        <f>ROUND('Balance N-1'!#REF!,2)</f>
        <v>#REF!</v>
      </c>
      <c r="E181" s="679">
        <f>ROUND('Balance N-1'!C181,2)</f>
        <v>0</v>
      </c>
      <c r="F181" s="679">
        <f>ROUND('Balance N-1'!D181,2)</f>
        <v>0</v>
      </c>
      <c r="G181" s="679">
        <f>ROUND('Balance N-1'!E181,2)</f>
        <v>0</v>
      </c>
      <c r="H181" s="679">
        <f>ROUND('Balance N-1'!F181,2)</f>
        <v>0</v>
      </c>
      <c r="I181" s="2" t="str">
        <f t="shared" si="5"/>
        <v>0</v>
      </c>
    </row>
    <row r="182" spans="1:9" x14ac:dyDescent="0.2">
      <c r="A182" s="910" t="str">
        <f>FIXED('Balance N-1'!A182,0,1)</f>
        <v>0</v>
      </c>
      <c r="B182" s="572">
        <f>+'Balance N-1'!B182</f>
        <v>0</v>
      </c>
      <c r="C182" s="679" t="e">
        <f>ROUND('Balance N-1'!#REF!,2)</f>
        <v>#REF!</v>
      </c>
      <c r="D182" s="679" t="e">
        <f>ROUND('Balance N-1'!#REF!,2)</f>
        <v>#REF!</v>
      </c>
      <c r="E182" s="679">
        <f>ROUND('Balance N-1'!C182,2)</f>
        <v>0</v>
      </c>
      <c r="F182" s="679">
        <f>ROUND('Balance N-1'!D182,2)</f>
        <v>0</v>
      </c>
      <c r="G182" s="679">
        <f>ROUND('Balance N-1'!E182,2)</f>
        <v>0</v>
      </c>
      <c r="H182" s="679">
        <f>ROUND('Balance N-1'!F182,2)</f>
        <v>0</v>
      </c>
      <c r="I182" s="2" t="str">
        <f t="shared" si="5"/>
        <v>0</v>
      </c>
    </row>
    <row r="183" spans="1:9" x14ac:dyDescent="0.2">
      <c r="A183" s="910" t="str">
        <f>FIXED('Balance N-1'!A183,0,1)</f>
        <v>0</v>
      </c>
      <c r="B183" s="572">
        <f>+'Balance N-1'!B183</f>
        <v>0</v>
      </c>
      <c r="C183" s="679" t="e">
        <f>ROUND('Balance N-1'!#REF!,2)</f>
        <v>#REF!</v>
      </c>
      <c r="D183" s="679" t="e">
        <f>ROUND('Balance N-1'!#REF!,2)</f>
        <v>#REF!</v>
      </c>
      <c r="E183" s="679">
        <f>ROUND('Balance N-1'!C183,2)</f>
        <v>0</v>
      </c>
      <c r="F183" s="679">
        <f>ROUND('Balance N-1'!D183,2)</f>
        <v>0</v>
      </c>
      <c r="G183" s="679">
        <f>ROUND('Balance N-1'!E183,2)</f>
        <v>0</v>
      </c>
      <c r="H183" s="679">
        <f>ROUND('Balance N-1'!F183,2)</f>
        <v>0</v>
      </c>
      <c r="I183" s="2" t="str">
        <f t="shared" si="5"/>
        <v>0</v>
      </c>
    </row>
    <row r="184" spans="1:9" x14ac:dyDescent="0.2">
      <c r="A184" s="910" t="str">
        <f>FIXED('Balance N-1'!A184,0,1)</f>
        <v>0</v>
      </c>
      <c r="B184" s="572">
        <f>+'Balance N-1'!B184</f>
        <v>0</v>
      </c>
      <c r="C184" s="679" t="e">
        <f>ROUND('Balance N-1'!#REF!,2)</f>
        <v>#REF!</v>
      </c>
      <c r="D184" s="679" t="e">
        <f>ROUND('Balance N-1'!#REF!,2)</f>
        <v>#REF!</v>
      </c>
      <c r="E184" s="679">
        <f>ROUND('Balance N-1'!C184,2)</f>
        <v>0</v>
      </c>
      <c r="F184" s="679">
        <f>ROUND('Balance N-1'!D184,2)</f>
        <v>0</v>
      </c>
      <c r="G184" s="679">
        <f>ROUND('Balance N-1'!E184,2)</f>
        <v>0</v>
      </c>
      <c r="H184" s="679">
        <f>ROUND('Balance N-1'!F184,2)</f>
        <v>0</v>
      </c>
      <c r="I184" s="2" t="str">
        <f t="shared" si="5"/>
        <v>0</v>
      </c>
    </row>
    <row r="185" spans="1:9" x14ac:dyDescent="0.2">
      <c r="A185" s="910" t="str">
        <f>FIXED('Balance N-1'!A185,0,1)</f>
        <v>0</v>
      </c>
      <c r="B185" s="572">
        <f>+'Balance N-1'!B185</f>
        <v>0</v>
      </c>
      <c r="C185" s="679" t="e">
        <f>ROUND('Balance N-1'!#REF!,2)</f>
        <v>#REF!</v>
      </c>
      <c r="D185" s="679" t="e">
        <f>ROUND('Balance N-1'!#REF!,2)</f>
        <v>#REF!</v>
      </c>
      <c r="E185" s="679">
        <f>ROUND('Balance N-1'!C185,2)</f>
        <v>0</v>
      </c>
      <c r="F185" s="679">
        <f>ROUND('Balance N-1'!D185,2)</f>
        <v>0</v>
      </c>
      <c r="G185" s="679">
        <f>ROUND('Balance N-1'!E185,2)</f>
        <v>0</v>
      </c>
      <c r="H185" s="679">
        <f>ROUND('Balance N-1'!F185,2)</f>
        <v>0</v>
      </c>
      <c r="I185" s="2" t="str">
        <f t="shared" si="5"/>
        <v>0</v>
      </c>
    </row>
    <row r="186" spans="1:9" x14ac:dyDescent="0.2">
      <c r="A186" s="910" t="str">
        <f>FIXED('Balance N-1'!A186,0,1)</f>
        <v>0</v>
      </c>
      <c r="B186" s="572">
        <f>+'Balance N-1'!B186</f>
        <v>0</v>
      </c>
      <c r="C186" s="679" t="e">
        <f>ROUND('Balance N-1'!#REF!,2)</f>
        <v>#REF!</v>
      </c>
      <c r="D186" s="679" t="e">
        <f>ROUND('Balance N-1'!#REF!,2)</f>
        <v>#REF!</v>
      </c>
      <c r="E186" s="679">
        <f>ROUND('Balance N-1'!C186,2)</f>
        <v>0</v>
      </c>
      <c r="F186" s="679">
        <f>ROUND('Balance N-1'!D186,2)</f>
        <v>0</v>
      </c>
      <c r="G186" s="679">
        <f>ROUND('Balance N-1'!E186,2)</f>
        <v>0</v>
      </c>
      <c r="H186" s="679">
        <f>ROUND('Balance N-1'!F186,2)</f>
        <v>0</v>
      </c>
      <c r="I186" s="2" t="str">
        <f t="shared" si="5"/>
        <v>0</v>
      </c>
    </row>
    <row r="187" spans="1:9" x14ac:dyDescent="0.2">
      <c r="A187" s="910" t="str">
        <f>FIXED('Balance N-1'!A187,0,1)</f>
        <v>0</v>
      </c>
      <c r="B187" s="572">
        <f>+'Balance N-1'!B187</f>
        <v>0</v>
      </c>
      <c r="C187" s="679" t="e">
        <f>ROUND('Balance N-1'!#REF!,2)</f>
        <v>#REF!</v>
      </c>
      <c r="D187" s="679" t="e">
        <f>ROUND('Balance N-1'!#REF!,2)</f>
        <v>#REF!</v>
      </c>
      <c r="E187" s="679">
        <f>ROUND('Balance N-1'!C187,2)</f>
        <v>0</v>
      </c>
      <c r="F187" s="679">
        <f>ROUND('Balance N-1'!D187,2)</f>
        <v>0</v>
      </c>
      <c r="G187" s="679">
        <f>ROUND('Balance N-1'!E187,2)</f>
        <v>0</v>
      </c>
      <c r="H187" s="679">
        <f>ROUND('Balance N-1'!F187,2)</f>
        <v>0</v>
      </c>
      <c r="I187" s="2" t="str">
        <f t="shared" si="5"/>
        <v>0</v>
      </c>
    </row>
    <row r="188" spans="1:9" x14ac:dyDescent="0.2">
      <c r="A188" s="910" t="str">
        <f>FIXED('Balance N-1'!A188,0,1)</f>
        <v>0</v>
      </c>
      <c r="B188" s="572">
        <f>+'Balance N-1'!B188</f>
        <v>0</v>
      </c>
      <c r="C188" s="679" t="e">
        <f>ROUND('Balance N-1'!#REF!,2)</f>
        <v>#REF!</v>
      </c>
      <c r="D188" s="679" t="e">
        <f>ROUND('Balance N-1'!#REF!,2)</f>
        <v>#REF!</v>
      </c>
      <c r="E188" s="679">
        <f>ROUND('Balance N-1'!C188,2)</f>
        <v>0</v>
      </c>
      <c r="F188" s="679">
        <f>ROUND('Balance N-1'!D188,2)</f>
        <v>0</v>
      </c>
      <c r="G188" s="679">
        <f>ROUND('Balance N-1'!E188,2)</f>
        <v>0</v>
      </c>
      <c r="H188" s="679">
        <f>ROUND('Balance N-1'!F188,2)</f>
        <v>0</v>
      </c>
      <c r="I188" s="2" t="str">
        <f t="shared" si="5"/>
        <v>0</v>
      </c>
    </row>
    <row r="189" spans="1:9" x14ac:dyDescent="0.2">
      <c r="A189" s="910" t="str">
        <f>FIXED('Balance N-1'!A189,0,1)</f>
        <v>0</v>
      </c>
      <c r="B189" s="572">
        <f>+'Balance N-1'!B189</f>
        <v>0</v>
      </c>
      <c r="C189" s="679" t="e">
        <f>ROUND('Balance N-1'!#REF!,2)</f>
        <v>#REF!</v>
      </c>
      <c r="D189" s="679" t="e">
        <f>ROUND('Balance N-1'!#REF!,2)</f>
        <v>#REF!</v>
      </c>
      <c r="E189" s="679">
        <f>ROUND('Balance N-1'!C189,2)</f>
        <v>0</v>
      </c>
      <c r="F189" s="679">
        <f>ROUND('Balance N-1'!D189,2)</f>
        <v>0</v>
      </c>
      <c r="G189" s="679">
        <f>ROUND('Balance N-1'!E189,2)</f>
        <v>0</v>
      </c>
      <c r="H189" s="679">
        <f>ROUND('Balance N-1'!F189,2)</f>
        <v>0</v>
      </c>
      <c r="I189" s="2" t="str">
        <f t="shared" si="5"/>
        <v>0</v>
      </c>
    </row>
    <row r="190" spans="1:9" x14ac:dyDescent="0.2">
      <c r="A190" s="910" t="str">
        <f>FIXED('Balance N-1'!A190,0,1)</f>
        <v>0</v>
      </c>
      <c r="B190" s="572">
        <f>+'Balance N-1'!B190</f>
        <v>0</v>
      </c>
      <c r="C190" s="679" t="e">
        <f>ROUND('Balance N-1'!#REF!,2)</f>
        <v>#REF!</v>
      </c>
      <c r="D190" s="679" t="e">
        <f>ROUND('Balance N-1'!#REF!,2)</f>
        <v>#REF!</v>
      </c>
      <c r="E190" s="679">
        <f>ROUND('Balance N-1'!C190,2)</f>
        <v>0</v>
      </c>
      <c r="F190" s="679">
        <f>ROUND('Balance N-1'!D190,2)</f>
        <v>0</v>
      </c>
      <c r="G190" s="679">
        <f>ROUND('Balance N-1'!E190,2)</f>
        <v>0</v>
      </c>
      <c r="H190" s="679">
        <f>ROUND('Balance N-1'!F190,2)</f>
        <v>0</v>
      </c>
      <c r="I190" s="2" t="str">
        <f t="shared" si="5"/>
        <v>0</v>
      </c>
    </row>
    <row r="191" spans="1:9" x14ac:dyDescent="0.2">
      <c r="A191" s="910" t="str">
        <f>FIXED('Balance N-1'!A191,0,1)</f>
        <v>0</v>
      </c>
      <c r="B191" s="572">
        <f>+'Balance N-1'!B191</f>
        <v>0</v>
      </c>
      <c r="C191" s="679" t="e">
        <f>ROUND('Balance N-1'!#REF!,2)</f>
        <v>#REF!</v>
      </c>
      <c r="D191" s="679" t="e">
        <f>ROUND('Balance N-1'!#REF!,2)</f>
        <v>#REF!</v>
      </c>
      <c r="E191" s="679">
        <f>ROUND('Balance N-1'!C191,2)</f>
        <v>0</v>
      </c>
      <c r="F191" s="679">
        <f>ROUND('Balance N-1'!D191,2)</f>
        <v>0</v>
      </c>
      <c r="G191" s="679">
        <f>ROUND('Balance N-1'!E191,2)</f>
        <v>0</v>
      </c>
      <c r="H191" s="679">
        <f>ROUND('Balance N-1'!F191,2)</f>
        <v>0</v>
      </c>
      <c r="I191" s="2" t="str">
        <f t="shared" si="5"/>
        <v>0</v>
      </c>
    </row>
    <row r="192" spans="1:9" x14ac:dyDescent="0.2">
      <c r="A192" s="910" t="str">
        <f>FIXED('Balance N-1'!A192,0,1)</f>
        <v>0</v>
      </c>
      <c r="B192" s="572">
        <f>+'Balance N-1'!B192</f>
        <v>0</v>
      </c>
      <c r="C192" s="679" t="e">
        <f>ROUND('Balance N-1'!#REF!,2)</f>
        <v>#REF!</v>
      </c>
      <c r="D192" s="679" t="e">
        <f>ROUND('Balance N-1'!#REF!,2)</f>
        <v>#REF!</v>
      </c>
      <c r="E192" s="679">
        <f>ROUND('Balance N-1'!C192,2)</f>
        <v>0</v>
      </c>
      <c r="F192" s="679">
        <f>ROUND('Balance N-1'!D192,2)</f>
        <v>0</v>
      </c>
      <c r="G192" s="679">
        <f>ROUND('Balance N-1'!E192,2)</f>
        <v>0</v>
      </c>
      <c r="H192" s="679">
        <f>ROUND('Balance N-1'!F192,2)</f>
        <v>0</v>
      </c>
      <c r="I192" s="2" t="str">
        <f t="shared" si="5"/>
        <v>0</v>
      </c>
    </row>
    <row r="193" spans="1:9" x14ac:dyDescent="0.2">
      <c r="A193" s="910" t="str">
        <f>FIXED('Balance N-1'!A193,0,1)</f>
        <v>0</v>
      </c>
      <c r="B193" s="572">
        <f>+'Balance N-1'!B193</f>
        <v>0</v>
      </c>
      <c r="C193" s="679" t="e">
        <f>ROUND('Balance N-1'!#REF!,2)</f>
        <v>#REF!</v>
      </c>
      <c r="D193" s="679" t="e">
        <f>ROUND('Balance N-1'!#REF!,2)</f>
        <v>#REF!</v>
      </c>
      <c r="E193" s="679">
        <f>ROUND('Balance N-1'!C193,2)</f>
        <v>0</v>
      </c>
      <c r="F193" s="679">
        <f>ROUND('Balance N-1'!D193,2)</f>
        <v>0</v>
      </c>
      <c r="G193" s="679">
        <f>ROUND('Balance N-1'!E193,2)</f>
        <v>0</v>
      </c>
      <c r="H193" s="679">
        <f>ROUND('Balance N-1'!F193,2)</f>
        <v>0</v>
      </c>
      <c r="I193" s="2" t="str">
        <f t="shared" si="5"/>
        <v>0</v>
      </c>
    </row>
    <row r="194" spans="1:9" x14ac:dyDescent="0.2">
      <c r="A194" s="910" t="str">
        <f>FIXED('Balance N-1'!A194,0,1)</f>
        <v>0</v>
      </c>
      <c r="B194" s="572">
        <f>+'Balance N-1'!B194</f>
        <v>0</v>
      </c>
      <c r="C194" s="679" t="e">
        <f>ROUND('Balance N-1'!#REF!,2)</f>
        <v>#REF!</v>
      </c>
      <c r="D194" s="679" t="e">
        <f>ROUND('Balance N-1'!#REF!,2)</f>
        <v>#REF!</v>
      </c>
      <c r="E194" s="679">
        <f>ROUND('Balance N-1'!C194,2)</f>
        <v>0</v>
      </c>
      <c r="F194" s="679">
        <f>ROUND('Balance N-1'!D194,2)</f>
        <v>0</v>
      </c>
      <c r="G194" s="679">
        <f>ROUND('Balance N-1'!E194,2)</f>
        <v>0</v>
      </c>
      <c r="H194" s="679">
        <f>ROUND('Balance N-1'!F194,2)</f>
        <v>0</v>
      </c>
      <c r="I194" s="2" t="str">
        <f t="shared" si="5"/>
        <v>0</v>
      </c>
    </row>
    <row r="195" spans="1:9" x14ac:dyDescent="0.2">
      <c r="A195" s="910" t="str">
        <f>FIXED('Balance N-1'!A195,0,1)</f>
        <v>0</v>
      </c>
      <c r="B195" s="572">
        <f>+'Balance N-1'!B195</f>
        <v>0</v>
      </c>
      <c r="C195" s="679" t="e">
        <f>ROUND('Balance N-1'!#REF!,2)</f>
        <v>#REF!</v>
      </c>
      <c r="D195" s="679" t="e">
        <f>ROUND('Balance N-1'!#REF!,2)</f>
        <v>#REF!</v>
      </c>
      <c r="E195" s="679">
        <f>ROUND('Balance N-1'!C195,2)</f>
        <v>0</v>
      </c>
      <c r="F195" s="679">
        <f>ROUND('Balance N-1'!D195,2)</f>
        <v>0</v>
      </c>
      <c r="G195" s="679">
        <f>ROUND('Balance N-1'!E195,2)</f>
        <v>0</v>
      </c>
      <c r="H195" s="679">
        <f>ROUND('Balance N-1'!F195,2)</f>
        <v>0</v>
      </c>
      <c r="I195" s="2" t="str">
        <f t="shared" ref="I195:I258" si="6">MID(A195,1,1)</f>
        <v>0</v>
      </c>
    </row>
    <row r="196" spans="1:9" x14ac:dyDescent="0.2">
      <c r="A196" s="910" t="str">
        <f>FIXED('Balance N-1'!A196,0,1)</f>
        <v>0</v>
      </c>
      <c r="B196" s="572">
        <f>+'Balance N-1'!B196</f>
        <v>0</v>
      </c>
      <c r="C196" s="679" t="e">
        <f>ROUND('Balance N-1'!#REF!,2)</f>
        <v>#REF!</v>
      </c>
      <c r="D196" s="679" t="e">
        <f>ROUND('Balance N-1'!#REF!,2)</f>
        <v>#REF!</v>
      </c>
      <c r="E196" s="679">
        <f>ROUND('Balance N-1'!C196,2)</f>
        <v>0</v>
      </c>
      <c r="F196" s="679">
        <f>ROUND('Balance N-1'!D196,2)</f>
        <v>0</v>
      </c>
      <c r="G196" s="679">
        <f>ROUND('Balance N-1'!E196,2)</f>
        <v>0</v>
      </c>
      <c r="H196" s="679">
        <f>ROUND('Balance N-1'!F196,2)</f>
        <v>0</v>
      </c>
      <c r="I196" s="2" t="str">
        <f t="shared" si="6"/>
        <v>0</v>
      </c>
    </row>
    <row r="197" spans="1:9" x14ac:dyDescent="0.2">
      <c r="A197" s="910" t="str">
        <f>FIXED('Balance N-1'!A197,0,1)</f>
        <v>0</v>
      </c>
      <c r="B197" s="572">
        <f>+'Balance N-1'!B197</f>
        <v>0</v>
      </c>
      <c r="C197" s="679" t="e">
        <f>ROUND('Balance N-1'!#REF!,2)</f>
        <v>#REF!</v>
      </c>
      <c r="D197" s="679" t="e">
        <f>ROUND('Balance N-1'!#REF!,2)</f>
        <v>#REF!</v>
      </c>
      <c r="E197" s="679">
        <f>ROUND('Balance N-1'!C197,2)</f>
        <v>0</v>
      </c>
      <c r="F197" s="679">
        <f>ROUND('Balance N-1'!D197,2)</f>
        <v>0</v>
      </c>
      <c r="G197" s="679">
        <f>ROUND('Balance N-1'!E197,2)</f>
        <v>0</v>
      </c>
      <c r="H197" s="679">
        <f>ROUND('Balance N-1'!F197,2)</f>
        <v>0</v>
      </c>
      <c r="I197" s="2" t="str">
        <f t="shared" si="6"/>
        <v>0</v>
      </c>
    </row>
    <row r="198" spans="1:9" x14ac:dyDescent="0.2">
      <c r="A198" s="910" t="str">
        <f>FIXED('Balance N-1'!A198,0,1)</f>
        <v>0</v>
      </c>
      <c r="B198" s="572">
        <f>+'Balance N-1'!B198</f>
        <v>0</v>
      </c>
      <c r="C198" s="679" t="e">
        <f>ROUND('Balance N-1'!#REF!,2)</f>
        <v>#REF!</v>
      </c>
      <c r="D198" s="679" t="e">
        <f>ROUND('Balance N-1'!#REF!,2)</f>
        <v>#REF!</v>
      </c>
      <c r="E198" s="679">
        <f>ROUND('Balance N-1'!C198,2)</f>
        <v>0</v>
      </c>
      <c r="F198" s="679">
        <f>ROUND('Balance N-1'!D198,2)</f>
        <v>0</v>
      </c>
      <c r="G198" s="679">
        <f>ROUND('Balance N-1'!E198,2)</f>
        <v>0</v>
      </c>
      <c r="H198" s="679">
        <f>ROUND('Balance N-1'!F198,2)</f>
        <v>0</v>
      </c>
      <c r="I198" s="2" t="str">
        <f t="shared" si="6"/>
        <v>0</v>
      </c>
    </row>
    <row r="199" spans="1:9" x14ac:dyDescent="0.2">
      <c r="A199" s="910" t="str">
        <f>FIXED('Balance N-1'!A199,0,1)</f>
        <v>0</v>
      </c>
      <c r="B199" s="572">
        <f>+'Balance N-1'!B199</f>
        <v>0</v>
      </c>
      <c r="C199" s="679" t="e">
        <f>ROUND('Balance N-1'!#REF!,2)</f>
        <v>#REF!</v>
      </c>
      <c r="D199" s="679" t="e">
        <f>ROUND('Balance N-1'!#REF!,2)</f>
        <v>#REF!</v>
      </c>
      <c r="E199" s="679">
        <f>ROUND('Balance N-1'!C199,2)</f>
        <v>0</v>
      </c>
      <c r="F199" s="679">
        <f>ROUND('Balance N-1'!D199,2)</f>
        <v>0</v>
      </c>
      <c r="G199" s="679">
        <f>ROUND('Balance N-1'!E199,2)</f>
        <v>0</v>
      </c>
      <c r="H199" s="679">
        <f>ROUND('Balance N-1'!F199,2)</f>
        <v>0</v>
      </c>
      <c r="I199" s="2" t="str">
        <f t="shared" si="6"/>
        <v>0</v>
      </c>
    </row>
    <row r="200" spans="1:9" x14ac:dyDescent="0.2">
      <c r="A200" s="910" t="str">
        <f>FIXED('Balance N-1'!A200,0,1)</f>
        <v>0</v>
      </c>
      <c r="B200" s="572">
        <f>+'Balance N-1'!B200</f>
        <v>0</v>
      </c>
      <c r="C200" s="679" t="e">
        <f>ROUND('Balance N-1'!#REF!,2)</f>
        <v>#REF!</v>
      </c>
      <c r="D200" s="679" t="e">
        <f>ROUND('Balance N-1'!#REF!,2)</f>
        <v>#REF!</v>
      </c>
      <c r="E200" s="679">
        <f>ROUND('Balance N-1'!C200,2)</f>
        <v>0</v>
      </c>
      <c r="F200" s="679">
        <f>ROUND('Balance N-1'!D200,2)</f>
        <v>0</v>
      </c>
      <c r="G200" s="679">
        <f>ROUND('Balance N-1'!E200,2)</f>
        <v>0</v>
      </c>
      <c r="H200" s="679">
        <f>ROUND('Balance N-1'!F200,2)</f>
        <v>0</v>
      </c>
      <c r="I200" s="2" t="str">
        <f t="shared" si="6"/>
        <v>0</v>
      </c>
    </row>
    <row r="201" spans="1:9" x14ac:dyDescent="0.2">
      <c r="A201" s="910" t="str">
        <f>FIXED('Balance N-1'!A201,0,1)</f>
        <v>0</v>
      </c>
      <c r="B201" s="572">
        <f>+'Balance N-1'!B201</f>
        <v>0</v>
      </c>
      <c r="C201" s="679" t="e">
        <f>ROUND('Balance N-1'!#REF!,2)</f>
        <v>#REF!</v>
      </c>
      <c r="D201" s="679" t="e">
        <f>ROUND('Balance N-1'!#REF!,2)</f>
        <v>#REF!</v>
      </c>
      <c r="E201" s="679">
        <f>ROUND('Balance N-1'!C201,2)</f>
        <v>0</v>
      </c>
      <c r="F201" s="679">
        <f>ROUND('Balance N-1'!D201,2)</f>
        <v>0</v>
      </c>
      <c r="G201" s="679">
        <f>ROUND('Balance N-1'!E201,2)</f>
        <v>0</v>
      </c>
      <c r="H201" s="679">
        <f>ROUND('Balance N-1'!F201,2)</f>
        <v>0</v>
      </c>
      <c r="I201" s="2" t="str">
        <f t="shared" si="6"/>
        <v>0</v>
      </c>
    </row>
    <row r="202" spans="1:9" x14ac:dyDescent="0.2">
      <c r="A202" s="910" t="str">
        <f>FIXED('Balance N-1'!A202,0,1)</f>
        <v>0</v>
      </c>
      <c r="B202" s="572">
        <f>+'Balance N-1'!B202</f>
        <v>0</v>
      </c>
      <c r="C202" s="679" t="e">
        <f>ROUND('Balance N-1'!#REF!,2)</f>
        <v>#REF!</v>
      </c>
      <c r="D202" s="679" t="e">
        <f>ROUND('Balance N-1'!#REF!,2)</f>
        <v>#REF!</v>
      </c>
      <c r="E202" s="679">
        <f>ROUND('Balance N-1'!C202,2)</f>
        <v>0</v>
      </c>
      <c r="F202" s="679">
        <f>ROUND('Balance N-1'!D202,2)</f>
        <v>0</v>
      </c>
      <c r="G202" s="679">
        <f>ROUND('Balance N-1'!E202,2)</f>
        <v>0</v>
      </c>
      <c r="H202" s="679">
        <f>ROUND('Balance N-1'!F202,2)</f>
        <v>0</v>
      </c>
      <c r="I202" s="2" t="str">
        <f t="shared" si="6"/>
        <v>0</v>
      </c>
    </row>
    <row r="203" spans="1:9" x14ac:dyDescent="0.2">
      <c r="A203" s="910" t="str">
        <f>FIXED('Balance N-1'!A203,0,1)</f>
        <v>0</v>
      </c>
      <c r="B203" s="572">
        <f>+'Balance N-1'!B203</f>
        <v>0</v>
      </c>
      <c r="C203" s="679" t="e">
        <f>ROUND('Balance N-1'!#REF!,2)</f>
        <v>#REF!</v>
      </c>
      <c r="D203" s="679" t="e">
        <f>ROUND('Balance N-1'!#REF!,2)</f>
        <v>#REF!</v>
      </c>
      <c r="E203" s="679">
        <f>ROUND('Balance N-1'!C203,2)</f>
        <v>0</v>
      </c>
      <c r="F203" s="679">
        <f>ROUND('Balance N-1'!D203,2)</f>
        <v>0</v>
      </c>
      <c r="G203" s="679">
        <f>ROUND('Balance N-1'!E203,2)</f>
        <v>0</v>
      </c>
      <c r="H203" s="679">
        <f>ROUND('Balance N-1'!F203,2)</f>
        <v>0</v>
      </c>
      <c r="I203" s="2" t="str">
        <f t="shared" si="6"/>
        <v>0</v>
      </c>
    </row>
    <row r="204" spans="1:9" x14ac:dyDescent="0.2">
      <c r="A204" s="910" t="str">
        <f>FIXED('Balance N-1'!A204,0,1)</f>
        <v>0</v>
      </c>
      <c r="B204" s="572">
        <f>+'Balance N-1'!B204</f>
        <v>0</v>
      </c>
      <c r="C204" s="679" t="e">
        <f>ROUND('Balance N-1'!#REF!,2)</f>
        <v>#REF!</v>
      </c>
      <c r="D204" s="679" t="e">
        <f>ROUND('Balance N-1'!#REF!,2)</f>
        <v>#REF!</v>
      </c>
      <c r="E204" s="679">
        <f>ROUND('Balance N-1'!C204,2)</f>
        <v>0</v>
      </c>
      <c r="F204" s="679">
        <f>ROUND('Balance N-1'!D204,2)</f>
        <v>0</v>
      </c>
      <c r="G204" s="679">
        <f>ROUND('Balance N-1'!E204,2)</f>
        <v>0</v>
      </c>
      <c r="H204" s="679">
        <f>ROUND('Balance N-1'!F204,2)</f>
        <v>0</v>
      </c>
      <c r="I204" s="2" t="str">
        <f t="shared" si="6"/>
        <v>0</v>
      </c>
    </row>
    <row r="205" spans="1:9" x14ac:dyDescent="0.2">
      <c r="A205" s="910" t="str">
        <f>FIXED('Balance N-1'!A205,0,1)</f>
        <v>0</v>
      </c>
      <c r="B205" s="572">
        <f>+'Balance N-1'!B205</f>
        <v>0</v>
      </c>
      <c r="C205" s="679" t="e">
        <f>ROUND('Balance N-1'!#REF!,2)</f>
        <v>#REF!</v>
      </c>
      <c r="D205" s="679" t="e">
        <f>ROUND('Balance N-1'!#REF!,2)</f>
        <v>#REF!</v>
      </c>
      <c r="E205" s="679">
        <f>ROUND('Balance N-1'!C205,2)</f>
        <v>0</v>
      </c>
      <c r="F205" s="679">
        <f>ROUND('Balance N-1'!D205,2)</f>
        <v>0</v>
      </c>
      <c r="G205" s="679">
        <f>ROUND('Balance N-1'!E205,2)</f>
        <v>0</v>
      </c>
      <c r="H205" s="679">
        <f>ROUND('Balance N-1'!F205,2)</f>
        <v>0</v>
      </c>
      <c r="I205" s="2" t="str">
        <f t="shared" si="6"/>
        <v>0</v>
      </c>
    </row>
    <row r="206" spans="1:9" x14ac:dyDescent="0.2">
      <c r="A206" s="910" t="str">
        <f>FIXED('Balance N-1'!A206,0,1)</f>
        <v>0</v>
      </c>
      <c r="B206" s="572">
        <f>+'Balance N-1'!B206</f>
        <v>0</v>
      </c>
      <c r="C206" s="679" t="e">
        <f>ROUND('Balance N-1'!#REF!,2)</f>
        <v>#REF!</v>
      </c>
      <c r="D206" s="679" t="e">
        <f>ROUND('Balance N-1'!#REF!,2)</f>
        <v>#REF!</v>
      </c>
      <c r="E206" s="679">
        <f>ROUND('Balance N-1'!C206,2)</f>
        <v>0</v>
      </c>
      <c r="F206" s="679">
        <f>ROUND('Balance N-1'!D206,2)</f>
        <v>0</v>
      </c>
      <c r="G206" s="679">
        <f>ROUND('Balance N-1'!E206,2)</f>
        <v>0</v>
      </c>
      <c r="H206" s="679">
        <f>ROUND('Balance N-1'!F206,2)</f>
        <v>0</v>
      </c>
      <c r="I206" s="2" t="str">
        <f t="shared" si="6"/>
        <v>0</v>
      </c>
    </row>
    <row r="207" spans="1:9" x14ac:dyDescent="0.2">
      <c r="A207" s="910" t="str">
        <f>FIXED('Balance N-1'!A207,0,1)</f>
        <v>0</v>
      </c>
      <c r="B207" s="572">
        <f>+'Balance N-1'!B207</f>
        <v>0</v>
      </c>
      <c r="C207" s="679" t="e">
        <f>ROUND('Balance N-1'!#REF!,2)</f>
        <v>#REF!</v>
      </c>
      <c r="D207" s="679" t="e">
        <f>ROUND('Balance N-1'!#REF!,2)</f>
        <v>#REF!</v>
      </c>
      <c r="E207" s="679">
        <f>ROUND('Balance N-1'!C207,2)</f>
        <v>0</v>
      </c>
      <c r="F207" s="679">
        <f>ROUND('Balance N-1'!D207,2)</f>
        <v>0</v>
      </c>
      <c r="G207" s="679">
        <f>ROUND('Balance N-1'!E207,2)</f>
        <v>0</v>
      </c>
      <c r="H207" s="679">
        <f>ROUND('Balance N-1'!F207,2)</f>
        <v>0</v>
      </c>
      <c r="I207" s="2" t="str">
        <f t="shared" si="6"/>
        <v>0</v>
      </c>
    </row>
    <row r="208" spans="1:9" x14ac:dyDescent="0.2">
      <c r="A208" s="910" t="str">
        <f>FIXED('Balance N-1'!A208,0,1)</f>
        <v>0</v>
      </c>
      <c r="B208" s="572">
        <f>+'Balance N-1'!B208</f>
        <v>0</v>
      </c>
      <c r="C208" s="679" t="e">
        <f>ROUND('Balance N-1'!#REF!,2)</f>
        <v>#REF!</v>
      </c>
      <c r="D208" s="679" t="e">
        <f>ROUND('Balance N-1'!#REF!,2)</f>
        <v>#REF!</v>
      </c>
      <c r="E208" s="679">
        <f>ROUND('Balance N-1'!C208,2)</f>
        <v>0</v>
      </c>
      <c r="F208" s="679">
        <f>ROUND('Balance N-1'!D208,2)</f>
        <v>0</v>
      </c>
      <c r="G208" s="679">
        <f>ROUND('Balance N-1'!E208,2)</f>
        <v>0</v>
      </c>
      <c r="H208" s="679">
        <f>ROUND('Balance N-1'!F208,2)</f>
        <v>0</v>
      </c>
      <c r="I208" s="2" t="str">
        <f t="shared" si="6"/>
        <v>0</v>
      </c>
    </row>
    <row r="209" spans="1:9" x14ac:dyDescent="0.2">
      <c r="A209" s="910" t="str">
        <f>FIXED('Balance N-1'!A209,0,1)</f>
        <v>0</v>
      </c>
      <c r="B209" s="572">
        <f>+'Balance N-1'!B209</f>
        <v>0</v>
      </c>
      <c r="C209" s="679" t="e">
        <f>ROUND('Balance N-1'!#REF!,2)</f>
        <v>#REF!</v>
      </c>
      <c r="D209" s="679" t="e">
        <f>ROUND('Balance N-1'!#REF!,2)</f>
        <v>#REF!</v>
      </c>
      <c r="E209" s="679">
        <f>ROUND('Balance N-1'!C209,2)</f>
        <v>0</v>
      </c>
      <c r="F209" s="679">
        <f>ROUND('Balance N-1'!D209,2)</f>
        <v>0</v>
      </c>
      <c r="G209" s="679">
        <f>ROUND('Balance N-1'!E209,2)</f>
        <v>0</v>
      </c>
      <c r="H209" s="679">
        <f>ROUND('Balance N-1'!F209,2)</f>
        <v>0</v>
      </c>
      <c r="I209" s="2" t="str">
        <f t="shared" si="6"/>
        <v>0</v>
      </c>
    </row>
    <row r="210" spans="1:9" x14ac:dyDescent="0.2">
      <c r="A210" s="910" t="str">
        <f>FIXED('Balance N-1'!A210,0,1)</f>
        <v>0</v>
      </c>
      <c r="B210" s="572">
        <f>+'Balance N-1'!B210</f>
        <v>0</v>
      </c>
      <c r="C210" s="679" t="e">
        <f>ROUND('Balance N-1'!#REF!,2)</f>
        <v>#REF!</v>
      </c>
      <c r="D210" s="679" t="e">
        <f>ROUND('Balance N-1'!#REF!,2)</f>
        <v>#REF!</v>
      </c>
      <c r="E210" s="679">
        <f>ROUND('Balance N-1'!C210,2)</f>
        <v>0</v>
      </c>
      <c r="F210" s="679">
        <f>ROUND('Balance N-1'!D210,2)</f>
        <v>0</v>
      </c>
      <c r="G210" s="679">
        <f>ROUND('Balance N-1'!E210,2)</f>
        <v>0</v>
      </c>
      <c r="H210" s="679">
        <f>ROUND('Balance N-1'!F210,2)</f>
        <v>0</v>
      </c>
      <c r="I210" s="2" t="str">
        <f t="shared" si="6"/>
        <v>0</v>
      </c>
    </row>
    <row r="211" spans="1:9" x14ac:dyDescent="0.2">
      <c r="A211" s="910" t="str">
        <f>FIXED('Balance N-1'!A211,0,1)</f>
        <v>0</v>
      </c>
      <c r="B211" s="572">
        <f>+'Balance N-1'!B211</f>
        <v>0</v>
      </c>
      <c r="C211" s="679" t="e">
        <f>ROUND('Balance N-1'!#REF!,2)</f>
        <v>#REF!</v>
      </c>
      <c r="D211" s="679" t="e">
        <f>ROUND('Balance N-1'!#REF!,2)</f>
        <v>#REF!</v>
      </c>
      <c r="E211" s="679">
        <f>ROUND('Balance N-1'!C211,2)</f>
        <v>0</v>
      </c>
      <c r="F211" s="679">
        <f>ROUND('Balance N-1'!D211,2)</f>
        <v>0</v>
      </c>
      <c r="G211" s="679">
        <f>ROUND('Balance N-1'!E211,2)</f>
        <v>0</v>
      </c>
      <c r="H211" s="679">
        <f>ROUND('Balance N-1'!F211,2)</f>
        <v>0</v>
      </c>
      <c r="I211" s="2" t="str">
        <f t="shared" si="6"/>
        <v>0</v>
      </c>
    </row>
    <row r="212" spans="1:9" x14ac:dyDescent="0.2">
      <c r="A212" s="910" t="str">
        <f>FIXED('Balance N-1'!A212,0,1)</f>
        <v>0</v>
      </c>
      <c r="B212" s="572">
        <f>+'Balance N-1'!B212</f>
        <v>0</v>
      </c>
      <c r="C212" s="679" t="e">
        <f>ROUND('Balance N-1'!#REF!,2)</f>
        <v>#REF!</v>
      </c>
      <c r="D212" s="679" t="e">
        <f>ROUND('Balance N-1'!#REF!,2)</f>
        <v>#REF!</v>
      </c>
      <c r="E212" s="679">
        <f>ROUND('Balance N-1'!C212,2)</f>
        <v>0</v>
      </c>
      <c r="F212" s="679">
        <f>ROUND('Balance N-1'!D212,2)</f>
        <v>0</v>
      </c>
      <c r="G212" s="679">
        <f>ROUND('Balance N-1'!E212,2)</f>
        <v>0</v>
      </c>
      <c r="H212" s="679">
        <f>ROUND('Balance N-1'!F212,2)</f>
        <v>0</v>
      </c>
      <c r="I212" s="2" t="str">
        <f t="shared" si="6"/>
        <v>0</v>
      </c>
    </row>
    <row r="213" spans="1:9" x14ac:dyDescent="0.2">
      <c r="A213" s="910" t="str">
        <f>FIXED('Balance N-1'!A213,0,1)</f>
        <v>0</v>
      </c>
      <c r="B213" s="572">
        <f>+'Balance N-1'!B213</f>
        <v>0</v>
      </c>
      <c r="C213" s="679" t="e">
        <f>ROUND('Balance N-1'!#REF!,2)</f>
        <v>#REF!</v>
      </c>
      <c r="D213" s="679" t="e">
        <f>ROUND('Balance N-1'!#REF!,2)</f>
        <v>#REF!</v>
      </c>
      <c r="E213" s="679">
        <f>ROUND('Balance N-1'!C213,2)</f>
        <v>0</v>
      </c>
      <c r="F213" s="679">
        <f>ROUND('Balance N-1'!D213,2)</f>
        <v>0</v>
      </c>
      <c r="G213" s="679">
        <f>ROUND('Balance N-1'!E213,2)</f>
        <v>0</v>
      </c>
      <c r="H213" s="679">
        <f>ROUND('Balance N-1'!F213,2)</f>
        <v>0</v>
      </c>
      <c r="I213" s="2" t="str">
        <f t="shared" si="6"/>
        <v>0</v>
      </c>
    </row>
    <row r="214" spans="1:9" x14ac:dyDescent="0.2">
      <c r="A214" s="910" t="str">
        <f>FIXED('Balance N-1'!A214,0,1)</f>
        <v>0</v>
      </c>
      <c r="B214" s="572">
        <f>+'Balance N-1'!B214</f>
        <v>0</v>
      </c>
      <c r="C214" s="679" t="e">
        <f>ROUND('Balance N-1'!#REF!,2)</f>
        <v>#REF!</v>
      </c>
      <c r="D214" s="679" t="e">
        <f>ROUND('Balance N-1'!#REF!,2)</f>
        <v>#REF!</v>
      </c>
      <c r="E214" s="679">
        <f>ROUND('Balance N-1'!C214,2)</f>
        <v>0</v>
      </c>
      <c r="F214" s="679">
        <f>ROUND('Balance N-1'!D214,2)</f>
        <v>0</v>
      </c>
      <c r="G214" s="679">
        <f>ROUND('Balance N-1'!E214,2)</f>
        <v>0</v>
      </c>
      <c r="H214" s="679">
        <f>ROUND('Balance N-1'!F214,2)</f>
        <v>0</v>
      </c>
      <c r="I214" s="2" t="str">
        <f t="shared" si="6"/>
        <v>0</v>
      </c>
    </row>
    <row r="215" spans="1:9" x14ac:dyDescent="0.2">
      <c r="A215" s="910" t="str">
        <f>FIXED('Balance N-1'!A215,0,1)</f>
        <v>0</v>
      </c>
      <c r="B215" s="572">
        <f>+'Balance N-1'!B215</f>
        <v>0</v>
      </c>
      <c r="C215" s="679" t="e">
        <f>ROUND('Balance N-1'!#REF!,2)</f>
        <v>#REF!</v>
      </c>
      <c r="D215" s="679" t="e">
        <f>ROUND('Balance N-1'!#REF!,2)</f>
        <v>#REF!</v>
      </c>
      <c r="E215" s="679">
        <f>ROUND('Balance N-1'!C215,2)</f>
        <v>0</v>
      </c>
      <c r="F215" s="679">
        <f>ROUND('Balance N-1'!D215,2)</f>
        <v>0</v>
      </c>
      <c r="G215" s="679">
        <f>ROUND('Balance N-1'!E215,2)</f>
        <v>0</v>
      </c>
      <c r="H215" s="679">
        <f>ROUND('Balance N-1'!F215,2)</f>
        <v>0</v>
      </c>
      <c r="I215" s="2" t="str">
        <f t="shared" si="6"/>
        <v>0</v>
      </c>
    </row>
    <row r="216" spans="1:9" x14ac:dyDescent="0.2">
      <c r="A216" s="910" t="str">
        <f>FIXED('Balance N-1'!A216,0,1)</f>
        <v>0</v>
      </c>
      <c r="B216" s="572">
        <f>+'Balance N-1'!B216</f>
        <v>0</v>
      </c>
      <c r="C216" s="679" t="e">
        <f>ROUND('Balance N-1'!#REF!,2)</f>
        <v>#REF!</v>
      </c>
      <c r="D216" s="679" t="e">
        <f>ROUND('Balance N-1'!#REF!,2)</f>
        <v>#REF!</v>
      </c>
      <c r="E216" s="679">
        <f>ROUND('Balance N-1'!C216,2)</f>
        <v>0</v>
      </c>
      <c r="F216" s="679">
        <f>ROUND('Balance N-1'!D216,2)</f>
        <v>0</v>
      </c>
      <c r="G216" s="679">
        <f>ROUND('Balance N-1'!E216,2)</f>
        <v>0</v>
      </c>
      <c r="H216" s="679">
        <f>ROUND('Balance N-1'!F216,2)</f>
        <v>0</v>
      </c>
      <c r="I216" s="2" t="str">
        <f t="shared" si="6"/>
        <v>0</v>
      </c>
    </row>
    <row r="217" spans="1:9" x14ac:dyDescent="0.2">
      <c r="A217" s="910" t="str">
        <f>FIXED('Balance N-1'!A217,0,1)</f>
        <v>0</v>
      </c>
      <c r="B217" s="572">
        <f>+'Balance N-1'!B217</f>
        <v>0</v>
      </c>
      <c r="C217" s="679" t="e">
        <f>ROUND('Balance N-1'!#REF!,2)</f>
        <v>#REF!</v>
      </c>
      <c r="D217" s="679" t="e">
        <f>ROUND('Balance N-1'!#REF!,2)</f>
        <v>#REF!</v>
      </c>
      <c r="E217" s="679">
        <f>ROUND('Balance N-1'!C217,2)</f>
        <v>0</v>
      </c>
      <c r="F217" s="679">
        <f>ROUND('Balance N-1'!D217,2)</f>
        <v>0</v>
      </c>
      <c r="G217" s="679">
        <f>ROUND('Balance N-1'!E217,2)</f>
        <v>0</v>
      </c>
      <c r="H217" s="679">
        <f>ROUND('Balance N-1'!F217,2)</f>
        <v>0</v>
      </c>
      <c r="I217" s="2" t="str">
        <f t="shared" si="6"/>
        <v>0</v>
      </c>
    </row>
    <row r="218" spans="1:9" x14ac:dyDescent="0.2">
      <c r="A218" s="910" t="str">
        <f>FIXED('Balance N-1'!A218,0,1)</f>
        <v>0</v>
      </c>
      <c r="B218" s="572">
        <f>+'Balance N-1'!B218</f>
        <v>0</v>
      </c>
      <c r="C218" s="679" t="e">
        <f>ROUND('Balance N-1'!#REF!,2)</f>
        <v>#REF!</v>
      </c>
      <c r="D218" s="679" t="e">
        <f>ROUND('Balance N-1'!#REF!,2)</f>
        <v>#REF!</v>
      </c>
      <c r="E218" s="679">
        <f>ROUND('Balance N-1'!C218,2)</f>
        <v>0</v>
      </c>
      <c r="F218" s="679">
        <f>ROUND('Balance N-1'!D218,2)</f>
        <v>0</v>
      </c>
      <c r="G218" s="679">
        <f>ROUND('Balance N-1'!E218,2)</f>
        <v>0</v>
      </c>
      <c r="H218" s="679">
        <f>ROUND('Balance N-1'!F218,2)</f>
        <v>0</v>
      </c>
      <c r="I218" s="2" t="str">
        <f t="shared" si="6"/>
        <v>0</v>
      </c>
    </row>
    <row r="219" spans="1:9" x14ac:dyDescent="0.2">
      <c r="A219" s="910" t="str">
        <f>FIXED('Balance N-1'!A219,0,1)</f>
        <v>0</v>
      </c>
      <c r="B219" s="572">
        <f>+'Balance N-1'!B219</f>
        <v>0</v>
      </c>
      <c r="C219" s="679" t="e">
        <f>ROUND('Balance N-1'!#REF!,2)</f>
        <v>#REF!</v>
      </c>
      <c r="D219" s="679" t="e">
        <f>ROUND('Balance N-1'!#REF!,2)</f>
        <v>#REF!</v>
      </c>
      <c r="E219" s="679">
        <f>ROUND('Balance N-1'!C219,2)</f>
        <v>0</v>
      </c>
      <c r="F219" s="679">
        <f>ROUND('Balance N-1'!D219,2)</f>
        <v>0</v>
      </c>
      <c r="G219" s="679">
        <f>ROUND('Balance N-1'!E219,2)</f>
        <v>0</v>
      </c>
      <c r="H219" s="679">
        <f>ROUND('Balance N-1'!F219,2)</f>
        <v>0</v>
      </c>
      <c r="I219" s="2" t="str">
        <f t="shared" si="6"/>
        <v>0</v>
      </c>
    </row>
    <row r="220" spans="1:9" x14ac:dyDescent="0.2">
      <c r="A220" s="910" t="str">
        <f>FIXED('Balance N-1'!A220,0,1)</f>
        <v>0</v>
      </c>
      <c r="B220" s="572">
        <f>+'Balance N-1'!B220</f>
        <v>0</v>
      </c>
      <c r="C220" s="679" t="e">
        <f>ROUND('Balance N-1'!#REF!,2)</f>
        <v>#REF!</v>
      </c>
      <c r="D220" s="679" t="e">
        <f>ROUND('Balance N-1'!#REF!,2)</f>
        <v>#REF!</v>
      </c>
      <c r="E220" s="679">
        <f>ROUND('Balance N-1'!C220,2)</f>
        <v>0</v>
      </c>
      <c r="F220" s="679">
        <f>ROUND('Balance N-1'!D220,2)</f>
        <v>0</v>
      </c>
      <c r="G220" s="679">
        <f>ROUND('Balance N-1'!E220,2)</f>
        <v>0</v>
      </c>
      <c r="H220" s="679">
        <f>ROUND('Balance N-1'!F220,2)</f>
        <v>0</v>
      </c>
      <c r="I220" s="2" t="str">
        <f t="shared" si="6"/>
        <v>0</v>
      </c>
    </row>
    <row r="221" spans="1:9" x14ac:dyDescent="0.2">
      <c r="A221" s="910" t="str">
        <f>FIXED('Balance N-1'!A221,0,1)</f>
        <v>0</v>
      </c>
      <c r="B221" s="572">
        <f>+'Balance N-1'!B221</f>
        <v>0</v>
      </c>
      <c r="C221" s="679" t="e">
        <f>ROUND('Balance N-1'!#REF!,2)</f>
        <v>#REF!</v>
      </c>
      <c r="D221" s="679" t="e">
        <f>ROUND('Balance N-1'!#REF!,2)</f>
        <v>#REF!</v>
      </c>
      <c r="E221" s="679">
        <f>ROUND('Balance N-1'!C221,2)</f>
        <v>0</v>
      </c>
      <c r="F221" s="679">
        <f>ROUND('Balance N-1'!D221,2)</f>
        <v>0</v>
      </c>
      <c r="G221" s="679">
        <f>ROUND('Balance N-1'!E221,2)</f>
        <v>0</v>
      </c>
      <c r="H221" s="679">
        <f>ROUND('Balance N-1'!F221,2)</f>
        <v>0</v>
      </c>
      <c r="I221" s="2" t="str">
        <f t="shared" si="6"/>
        <v>0</v>
      </c>
    </row>
    <row r="222" spans="1:9" x14ac:dyDescent="0.2">
      <c r="A222" s="910" t="str">
        <f>FIXED('Balance N-1'!A222,0,1)</f>
        <v>0</v>
      </c>
      <c r="B222" s="572">
        <f>+'Balance N-1'!B222</f>
        <v>0</v>
      </c>
      <c r="C222" s="679" t="e">
        <f>ROUND('Balance N-1'!#REF!,2)</f>
        <v>#REF!</v>
      </c>
      <c r="D222" s="679" t="e">
        <f>ROUND('Balance N-1'!#REF!,2)</f>
        <v>#REF!</v>
      </c>
      <c r="E222" s="679">
        <f>ROUND('Balance N-1'!C222,2)</f>
        <v>0</v>
      </c>
      <c r="F222" s="679">
        <f>ROUND('Balance N-1'!D222,2)</f>
        <v>0</v>
      </c>
      <c r="G222" s="679">
        <f>ROUND('Balance N-1'!E222,2)</f>
        <v>0</v>
      </c>
      <c r="H222" s="679">
        <f>ROUND('Balance N-1'!F222,2)</f>
        <v>0</v>
      </c>
      <c r="I222" s="2" t="str">
        <f t="shared" si="6"/>
        <v>0</v>
      </c>
    </row>
    <row r="223" spans="1:9" x14ac:dyDescent="0.2">
      <c r="A223" s="910" t="str">
        <f>FIXED('Balance N-1'!A223,0,1)</f>
        <v>0</v>
      </c>
      <c r="B223" s="572">
        <f>+'Balance N-1'!B223</f>
        <v>0</v>
      </c>
      <c r="C223" s="679" t="e">
        <f>ROUND('Balance N-1'!#REF!,2)</f>
        <v>#REF!</v>
      </c>
      <c r="D223" s="679" t="e">
        <f>ROUND('Balance N-1'!#REF!,2)</f>
        <v>#REF!</v>
      </c>
      <c r="E223" s="679">
        <f>ROUND('Balance N-1'!C223,2)</f>
        <v>0</v>
      </c>
      <c r="F223" s="679">
        <f>ROUND('Balance N-1'!D223,2)</f>
        <v>0</v>
      </c>
      <c r="G223" s="679">
        <f>ROUND('Balance N-1'!E223,2)</f>
        <v>0</v>
      </c>
      <c r="H223" s="679">
        <f>ROUND('Balance N-1'!F223,2)</f>
        <v>0</v>
      </c>
      <c r="I223" s="2" t="str">
        <f t="shared" si="6"/>
        <v>0</v>
      </c>
    </row>
    <row r="224" spans="1:9" x14ac:dyDescent="0.2">
      <c r="A224" s="910" t="str">
        <f>FIXED('Balance N-1'!A224,0,1)</f>
        <v>0</v>
      </c>
      <c r="B224" s="572">
        <f>+'Balance N-1'!B224</f>
        <v>0</v>
      </c>
      <c r="C224" s="679" t="e">
        <f>ROUND('Balance N-1'!#REF!,2)</f>
        <v>#REF!</v>
      </c>
      <c r="D224" s="679" t="e">
        <f>ROUND('Balance N-1'!#REF!,2)</f>
        <v>#REF!</v>
      </c>
      <c r="E224" s="679">
        <f>ROUND('Balance N-1'!C224,2)</f>
        <v>0</v>
      </c>
      <c r="F224" s="679">
        <f>ROUND('Balance N-1'!D224,2)</f>
        <v>0</v>
      </c>
      <c r="G224" s="679">
        <f>ROUND('Balance N-1'!E224,2)</f>
        <v>0</v>
      </c>
      <c r="H224" s="679">
        <f>ROUND('Balance N-1'!F224,2)</f>
        <v>0</v>
      </c>
      <c r="I224" s="2" t="str">
        <f t="shared" si="6"/>
        <v>0</v>
      </c>
    </row>
    <row r="225" spans="1:9" x14ac:dyDescent="0.2">
      <c r="A225" s="910" t="str">
        <f>FIXED('Balance N-1'!A225,0,1)</f>
        <v>0</v>
      </c>
      <c r="B225" s="572">
        <f>+'Balance N-1'!B225</f>
        <v>0</v>
      </c>
      <c r="C225" s="679" t="e">
        <f>ROUND('Balance N-1'!#REF!,2)</f>
        <v>#REF!</v>
      </c>
      <c r="D225" s="679" t="e">
        <f>ROUND('Balance N-1'!#REF!,2)</f>
        <v>#REF!</v>
      </c>
      <c r="E225" s="679">
        <f>ROUND('Balance N-1'!C225,2)</f>
        <v>0</v>
      </c>
      <c r="F225" s="679">
        <f>ROUND('Balance N-1'!D225,2)</f>
        <v>0</v>
      </c>
      <c r="G225" s="679">
        <f>ROUND('Balance N-1'!E225,2)</f>
        <v>0</v>
      </c>
      <c r="H225" s="679">
        <f>ROUND('Balance N-1'!F225,2)</f>
        <v>0</v>
      </c>
      <c r="I225" s="2" t="str">
        <f t="shared" si="6"/>
        <v>0</v>
      </c>
    </row>
    <row r="226" spans="1:9" x14ac:dyDescent="0.2">
      <c r="A226" s="910" t="str">
        <f>FIXED('Balance N-1'!A226,0,1)</f>
        <v>0</v>
      </c>
      <c r="B226" s="572">
        <f>+'Balance N-1'!B226</f>
        <v>0</v>
      </c>
      <c r="C226" s="679" t="e">
        <f>ROUND('Balance N-1'!#REF!,2)</f>
        <v>#REF!</v>
      </c>
      <c r="D226" s="679" t="e">
        <f>ROUND('Balance N-1'!#REF!,2)</f>
        <v>#REF!</v>
      </c>
      <c r="E226" s="679">
        <f>ROUND('Balance N-1'!C226,2)</f>
        <v>0</v>
      </c>
      <c r="F226" s="679">
        <f>ROUND('Balance N-1'!D226,2)</f>
        <v>0</v>
      </c>
      <c r="G226" s="679">
        <f>ROUND('Balance N-1'!E226,2)</f>
        <v>0</v>
      </c>
      <c r="H226" s="679">
        <f>ROUND('Balance N-1'!F226,2)</f>
        <v>0</v>
      </c>
      <c r="I226" s="2" t="str">
        <f t="shared" si="6"/>
        <v>0</v>
      </c>
    </row>
    <row r="227" spans="1:9" x14ac:dyDescent="0.2">
      <c r="A227" s="910" t="str">
        <f>FIXED('Balance N-1'!A227,0,1)</f>
        <v>0</v>
      </c>
      <c r="B227" s="572">
        <f>+'Balance N-1'!B227</f>
        <v>0</v>
      </c>
      <c r="C227" s="679" t="e">
        <f>ROUND('Balance N-1'!#REF!,2)</f>
        <v>#REF!</v>
      </c>
      <c r="D227" s="679" t="e">
        <f>ROUND('Balance N-1'!#REF!,2)</f>
        <v>#REF!</v>
      </c>
      <c r="E227" s="679">
        <f>ROUND('Balance N-1'!C227,2)</f>
        <v>0</v>
      </c>
      <c r="F227" s="679">
        <f>ROUND('Balance N-1'!D227,2)</f>
        <v>0</v>
      </c>
      <c r="G227" s="679">
        <f>ROUND('Balance N-1'!E227,2)</f>
        <v>0</v>
      </c>
      <c r="H227" s="679">
        <f>ROUND('Balance N-1'!F227,2)</f>
        <v>0</v>
      </c>
      <c r="I227" s="2" t="str">
        <f t="shared" si="6"/>
        <v>0</v>
      </c>
    </row>
    <row r="228" spans="1:9" x14ac:dyDescent="0.2">
      <c r="A228" s="910" t="str">
        <f>FIXED('Balance N-1'!A228,0,1)</f>
        <v>0</v>
      </c>
      <c r="B228" s="572">
        <f>+'Balance N-1'!B228</f>
        <v>0</v>
      </c>
      <c r="C228" s="679" t="e">
        <f>ROUND('Balance N-1'!#REF!,2)</f>
        <v>#REF!</v>
      </c>
      <c r="D228" s="679" t="e">
        <f>ROUND('Balance N-1'!#REF!,2)</f>
        <v>#REF!</v>
      </c>
      <c r="E228" s="679">
        <f>ROUND('Balance N-1'!C228,2)</f>
        <v>0</v>
      </c>
      <c r="F228" s="679">
        <f>ROUND('Balance N-1'!D228,2)</f>
        <v>0</v>
      </c>
      <c r="G228" s="679">
        <f>ROUND('Balance N-1'!E228,2)</f>
        <v>0</v>
      </c>
      <c r="H228" s="679">
        <f>ROUND('Balance N-1'!F228,2)</f>
        <v>0</v>
      </c>
      <c r="I228" s="2" t="str">
        <f t="shared" si="6"/>
        <v>0</v>
      </c>
    </row>
    <row r="229" spans="1:9" x14ac:dyDescent="0.2">
      <c r="A229" s="910" t="str">
        <f>FIXED('Balance N-1'!A229,0,1)</f>
        <v>0</v>
      </c>
      <c r="B229" s="572">
        <f>+'Balance N-1'!B229</f>
        <v>0</v>
      </c>
      <c r="C229" s="679" t="e">
        <f>ROUND('Balance N-1'!#REF!,2)</f>
        <v>#REF!</v>
      </c>
      <c r="D229" s="679" t="e">
        <f>ROUND('Balance N-1'!#REF!,2)</f>
        <v>#REF!</v>
      </c>
      <c r="E229" s="679">
        <f>ROUND('Balance N-1'!C229,2)</f>
        <v>0</v>
      </c>
      <c r="F229" s="679">
        <f>ROUND('Balance N-1'!D229,2)</f>
        <v>0</v>
      </c>
      <c r="G229" s="679">
        <f>ROUND('Balance N-1'!E229,2)</f>
        <v>0</v>
      </c>
      <c r="H229" s="679">
        <f>ROUND('Balance N-1'!F229,2)</f>
        <v>0</v>
      </c>
      <c r="I229" s="2" t="str">
        <f t="shared" si="6"/>
        <v>0</v>
      </c>
    </row>
    <row r="230" spans="1:9" x14ac:dyDescent="0.2">
      <c r="A230" s="910" t="str">
        <f>FIXED('Balance N-1'!A230,0,1)</f>
        <v>0</v>
      </c>
      <c r="B230" s="572">
        <f>+'Balance N-1'!B230</f>
        <v>0</v>
      </c>
      <c r="C230" s="679" t="e">
        <f>ROUND('Balance N-1'!#REF!,2)</f>
        <v>#REF!</v>
      </c>
      <c r="D230" s="679" t="e">
        <f>ROUND('Balance N-1'!#REF!,2)</f>
        <v>#REF!</v>
      </c>
      <c r="E230" s="679">
        <f>ROUND('Balance N-1'!C230,2)</f>
        <v>0</v>
      </c>
      <c r="F230" s="679">
        <f>ROUND('Balance N-1'!D230,2)</f>
        <v>0</v>
      </c>
      <c r="G230" s="679">
        <f>ROUND('Balance N-1'!E230,2)</f>
        <v>0</v>
      </c>
      <c r="H230" s="679">
        <f>ROUND('Balance N-1'!F230,2)</f>
        <v>0</v>
      </c>
      <c r="I230" s="2" t="str">
        <f t="shared" si="6"/>
        <v>0</v>
      </c>
    </row>
    <row r="231" spans="1:9" x14ac:dyDescent="0.2">
      <c r="A231" s="910" t="str">
        <f>FIXED('Balance N-1'!A231,0,1)</f>
        <v>0</v>
      </c>
      <c r="B231" s="572">
        <f>+'Balance N-1'!B231</f>
        <v>0</v>
      </c>
      <c r="C231" s="679" t="e">
        <f>ROUND('Balance N-1'!#REF!,2)</f>
        <v>#REF!</v>
      </c>
      <c r="D231" s="679" t="e">
        <f>ROUND('Balance N-1'!#REF!,2)</f>
        <v>#REF!</v>
      </c>
      <c r="E231" s="679">
        <f>ROUND('Balance N-1'!C231,2)</f>
        <v>0</v>
      </c>
      <c r="F231" s="679">
        <f>ROUND('Balance N-1'!D231,2)</f>
        <v>0</v>
      </c>
      <c r="G231" s="679">
        <f>ROUND('Balance N-1'!E231,2)</f>
        <v>0</v>
      </c>
      <c r="H231" s="679">
        <f>ROUND('Balance N-1'!F231,2)</f>
        <v>0</v>
      </c>
      <c r="I231" s="2" t="str">
        <f t="shared" si="6"/>
        <v>0</v>
      </c>
    </row>
    <row r="232" spans="1:9" x14ac:dyDescent="0.2">
      <c r="A232" s="910" t="str">
        <f>FIXED('Balance N-1'!A232,0,1)</f>
        <v>0</v>
      </c>
      <c r="B232" s="572">
        <f>+'Balance N-1'!B232</f>
        <v>0</v>
      </c>
      <c r="C232" s="679" t="e">
        <f>ROUND('Balance N-1'!#REF!,2)</f>
        <v>#REF!</v>
      </c>
      <c r="D232" s="679" t="e">
        <f>ROUND('Balance N-1'!#REF!,2)</f>
        <v>#REF!</v>
      </c>
      <c r="E232" s="679">
        <f>ROUND('Balance N-1'!C232,2)</f>
        <v>0</v>
      </c>
      <c r="F232" s="679">
        <f>ROUND('Balance N-1'!D232,2)</f>
        <v>0</v>
      </c>
      <c r="G232" s="679">
        <f>ROUND('Balance N-1'!E232,2)</f>
        <v>0</v>
      </c>
      <c r="H232" s="679">
        <f>ROUND('Balance N-1'!F232,2)</f>
        <v>0</v>
      </c>
      <c r="I232" s="2" t="str">
        <f t="shared" si="6"/>
        <v>0</v>
      </c>
    </row>
    <row r="233" spans="1:9" x14ac:dyDescent="0.2">
      <c r="A233" s="910" t="str">
        <f>FIXED('Balance N-1'!A233,0,1)</f>
        <v>0</v>
      </c>
      <c r="B233" s="572">
        <f>+'Balance N-1'!B233</f>
        <v>0</v>
      </c>
      <c r="C233" s="679" t="e">
        <f>ROUND('Balance N-1'!#REF!,2)</f>
        <v>#REF!</v>
      </c>
      <c r="D233" s="679" t="e">
        <f>ROUND('Balance N-1'!#REF!,2)</f>
        <v>#REF!</v>
      </c>
      <c r="E233" s="679">
        <f>ROUND('Balance N-1'!C233,2)</f>
        <v>0</v>
      </c>
      <c r="F233" s="679">
        <f>ROUND('Balance N-1'!D233,2)</f>
        <v>0</v>
      </c>
      <c r="G233" s="679">
        <f>ROUND('Balance N-1'!E233,2)</f>
        <v>0</v>
      </c>
      <c r="H233" s="679">
        <f>ROUND('Balance N-1'!F233,2)</f>
        <v>0</v>
      </c>
      <c r="I233" s="2" t="str">
        <f t="shared" si="6"/>
        <v>0</v>
      </c>
    </row>
    <row r="234" spans="1:9" x14ac:dyDescent="0.2">
      <c r="A234" s="910" t="str">
        <f>FIXED('Balance N-1'!A234,0,1)</f>
        <v>0</v>
      </c>
      <c r="B234" s="572">
        <f>+'Balance N-1'!B234</f>
        <v>0</v>
      </c>
      <c r="C234" s="679" t="e">
        <f>ROUND('Balance N-1'!#REF!,2)</f>
        <v>#REF!</v>
      </c>
      <c r="D234" s="679" t="e">
        <f>ROUND('Balance N-1'!#REF!,2)</f>
        <v>#REF!</v>
      </c>
      <c r="E234" s="679">
        <f>ROUND('Balance N-1'!C234,2)</f>
        <v>0</v>
      </c>
      <c r="F234" s="679">
        <f>ROUND('Balance N-1'!D234,2)</f>
        <v>0</v>
      </c>
      <c r="G234" s="679">
        <f>ROUND('Balance N-1'!E234,2)</f>
        <v>0</v>
      </c>
      <c r="H234" s="679">
        <f>ROUND('Balance N-1'!F234,2)</f>
        <v>0</v>
      </c>
      <c r="I234" s="2" t="str">
        <f t="shared" si="6"/>
        <v>0</v>
      </c>
    </row>
    <row r="235" spans="1:9" x14ac:dyDescent="0.2">
      <c r="A235" s="910" t="str">
        <f>FIXED('Balance N-1'!A235,0,1)</f>
        <v>0</v>
      </c>
      <c r="B235" s="572">
        <f>+'Balance N-1'!B235</f>
        <v>0</v>
      </c>
      <c r="C235" s="679" t="e">
        <f>ROUND('Balance N-1'!#REF!,2)</f>
        <v>#REF!</v>
      </c>
      <c r="D235" s="679" t="e">
        <f>ROUND('Balance N-1'!#REF!,2)</f>
        <v>#REF!</v>
      </c>
      <c r="E235" s="679">
        <f>ROUND('Balance N-1'!C235,2)</f>
        <v>0</v>
      </c>
      <c r="F235" s="679">
        <f>ROUND('Balance N-1'!D235,2)</f>
        <v>0</v>
      </c>
      <c r="G235" s="679">
        <f>ROUND('Balance N-1'!E235,2)</f>
        <v>0</v>
      </c>
      <c r="H235" s="679">
        <f>ROUND('Balance N-1'!F235,2)</f>
        <v>0</v>
      </c>
      <c r="I235" s="2" t="str">
        <f t="shared" si="6"/>
        <v>0</v>
      </c>
    </row>
    <row r="236" spans="1:9" x14ac:dyDescent="0.2">
      <c r="A236" s="910" t="str">
        <f>FIXED('Balance N-1'!A236,0,1)</f>
        <v>0</v>
      </c>
      <c r="B236" s="572">
        <f>+'Balance N-1'!B236</f>
        <v>0</v>
      </c>
      <c r="C236" s="679" t="e">
        <f>ROUND('Balance N-1'!#REF!,2)</f>
        <v>#REF!</v>
      </c>
      <c r="D236" s="679" t="e">
        <f>ROUND('Balance N-1'!#REF!,2)</f>
        <v>#REF!</v>
      </c>
      <c r="E236" s="679">
        <f>ROUND('Balance N-1'!C236,2)</f>
        <v>0</v>
      </c>
      <c r="F236" s="679">
        <f>ROUND('Balance N-1'!D236,2)</f>
        <v>0</v>
      </c>
      <c r="G236" s="679">
        <f>ROUND('Balance N-1'!E236,2)</f>
        <v>0</v>
      </c>
      <c r="H236" s="679">
        <f>ROUND('Balance N-1'!F236,2)</f>
        <v>0</v>
      </c>
      <c r="I236" s="2" t="str">
        <f t="shared" si="6"/>
        <v>0</v>
      </c>
    </row>
    <row r="237" spans="1:9" x14ac:dyDescent="0.2">
      <c r="A237" s="910" t="str">
        <f>FIXED('Balance N-1'!A237,0,1)</f>
        <v>0</v>
      </c>
      <c r="B237" s="572">
        <f>+'Balance N-1'!B237</f>
        <v>0</v>
      </c>
      <c r="C237" s="679" t="e">
        <f>ROUND('Balance N-1'!#REF!,2)</f>
        <v>#REF!</v>
      </c>
      <c r="D237" s="679" t="e">
        <f>ROUND('Balance N-1'!#REF!,2)</f>
        <v>#REF!</v>
      </c>
      <c r="E237" s="679">
        <f>ROUND('Balance N-1'!C237,2)</f>
        <v>0</v>
      </c>
      <c r="F237" s="679">
        <f>ROUND('Balance N-1'!D237,2)</f>
        <v>0</v>
      </c>
      <c r="G237" s="679">
        <f>ROUND('Balance N-1'!E237,2)</f>
        <v>0</v>
      </c>
      <c r="H237" s="679">
        <f>ROUND('Balance N-1'!F237,2)</f>
        <v>0</v>
      </c>
      <c r="I237" s="2" t="str">
        <f t="shared" si="6"/>
        <v>0</v>
      </c>
    </row>
    <row r="238" spans="1:9" x14ac:dyDescent="0.2">
      <c r="A238" s="910" t="str">
        <f>FIXED('Balance N-1'!A238,0,1)</f>
        <v>0</v>
      </c>
      <c r="B238" s="572">
        <f>+'Balance N-1'!B238</f>
        <v>0</v>
      </c>
      <c r="C238" s="679" t="e">
        <f>ROUND('Balance N-1'!#REF!,2)</f>
        <v>#REF!</v>
      </c>
      <c r="D238" s="679" t="e">
        <f>ROUND('Balance N-1'!#REF!,2)</f>
        <v>#REF!</v>
      </c>
      <c r="E238" s="679">
        <f>ROUND('Balance N-1'!C238,2)</f>
        <v>0</v>
      </c>
      <c r="F238" s="679">
        <f>ROUND('Balance N-1'!D238,2)</f>
        <v>0</v>
      </c>
      <c r="G238" s="679">
        <f>ROUND('Balance N-1'!E238,2)</f>
        <v>0</v>
      </c>
      <c r="H238" s="679">
        <f>ROUND('Balance N-1'!F238,2)</f>
        <v>0</v>
      </c>
      <c r="I238" s="2" t="str">
        <f t="shared" si="6"/>
        <v>0</v>
      </c>
    </row>
    <row r="239" spans="1:9" x14ac:dyDescent="0.2">
      <c r="A239" s="910" t="str">
        <f>FIXED('Balance N-1'!A239,0,1)</f>
        <v>0</v>
      </c>
      <c r="B239" s="572">
        <f>+'Balance N-1'!B239</f>
        <v>0</v>
      </c>
      <c r="C239" s="679" t="e">
        <f>ROUND('Balance N-1'!#REF!,2)</f>
        <v>#REF!</v>
      </c>
      <c r="D239" s="679" t="e">
        <f>ROUND('Balance N-1'!#REF!,2)</f>
        <v>#REF!</v>
      </c>
      <c r="E239" s="679">
        <f>ROUND('Balance N-1'!C239,2)</f>
        <v>0</v>
      </c>
      <c r="F239" s="679">
        <f>ROUND('Balance N-1'!D239,2)</f>
        <v>0</v>
      </c>
      <c r="G239" s="679">
        <f>ROUND('Balance N-1'!E239,2)</f>
        <v>0</v>
      </c>
      <c r="H239" s="679">
        <f>ROUND('Balance N-1'!F239,2)</f>
        <v>0</v>
      </c>
      <c r="I239" s="2" t="str">
        <f t="shared" si="6"/>
        <v>0</v>
      </c>
    </row>
    <row r="240" spans="1:9" x14ac:dyDescent="0.2">
      <c r="A240" s="910" t="str">
        <f>FIXED('Balance N-1'!A240,0,1)</f>
        <v>0</v>
      </c>
      <c r="B240" s="572">
        <f>+'Balance N-1'!B240</f>
        <v>0</v>
      </c>
      <c r="C240" s="679" t="e">
        <f>ROUND('Balance N-1'!#REF!,2)</f>
        <v>#REF!</v>
      </c>
      <c r="D240" s="679" t="e">
        <f>ROUND('Balance N-1'!#REF!,2)</f>
        <v>#REF!</v>
      </c>
      <c r="E240" s="679">
        <f>ROUND('Balance N-1'!C240,2)</f>
        <v>0</v>
      </c>
      <c r="F240" s="679">
        <f>ROUND('Balance N-1'!D240,2)</f>
        <v>0</v>
      </c>
      <c r="G240" s="679">
        <f>ROUND('Balance N-1'!E240,2)</f>
        <v>0</v>
      </c>
      <c r="H240" s="679">
        <f>ROUND('Balance N-1'!F240,2)</f>
        <v>0</v>
      </c>
      <c r="I240" s="2" t="str">
        <f t="shared" si="6"/>
        <v>0</v>
      </c>
    </row>
    <row r="241" spans="1:9" x14ac:dyDescent="0.2">
      <c r="A241" s="910" t="str">
        <f>FIXED('Balance N-1'!A241,0,1)</f>
        <v>0</v>
      </c>
      <c r="B241" s="572">
        <f>+'Balance N-1'!B241</f>
        <v>0</v>
      </c>
      <c r="C241" s="679" t="e">
        <f>ROUND('Balance N-1'!#REF!,2)</f>
        <v>#REF!</v>
      </c>
      <c r="D241" s="679" t="e">
        <f>ROUND('Balance N-1'!#REF!,2)</f>
        <v>#REF!</v>
      </c>
      <c r="E241" s="679">
        <f>ROUND('Balance N-1'!C241,2)</f>
        <v>0</v>
      </c>
      <c r="F241" s="679">
        <f>ROUND('Balance N-1'!D241,2)</f>
        <v>0</v>
      </c>
      <c r="G241" s="679">
        <f>ROUND('Balance N-1'!E241,2)</f>
        <v>0</v>
      </c>
      <c r="H241" s="679">
        <f>ROUND('Balance N-1'!F241,2)</f>
        <v>0</v>
      </c>
      <c r="I241" s="2" t="str">
        <f t="shared" si="6"/>
        <v>0</v>
      </c>
    </row>
    <row r="242" spans="1:9" x14ac:dyDescent="0.2">
      <c r="A242" s="910" t="str">
        <f>FIXED('Balance N-1'!A242,0,1)</f>
        <v>0</v>
      </c>
      <c r="B242" s="572">
        <f>+'Balance N-1'!B242</f>
        <v>0</v>
      </c>
      <c r="C242" s="679" t="e">
        <f>ROUND('Balance N-1'!#REF!,2)</f>
        <v>#REF!</v>
      </c>
      <c r="D242" s="679" t="e">
        <f>ROUND('Balance N-1'!#REF!,2)</f>
        <v>#REF!</v>
      </c>
      <c r="E242" s="679">
        <f>ROUND('Balance N-1'!C242,2)</f>
        <v>0</v>
      </c>
      <c r="F242" s="679">
        <f>ROUND('Balance N-1'!D242,2)</f>
        <v>0</v>
      </c>
      <c r="G242" s="679">
        <f>ROUND('Balance N-1'!E242,2)</f>
        <v>0</v>
      </c>
      <c r="H242" s="679">
        <f>ROUND('Balance N-1'!F242,2)</f>
        <v>0</v>
      </c>
      <c r="I242" s="2" t="str">
        <f t="shared" si="6"/>
        <v>0</v>
      </c>
    </row>
    <row r="243" spans="1:9" x14ac:dyDescent="0.2">
      <c r="A243" s="910" t="str">
        <f>FIXED('Balance N-1'!A243,0,1)</f>
        <v>0</v>
      </c>
      <c r="B243" s="572">
        <f>+'Balance N-1'!B243</f>
        <v>0</v>
      </c>
      <c r="C243" s="679" t="e">
        <f>ROUND('Balance N-1'!#REF!,2)</f>
        <v>#REF!</v>
      </c>
      <c r="D243" s="679" t="e">
        <f>ROUND('Balance N-1'!#REF!,2)</f>
        <v>#REF!</v>
      </c>
      <c r="E243" s="679">
        <f>ROUND('Balance N-1'!C243,2)</f>
        <v>0</v>
      </c>
      <c r="F243" s="679">
        <f>ROUND('Balance N-1'!D243,2)</f>
        <v>0</v>
      </c>
      <c r="G243" s="679">
        <f>ROUND('Balance N-1'!E243,2)</f>
        <v>0</v>
      </c>
      <c r="H243" s="679">
        <f>ROUND('Balance N-1'!F243,2)</f>
        <v>0</v>
      </c>
      <c r="I243" s="2" t="str">
        <f t="shared" si="6"/>
        <v>0</v>
      </c>
    </row>
    <row r="244" spans="1:9" x14ac:dyDescent="0.2">
      <c r="A244" s="910" t="str">
        <f>FIXED('Balance N-1'!A244,0,1)</f>
        <v>0</v>
      </c>
      <c r="B244" s="572">
        <f>+'Balance N-1'!B244</f>
        <v>0</v>
      </c>
      <c r="C244" s="679" t="e">
        <f>ROUND('Balance N-1'!#REF!,2)</f>
        <v>#REF!</v>
      </c>
      <c r="D244" s="679" t="e">
        <f>ROUND('Balance N-1'!#REF!,2)</f>
        <v>#REF!</v>
      </c>
      <c r="E244" s="679">
        <f>ROUND('Balance N-1'!C244,2)</f>
        <v>0</v>
      </c>
      <c r="F244" s="679">
        <f>ROUND('Balance N-1'!D244,2)</f>
        <v>0</v>
      </c>
      <c r="G244" s="679">
        <f>ROUND('Balance N-1'!E244,2)</f>
        <v>0</v>
      </c>
      <c r="H244" s="679">
        <f>ROUND('Balance N-1'!F244,2)</f>
        <v>0</v>
      </c>
      <c r="I244" s="2" t="str">
        <f t="shared" si="6"/>
        <v>0</v>
      </c>
    </row>
    <row r="245" spans="1:9" x14ac:dyDescent="0.2">
      <c r="A245" s="910" t="str">
        <f>FIXED('Balance N-1'!A245,0,1)</f>
        <v>0</v>
      </c>
      <c r="B245" s="572">
        <f>+'Balance N-1'!B245</f>
        <v>0</v>
      </c>
      <c r="C245" s="679" t="e">
        <f>ROUND('Balance N-1'!#REF!,2)</f>
        <v>#REF!</v>
      </c>
      <c r="D245" s="679" t="e">
        <f>ROUND('Balance N-1'!#REF!,2)</f>
        <v>#REF!</v>
      </c>
      <c r="E245" s="679">
        <f>ROUND('Balance N-1'!C245,2)</f>
        <v>0</v>
      </c>
      <c r="F245" s="679">
        <f>ROUND('Balance N-1'!D245,2)</f>
        <v>0</v>
      </c>
      <c r="G245" s="679">
        <f>ROUND('Balance N-1'!E245,2)</f>
        <v>0</v>
      </c>
      <c r="H245" s="679">
        <f>ROUND('Balance N-1'!F245,2)</f>
        <v>0</v>
      </c>
      <c r="I245" s="2" t="str">
        <f t="shared" si="6"/>
        <v>0</v>
      </c>
    </row>
    <row r="246" spans="1:9" x14ac:dyDescent="0.2">
      <c r="A246" s="910" t="str">
        <f>FIXED('Balance N-1'!A246,0,1)</f>
        <v>0</v>
      </c>
      <c r="B246" s="572">
        <f>+'Balance N-1'!B246</f>
        <v>0</v>
      </c>
      <c r="C246" s="679" t="e">
        <f>ROUND('Balance N-1'!#REF!,2)</f>
        <v>#REF!</v>
      </c>
      <c r="D246" s="679" t="e">
        <f>ROUND('Balance N-1'!#REF!,2)</f>
        <v>#REF!</v>
      </c>
      <c r="E246" s="679">
        <f>ROUND('Balance N-1'!C246,2)</f>
        <v>0</v>
      </c>
      <c r="F246" s="679">
        <f>ROUND('Balance N-1'!D246,2)</f>
        <v>0</v>
      </c>
      <c r="G246" s="679">
        <f>ROUND('Balance N-1'!E246,2)</f>
        <v>0</v>
      </c>
      <c r="H246" s="679">
        <f>ROUND('Balance N-1'!F246,2)</f>
        <v>0</v>
      </c>
      <c r="I246" s="2" t="str">
        <f t="shared" si="6"/>
        <v>0</v>
      </c>
    </row>
    <row r="247" spans="1:9" x14ac:dyDescent="0.2">
      <c r="A247" s="910" t="str">
        <f>FIXED('Balance N-1'!A247,0,1)</f>
        <v>0</v>
      </c>
      <c r="B247" s="572">
        <f>+'Balance N-1'!B247</f>
        <v>0</v>
      </c>
      <c r="C247" s="679" t="e">
        <f>ROUND('Balance N-1'!#REF!,2)</f>
        <v>#REF!</v>
      </c>
      <c r="D247" s="679" t="e">
        <f>ROUND('Balance N-1'!#REF!,2)</f>
        <v>#REF!</v>
      </c>
      <c r="E247" s="679">
        <f>ROUND('Balance N-1'!C247,2)</f>
        <v>0</v>
      </c>
      <c r="F247" s="679">
        <f>ROUND('Balance N-1'!D247,2)</f>
        <v>0</v>
      </c>
      <c r="G247" s="679">
        <f>ROUND('Balance N-1'!E247,2)</f>
        <v>0</v>
      </c>
      <c r="H247" s="679">
        <f>ROUND('Balance N-1'!F247,2)</f>
        <v>0</v>
      </c>
      <c r="I247" s="2" t="str">
        <f t="shared" si="6"/>
        <v>0</v>
      </c>
    </row>
    <row r="248" spans="1:9" x14ac:dyDescent="0.2">
      <c r="A248" s="910" t="str">
        <f>FIXED('Balance N-1'!A248,0,1)</f>
        <v>0</v>
      </c>
      <c r="B248" s="572">
        <f>+'Balance N-1'!B248</f>
        <v>0</v>
      </c>
      <c r="C248" s="679" t="e">
        <f>ROUND('Balance N-1'!#REF!,2)</f>
        <v>#REF!</v>
      </c>
      <c r="D248" s="679" t="e">
        <f>ROUND('Balance N-1'!#REF!,2)</f>
        <v>#REF!</v>
      </c>
      <c r="E248" s="679">
        <f>ROUND('Balance N-1'!C248,2)</f>
        <v>0</v>
      </c>
      <c r="F248" s="679">
        <f>ROUND('Balance N-1'!D248,2)</f>
        <v>0</v>
      </c>
      <c r="G248" s="679">
        <f>ROUND('Balance N-1'!E248,2)</f>
        <v>0</v>
      </c>
      <c r="H248" s="679">
        <f>ROUND('Balance N-1'!F248,2)</f>
        <v>0</v>
      </c>
      <c r="I248" s="2" t="str">
        <f t="shared" si="6"/>
        <v>0</v>
      </c>
    </row>
    <row r="249" spans="1:9" x14ac:dyDescent="0.2">
      <c r="A249" s="910" t="str">
        <f>FIXED('Balance N-1'!A249,0,1)</f>
        <v>0</v>
      </c>
      <c r="B249" s="572">
        <f>+'Balance N-1'!B249</f>
        <v>0</v>
      </c>
      <c r="C249" s="679" t="e">
        <f>ROUND('Balance N-1'!#REF!,2)</f>
        <v>#REF!</v>
      </c>
      <c r="D249" s="679" t="e">
        <f>ROUND('Balance N-1'!#REF!,2)</f>
        <v>#REF!</v>
      </c>
      <c r="E249" s="679">
        <f>ROUND('Balance N-1'!C249,2)</f>
        <v>0</v>
      </c>
      <c r="F249" s="679">
        <f>ROUND('Balance N-1'!D249,2)</f>
        <v>0</v>
      </c>
      <c r="G249" s="679">
        <f>ROUND('Balance N-1'!E249,2)</f>
        <v>0</v>
      </c>
      <c r="H249" s="679">
        <f>ROUND('Balance N-1'!F249,2)</f>
        <v>0</v>
      </c>
      <c r="I249" s="2" t="str">
        <f t="shared" si="6"/>
        <v>0</v>
      </c>
    </row>
    <row r="250" spans="1:9" x14ac:dyDescent="0.2">
      <c r="A250" s="910" t="str">
        <f>FIXED('Balance N-1'!A250,0,1)</f>
        <v>0</v>
      </c>
      <c r="B250" s="572">
        <f>+'Balance N-1'!B250</f>
        <v>0</v>
      </c>
      <c r="C250" s="679" t="e">
        <f>ROUND('Balance N-1'!#REF!,2)</f>
        <v>#REF!</v>
      </c>
      <c r="D250" s="679" t="e">
        <f>ROUND('Balance N-1'!#REF!,2)</f>
        <v>#REF!</v>
      </c>
      <c r="E250" s="679">
        <f>ROUND('Balance N-1'!C250,2)</f>
        <v>0</v>
      </c>
      <c r="F250" s="679">
        <f>ROUND('Balance N-1'!D250,2)</f>
        <v>0</v>
      </c>
      <c r="G250" s="679">
        <f>ROUND('Balance N-1'!E250,2)</f>
        <v>0</v>
      </c>
      <c r="H250" s="679">
        <f>ROUND('Balance N-1'!F250,2)</f>
        <v>0</v>
      </c>
      <c r="I250" s="2" t="str">
        <f t="shared" si="6"/>
        <v>0</v>
      </c>
    </row>
    <row r="251" spans="1:9" x14ac:dyDescent="0.2">
      <c r="A251" s="910" t="str">
        <f>FIXED('Balance N-1'!A251,0,1)</f>
        <v>0</v>
      </c>
      <c r="B251" s="572">
        <f>+'Balance N-1'!B251</f>
        <v>0</v>
      </c>
      <c r="C251" s="679" t="e">
        <f>ROUND('Balance N-1'!#REF!,2)</f>
        <v>#REF!</v>
      </c>
      <c r="D251" s="679" t="e">
        <f>ROUND('Balance N-1'!#REF!,2)</f>
        <v>#REF!</v>
      </c>
      <c r="E251" s="679">
        <f>ROUND('Balance N-1'!C251,2)</f>
        <v>0</v>
      </c>
      <c r="F251" s="679">
        <f>ROUND('Balance N-1'!D251,2)</f>
        <v>0</v>
      </c>
      <c r="G251" s="679">
        <f>ROUND('Balance N-1'!E251,2)</f>
        <v>0</v>
      </c>
      <c r="H251" s="679">
        <f>ROUND('Balance N-1'!F251,2)</f>
        <v>0</v>
      </c>
      <c r="I251" s="2" t="str">
        <f t="shared" si="6"/>
        <v>0</v>
      </c>
    </row>
    <row r="252" spans="1:9" x14ac:dyDescent="0.2">
      <c r="A252" s="910" t="str">
        <f>FIXED('Balance N-1'!A252,0,1)</f>
        <v>0</v>
      </c>
      <c r="B252" s="572">
        <f>+'Balance N-1'!B252</f>
        <v>0</v>
      </c>
      <c r="C252" s="679" t="e">
        <f>ROUND('Balance N-1'!#REF!,2)</f>
        <v>#REF!</v>
      </c>
      <c r="D252" s="679" t="e">
        <f>ROUND('Balance N-1'!#REF!,2)</f>
        <v>#REF!</v>
      </c>
      <c r="E252" s="679">
        <f>ROUND('Balance N-1'!C252,2)</f>
        <v>0</v>
      </c>
      <c r="F252" s="679">
        <f>ROUND('Balance N-1'!D252,2)</f>
        <v>0</v>
      </c>
      <c r="G252" s="679">
        <f>ROUND('Balance N-1'!E252,2)</f>
        <v>0</v>
      </c>
      <c r="H252" s="679">
        <f>ROUND('Balance N-1'!F252,2)</f>
        <v>0</v>
      </c>
      <c r="I252" s="2" t="str">
        <f t="shared" si="6"/>
        <v>0</v>
      </c>
    </row>
    <row r="253" spans="1:9" x14ac:dyDescent="0.2">
      <c r="A253" s="910" t="str">
        <f>FIXED('Balance N-1'!A253,0,1)</f>
        <v>0</v>
      </c>
      <c r="B253" s="572">
        <f>+'Balance N-1'!B253</f>
        <v>0</v>
      </c>
      <c r="C253" s="679" t="e">
        <f>ROUND('Balance N-1'!#REF!,2)</f>
        <v>#REF!</v>
      </c>
      <c r="D253" s="679" t="e">
        <f>ROUND('Balance N-1'!#REF!,2)</f>
        <v>#REF!</v>
      </c>
      <c r="E253" s="679">
        <f>ROUND('Balance N-1'!C253,2)</f>
        <v>0</v>
      </c>
      <c r="F253" s="679">
        <f>ROUND('Balance N-1'!D253,2)</f>
        <v>0</v>
      </c>
      <c r="G253" s="679">
        <f>ROUND('Balance N-1'!E253,2)</f>
        <v>0</v>
      </c>
      <c r="H253" s="679">
        <f>ROUND('Balance N-1'!F253,2)</f>
        <v>0</v>
      </c>
      <c r="I253" s="2" t="str">
        <f t="shared" si="6"/>
        <v>0</v>
      </c>
    </row>
    <row r="254" spans="1:9" x14ac:dyDescent="0.2">
      <c r="A254" s="910" t="str">
        <f>FIXED('Balance N-1'!A254,0,1)</f>
        <v>0</v>
      </c>
      <c r="B254" s="572">
        <f>+'Balance N-1'!B254</f>
        <v>0</v>
      </c>
      <c r="C254" s="679" t="e">
        <f>ROUND('Balance N-1'!#REF!,2)</f>
        <v>#REF!</v>
      </c>
      <c r="D254" s="679" t="e">
        <f>ROUND('Balance N-1'!#REF!,2)</f>
        <v>#REF!</v>
      </c>
      <c r="E254" s="679">
        <f>ROUND('Balance N-1'!C254,2)</f>
        <v>0</v>
      </c>
      <c r="F254" s="679">
        <f>ROUND('Balance N-1'!D254,2)</f>
        <v>0</v>
      </c>
      <c r="G254" s="679">
        <f>ROUND('Balance N-1'!E254,2)</f>
        <v>0</v>
      </c>
      <c r="H254" s="679">
        <f>ROUND('Balance N-1'!F254,2)</f>
        <v>0</v>
      </c>
      <c r="I254" s="2" t="str">
        <f t="shared" si="6"/>
        <v>0</v>
      </c>
    </row>
    <row r="255" spans="1:9" x14ac:dyDescent="0.2">
      <c r="A255" s="910" t="str">
        <f>FIXED('Balance N-1'!A255,0,1)</f>
        <v>0</v>
      </c>
      <c r="B255" s="572">
        <f>+'Balance N-1'!B255</f>
        <v>0</v>
      </c>
      <c r="C255" s="679" t="e">
        <f>ROUND('Balance N-1'!#REF!,2)</f>
        <v>#REF!</v>
      </c>
      <c r="D255" s="679" t="e">
        <f>ROUND('Balance N-1'!#REF!,2)</f>
        <v>#REF!</v>
      </c>
      <c r="E255" s="679">
        <f>ROUND('Balance N-1'!C255,2)</f>
        <v>0</v>
      </c>
      <c r="F255" s="679">
        <f>ROUND('Balance N-1'!D255,2)</f>
        <v>0</v>
      </c>
      <c r="G255" s="679">
        <f>ROUND('Balance N-1'!E255,2)</f>
        <v>0</v>
      </c>
      <c r="H255" s="679">
        <f>ROUND('Balance N-1'!F255,2)</f>
        <v>0</v>
      </c>
      <c r="I255" s="2" t="str">
        <f t="shared" si="6"/>
        <v>0</v>
      </c>
    </row>
    <row r="256" spans="1:9" x14ac:dyDescent="0.2">
      <c r="A256" s="910" t="str">
        <f>FIXED('Balance N-1'!A256,0,1)</f>
        <v>0</v>
      </c>
      <c r="B256" s="572">
        <f>+'Balance N-1'!B256</f>
        <v>0</v>
      </c>
      <c r="C256" s="679" t="e">
        <f>ROUND('Balance N-1'!#REF!,2)</f>
        <v>#REF!</v>
      </c>
      <c r="D256" s="679" t="e">
        <f>ROUND('Balance N-1'!#REF!,2)</f>
        <v>#REF!</v>
      </c>
      <c r="E256" s="679">
        <f>ROUND('Balance N-1'!C256,2)</f>
        <v>0</v>
      </c>
      <c r="F256" s="679">
        <f>ROUND('Balance N-1'!D256,2)</f>
        <v>0</v>
      </c>
      <c r="G256" s="679">
        <f>ROUND('Balance N-1'!E256,2)</f>
        <v>0</v>
      </c>
      <c r="H256" s="679">
        <f>ROUND('Balance N-1'!F256,2)</f>
        <v>0</v>
      </c>
      <c r="I256" s="2" t="str">
        <f t="shared" si="6"/>
        <v>0</v>
      </c>
    </row>
    <row r="257" spans="1:9" x14ac:dyDescent="0.2">
      <c r="A257" s="910" t="str">
        <f>FIXED('Balance N-1'!A257,0,1)</f>
        <v>0</v>
      </c>
      <c r="B257" s="572">
        <f>+'Balance N-1'!B257</f>
        <v>0</v>
      </c>
      <c r="C257" s="679" t="e">
        <f>ROUND('Balance N-1'!#REF!,2)</f>
        <v>#REF!</v>
      </c>
      <c r="D257" s="679" t="e">
        <f>ROUND('Balance N-1'!#REF!,2)</f>
        <v>#REF!</v>
      </c>
      <c r="E257" s="679">
        <f>ROUND('Balance N-1'!C257,2)</f>
        <v>0</v>
      </c>
      <c r="F257" s="679">
        <f>ROUND('Balance N-1'!D257,2)</f>
        <v>0</v>
      </c>
      <c r="G257" s="679">
        <f>ROUND('Balance N-1'!E257,2)</f>
        <v>0</v>
      </c>
      <c r="H257" s="679">
        <f>ROUND('Balance N-1'!F257,2)</f>
        <v>0</v>
      </c>
      <c r="I257" s="2" t="str">
        <f t="shared" si="6"/>
        <v>0</v>
      </c>
    </row>
    <row r="258" spans="1:9" x14ac:dyDescent="0.2">
      <c r="A258" s="910" t="str">
        <f>FIXED('Balance N-1'!A258,0,1)</f>
        <v>0</v>
      </c>
      <c r="B258" s="572">
        <f>+'Balance N-1'!B258</f>
        <v>0</v>
      </c>
      <c r="C258" s="679" t="e">
        <f>ROUND('Balance N-1'!#REF!,2)</f>
        <v>#REF!</v>
      </c>
      <c r="D258" s="679" t="e">
        <f>ROUND('Balance N-1'!#REF!,2)</f>
        <v>#REF!</v>
      </c>
      <c r="E258" s="679">
        <f>ROUND('Balance N-1'!C258,2)</f>
        <v>0</v>
      </c>
      <c r="F258" s="679">
        <f>ROUND('Balance N-1'!D258,2)</f>
        <v>0</v>
      </c>
      <c r="G258" s="679">
        <f>ROUND('Balance N-1'!E258,2)</f>
        <v>0</v>
      </c>
      <c r="H258" s="679">
        <f>ROUND('Balance N-1'!F258,2)</f>
        <v>0</v>
      </c>
      <c r="I258" s="2" t="str">
        <f t="shared" si="6"/>
        <v>0</v>
      </c>
    </row>
    <row r="259" spans="1:9" x14ac:dyDescent="0.2">
      <c r="A259" s="910" t="str">
        <f>FIXED('Balance N-1'!A259,0,1)</f>
        <v>0</v>
      </c>
      <c r="B259" s="572">
        <f>+'Balance N-1'!B259</f>
        <v>0</v>
      </c>
      <c r="C259" s="679" t="e">
        <f>ROUND('Balance N-1'!#REF!,2)</f>
        <v>#REF!</v>
      </c>
      <c r="D259" s="679" t="e">
        <f>ROUND('Balance N-1'!#REF!,2)</f>
        <v>#REF!</v>
      </c>
      <c r="E259" s="679">
        <f>ROUND('Balance N-1'!C259,2)</f>
        <v>0</v>
      </c>
      <c r="F259" s="679">
        <f>ROUND('Balance N-1'!D259,2)</f>
        <v>0</v>
      </c>
      <c r="G259" s="679">
        <f>ROUND('Balance N-1'!E259,2)</f>
        <v>0</v>
      </c>
      <c r="H259" s="679">
        <f>ROUND('Balance N-1'!F259,2)</f>
        <v>0</v>
      </c>
      <c r="I259" s="2" t="str">
        <f t="shared" ref="I259:I322" si="7">MID(A259,1,1)</f>
        <v>0</v>
      </c>
    </row>
    <row r="260" spans="1:9" x14ac:dyDescent="0.2">
      <c r="A260" s="910" t="str">
        <f>FIXED('Balance N-1'!A260,0,1)</f>
        <v>0</v>
      </c>
      <c r="B260" s="572">
        <f>+'Balance N-1'!B260</f>
        <v>0</v>
      </c>
      <c r="C260" s="679" t="e">
        <f>ROUND('Balance N-1'!#REF!,2)</f>
        <v>#REF!</v>
      </c>
      <c r="D260" s="679" t="e">
        <f>ROUND('Balance N-1'!#REF!,2)</f>
        <v>#REF!</v>
      </c>
      <c r="E260" s="679">
        <f>ROUND('Balance N-1'!C260,2)</f>
        <v>0</v>
      </c>
      <c r="F260" s="679">
        <f>ROUND('Balance N-1'!D260,2)</f>
        <v>0</v>
      </c>
      <c r="G260" s="679">
        <f>ROUND('Balance N-1'!E260,2)</f>
        <v>0</v>
      </c>
      <c r="H260" s="679">
        <f>ROUND('Balance N-1'!F260,2)</f>
        <v>0</v>
      </c>
      <c r="I260" s="2" t="str">
        <f t="shared" si="7"/>
        <v>0</v>
      </c>
    </row>
    <row r="261" spans="1:9" x14ac:dyDescent="0.2">
      <c r="A261" s="910" t="str">
        <f>FIXED('Balance N-1'!A261,0,1)</f>
        <v>0</v>
      </c>
      <c r="B261" s="572">
        <f>+'Balance N-1'!B261</f>
        <v>0</v>
      </c>
      <c r="C261" s="679" t="e">
        <f>ROUND('Balance N-1'!#REF!,2)</f>
        <v>#REF!</v>
      </c>
      <c r="D261" s="679" t="e">
        <f>ROUND('Balance N-1'!#REF!,2)</f>
        <v>#REF!</v>
      </c>
      <c r="E261" s="679">
        <f>ROUND('Balance N-1'!C261,2)</f>
        <v>0</v>
      </c>
      <c r="F261" s="679">
        <f>ROUND('Balance N-1'!D261,2)</f>
        <v>0</v>
      </c>
      <c r="G261" s="679">
        <f>ROUND('Balance N-1'!E261,2)</f>
        <v>0</v>
      </c>
      <c r="H261" s="679">
        <f>ROUND('Balance N-1'!F261,2)</f>
        <v>0</v>
      </c>
      <c r="I261" s="2" t="str">
        <f t="shared" si="7"/>
        <v>0</v>
      </c>
    </row>
    <row r="262" spans="1:9" x14ac:dyDescent="0.2">
      <c r="A262" s="910" t="str">
        <f>FIXED('Balance N-1'!A262,0,1)</f>
        <v>0</v>
      </c>
      <c r="B262" s="572">
        <f>+'Balance N-1'!B262</f>
        <v>0</v>
      </c>
      <c r="C262" s="679" t="e">
        <f>ROUND('Balance N-1'!#REF!,2)</f>
        <v>#REF!</v>
      </c>
      <c r="D262" s="679" t="e">
        <f>ROUND('Balance N-1'!#REF!,2)</f>
        <v>#REF!</v>
      </c>
      <c r="E262" s="679">
        <f>ROUND('Balance N-1'!C262,2)</f>
        <v>0</v>
      </c>
      <c r="F262" s="679">
        <f>ROUND('Balance N-1'!D262,2)</f>
        <v>0</v>
      </c>
      <c r="G262" s="679">
        <f>ROUND('Balance N-1'!E262,2)</f>
        <v>0</v>
      </c>
      <c r="H262" s="679">
        <f>ROUND('Balance N-1'!F262,2)</f>
        <v>0</v>
      </c>
      <c r="I262" s="2" t="str">
        <f t="shared" si="7"/>
        <v>0</v>
      </c>
    </row>
    <row r="263" spans="1:9" x14ac:dyDescent="0.2">
      <c r="A263" s="910" t="str">
        <f>FIXED('Balance N-1'!A263,0,1)</f>
        <v>0</v>
      </c>
      <c r="B263" s="572">
        <f>+'Balance N-1'!B263</f>
        <v>0</v>
      </c>
      <c r="C263" s="679" t="e">
        <f>ROUND('Balance N-1'!#REF!,2)</f>
        <v>#REF!</v>
      </c>
      <c r="D263" s="679" t="e">
        <f>ROUND('Balance N-1'!#REF!,2)</f>
        <v>#REF!</v>
      </c>
      <c r="E263" s="679">
        <f>ROUND('Balance N-1'!C263,2)</f>
        <v>0</v>
      </c>
      <c r="F263" s="679">
        <f>ROUND('Balance N-1'!D263,2)</f>
        <v>0</v>
      </c>
      <c r="G263" s="679">
        <f>ROUND('Balance N-1'!E263,2)</f>
        <v>0</v>
      </c>
      <c r="H263" s="679">
        <f>ROUND('Balance N-1'!F263,2)</f>
        <v>0</v>
      </c>
      <c r="I263" s="2" t="str">
        <f t="shared" si="7"/>
        <v>0</v>
      </c>
    </row>
    <row r="264" spans="1:9" x14ac:dyDescent="0.2">
      <c r="A264" s="910" t="str">
        <f>FIXED('Balance N-1'!A264,0,1)</f>
        <v>0</v>
      </c>
      <c r="B264" s="572">
        <f>+'Balance N-1'!B264</f>
        <v>0</v>
      </c>
      <c r="C264" s="679" t="e">
        <f>ROUND('Balance N-1'!#REF!,2)</f>
        <v>#REF!</v>
      </c>
      <c r="D264" s="679" t="e">
        <f>ROUND('Balance N-1'!#REF!,2)</f>
        <v>#REF!</v>
      </c>
      <c r="E264" s="679">
        <f>ROUND('Balance N-1'!C264,2)</f>
        <v>0</v>
      </c>
      <c r="F264" s="679">
        <f>ROUND('Balance N-1'!D264,2)</f>
        <v>0</v>
      </c>
      <c r="G264" s="679">
        <f>ROUND('Balance N-1'!E264,2)</f>
        <v>0</v>
      </c>
      <c r="H264" s="679">
        <f>ROUND('Balance N-1'!F264,2)</f>
        <v>0</v>
      </c>
      <c r="I264" s="2" t="str">
        <f t="shared" si="7"/>
        <v>0</v>
      </c>
    </row>
    <row r="265" spans="1:9" x14ac:dyDescent="0.2">
      <c r="A265" s="910" t="str">
        <f>FIXED('Balance N-1'!A265,0,1)</f>
        <v>0</v>
      </c>
      <c r="B265" s="572">
        <f>+'Balance N-1'!B265</f>
        <v>0</v>
      </c>
      <c r="C265" s="679" t="e">
        <f>ROUND('Balance N-1'!#REF!,2)</f>
        <v>#REF!</v>
      </c>
      <c r="D265" s="679" t="e">
        <f>ROUND('Balance N-1'!#REF!,2)</f>
        <v>#REF!</v>
      </c>
      <c r="E265" s="679">
        <f>ROUND('Balance N-1'!C265,2)</f>
        <v>0</v>
      </c>
      <c r="F265" s="679">
        <f>ROUND('Balance N-1'!D265,2)</f>
        <v>0</v>
      </c>
      <c r="G265" s="679">
        <f>ROUND('Balance N-1'!E265,2)</f>
        <v>0</v>
      </c>
      <c r="H265" s="679">
        <f>ROUND('Balance N-1'!F265,2)</f>
        <v>0</v>
      </c>
      <c r="I265" s="2" t="str">
        <f t="shared" si="7"/>
        <v>0</v>
      </c>
    </row>
    <row r="266" spans="1:9" x14ac:dyDescent="0.2">
      <c r="A266" s="910" t="str">
        <f>FIXED('Balance N-1'!A266,0,1)</f>
        <v>0</v>
      </c>
      <c r="B266" s="572">
        <f>+'Balance N-1'!B266</f>
        <v>0</v>
      </c>
      <c r="C266" s="679" t="e">
        <f>ROUND('Balance N-1'!#REF!,2)</f>
        <v>#REF!</v>
      </c>
      <c r="D266" s="679" t="e">
        <f>ROUND('Balance N-1'!#REF!,2)</f>
        <v>#REF!</v>
      </c>
      <c r="E266" s="679">
        <f>ROUND('Balance N-1'!C266,2)</f>
        <v>0</v>
      </c>
      <c r="F266" s="679">
        <f>ROUND('Balance N-1'!D266,2)</f>
        <v>0</v>
      </c>
      <c r="G266" s="679">
        <f>ROUND('Balance N-1'!E266,2)</f>
        <v>0</v>
      </c>
      <c r="H266" s="679">
        <f>ROUND('Balance N-1'!F266,2)</f>
        <v>0</v>
      </c>
      <c r="I266" s="2" t="str">
        <f t="shared" si="7"/>
        <v>0</v>
      </c>
    </row>
    <row r="267" spans="1:9" x14ac:dyDescent="0.2">
      <c r="A267" s="910" t="str">
        <f>FIXED('Balance N-1'!A267,0,1)</f>
        <v>0</v>
      </c>
      <c r="B267" s="572">
        <f>+'Balance N-1'!B267</f>
        <v>0</v>
      </c>
      <c r="C267" s="679" t="e">
        <f>ROUND('Balance N-1'!#REF!,2)</f>
        <v>#REF!</v>
      </c>
      <c r="D267" s="679" t="e">
        <f>ROUND('Balance N-1'!#REF!,2)</f>
        <v>#REF!</v>
      </c>
      <c r="E267" s="679">
        <f>ROUND('Balance N-1'!C267,2)</f>
        <v>0</v>
      </c>
      <c r="F267" s="679">
        <f>ROUND('Balance N-1'!D267,2)</f>
        <v>0</v>
      </c>
      <c r="G267" s="679">
        <f>ROUND('Balance N-1'!E267,2)</f>
        <v>0</v>
      </c>
      <c r="H267" s="679">
        <f>ROUND('Balance N-1'!F267,2)</f>
        <v>0</v>
      </c>
      <c r="I267" s="2" t="str">
        <f t="shared" si="7"/>
        <v>0</v>
      </c>
    </row>
    <row r="268" spans="1:9" x14ac:dyDescent="0.2">
      <c r="A268" s="910" t="str">
        <f>FIXED('Balance N-1'!A268,0,1)</f>
        <v>0</v>
      </c>
      <c r="B268" s="572">
        <f>+'Balance N-1'!B268</f>
        <v>0</v>
      </c>
      <c r="C268" s="679" t="e">
        <f>ROUND('Balance N-1'!#REF!,2)</f>
        <v>#REF!</v>
      </c>
      <c r="D268" s="679" t="e">
        <f>ROUND('Balance N-1'!#REF!,2)</f>
        <v>#REF!</v>
      </c>
      <c r="E268" s="679">
        <f>ROUND('Balance N-1'!C268,2)</f>
        <v>0</v>
      </c>
      <c r="F268" s="679">
        <f>ROUND('Balance N-1'!D268,2)</f>
        <v>0</v>
      </c>
      <c r="G268" s="679">
        <f>ROUND('Balance N-1'!E268,2)</f>
        <v>0</v>
      </c>
      <c r="H268" s="679">
        <f>ROUND('Balance N-1'!F268,2)</f>
        <v>0</v>
      </c>
      <c r="I268" s="2" t="str">
        <f t="shared" si="7"/>
        <v>0</v>
      </c>
    </row>
    <row r="269" spans="1:9" x14ac:dyDescent="0.2">
      <c r="A269" s="910" t="str">
        <f>FIXED('Balance N-1'!A269,0,1)</f>
        <v>0</v>
      </c>
      <c r="B269" s="572">
        <f>+'Balance N-1'!B269</f>
        <v>0</v>
      </c>
      <c r="C269" s="679" t="e">
        <f>ROUND('Balance N-1'!#REF!,2)</f>
        <v>#REF!</v>
      </c>
      <c r="D269" s="679" t="e">
        <f>ROUND('Balance N-1'!#REF!,2)</f>
        <v>#REF!</v>
      </c>
      <c r="E269" s="679">
        <f>ROUND('Balance N-1'!C269,2)</f>
        <v>0</v>
      </c>
      <c r="F269" s="679">
        <f>ROUND('Balance N-1'!D269,2)</f>
        <v>0</v>
      </c>
      <c r="G269" s="679">
        <f>ROUND('Balance N-1'!E269,2)</f>
        <v>0</v>
      </c>
      <c r="H269" s="679">
        <f>ROUND('Balance N-1'!F269,2)</f>
        <v>0</v>
      </c>
      <c r="I269" s="2" t="str">
        <f t="shared" si="7"/>
        <v>0</v>
      </c>
    </row>
    <row r="270" spans="1:9" x14ac:dyDescent="0.2">
      <c r="A270" s="910" t="str">
        <f>FIXED('Balance N-1'!A270,0,1)</f>
        <v>0</v>
      </c>
      <c r="B270" s="572">
        <f>+'Balance N-1'!B270</f>
        <v>0</v>
      </c>
      <c r="C270" s="679" t="e">
        <f>ROUND('Balance N-1'!#REF!,2)</f>
        <v>#REF!</v>
      </c>
      <c r="D270" s="679" t="e">
        <f>ROUND('Balance N-1'!#REF!,2)</f>
        <v>#REF!</v>
      </c>
      <c r="E270" s="679">
        <f>ROUND('Balance N-1'!C270,2)</f>
        <v>0</v>
      </c>
      <c r="F270" s="679">
        <f>ROUND('Balance N-1'!D270,2)</f>
        <v>0</v>
      </c>
      <c r="G270" s="679">
        <f>ROUND('Balance N-1'!E270,2)</f>
        <v>0</v>
      </c>
      <c r="H270" s="679">
        <f>ROUND('Balance N-1'!F270,2)</f>
        <v>0</v>
      </c>
      <c r="I270" s="2" t="str">
        <f t="shared" si="7"/>
        <v>0</v>
      </c>
    </row>
    <row r="271" spans="1:9" x14ac:dyDescent="0.2">
      <c r="A271" s="910" t="str">
        <f>FIXED('Balance N-1'!A271,0,1)</f>
        <v>0</v>
      </c>
      <c r="B271" s="572">
        <f>+'Balance N-1'!B271</f>
        <v>0</v>
      </c>
      <c r="C271" s="679" t="e">
        <f>ROUND('Balance N-1'!#REF!,2)</f>
        <v>#REF!</v>
      </c>
      <c r="D271" s="679" t="e">
        <f>ROUND('Balance N-1'!#REF!,2)</f>
        <v>#REF!</v>
      </c>
      <c r="E271" s="679">
        <f>ROUND('Balance N-1'!C271,2)</f>
        <v>0</v>
      </c>
      <c r="F271" s="679">
        <f>ROUND('Balance N-1'!D271,2)</f>
        <v>0</v>
      </c>
      <c r="G271" s="679">
        <f>ROUND('Balance N-1'!E271,2)</f>
        <v>0</v>
      </c>
      <c r="H271" s="679">
        <f>ROUND('Balance N-1'!F271,2)</f>
        <v>0</v>
      </c>
      <c r="I271" s="2" t="str">
        <f t="shared" si="7"/>
        <v>0</v>
      </c>
    </row>
    <row r="272" spans="1:9" x14ac:dyDescent="0.2">
      <c r="A272" s="910" t="str">
        <f>FIXED('Balance N-1'!A272,0,1)</f>
        <v>0</v>
      </c>
      <c r="B272" s="572">
        <f>+'Balance N-1'!B272</f>
        <v>0</v>
      </c>
      <c r="C272" s="679" t="e">
        <f>ROUND('Balance N-1'!#REF!,2)</f>
        <v>#REF!</v>
      </c>
      <c r="D272" s="679" t="e">
        <f>ROUND('Balance N-1'!#REF!,2)</f>
        <v>#REF!</v>
      </c>
      <c r="E272" s="679">
        <f>ROUND('Balance N-1'!C272,2)</f>
        <v>0</v>
      </c>
      <c r="F272" s="679">
        <f>ROUND('Balance N-1'!D272,2)</f>
        <v>0</v>
      </c>
      <c r="G272" s="679">
        <f>ROUND('Balance N-1'!E272,2)</f>
        <v>0</v>
      </c>
      <c r="H272" s="679">
        <f>ROUND('Balance N-1'!F272,2)</f>
        <v>0</v>
      </c>
      <c r="I272" s="2" t="str">
        <f t="shared" si="7"/>
        <v>0</v>
      </c>
    </row>
    <row r="273" spans="1:9" x14ac:dyDescent="0.2">
      <c r="A273" s="910" t="str">
        <f>FIXED('Balance N-1'!A273,0,1)</f>
        <v>0</v>
      </c>
      <c r="B273" s="572">
        <f>+'Balance N-1'!B273</f>
        <v>0</v>
      </c>
      <c r="C273" s="679" t="e">
        <f>ROUND('Balance N-1'!#REF!,2)</f>
        <v>#REF!</v>
      </c>
      <c r="D273" s="679" t="e">
        <f>ROUND('Balance N-1'!#REF!,2)</f>
        <v>#REF!</v>
      </c>
      <c r="E273" s="679">
        <f>ROUND('Balance N-1'!C273,2)</f>
        <v>0</v>
      </c>
      <c r="F273" s="679">
        <f>ROUND('Balance N-1'!D273,2)</f>
        <v>0</v>
      </c>
      <c r="G273" s="679">
        <f>ROUND('Balance N-1'!E273,2)</f>
        <v>0</v>
      </c>
      <c r="H273" s="679">
        <f>ROUND('Balance N-1'!F273,2)</f>
        <v>0</v>
      </c>
      <c r="I273" s="2" t="str">
        <f t="shared" si="7"/>
        <v>0</v>
      </c>
    </row>
    <row r="274" spans="1:9" x14ac:dyDescent="0.2">
      <c r="A274" s="910" t="str">
        <f>FIXED('Balance N-1'!A274,0,1)</f>
        <v>0</v>
      </c>
      <c r="B274" s="572">
        <f>+'Balance N-1'!B274</f>
        <v>0</v>
      </c>
      <c r="C274" s="679" t="e">
        <f>ROUND('Balance N-1'!#REF!,2)</f>
        <v>#REF!</v>
      </c>
      <c r="D274" s="679" t="e">
        <f>ROUND('Balance N-1'!#REF!,2)</f>
        <v>#REF!</v>
      </c>
      <c r="E274" s="679">
        <f>ROUND('Balance N-1'!C274,2)</f>
        <v>0</v>
      </c>
      <c r="F274" s="679">
        <f>ROUND('Balance N-1'!D274,2)</f>
        <v>0</v>
      </c>
      <c r="G274" s="679">
        <f>ROUND('Balance N-1'!E274,2)</f>
        <v>0</v>
      </c>
      <c r="H274" s="679">
        <f>ROUND('Balance N-1'!F274,2)</f>
        <v>0</v>
      </c>
      <c r="I274" s="2" t="str">
        <f t="shared" si="7"/>
        <v>0</v>
      </c>
    </row>
    <row r="275" spans="1:9" x14ac:dyDescent="0.2">
      <c r="A275" s="910" t="str">
        <f>FIXED('Balance N-1'!A275,0,1)</f>
        <v>0</v>
      </c>
      <c r="B275" s="572">
        <f>+'Balance N-1'!B275</f>
        <v>0</v>
      </c>
      <c r="C275" s="679" t="e">
        <f>ROUND('Balance N-1'!#REF!,2)</f>
        <v>#REF!</v>
      </c>
      <c r="D275" s="679" t="e">
        <f>ROUND('Balance N-1'!#REF!,2)</f>
        <v>#REF!</v>
      </c>
      <c r="E275" s="679">
        <f>ROUND('Balance N-1'!C275,2)</f>
        <v>0</v>
      </c>
      <c r="F275" s="679">
        <f>ROUND('Balance N-1'!D275,2)</f>
        <v>0</v>
      </c>
      <c r="G275" s="679">
        <f>ROUND('Balance N-1'!E275,2)</f>
        <v>0</v>
      </c>
      <c r="H275" s="679">
        <f>ROUND('Balance N-1'!F275,2)</f>
        <v>0</v>
      </c>
      <c r="I275" s="2" t="str">
        <f t="shared" si="7"/>
        <v>0</v>
      </c>
    </row>
    <row r="276" spans="1:9" x14ac:dyDescent="0.2">
      <c r="A276" s="910" t="str">
        <f>FIXED('Balance N-1'!A276,0,1)</f>
        <v>0</v>
      </c>
      <c r="B276" s="572">
        <f>+'Balance N-1'!B276</f>
        <v>0</v>
      </c>
      <c r="C276" s="679" t="e">
        <f>ROUND('Balance N-1'!#REF!,2)</f>
        <v>#REF!</v>
      </c>
      <c r="D276" s="679" t="e">
        <f>ROUND('Balance N-1'!#REF!,2)</f>
        <v>#REF!</v>
      </c>
      <c r="E276" s="679">
        <f>ROUND('Balance N-1'!C276,2)</f>
        <v>0</v>
      </c>
      <c r="F276" s="679">
        <f>ROUND('Balance N-1'!D276,2)</f>
        <v>0</v>
      </c>
      <c r="G276" s="679">
        <f>ROUND('Balance N-1'!E276,2)</f>
        <v>0</v>
      </c>
      <c r="H276" s="679">
        <f>ROUND('Balance N-1'!F276,2)</f>
        <v>0</v>
      </c>
      <c r="I276" s="2" t="str">
        <f t="shared" si="7"/>
        <v>0</v>
      </c>
    </row>
    <row r="277" spans="1:9" x14ac:dyDescent="0.2">
      <c r="A277" s="910" t="str">
        <f>FIXED('Balance N-1'!A277,0,1)</f>
        <v>0</v>
      </c>
      <c r="B277" s="572">
        <f>+'Balance N-1'!B277</f>
        <v>0</v>
      </c>
      <c r="C277" s="679" t="e">
        <f>ROUND('Balance N-1'!#REF!,2)</f>
        <v>#REF!</v>
      </c>
      <c r="D277" s="679" t="e">
        <f>ROUND('Balance N-1'!#REF!,2)</f>
        <v>#REF!</v>
      </c>
      <c r="E277" s="679">
        <f>ROUND('Balance N-1'!C277,2)</f>
        <v>0</v>
      </c>
      <c r="F277" s="679">
        <f>ROUND('Balance N-1'!D277,2)</f>
        <v>0</v>
      </c>
      <c r="G277" s="679">
        <f>ROUND('Balance N-1'!E277,2)</f>
        <v>0</v>
      </c>
      <c r="H277" s="679">
        <f>ROUND('Balance N-1'!F277,2)</f>
        <v>0</v>
      </c>
      <c r="I277" s="2" t="str">
        <f t="shared" si="7"/>
        <v>0</v>
      </c>
    </row>
    <row r="278" spans="1:9" x14ac:dyDescent="0.2">
      <c r="A278" s="910" t="str">
        <f>FIXED('Balance N-1'!A278,0,1)</f>
        <v>0</v>
      </c>
      <c r="B278" s="572">
        <f>+'Balance N-1'!B278</f>
        <v>0</v>
      </c>
      <c r="C278" s="679" t="e">
        <f>ROUND('Balance N-1'!#REF!,2)</f>
        <v>#REF!</v>
      </c>
      <c r="D278" s="679" t="e">
        <f>ROUND('Balance N-1'!#REF!,2)</f>
        <v>#REF!</v>
      </c>
      <c r="E278" s="679">
        <f>ROUND('Balance N-1'!C278,2)</f>
        <v>0</v>
      </c>
      <c r="F278" s="679">
        <f>ROUND('Balance N-1'!D278,2)</f>
        <v>0</v>
      </c>
      <c r="G278" s="679">
        <f>ROUND('Balance N-1'!E278,2)</f>
        <v>0</v>
      </c>
      <c r="H278" s="679">
        <f>ROUND('Balance N-1'!F278,2)</f>
        <v>0</v>
      </c>
      <c r="I278" s="2" t="str">
        <f t="shared" si="7"/>
        <v>0</v>
      </c>
    </row>
    <row r="279" spans="1:9" x14ac:dyDescent="0.2">
      <c r="A279" s="910" t="str">
        <f>FIXED('Balance N-1'!A279,0,1)</f>
        <v>0</v>
      </c>
      <c r="B279" s="572">
        <f>+'Balance N-1'!B279</f>
        <v>0</v>
      </c>
      <c r="C279" s="679" t="e">
        <f>ROUND('Balance N-1'!#REF!,2)</f>
        <v>#REF!</v>
      </c>
      <c r="D279" s="679" t="e">
        <f>ROUND('Balance N-1'!#REF!,2)</f>
        <v>#REF!</v>
      </c>
      <c r="E279" s="679">
        <f>ROUND('Balance N-1'!C279,2)</f>
        <v>0</v>
      </c>
      <c r="F279" s="679">
        <f>ROUND('Balance N-1'!D279,2)</f>
        <v>0</v>
      </c>
      <c r="G279" s="679">
        <f>ROUND('Balance N-1'!E279,2)</f>
        <v>0</v>
      </c>
      <c r="H279" s="679">
        <f>ROUND('Balance N-1'!F279,2)</f>
        <v>0</v>
      </c>
      <c r="I279" s="2" t="str">
        <f t="shared" si="7"/>
        <v>0</v>
      </c>
    </row>
    <row r="280" spans="1:9" x14ac:dyDescent="0.2">
      <c r="A280" s="910" t="str">
        <f>FIXED('Balance N-1'!A280,0,1)</f>
        <v>0</v>
      </c>
      <c r="B280" s="572">
        <f>+'Balance N-1'!B280</f>
        <v>0</v>
      </c>
      <c r="C280" s="679" t="e">
        <f>ROUND('Balance N-1'!#REF!,2)</f>
        <v>#REF!</v>
      </c>
      <c r="D280" s="679" t="e">
        <f>ROUND('Balance N-1'!#REF!,2)</f>
        <v>#REF!</v>
      </c>
      <c r="E280" s="679">
        <f>ROUND('Balance N-1'!C280,2)</f>
        <v>0</v>
      </c>
      <c r="F280" s="679">
        <f>ROUND('Balance N-1'!D280,2)</f>
        <v>0</v>
      </c>
      <c r="G280" s="679">
        <f>ROUND('Balance N-1'!E280,2)</f>
        <v>0</v>
      </c>
      <c r="H280" s="679">
        <f>ROUND('Balance N-1'!F280,2)</f>
        <v>0</v>
      </c>
      <c r="I280" s="2" t="str">
        <f t="shared" si="7"/>
        <v>0</v>
      </c>
    </row>
    <row r="281" spans="1:9" x14ac:dyDescent="0.2">
      <c r="A281" s="910" t="str">
        <f>FIXED('Balance N-1'!A281,0,1)</f>
        <v>0</v>
      </c>
      <c r="B281" s="572">
        <f>+'Balance N-1'!B281</f>
        <v>0</v>
      </c>
      <c r="C281" s="679" t="e">
        <f>ROUND('Balance N-1'!#REF!,2)</f>
        <v>#REF!</v>
      </c>
      <c r="D281" s="679" t="e">
        <f>ROUND('Balance N-1'!#REF!,2)</f>
        <v>#REF!</v>
      </c>
      <c r="E281" s="679">
        <f>ROUND('Balance N-1'!C281,2)</f>
        <v>0</v>
      </c>
      <c r="F281" s="679">
        <f>ROUND('Balance N-1'!D281,2)</f>
        <v>0</v>
      </c>
      <c r="G281" s="679">
        <f>ROUND('Balance N-1'!E281,2)</f>
        <v>0</v>
      </c>
      <c r="H281" s="679">
        <f>ROUND('Balance N-1'!F281,2)</f>
        <v>0</v>
      </c>
      <c r="I281" s="2" t="str">
        <f t="shared" si="7"/>
        <v>0</v>
      </c>
    </row>
    <row r="282" spans="1:9" x14ac:dyDescent="0.2">
      <c r="A282" s="910" t="str">
        <f>FIXED('Balance N-1'!A282,0,1)</f>
        <v>0</v>
      </c>
      <c r="B282" s="572">
        <f>+'Balance N-1'!B282</f>
        <v>0</v>
      </c>
      <c r="C282" s="679" t="e">
        <f>ROUND('Balance N-1'!#REF!,2)</f>
        <v>#REF!</v>
      </c>
      <c r="D282" s="679" t="e">
        <f>ROUND('Balance N-1'!#REF!,2)</f>
        <v>#REF!</v>
      </c>
      <c r="E282" s="679">
        <f>ROUND('Balance N-1'!C282,2)</f>
        <v>0</v>
      </c>
      <c r="F282" s="679">
        <f>ROUND('Balance N-1'!D282,2)</f>
        <v>0</v>
      </c>
      <c r="G282" s="679">
        <f>ROUND('Balance N-1'!E282,2)</f>
        <v>0</v>
      </c>
      <c r="H282" s="679">
        <f>ROUND('Balance N-1'!F282,2)</f>
        <v>0</v>
      </c>
      <c r="I282" s="2" t="str">
        <f t="shared" si="7"/>
        <v>0</v>
      </c>
    </row>
    <row r="283" spans="1:9" x14ac:dyDescent="0.2">
      <c r="A283" s="910" t="str">
        <f>FIXED('Balance N-1'!A283,0,1)</f>
        <v>0</v>
      </c>
      <c r="B283" s="572">
        <f>+'Balance N-1'!B283</f>
        <v>0</v>
      </c>
      <c r="C283" s="679" t="e">
        <f>ROUND('Balance N-1'!#REF!,2)</f>
        <v>#REF!</v>
      </c>
      <c r="D283" s="679" t="e">
        <f>ROUND('Balance N-1'!#REF!,2)</f>
        <v>#REF!</v>
      </c>
      <c r="E283" s="679">
        <f>ROUND('Balance N-1'!C283,2)</f>
        <v>0</v>
      </c>
      <c r="F283" s="679">
        <f>ROUND('Balance N-1'!D283,2)</f>
        <v>0</v>
      </c>
      <c r="G283" s="679">
        <f>ROUND('Balance N-1'!E283,2)</f>
        <v>0</v>
      </c>
      <c r="H283" s="679">
        <f>ROUND('Balance N-1'!F283,2)</f>
        <v>0</v>
      </c>
      <c r="I283" s="2" t="str">
        <f t="shared" si="7"/>
        <v>0</v>
      </c>
    </row>
    <row r="284" spans="1:9" x14ac:dyDescent="0.2">
      <c r="A284" s="910" t="str">
        <f>FIXED('Balance N-1'!A284,0,1)</f>
        <v>0</v>
      </c>
      <c r="B284" s="572">
        <f>+'Balance N-1'!B284</f>
        <v>0</v>
      </c>
      <c r="C284" s="679" t="e">
        <f>ROUND('Balance N-1'!#REF!,2)</f>
        <v>#REF!</v>
      </c>
      <c r="D284" s="679" t="e">
        <f>ROUND('Balance N-1'!#REF!,2)</f>
        <v>#REF!</v>
      </c>
      <c r="E284" s="679">
        <f>ROUND('Balance N-1'!C284,2)</f>
        <v>0</v>
      </c>
      <c r="F284" s="679">
        <f>ROUND('Balance N-1'!D284,2)</f>
        <v>0</v>
      </c>
      <c r="G284" s="679">
        <f>ROUND('Balance N-1'!E284,2)</f>
        <v>0</v>
      </c>
      <c r="H284" s="679">
        <f>ROUND('Balance N-1'!F284,2)</f>
        <v>0</v>
      </c>
      <c r="I284" s="2" t="str">
        <f t="shared" si="7"/>
        <v>0</v>
      </c>
    </row>
    <row r="285" spans="1:9" x14ac:dyDescent="0.2">
      <c r="A285" s="910" t="str">
        <f>FIXED('Balance N-1'!A285,0,1)</f>
        <v>0</v>
      </c>
      <c r="B285" s="572">
        <f>+'Balance N-1'!B285</f>
        <v>0</v>
      </c>
      <c r="C285" s="679" t="e">
        <f>ROUND('Balance N-1'!#REF!,2)</f>
        <v>#REF!</v>
      </c>
      <c r="D285" s="679" t="e">
        <f>ROUND('Balance N-1'!#REF!,2)</f>
        <v>#REF!</v>
      </c>
      <c r="E285" s="679">
        <f>ROUND('Balance N-1'!C285,2)</f>
        <v>0</v>
      </c>
      <c r="F285" s="679">
        <f>ROUND('Balance N-1'!D285,2)</f>
        <v>0</v>
      </c>
      <c r="G285" s="679">
        <f>ROUND('Balance N-1'!E285,2)</f>
        <v>0</v>
      </c>
      <c r="H285" s="679">
        <f>ROUND('Balance N-1'!F285,2)</f>
        <v>0</v>
      </c>
      <c r="I285" s="2" t="str">
        <f t="shared" si="7"/>
        <v>0</v>
      </c>
    </row>
    <row r="286" spans="1:9" x14ac:dyDescent="0.2">
      <c r="A286" s="910" t="str">
        <f>FIXED('Balance N-1'!A286,0,1)</f>
        <v>0</v>
      </c>
      <c r="B286" s="572">
        <f>+'Balance N-1'!B286</f>
        <v>0</v>
      </c>
      <c r="C286" s="679" t="e">
        <f>ROUND('Balance N-1'!#REF!,2)</f>
        <v>#REF!</v>
      </c>
      <c r="D286" s="679" t="e">
        <f>ROUND('Balance N-1'!#REF!,2)</f>
        <v>#REF!</v>
      </c>
      <c r="E286" s="679">
        <f>ROUND('Balance N-1'!C286,2)</f>
        <v>0</v>
      </c>
      <c r="F286" s="679">
        <f>ROUND('Balance N-1'!D286,2)</f>
        <v>0</v>
      </c>
      <c r="G286" s="679">
        <f>ROUND('Balance N-1'!E286,2)</f>
        <v>0</v>
      </c>
      <c r="H286" s="679">
        <f>ROUND('Balance N-1'!F286,2)</f>
        <v>0</v>
      </c>
      <c r="I286" s="2" t="str">
        <f t="shared" si="7"/>
        <v>0</v>
      </c>
    </row>
    <row r="287" spans="1:9" x14ac:dyDescent="0.2">
      <c r="A287" s="910" t="str">
        <f>FIXED('Balance N-1'!A287,0,1)</f>
        <v>0</v>
      </c>
      <c r="B287" s="572">
        <f>+'Balance N-1'!B287</f>
        <v>0</v>
      </c>
      <c r="C287" s="679" t="e">
        <f>ROUND('Balance N-1'!#REF!,2)</f>
        <v>#REF!</v>
      </c>
      <c r="D287" s="679" t="e">
        <f>ROUND('Balance N-1'!#REF!,2)</f>
        <v>#REF!</v>
      </c>
      <c r="E287" s="679">
        <f>ROUND('Balance N-1'!C287,2)</f>
        <v>0</v>
      </c>
      <c r="F287" s="679">
        <f>ROUND('Balance N-1'!D287,2)</f>
        <v>0</v>
      </c>
      <c r="G287" s="679">
        <f>ROUND('Balance N-1'!E287,2)</f>
        <v>0</v>
      </c>
      <c r="H287" s="679">
        <f>ROUND('Balance N-1'!F287,2)</f>
        <v>0</v>
      </c>
      <c r="I287" s="2" t="str">
        <f t="shared" si="7"/>
        <v>0</v>
      </c>
    </row>
    <row r="288" spans="1:9" x14ac:dyDescent="0.2">
      <c r="A288" s="910" t="str">
        <f>FIXED('Balance N-1'!A288,0,1)</f>
        <v>0</v>
      </c>
      <c r="B288" s="572">
        <f>+'Balance N-1'!B288</f>
        <v>0</v>
      </c>
      <c r="C288" s="679" t="e">
        <f>ROUND('Balance N-1'!#REF!,2)</f>
        <v>#REF!</v>
      </c>
      <c r="D288" s="679" t="e">
        <f>ROUND('Balance N-1'!#REF!,2)</f>
        <v>#REF!</v>
      </c>
      <c r="E288" s="679">
        <f>ROUND('Balance N-1'!C288,2)</f>
        <v>0</v>
      </c>
      <c r="F288" s="679">
        <f>ROUND('Balance N-1'!D288,2)</f>
        <v>0</v>
      </c>
      <c r="G288" s="679">
        <f>ROUND('Balance N-1'!E288,2)</f>
        <v>0</v>
      </c>
      <c r="H288" s="679">
        <f>ROUND('Balance N-1'!F288,2)</f>
        <v>0</v>
      </c>
      <c r="I288" s="2" t="str">
        <f t="shared" si="7"/>
        <v>0</v>
      </c>
    </row>
    <row r="289" spans="1:9" x14ac:dyDescent="0.2">
      <c r="A289" s="910" t="str">
        <f>FIXED('Balance N-1'!A289,0,1)</f>
        <v>0</v>
      </c>
      <c r="B289" s="572">
        <f>+'Balance N-1'!B289</f>
        <v>0</v>
      </c>
      <c r="C289" s="679" t="e">
        <f>ROUND('Balance N-1'!#REF!,2)</f>
        <v>#REF!</v>
      </c>
      <c r="D289" s="679" t="e">
        <f>ROUND('Balance N-1'!#REF!,2)</f>
        <v>#REF!</v>
      </c>
      <c r="E289" s="679">
        <f>ROUND('Balance N-1'!C289,2)</f>
        <v>0</v>
      </c>
      <c r="F289" s="679">
        <f>ROUND('Balance N-1'!D289,2)</f>
        <v>0</v>
      </c>
      <c r="G289" s="679">
        <f>ROUND('Balance N-1'!E289,2)</f>
        <v>0</v>
      </c>
      <c r="H289" s="679">
        <f>ROUND('Balance N-1'!F289,2)</f>
        <v>0</v>
      </c>
      <c r="I289" s="2" t="str">
        <f t="shared" si="7"/>
        <v>0</v>
      </c>
    </row>
    <row r="290" spans="1:9" x14ac:dyDescent="0.2">
      <c r="A290" s="910" t="str">
        <f>FIXED('Balance N-1'!A290,0,1)</f>
        <v>0</v>
      </c>
      <c r="B290" s="572">
        <f>+'Balance N-1'!B290</f>
        <v>0</v>
      </c>
      <c r="C290" s="679" t="e">
        <f>ROUND('Balance N-1'!#REF!,2)</f>
        <v>#REF!</v>
      </c>
      <c r="D290" s="679" t="e">
        <f>ROUND('Balance N-1'!#REF!,2)</f>
        <v>#REF!</v>
      </c>
      <c r="E290" s="679">
        <f>ROUND('Balance N-1'!C290,2)</f>
        <v>0</v>
      </c>
      <c r="F290" s="679">
        <f>ROUND('Balance N-1'!D290,2)</f>
        <v>0</v>
      </c>
      <c r="G290" s="679">
        <f>ROUND('Balance N-1'!E290,2)</f>
        <v>0</v>
      </c>
      <c r="H290" s="679">
        <f>ROUND('Balance N-1'!F290,2)</f>
        <v>0</v>
      </c>
      <c r="I290" s="2" t="str">
        <f t="shared" si="7"/>
        <v>0</v>
      </c>
    </row>
    <row r="291" spans="1:9" x14ac:dyDescent="0.2">
      <c r="A291" s="910" t="str">
        <f>FIXED('Balance N-1'!A291,0,1)</f>
        <v>0</v>
      </c>
      <c r="B291" s="572">
        <f>+'Balance N-1'!B291</f>
        <v>0</v>
      </c>
      <c r="C291" s="679" t="e">
        <f>ROUND('Balance N-1'!#REF!,2)</f>
        <v>#REF!</v>
      </c>
      <c r="D291" s="679" t="e">
        <f>ROUND('Balance N-1'!#REF!,2)</f>
        <v>#REF!</v>
      </c>
      <c r="E291" s="679">
        <f>ROUND('Balance N-1'!C291,2)</f>
        <v>0</v>
      </c>
      <c r="F291" s="679">
        <f>ROUND('Balance N-1'!D291,2)</f>
        <v>0</v>
      </c>
      <c r="G291" s="679">
        <f>ROUND('Balance N-1'!E291,2)</f>
        <v>0</v>
      </c>
      <c r="H291" s="679">
        <f>ROUND('Balance N-1'!F291,2)</f>
        <v>0</v>
      </c>
      <c r="I291" s="2" t="str">
        <f t="shared" si="7"/>
        <v>0</v>
      </c>
    </row>
    <row r="292" spans="1:9" x14ac:dyDescent="0.2">
      <c r="A292" s="910" t="str">
        <f>FIXED('Balance N-1'!A292,0,1)</f>
        <v>0</v>
      </c>
      <c r="B292" s="572">
        <f>+'Balance N-1'!B292</f>
        <v>0</v>
      </c>
      <c r="C292" s="679" t="e">
        <f>ROUND('Balance N-1'!#REF!,2)</f>
        <v>#REF!</v>
      </c>
      <c r="D292" s="679" t="e">
        <f>ROUND('Balance N-1'!#REF!,2)</f>
        <v>#REF!</v>
      </c>
      <c r="E292" s="679">
        <f>ROUND('Balance N-1'!C292,2)</f>
        <v>0</v>
      </c>
      <c r="F292" s="679">
        <f>ROUND('Balance N-1'!D292,2)</f>
        <v>0</v>
      </c>
      <c r="G292" s="679">
        <f>ROUND('Balance N-1'!E292,2)</f>
        <v>0</v>
      </c>
      <c r="H292" s="679">
        <f>ROUND('Balance N-1'!F292,2)</f>
        <v>0</v>
      </c>
      <c r="I292" s="2" t="str">
        <f t="shared" si="7"/>
        <v>0</v>
      </c>
    </row>
    <row r="293" spans="1:9" x14ac:dyDescent="0.2">
      <c r="A293" s="910" t="str">
        <f>FIXED('Balance N-1'!A293,0,1)</f>
        <v>0</v>
      </c>
      <c r="B293" s="572">
        <f>+'Balance N-1'!B293</f>
        <v>0</v>
      </c>
      <c r="C293" s="679" t="e">
        <f>ROUND('Balance N-1'!#REF!,2)</f>
        <v>#REF!</v>
      </c>
      <c r="D293" s="679" t="e">
        <f>ROUND('Balance N-1'!#REF!,2)</f>
        <v>#REF!</v>
      </c>
      <c r="E293" s="679">
        <f>ROUND('Balance N-1'!C293,2)</f>
        <v>0</v>
      </c>
      <c r="F293" s="679">
        <f>ROUND('Balance N-1'!D293,2)</f>
        <v>0</v>
      </c>
      <c r="G293" s="679">
        <f>ROUND('Balance N-1'!E293,2)</f>
        <v>0</v>
      </c>
      <c r="H293" s="679">
        <f>ROUND('Balance N-1'!F293,2)</f>
        <v>0</v>
      </c>
      <c r="I293" s="2" t="str">
        <f t="shared" si="7"/>
        <v>0</v>
      </c>
    </row>
    <row r="294" spans="1:9" x14ac:dyDescent="0.2">
      <c r="A294" s="910" t="str">
        <f>FIXED('Balance N-1'!A294,0,1)</f>
        <v>0</v>
      </c>
      <c r="B294" s="572">
        <f>+'Balance N-1'!B294</f>
        <v>0</v>
      </c>
      <c r="C294" s="679" t="e">
        <f>ROUND('Balance N-1'!#REF!,2)</f>
        <v>#REF!</v>
      </c>
      <c r="D294" s="679" t="e">
        <f>ROUND('Balance N-1'!#REF!,2)</f>
        <v>#REF!</v>
      </c>
      <c r="E294" s="679">
        <f>ROUND('Balance N-1'!C294,2)</f>
        <v>0</v>
      </c>
      <c r="F294" s="679">
        <f>ROUND('Balance N-1'!D294,2)</f>
        <v>0</v>
      </c>
      <c r="G294" s="679">
        <f>ROUND('Balance N-1'!E294,2)</f>
        <v>0</v>
      </c>
      <c r="H294" s="679">
        <f>ROUND('Balance N-1'!F294,2)</f>
        <v>0</v>
      </c>
      <c r="I294" s="2" t="str">
        <f t="shared" si="7"/>
        <v>0</v>
      </c>
    </row>
    <row r="295" spans="1:9" x14ac:dyDescent="0.2">
      <c r="A295" s="910" t="str">
        <f>FIXED('Balance N-1'!A295,0,1)</f>
        <v>0</v>
      </c>
      <c r="B295" s="572">
        <f>+'Balance N-1'!B295</f>
        <v>0</v>
      </c>
      <c r="C295" s="679" t="e">
        <f>ROUND('Balance N-1'!#REF!,2)</f>
        <v>#REF!</v>
      </c>
      <c r="D295" s="679" t="e">
        <f>ROUND('Balance N-1'!#REF!,2)</f>
        <v>#REF!</v>
      </c>
      <c r="E295" s="679">
        <f>ROUND('Balance N-1'!C295,2)</f>
        <v>0</v>
      </c>
      <c r="F295" s="679">
        <f>ROUND('Balance N-1'!D295,2)</f>
        <v>0</v>
      </c>
      <c r="G295" s="679">
        <f>ROUND('Balance N-1'!E295,2)</f>
        <v>0</v>
      </c>
      <c r="H295" s="679">
        <f>ROUND('Balance N-1'!F295,2)</f>
        <v>0</v>
      </c>
      <c r="I295" s="2" t="str">
        <f t="shared" si="7"/>
        <v>0</v>
      </c>
    </row>
    <row r="296" spans="1:9" x14ac:dyDescent="0.2">
      <c r="A296" s="910" t="str">
        <f>FIXED('Balance N-1'!A296,0,1)</f>
        <v>0</v>
      </c>
      <c r="B296" s="572">
        <f>+'Balance N-1'!B296</f>
        <v>0</v>
      </c>
      <c r="C296" s="679" t="e">
        <f>ROUND('Balance N-1'!#REF!,2)</f>
        <v>#REF!</v>
      </c>
      <c r="D296" s="679" t="e">
        <f>ROUND('Balance N-1'!#REF!,2)</f>
        <v>#REF!</v>
      </c>
      <c r="E296" s="679">
        <f>ROUND('Balance N-1'!C296,2)</f>
        <v>0</v>
      </c>
      <c r="F296" s="679">
        <f>ROUND('Balance N-1'!D296,2)</f>
        <v>0</v>
      </c>
      <c r="G296" s="679">
        <f>ROUND('Balance N-1'!E296,2)</f>
        <v>0</v>
      </c>
      <c r="H296" s="679">
        <f>ROUND('Balance N-1'!F296,2)</f>
        <v>0</v>
      </c>
      <c r="I296" s="2" t="str">
        <f t="shared" si="7"/>
        <v>0</v>
      </c>
    </row>
    <row r="297" spans="1:9" x14ac:dyDescent="0.2">
      <c r="A297" s="910" t="str">
        <f>FIXED('Balance N-1'!A297,0,1)</f>
        <v>0</v>
      </c>
      <c r="B297" s="572">
        <f>+'Balance N-1'!B297</f>
        <v>0</v>
      </c>
      <c r="C297" s="679" t="e">
        <f>ROUND('Balance N-1'!#REF!,2)</f>
        <v>#REF!</v>
      </c>
      <c r="D297" s="679" t="e">
        <f>ROUND('Balance N-1'!#REF!,2)</f>
        <v>#REF!</v>
      </c>
      <c r="E297" s="679">
        <f>ROUND('Balance N-1'!C297,2)</f>
        <v>0</v>
      </c>
      <c r="F297" s="679">
        <f>ROUND('Balance N-1'!D297,2)</f>
        <v>0</v>
      </c>
      <c r="G297" s="679">
        <f>ROUND('Balance N-1'!E297,2)</f>
        <v>0</v>
      </c>
      <c r="H297" s="679">
        <f>ROUND('Balance N-1'!F297,2)</f>
        <v>0</v>
      </c>
      <c r="I297" s="2" t="str">
        <f t="shared" si="7"/>
        <v>0</v>
      </c>
    </row>
    <row r="298" spans="1:9" x14ac:dyDescent="0.2">
      <c r="A298" s="910" t="str">
        <f>FIXED('Balance N-1'!A298,0,1)</f>
        <v>0</v>
      </c>
      <c r="B298" s="572">
        <f>+'Balance N-1'!B298</f>
        <v>0</v>
      </c>
      <c r="C298" s="679" t="e">
        <f>ROUND('Balance N-1'!#REF!,2)</f>
        <v>#REF!</v>
      </c>
      <c r="D298" s="679" t="e">
        <f>ROUND('Balance N-1'!#REF!,2)</f>
        <v>#REF!</v>
      </c>
      <c r="E298" s="679">
        <f>ROUND('Balance N-1'!C298,2)</f>
        <v>0</v>
      </c>
      <c r="F298" s="679">
        <f>ROUND('Balance N-1'!D298,2)</f>
        <v>0</v>
      </c>
      <c r="G298" s="679">
        <f>ROUND('Balance N-1'!E298,2)</f>
        <v>0</v>
      </c>
      <c r="H298" s="679">
        <f>ROUND('Balance N-1'!F298,2)</f>
        <v>0</v>
      </c>
      <c r="I298" s="2" t="str">
        <f t="shared" si="7"/>
        <v>0</v>
      </c>
    </row>
    <row r="299" spans="1:9" x14ac:dyDescent="0.2">
      <c r="A299" s="910" t="str">
        <f>FIXED('Balance N-1'!A299,0,1)</f>
        <v>0</v>
      </c>
      <c r="B299" s="572">
        <f>+'Balance N-1'!B299</f>
        <v>0</v>
      </c>
      <c r="C299" s="679" t="e">
        <f>ROUND('Balance N-1'!#REF!,2)</f>
        <v>#REF!</v>
      </c>
      <c r="D299" s="679" t="e">
        <f>ROUND('Balance N-1'!#REF!,2)</f>
        <v>#REF!</v>
      </c>
      <c r="E299" s="679">
        <f>ROUND('Balance N-1'!C299,2)</f>
        <v>0</v>
      </c>
      <c r="F299" s="679">
        <f>ROUND('Balance N-1'!D299,2)</f>
        <v>0</v>
      </c>
      <c r="G299" s="679">
        <f>ROUND('Balance N-1'!E299,2)</f>
        <v>0</v>
      </c>
      <c r="H299" s="679">
        <f>ROUND('Balance N-1'!F299,2)</f>
        <v>0</v>
      </c>
      <c r="I299" s="2" t="str">
        <f t="shared" si="7"/>
        <v>0</v>
      </c>
    </row>
    <row r="300" spans="1:9" x14ac:dyDescent="0.2">
      <c r="A300" s="910" t="str">
        <f>FIXED('Balance N-1'!A300,0,1)</f>
        <v>0</v>
      </c>
      <c r="B300" s="572">
        <f>+'Balance N-1'!B300</f>
        <v>0</v>
      </c>
      <c r="C300" s="679" t="e">
        <f>ROUND('Balance N-1'!#REF!,2)</f>
        <v>#REF!</v>
      </c>
      <c r="D300" s="679" t="e">
        <f>ROUND('Balance N-1'!#REF!,2)</f>
        <v>#REF!</v>
      </c>
      <c r="E300" s="679">
        <f>ROUND('Balance N-1'!C300,2)</f>
        <v>0</v>
      </c>
      <c r="F300" s="679">
        <f>ROUND('Balance N-1'!D300,2)</f>
        <v>0</v>
      </c>
      <c r="G300" s="679">
        <f>ROUND('Balance N-1'!E300,2)</f>
        <v>0</v>
      </c>
      <c r="H300" s="679">
        <f>ROUND('Balance N-1'!F300,2)</f>
        <v>0</v>
      </c>
      <c r="I300" s="2" t="str">
        <f t="shared" si="7"/>
        <v>0</v>
      </c>
    </row>
    <row r="301" spans="1:9" x14ac:dyDescent="0.2">
      <c r="A301" s="910" t="str">
        <f>FIXED('Balance N-1'!A301,0,1)</f>
        <v>0</v>
      </c>
      <c r="B301" s="572">
        <f>+'Balance N-1'!B301</f>
        <v>0</v>
      </c>
      <c r="C301" s="679" t="e">
        <f>ROUND('Balance N-1'!#REF!,2)</f>
        <v>#REF!</v>
      </c>
      <c r="D301" s="679" t="e">
        <f>ROUND('Balance N-1'!#REF!,2)</f>
        <v>#REF!</v>
      </c>
      <c r="E301" s="679">
        <f>ROUND('Balance N-1'!C301,2)</f>
        <v>0</v>
      </c>
      <c r="F301" s="679">
        <f>ROUND('Balance N-1'!D301,2)</f>
        <v>0</v>
      </c>
      <c r="G301" s="679">
        <f>ROUND('Balance N-1'!E301,2)</f>
        <v>0</v>
      </c>
      <c r="H301" s="679">
        <f>ROUND('Balance N-1'!F301,2)</f>
        <v>0</v>
      </c>
      <c r="I301" s="2" t="str">
        <f t="shared" si="7"/>
        <v>0</v>
      </c>
    </row>
    <row r="302" spans="1:9" x14ac:dyDescent="0.2">
      <c r="A302" s="910" t="str">
        <f>FIXED('Balance N-1'!A302,0,1)</f>
        <v>0</v>
      </c>
      <c r="B302" s="572">
        <f>+'Balance N-1'!B302</f>
        <v>0</v>
      </c>
      <c r="C302" s="679" t="e">
        <f>ROUND('Balance N-1'!#REF!,2)</f>
        <v>#REF!</v>
      </c>
      <c r="D302" s="679" t="e">
        <f>ROUND('Balance N-1'!#REF!,2)</f>
        <v>#REF!</v>
      </c>
      <c r="E302" s="679">
        <f>ROUND('Balance N-1'!C302,2)</f>
        <v>0</v>
      </c>
      <c r="F302" s="679">
        <f>ROUND('Balance N-1'!D302,2)</f>
        <v>0</v>
      </c>
      <c r="G302" s="679">
        <f>ROUND('Balance N-1'!E302,2)</f>
        <v>0</v>
      </c>
      <c r="H302" s="679">
        <f>ROUND('Balance N-1'!F302,2)</f>
        <v>0</v>
      </c>
      <c r="I302" s="2" t="str">
        <f t="shared" si="7"/>
        <v>0</v>
      </c>
    </row>
    <row r="303" spans="1:9" x14ac:dyDescent="0.2">
      <c r="A303" s="910" t="str">
        <f>FIXED('Balance N-1'!A303,0,1)</f>
        <v>0</v>
      </c>
      <c r="B303" s="572">
        <f>+'Balance N-1'!B303</f>
        <v>0</v>
      </c>
      <c r="C303" s="679" t="e">
        <f>ROUND('Balance N-1'!#REF!,2)</f>
        <v>#REF!</v>
      </c>
      <c r="D303" s="679" t="e">
        <f>ROUND('Balance N-1'!#REF!,2)</f>
        <v>#REF!</v>
      </c>
      <c r="E303" s="679">
        <f>ROUND('Balance N-1'!C303,2)</f>
        <v>0</v>
      </c>
      <c r="F303" s="679">
        <f>ROUND('Balance N-1'!D303,2)</f>
        <v>0</v>
      </c>
      <c r="G303" s="679">
        <f>ROUND('Balance N-1'!E303,2)</f>
        <v>0</v>
      </c>
      <c r="H303" s="679">
        <f>ROUND('Balance N-1'!F303,2)</f>
        <v>0</v>
      </c>
      <c r="I303" s="2" t="str">
        <f t="shared" si="7"/>
        <v>0</v>
      </c>
    </row>
    <row r="304" spans="1:9" x14ac:dyDescent="0.2">
      <c r="A304" s="910" t="str">
        <f>FIXED('Balance N-1'!A304,0,1)</f>
        <v>0</v>
      </c>
      <c r="B304" s="572">
        <f>+'Balance N-1'!B304</f>
        <v>0</v>
      </c>
      <c r="C304" s="679" t="e">
        <f>ROUND('Balance N-1'!#REF!,2)</f>
        <v>#REF!</v>
      </c>
      <c r="D304" s="679" t="e">
        <f>ROUND('Balance N-1'!#REF!,2)</f>
        <v>#REF!</v>
      </c>
      <c r="E304" s="679">
        <f>ROUND('Balance N-1'!C304,2)</f>
        <v>0</v>
      </c>
      <c r="F304" s="679">
        <f>ROUND('Balance N-1'!D304,2)</f>
        <v>0</v>
      </c>
      <c r="G304" s="679">
        <f>ROUND('Balance N-1'!E304,2)</f>
        <v>0</v>
      </c>
      <c r="H304" s="679">
        <f>ROUND('Balance N-1'!F304,2)</f>
        <v>0</v>
      </c>
      <c r="I304" s="2" t="str">
        <f t="shared" si="7"/>
        <v>0</v>
      </c>
    </row>
    <row r="305" spans="1:9" x14ac:dyDescent="0.2">
      <c r="A305" s="910" t="str">
        <f>FIXED('Balance N-1'!A305,0,1)</f>
        <v>0</v>
      </c>
      <c r="B305" s="572">
        <f>+'Balance N-1'!B305</f>
        <v>0</v>
      </c>
      <c r="C305" s="679" t="e">
        <f>ROUND('Balance N-1'!#REF!,2)</f>
        <v>#REF!</v>
      </c>
      <c r="D305" s="679" t="e">
        <f>ROUND('Balance N-1'!#REF!,2)</f>
        <v>#REF!</v>
      </c>
      <c r="E305" s="679">
        <f>ROUND('Balance N-1'!C305,2)</f>
        <v>0</v>
      </c>
      <c r="F305" s="679">
        <f>ROUND('Balance N-1'!D305,2)</f>
        <v>0</v>
      </c>
      <c r="G305" s="679">
        <f>ROUND('Balance N-1'!E305,2)</f>
        <v>0</v>
      </c>
      <c r="H305" s="679">
        <f>ROUND('Balance N-1'!F305,2)</f>
        <v>0</v>
      </c>
      <c r="I305" s="2" t="str">
        <f t="shared" si="7"/>
        <v>0</v>
      </c>
    </row>
    <row r="306" spans="1:9" x14ac:dyDescent="0.2">
      <c r="A306" s="910" t="str">
        <f>FIXED('Balance N-1'!A306,0,1)</f>
        <v>0</v>
      </c>
      <c r="B306" s="572">
        <f>+'Balance N-1'!B306</f>
        <v>0</v>
      </c>
      <c r="C306" s="679" t="e">
        <f>ROUND('Balance N-1'!#REF!,2)</f>
        <v>#REF!</v>
      </c>
      <c r="D306" s="679" t="e">
        <f>ROUND('Balance N-1'!#REF!,2)</f>
        <v>#REF!</v>
      </c>
      <c r="E306" s="679">
        <f>ROUND('Balance N-1'!C306,2)</f>
        <v>0</v>
      </c>
      <c r="F306" s="679">
        <f>ROUND('Balance N-1'!D306,2)</f>
        <v>0</v>
      </c>
      <c r="G306" s="679">
        <f>ROUND('Balance N-1'!E306,2)</f>
        <v>0</v>
      </c>
      <c r="H306" s="679">
        <f>ROUND('Balance N-1'!F306,2)</f>
        <v>0</v>
      </c>
      <c r="I306" s="2" t="str">
        <f t="shared" si="7"/>
        <v>0</v>
      </c>
    </row>
    <row r="307" spans="1:9" x14ac:dyDescent="0.2">
      <c r="A307" s="910" t="str">
        <f>FIXED('Balance N-1'!A307,0,1)</f>
        <v>0</v>
      </c>
      <c r="B307" s="572">
        <f>+'Balance N-1'!B307</f>
        <v>0</v>
      </c>
      <c r="C307" s="679" t="e">
        <f>ROUND('Balance N-1'!#REF!,2)</f>
        <v>#REF!</v>
      </c>
      <c r="D307" s="679" t="e">
        <f>ROUND('Balance N-1'!#REF!,2)</f>
        <v>#REF!</v>
      </c>
      <c r="E307" s="679">
        <f>ROUND('Balance N-1'!C307,2)</f>
        <v>0</v>
      </c>
      <c r="F307" s="679">
        <f>ROUND('Balance N-1'!D307,2)</f>
        <v>0</v>
      </c>
      <c r="G307" s="679">
        <f>ROUND('Balance N-1'!E307,2)</f>
        <v>0</v>
      </c>
      <c r="H307" s="679">
        <f>ROUND('Balance N-1'!F307,2)</f>
        <v>0</v>
      </c>
      <c r="I307" s="2" t="str">
        <f t="shared" si="7"/>
        <v>0</v>
      </c>
    </row>
    <row r="308" spans="1:9" x14ac:dyDescent="0.2">
      <c r="A308" s="910" t="str">
        <f>FIXED('Balance N-1'!A308,0,1)</f>
        <v>0</v>
      </c>
      <c r="B308" s="572">
        <f>+'Balance N-1'!B308</f>
        <v>0</v>
      </c>
      <c r="C308" s="679" t="e">
        <f>ROUND('Balance N-1'!#REF!,2)</f>
        <v>#REF!</v>
      </c>
      <c r="D308" s="679" t="e">
        <f>ROUND('Balance N-1'!#REF!,2)</f>
        <v>#REF!</v>
      </c>
      <c r="E308" s="679">
        <f>ROUND('Balance N-1'!C308,2)</f>
        <v>0</v>
      </c>
      <c r="F308" s="679">
        <f>ROUND('Balance N-1'!D308,2)</f>
        <v>0</v>
      </c>
      <c r="G308" s="679">
        <f>ROUND('Balance N-1'!E308,2)</f>
        <v>0</v>
      </c>
      <c r="H308" s="679">
        <f>ROUND('Balance N-1'!F308,2)</f>
        <v>0</v>
      </c>
      <c r="I308" s="2" t="str">
        <f t="shared" si="7"/>
        <v>0</v>
      </c>
    </row>
    <row r="309" spans="1:9" x14ac:dyDescent="0.2">
      <c r="A309" s="910" t="str">
        <f>FIXED('Balance N-1'!A309,0,1)</f>
        <v>0</v>
      </c>
      <c r="B309" s="572">
        <f>+'Balance N-1'!B309</f>
        <v>0</v>
      </c>
      <c r="C309" s="679" t="e">
        <f>ROUND('Balance N-1'!#REF!,2)</f>
        <v>#REF!</v>
      </c>
      <c r="D309" s="679" t="e">
        <f>ROUND('Balance N-1'!#REF!,2)</f>
        <v>#REF!</v>
      </c>
      <c r="E309" s="679">
        <f>ROUND('Balance N-1'!C309,2)</f>
        <v>0</v>
      </c>
      <c r="F309" s="679">
        <f>ROUND('Balance N-1'!D309,2)</f>
        <v>0</v>
      </c>
      <c r="G309" s="679">
        <f>ROUND('Balance N-1'!E309,2)</f>
        <v>0</v>
      </c>
      <c r="H309" s="679">
        <f>ROUND('Balance N-1'!F309,2)</f>
        <v>0</v>
      </c>
      <c r="I309" s="2" t="str">
        <f t="shared" si="7"/>
        <v>0</v>
      </c>
    </row>
    <row r="310" spans="1:9" x14ac:dyDescent="0.2">
      <c r="A310" s="910" t="str">
        <f>FIXED('Balance N-1'!A310,0,1)</f>
        <v>0</v>
      </c>
      <c r="B310" s="572">
        <f>+'Balance N-1'!B310</f>
        <v>0</v>
      </c>
      <c r="C310" s="679" t="e">
        <f>ROUND('Balance N-1'!#REF!,2)</f>
        <v>#REF!</v>
      </c>
      <c r="D310" s="679" t="e">
        <f>ROUND('Balance N-1'!#REF!,2)</f>
        <v>#REF!</v>
      </c>
      <c r="E310" s="679">
        <f>ROUND('Balance N-1'!C310,2)</f>
        <v>0</v>
      </c>
      <c r="F310" s="679">
        <f>ROUND('Balance N-1'!D310,2)</f>
        <v>0</v>
      </c>
      <c r="G310" s="679">
        <f>ROUND('Balance N-1'!E310,2)</f>
        <v>0</v>
      </c>
      <c r="H310" s="679">
        <f>ROUND('Balance N-1'!F310,2)</f>
        <v>0</v>
      </c>
      <c r="I310" s="2" t="str">
        <f t="shared" si="7"/>
        <v>0</v>
      </c>
    </row>
    <row r="311" spans="1:9" x14ac:dyDescent="0.2">
      <c r="A311" s="910" t="str">
        <f>FIXED('Balance N-1'!A311,0,1)</f>
        <v>0</v>
      </c>
      <c r="B311" s="572">
        <f>+'Balance N-1'!B311</f>
        <v>0</v>
      </c>
      <c r="C311" s="679" t="e">
        <f>ROUND('Balance N-1'!#REF!,2)</f>
        <v>#REF!</v>
      </c>
      <c r="D311" s="679" t="e">
        <f>ROUND('Balance N-1'!#REF!,2)</f>
        <v>#REF!</v>
      </c>
      <c r="E311" s="679">
        <f>ROUND('Balance N-1'!C311,2)</f>
        <v>0</v>
      </c>
      <c r="F311" s="679">
        <f>ROUND('Balance N-1'!D311,2)</f>
        <v>0</v>
      </c>
      <c r="G311" s="679">
        <f>ROUND('Balance N-1'!E311,2)</f>
        <v>0</v>
      </c>
      <c r="H311" s="679">
        <f>ROUND('Balance N-1'!F311,2)</f>
        <v>0</v>
      </c>
      <c r="I311" s="2" t="str">
        <f t="shared" si="7"/>
        <v>0</v>
      </c>
    </row>
    <row r="312" spans="1:9" x14ac:dyDescent="0.2">
      <c r="A312" s="910" t="str">
        <f>FIXED('Balance N-1'!A312,0,1)</f>
        <v>0</v>
      </c>
      <c r="B312" s="572">
        <f>+'Balance N-1'!B312</f>
        <v>0</v>
      </c>
      <c r="C312" s="679" t="e">
        <f>ROUND('Balance N-1'!#REF!,2)</f>
        <v>#REF!</v>
      </c>
      <c r="D312" s="679" t="e">
        <f>ROUND('Balance N-1'!#REF!,2)</f>
        <v>#REF!</v>
      </c>
      <c r="E312" s="679">
        <f>ROUND('Balance N-1'!C312,2)</f>
        <v>0</v>
      </c>
      <c r="F312" s="679">
        <f>ROUND('Balance N-1'!D312,2)</f>
        <v>0</v>
      </c>
      <c r="G312" s="679">
        <f>ROUND('Balance N-1'!E312,2)</f>
        <v>0</v>
      </c>
      <c r="H312" s="679">
        <f>ROUND('Balance N-1'!F312,2)</f>
        <v>0</v>
      </c>
      <c r="I312" s="2" t="str">
        <f t="shared" si="7"/>
        <v>0</v>
      </c>
    </row>
    <row r="313" spans="1:9" x14ac:dyDescent="0.2">
      <c r="A313" s="910" t="str">
        <f>FIXED('Balance N-1'!A313,0,1)</f>
        <v>0</v>
      </c>
      <c r="B313" s="572">
        <f>+'Balance N-1'!B313</f>
        <v>0</v>
      </c>
      <c r="C313" s="679" t="e">
        <f>ROUND('Balance N-1'!#REF!,2)</f>
        <v>#REF!</v>
      </c>
      <c r="D313" s="679" t="e">
        <f>ROUND('Balance N-1'!#REF!,2)</f>
        <v>#REF!</v>
      </c>
      <c r="E313" s="679">
        <f>ROUND('Balance N-1'!C313,2)</f>
        <v>0</v>
      </c>
      <c r="F313" s="679">
        <f>ROUND('Balance N-1'!D313,2)</f>
        <v>0</v>
      </c>
      <c r="G313" s="679">
        <f>ROUND('Balance N-1'!E313,2)</f>
        <v>0</v>
      </c>
      <c r="H313" s="679">
        <f>ROUND('Balance N-1'!F313,2)</f>
        <v>0</v>
      </c>
      <c r="I313" s="2" t="str">
        <f t="shared" si="7"/>
        <v>0</v>
      </c>
    </row>
    <row r="314" spans="1:9" x14ac:dyDescent="0.2">
      <c r="A314" s="910" t="str">
        <f>FIXED('Balance N-1'!A314,0,1)</f>
        <v>0</v>
      </c>
      <c r="B314" s="572">
        <f>+'Balance N-1'!B314</f>
        <v>0</v>
      </c>
      <c r="C314" s="679" t="e">
        <f>ROUND('Balance N-1'!#REF!,2)</f>
        <v>#REF!</v>
      </c>
      <c r="D314" s="679" t="e">
        <f>ROUND('Balance N-1'!#REF!,2)</f>
        <v>#REF!</v>
      </c>
      <c r="E314" s="679">
        <f>ROUND('Balance N-1'!C314,2)</f>
        <v>0</v>
      </c>
      <c r="F314" s="679">
        <f>ROUND('Balance N-1'!D314,2)</f>
        <v>0</v>
      </c>
      <c r="G314" s="679">
        <f>ROUND('Balance N-1'!E314,2)</f>
        <v>0</v>
      </c>
      <c r="H314" s="679">
        <f>ROUND('Balance N-1'!F314,2)</f>
        <v>0</v>
      </c>
      <c r="I314" s="2" t="str">
        <f t="shared" si="7"/>
        <v>0</v>
      </c>
    </row>
    <row r="315" spans="1:9" x14ac:dyDescent="0.2">
      <c r="A315" s="910" t="str">
        <f>FIXED('Balance N-1'!A315,0,1)</f>
        <v>0</v>
      </c>
      <c r="B315" s="572">
        <f>+'Balance N-1'!B315</f>
        <v>0</v>
      </c>
      <c r="C315" s="679" t="e">
        <f>ROUND('Balance N-1'!#REF!,2)</f>
        <v>#REF!</v>
      </c>
      <c r="D315" s="679" t="e">
        <f>ROUND('Balance N-1'!#REF!,2)</f>
        <v>#REF!</v>
      </c>
      <c r="E315" s="679">
        <f>ROUND('Balance N-1'!C315,2)</f>
        <v>0</v>
      </c>
      <c r="F315" s="679">
        <f>ROUND('Balance N-1'!D315,2)</f>
        <v>0</v>
      </c>
      <c r="G315" s="679">
        <f>ROUND('Balance N-1'!E315,2)</f>
        <v>0</v>
      </c>
      <c r="H315" s="679">
        <f>ROUND('Balance N-1'!F315,2)</f>
        <v>0</v>
      </c>
      <c r="I315" s="2" t="str">
        <f t="shared" si="7"/>
        <v>0</v>
      </c>
    </row>
    <row r="316" spans="1:9" x14ac:dyDescent="0.2">
      <c r="A316" s="910" t="str">
        <f>FIXED('Balance N-1'!A316,0,1)</f>
        <v>0</v>
      </c>
      <c r="B316" s="572">
        <f>+'Balance N-1'!B316</f>
        <v>0</v>
      </c>
      <c r="C316" s="679" t="e">
        <f>ROUND('Balance N-1'!#REF!,2)</f>
        <v>#REF!</v>
      </c>
      <c r="D316" s="679" t="e">
        <f>ROUND('Balance N-1'!#REF!,2)</f>
        <v>#REF!</v>
      </c>
      <c r="E316" s="679">
        <f>ROUND('Balance N-1'!C316,2)</f>
        <v>0</v>
      </c>
      <c r="F316" s="679">
        <f>ROUND('Balance N-1'!D316,2)</f>
        <v>0</v>
      </c>
      <c r="G316" s="679">
        <f>ROUND('Balance N-1'!E316,2)</f>
        <v>0</v>
      </c>
      <c r="H316" s="679">
        <f>ROUND('Balance N-1'!F316,2)</f>
        <v>0</v>
      </c>
      <c r="I316" s="2" t="str">
        <f t="shared" si="7"/>
        <v>0</v>
      </c>
    </row>
    <row r="317" spans="1:9" x14ac:dyDescent="0.2">
      <c r="A317" s="910" t="str">
        <f>FIXED('Balance N-1'!A317,0,1)</f>
        <v>0</v>
      </c>
      <c r="B317" s="572">
        <f>+'Balance N-1'!B317</f>
        <v>0</v>
      </c>
      <c r="C317" s="679" t="e">
        <f>ROUND('Balance N-1'!#REF!,2)</f>
        <v>#REF!</v>
      </c>
      <c r="D317" s="679" t="e">
        <f>ROUND('Balance N-1'!#REF!,2)</f>
        <v>#REF!</v>
      </c>
      <c r="E317" s="679">
        <f>ROUND('Balance N-1'!C317,2)</f>
        <v>0</v>
      </c>
      <c r="F317" s="679">
        <f>ROUND('Balance N-1'!D317,2)</f>
        <v>0</v>
      </c>
      <c r="G317" s="679">
        <f>ROUND('Balance N-1'!E317,2)</f>
        <v>0</v>
      </c>
      <c r="H317" s="679">
        <f>ROUND('Balance N-1'!F317,2)</f>
        <v>0</v>
      </c>
      <c r="I317" s="2" t="str">
        <f t="shared" si="7"/>
        <v>0</v>
      </c>
    </row>
    <row r="318" spans="1:9" x14ac:dyDescent="0.2">
      <c r="A318" s="910" t="str">
        <f>FIXED('Balance N-1'!A318,0,1)</f>
        <v>0</v>
      </c>
      <c r="B318" s="572">
        <f>+'Balance N-1'!B318</f>
        <v>0</v>
      </c>
      <c r="C318" s="679" t="e">
        <f>ROUND('Balance N-1'!#REF!,2)</f>
        <v>#REF!</v>
      </c>
      <c r="D318" s="679" t="e">
        <f>ROUND('Balance N-1'!#REF!,2)</f>
        <v>#REF!</v>
      </c>
      <c r="E318" s="679">
        <f>ROUND('Balance N-1'!C318,2)</f>
        <v>0</v>
      </c>
      <c r="F318" s="679">
        <f>ROUND('Balance N-1'!D318,2)</f>
        <v>0</v>
      </c>
      <c r="G318" s="679">
        <f>ROUND('Balance N-1'!E318,2)</f>
        <v>0</v>
      </c>
      <c r="H318" s="679">
        <f>ROUND('Balance N-1'!F318,2)</f>
        <v>0</v>
      </c>
      <c r="I318" s="2" t="str">
        <f t="shared" si="7"/>
        <v>0</v>
      </c>
    </row>
    <row r="319" spans="1:9" x14ac:dyDescent="0.2">
      <c r="A319" s="910" t="str">
        <f>FIXED('Balance N-1'!A319,0,1)</f>
        <v>0</v>
      </c>
      <c r="B319" s="572">
        <f>+'Balance N-1'!B319</f>
        <v>0</v>
      </c>
      <c r="C319" s="679" t="e">
        <f>ROUND('Balance N-1'!#REF!,2)</f>
        <v>#REF!</v>
      </c>
      <c r="D319" s="679" t="e">
        <f>ROUND('Balance N-1'!#REF!,2)</f>
        <v>#REF!</v>
      </c>
      <c r="E319" s="679">
        <f>ROUND('Balance N-1'!C319,2)</f>
        <v>0</v>
      </c>
      <c r="F319" s="679">
        <f>ROUND('Balance N-1'!D319,2)</f>
        <v>0</v>
      </c>
      <c r="G319" s="679">
        <f>ROUND('Balance N-1'!E319,2)</f>
        <v>0</v>
      </c>
      <c r="H319" s="679">
        <f>ROUND('Balance N-1'!F319,2)</f>
        <v>0</v>
      </c>
      <c r="I319" s="2" t="str">
        <f t="shared" si="7"/>
        <v>0</v>
      </c>
    </row>
    <row r="320" spans="1:9" x14ac:dyDescent="0.2">
      <c r="A320" s="910" t="str">
        <f>FIXED('Balance N-1'!A320,0,1)</f>
        <v>0</v>
      </c>
      <c r="B320" s="572">
        <f>+'Balance N-1'!B320</f>
        <v>0</v>
      </c>
      <c r="C320" s="679" t="e">
        <f>ROUND('Balance N-1'!#REF!,2)</f>
        <v>#REF!</v>
      </c>
      <c r="D320" s="679" t="e">
        <f>ROUND('Balance N-1'!#REF!,2)</f>
        <v>#REF!</v>
      </c>
      <c r="E320" s="679">
        <f>ROUND('Balance N-1'!C320,2)</f>
        <v>0</v>
      </c>
      <c r="F320" s="679">
        <f>ROUND('Balance N-1'!D320,2)</f>
        <v>0</v>
      </c>
      <c r="G320" s="679">
        <f>ROUND('Balance N-1'!E320,2)</f>
        <v>0</v>
      </c>
      <c r="H320" s="679">
        <f>ROUND('Balance N-1'!F320,2)</f>
        <v>0</v>
      </c>
      <c r="I320" s="2" t="str">
        <f t="shared" si="7"/>
        <v>0</v>
      </c>
    </row>
    <row r="321" spans="1:9" x14ac:dyDescent="0.2">
      <c r="A321" s="910" t="str">
        <f>FIXED('Balance N-1'!A321,0,1)</f>
        <v>0</v>
      </c>
      <c r="B321" s="572">
        <f>+'Balance N-1'!B321</f>
        <v>0</v>
      </c>
      <c r="C321" s="679" t="e">
        <f>ROUND('Balance N-1'!#REF!,2)</f>
        <v>#REF!</v>
      </c>
      <c r="D321" s="679" t="e">
        <f>ROUND('Balance N-1'!#REF!,2)</f>
        <v>#REF!</v>
      </c>
      <c r="E321" s="679">
        <f>ROUND('Balance N-1'!C321,2)</f>
        <v>0</v>
      </c>
      <c r="F321" s="679">
        <f>ROUND('Balance N-1'!D321,2)</f>
        <v>0</v>
      </c>
      <c r="G321" s="679">
        <f>ROUND('Balance N-1'!E321,2)</f>
        <v>0</v>
      </c>
      <c r="H321" s="679">
        <f>ROUND('Balance N-1'!F321,2)</f>
        <v>0</v>
      </c>
      <c r="I321" s="2" t="str">
        <f t="shared" si="7"/>
        <v>0</v>
      </c>
    </row>
    <row r="322" spans="1:9" x14ac:dyDescent="0.2">
      <c r="A322" s="910" t="str">
        <f>FIXED('Balance N-1'!A322,0,1)</f>
        <v>0</v>
      </c>
      <c r="B322" s="572">
        <f>+'Balance N-1'!B322</f>
        <v>0</v>
      </c>
      <c r="C322" s="679" t="e">
        <f>ROUND('Balance N-1'!#REF!,2)</f>
        <v>#REF!</v>
      </c>
      <c r="D322" s="679" t="e">
        <f>ROUND('Balance N-1'!#REF!,2)</f>
        <v>#REF!</v>
      </c>
      <c r="E322" s="679">
        <f>ROUND('Balance N-1'!C322,2)</f>
        <v>0</v>
      </c>
      <c r="F322" s="679">
        <f>ROUND('Balance N-1'!D322,2)</f>
        <v>0</v>
      </c>
      <c r="G322" s="679">
        <f>ROUND('Balance N-1'!E322,2)</f>
        <v>0</v>
      </c>
      <c r="H322" s="679">
        <f>ROUND('Balance N-1'!F322,2)</f>
        <v>0</v>
      </c>
      <c r="I322" s="2" t="str">
        <f t="shared" si="7"/>
        <v>0</v>
      </c>
    </row>
    <row r="323" spans="1:9" x14ac:dyDescent="0.2">
      <c r="A323" s="910" t="str">
        <f>FIXED('Balance N-1'!A323,0,1)</f>
        <v>0</v>
      </c>
      <c r="B323" s="572">
        <f>+'Balance N-1'!B323</f>
        <v>0</v>
      </c>
      <c r="C323" s="679" t="e">
        <f>ROUND('Balance N-1'!#REF!,2)</f>
        <v>#REF!</v>
      </c>
      <c r="D323" s="679" t="e">
        <f>ROUND('Balance N-1'!#REF!,2)</f>
        <v>#REF!</v>
      </c>
      <c r="E323" s="679">
        <f>ROUND('Balance N-1'!C323,2)</f>
        <v>0</v>
      </c>
      <c r="F323" s="679">
        <f>ROUND('Balance N-1'!D323,2)</f>
        <v>0</v>
      </c>
      <c r="G323" s="679">
        <f>ROUND('Balance N-1'!E323,2)</f>
        <v>0</v>
      </c>
      <c r="H323" s="679">
        <f>ROUND('Balance N-1'!F323,2)</f>
        <v>0</v>
      </c>
      <c r="I323" s="2" t="str">
        <f t="shared" ref="I323:I386" si="8">MID(A323,1,1)</f>
        <v>0</v>
      </c>
    </row>
    <row r="324" spans="1:9" x14ac:dyDescent="0.2">
      <c r="A324" s="910" t="str">
        <f>FIXED('Balance N-1'!A324,0,1)</f>
        <v>0</v>
      </c>
      <c r="B324" s="572">
        <f>+'Balance N-1'!B324</f>
        <v>0</v>
      </c>
      <c r="C324" s="679" t="e">
        <f>ROUND('Balance N-1'!#REF!,2)</f>
        <v>#REF!</v>
      </c>
      <c r="D324" s="679" t="e">
        <f>ROUND('Balance N-1'!#REF!,2)</f>
        <v>#REF!</v>
      </c>
      <c r="E324" s="679">
        <f>ROUND('Balance N-1'!C324,2)</f>
        <v>0</v>
      </c>
      <c r="F324" s="679">
        <f>ROUND('Balance N-1'!D324,2)</f>
        <v>0</v>
      </c>
      <c r="G324" s="679">
        <f>ROUND('Balance N-1'!E324,2)</f>
        <v>0</v>
      </c>
      <c r="H324" s="679">
        <f>ROUND('Balance N-1'!F324,2)</f>
        <v>0</v>
      </c>
      <c r="I324" s="2" t="str">
        <f t="shared" si="8"/>
        <v>0</v>
      </c>
    </row>
    <row r="325" spans="1:9" x14ac:dyDescent="0.2">
      <c r="A325" s="910" t="str">
        <f>FIXED('Balance N-1'!A325,0,1)</f>
        <v>0</v>
      </c>
      <c r="B325" s="572">
        <f>+'Balance N-1'!B325</f>
        <v>0</v>
      </c>
      <c r="C325" s="679" t="e">
        <f>ROUND('Balance N-1'!#REF!,2)</f>
        <v>#REF!</v>
      </c>
      <c r="D325" s="679" t="e">
        <f>ROUND('Balance N-1'!#REF!,2)</f>
        <v>#REF!</v>
      </c>
      <c r="E325" s="679">
        <f>ROUND('Balance N-1'!C325,2)</f>
        <v>0</v>
      </c>
      <c r="F325" s="679">
        <f>ROUND('Balance N-1'!D325,2)</f>
        <v>0</v>
      </c>
      <c r="G325" s="679">
        <f>ROUND('Balance N-1'!E325,2)</f>
        <v>0</v>
      </c>
      <c r="H325" s="679">
        <f>ROUND('Balance N-1'!F325,2)</f>
        <v>0</v>
      </c>
      <c r="I325" s="2" t="str">
        <f t="shared" si="8"/>
        <v>0</v>
      </c>
    </row>
    <row r="326" spans="1:9" x14ac:dyDescent="0.2">
      <c r="A326" s="910" t="str">
        <f>FIXED('Balance N-1'!A326,0,1)</f>
        <v>0</v>
      </c>
      <c r="B326" s="572">
        <f>+'Balance N-1'!B326</f>
        <v>0</v>
      </c>
      <c r="C326" s="679" t="e">
        <f>ROUND('Balance N-1'!#REF!,2)</f>
        <v>#REF!</v>
      </c>
      <c r="D326" s="679" t="e">
        <f>ROUND('Balance N-1'!#REF!,2)</f>
        <v>#REF!</v>
      </c>
      <c r="E326" s="679">
        <f>ROUND('Balance N-1'!C326,2)</f>
        <v>0</v>
      </c>
      <c r="F326" s="679">
        <f>ROUND('Balance N-1'!D326,2)</f>
        <v>0</v>
      </c>
      <c r="G326" s="679">
        <f>ROUND('Balance N-1'!E326,2)</f>
        <v>0</v>
      </c>
      <c r="H326" s="679">
        <f>ROUND('Balance N-1'!F326,2)</f>
        <v>0</v>
      </c>
      <c r="I326" s="2" t="str">
        <f t="shared" si="8"/>
        <v>0</v>
      </c>
    </row>
    <row r="327" spans="1:9" x14ac:dyDescent="0.2">
      <c r="A327" s="910" t="str">
        <f>FIXED('Balance N-1'!A327,0,1)</f>
        <v>0</v>
      </c>
      <c r="B327" s="572">
        <f>+'Balance N-1'!B327</f>
        <v>0</v>
      </c>
      <c r="C327" s="679" t="e">
        <f>ROUND('Balance N-1'!#REF!,2)</f>
        <v>#REF!</v>
      </c>
      <c r="D327" s="679" t="e">
        <f>ROUND('Balance N-1'!#REF!,2)</f>
        <v>#REF!</v>
      </c>
      <c r="E327" s="679">
        <f>ROUND('Balance N-1'!C327,2)</f>
        <v>0</v>
      </c>
      <c r="F327" s="679">
        <f>ROUND('Balance N-1'!D327,2)</f>
        <v>0</v>
      </c>
      <c r="G327" s="679">
        <f>ROUND('Balance N-1'!E327,2)</f>
        <v>0</v>
      </c>
      <c r="H327" s="679">
        <f>ROUND('Balance N-1'!F327,2)</f>
        <v>0</v>
      </c>
      <c r="I327" s="2" t="str">
        <f t="shared" si="8"/>
        <v>0</v>
      </c>
    </row>
    <row r="328" spans="1:9" x14ac:dyDescent="0.2">
      <c r="A328" s="910" t="str">
        <f>FIXED('Balance N-1'!A328,0,1)</f>
        <v>0</v>
      </c>
      <c r="B328" s="572">
        <f>+'Balance N-1'!B328</f>
        <v>0</v>
      </c>
      <c r="C328" s="679" t="e">
        <f>ROUND('Balance N-1'!#REF!,2)</f>
        <v>#REF!</v>
      </c>
      <c r="D328" s="679" t="e">
        <f>ROUND('Balance N-1'!#REF!,2)</f>
        <v>#REF!</v>
      </c>
      <c r="E328" s="679">
        <f>ROUND('Balance N-1'!C328,2)</f>
        <v>0</v>
      </c>
      <c r="F328" s="679">
        <f>ROUND('Balance N-1'!D328,2)</f>
        <v>0</v>
      </c>
      <c r="G328" s="679">
        <f>ROUND('Balance N-1'!E328,2)</f>
        <v>0</v>
      </c>
      <c r="H328" s="679">
        <f>ROUND('Balance N-1'!F328,2)</f>
        <v>0</v>
      </c>
      <c r="I328" s="2" t="str">
        <f t="shared" si="8"/>
        <v>0</v>
      </c>
    </row>
    <row r="329" spans="1:9" x14ac:dyDescent="0.2">
      <c r="A329" s="910" t="str">
        <f>FIXED('Balance N-1'!A329,0,1)</f>
        <v>0</v>
      </c>
      <c r="B329" s="572">
        <f>+'Balance N-1'!B329</f>
        <v>0</v>
      </c>
      <c r="C329" s="679" t="e">
        <f>ROUND('Balance N-1'!#REF!,2)</f>
        <v>#REF!</v>
      </c>
      <c r="D329" s="679" t="e">
        <f>ROUND('Balance N-1'!#REF!,2)</f>
        <v>#REF!</v>
      </c>
      <c r="E329" s="679">
        <f>ROUND('Balance N-1'!C329,2)</f>
        <v>0</v>
      </c>
      <c r="F329" s="679">
        <f>ROUND('Balance N-1'!D329,2)</f>
        <v>0</v>
      </c>
      <c r="G329" s="679">
        <f>ROUND('Balance N-1'!E329,2)</f>
        <v>0</v>
      </c>
      <c r="H329" s="679">
        <f>ROUND('Balance N-1'!F329,2)</f>
        <v>0</v>
      </c>
      <c r="I329" s="2" t="str">
        <f t="shared" si="8"/>
        <v>0</v>
      </c>
    </row>
    <row r="330" spans="1:9" x14ac:dyDescent="0.2">
      <c r="A330" s="910" t="str">
        <f>FIXED('Balance N-1'!A330,0,1)</f>
        <v>0</v>
      </c>
      <c r="B330" s="572">
        <f>+'Balance N-1'!B330</f>
        <v>0</v>
      </c>
      <c r="C330" s="679" t="e">
        <f>ROUND('Balance N-1'!#REF!,2)</f>
        <v>#REF!</v>
      </c>
      <c r="D330" s="679" t="e">
        <f>ROUND('Balance N-1'!#REF!,2)</f>
        <v>#REF!</v>
      </c>
      <c r="E330" s="679">
        <f>ROUND('Balance N-1'!C330,2)</f>
        <v>0</v>
      </c>
      <c r="F330" s="679">
        <f>ROUND('Balance N-1'!D330,2)</f>
        <v>0</v>
      </c>
      <c r="G330" s="679">
        <f>ROUND('Balance N-1'!E330,2)</f>
        <v>0</v>
      </c>
      <c r="H330" s="679">
        <f>ROUND('Balance N-1'!F330,2)</f>
        <v>0</v>
      </c>
      <c r="I330" s="2" t="str">
        <f t="shared" si="8"/>
        <v>0</v>
      </c>
    </row>
    <row r="331" spans="1:9" x14ac:dyDescent="0.2">
      <c r="A331" s="910" t="str">
        <f>FIXED('Balance N-1'!A331,0,1)</f>
        <v>0</v>
      </c>
      <c r="B331" s="572">
        <f>+'Balance N-1'!B331</f>
        <v>0</v>
      </c>
      <c r="C331" s="679" t="e">
        <f>ROUND('Balance N-1'!#REF!,2)</f>
        <v>#REF!</v>
      </c>
      <c r="D331" s="679" t="e">
        <f>ROUND('Balance N-1'!#REF!,2)</f>
        <v>#REF!</v>
      </c>
      <c r="E331" s="679">
        <f>ROUND('Balance N-1'!C331,2)</f>
        <v>0</v>
      </c>
      <c r="F331" s="679">
        <f>ROUND('Balance N-1'!D331,2)</f>
        <v>0</v>
      </c>
      <c r="G331" s="679">
        <f>ROUND('Balance N-1'!E331,2)</f>
        <v>0</v>
      </c>
      <c r="H331" s="679">
        <f>ROUND('Balance N-1'!F331,2)</f>
        <v>0</v>
      </c>
      <c r="I331" s="2" t="str">
        <f t="shared" si="8"/>
        <v>0</v>
      </c>
    </row>
    <row r="332" spans="1:9" x14ac:dyDescent="0.2">
      <c r="A332" s="910" t="str">
        <f>FIXED('Balance N-1'!A332,0,1)</f>
        <v>0</v>
      </c>
      <c r="B332" s="572">
        <f>+'Balance N-1'!B332</f>
        <v>0</v>
      </c>
      <c r="C332" s="679" t="e">
        <f>ROUND('Balance N-1'!#REF!,2)</f>
        <v>#REF!</v>
      </c>
      <c r="D332" s="679" t="e">
        <f>ROUND('Balance N-1'!#REF!,2)</f>
        <v>#REF!</v>
      </c>
      <c r="E332" s="679">
        <f>ROUND('Balance N-1'!C332,2)</f>
        <v>0</v>
      </c>
      <c r="F332" s="679">
        <f>ROUND('Balance N-1'!D332,2)</f>
        <v>0</v>
      </c>
      <c r="G332" s="679">
        <f>ROUND('Balance N-1'!E332,2)</f>
        <v>0</v>
      </c>
      <c r="H332" s="679">
        <f>ROUND('Balance N-1'!F332,2)</f>
        <v>0</v>
      </c>
      <c r="I332" s="2" t="str">
        <f t="shared" si="8"/>
        <v>0</v>
      </c>
    </row>
    <row r="333" spans="1:9" x14ac:dyDescent="0.2">
      <c r="A333" s="910" t="str">
        <f>FIXED('Balance N-1'!A333,0,1)</f>
        <v>0</v>
      </c>
      <c r="B333" s="572">
        <f>+'Balance N-1'!B333</f>
        <v>0</v>
      </c>
      <c r="C333" s="679" t="e">
        <f>ROUND('Balance N-1'!#REF!,2)</f>
        <v>#REF!</v>
      </c>
      <c r="D333" s="679" t="e">
        <f>ROUND('Balance N-1'!#REF!,2)</f>
        <v>#REF!</v>
      </c>
      <c r="E333" s="679">
        <f>ROUND('Balance N-1'!C333,2)</f>
        <v>0</v>
      </c>
      <c r="F333" s="679">
        <f>ROUND('Balance N-1'!D333,2)</f>
        <v>0</v>
      </c>
      <c r="G333" s="679">
        <f>ROUND('Balance N-1'!E333,2)</f>
        <v>0</v>
      </c>
      <c r="H333" s="679">
        <f>ROUND('Balance N-1'!F333,2)</f>
        <v>0</v>
      </c>
      <c r="I333" s="2" t="str">
        <f t="shared" si="8"/>
        <v>0</v>
      </c>
    </row>
    <row r="334" spans="1:9" x14ac:dyDescent="0.2">
      <c r="A334" s="910" t="str">
        <f>FIXED('Balance N-1'!A334,0,1)</f>
        <v>0</v>
      </c>
      <c r="B334" s="572">
        <f>+'Balance N-1'!B334</f>
        <v>0</v>
      </c>
      <c r="C334" s="679" t="e">
        <f>ROUND('Balance N-1'!#REF!,2)</f>
        <v>#REF!</v>
      </c>
      <c r="D334" s="679" t="e">
        <f>ROUND('Balance N-1'!#REF!,2)</f>
        <v>#REF!</v>
      </c>
      <c r="E334" s="679">
        <f>ROUND('Balance N-1'!C334,2)</f>
        <v>0</v>
      </c>
      <c r="F334" s="679">
        <f>ROUND('Balance N-1'!D334,2)</f>
        <v>0</v>
      </c>
      <c r="G334" s="679">
        <f>ROUND('Balance N-1'!E334,2)</f>
        <v>0</v>
      </c>
      <c r="H334" s="679">
        <f>ROUND('Balance N-1'!F334,2)</f>
        <v>0</v>
      </c>
      <c r="I334" s="2" t="str">
        <f t="shared" si="8"/>
        <v>0</v>
      </c>
    </row>
    <row r="335" spans="1:9" x14ac:dyDescent="0.2">
      <c r="A335" s="910" t="str">
        <f>FIXED('Balance N-1'!A335,0,1)</f>
        <v>0</v>
      </c>
      <c r="B335" s="572">
        <f>+'Balance N-1'!B335</f>
        <v>0</v>
      </c>
      <c r="C335" s="679" t="e">
        <f>ROUND('Balance N-1'!#REF!,2)</f>
        <v>#REF!</v>
      </c>
      <c r="D335" s="679" t="e">
        <f>ROUND('Balance N-1'!#REF!,2)</f>
        <v>#REF!</v>
      </c>
      <c r="E335" s="679">
        <f>ROUND('Balance N-1'!C335,2)</f>
        <v>0</v>
      </c>
      <c r="F335" s="679">
        <f>ROUND('Balance N-1'!D335,2)</f>
        <v>0</v>
      </c>
      <c r="G335" s="679">
        <f>ROUND('Balance N-1'!E335,2)</f>
        <v>0</v>
      </c>
      <c r="H335" s="679">
        <f>ROUND('Balance N-1'!F335,2)</f>
        <v>0</v>
      </c>
      <c r="I335" s="2" t="str">
        <f t="shared" si="8"/>
        <v>0</v>
      </c>
    </row>
    <row r="336" spans="1:9" x14ac:dyDescent="0.2">
      <c r="A336" s="910" t="str">
        <f>FIXED('Balance N-1'!A336,0,1)</f>
        <v>0</v>
      </c>
      <c r="B336" s="572">
        <f>+'Balance N-1'!B336</f>
        <v>0</v>
      </c>
      <c r="C336" s="679" t="e">
        <f>ROUND('Balance N-1'!#REF!,2)</f>
        <v>#REF!</v>
      </c>
      <c r="D336" s="679" t="e">
        <f>ROUND('Balance N-1'!#REF!,2)</f>
        <v>#REF!</v>
      </c>
      <c r="E336" s="679">
        <f>ROUND('Balance N-1'!C336,2)</f>
        <v>0</v>
      </c>
      <c r="F336" s="679">
        <f>ROUND('Balance N-1'!D336,2)</f>
        <v>0</v>
      </c>
      <c r="G336" s="679">
        <f>ROUND('Balance N-1'!E336,2)</f>
        <v>0</v>
      </c>
      <c r="H336" s="679">
        <f>ROUND('Balance N-1'!F336,2)</f>
        <v>0</v>
      </c>
      <c r="I336" s="2" t="str">
        <f t="shared" si="8"/>
        <v>0</v>
      </c>
    </row>
    <row r="337" spans="1:9" x14ac:dyDescent="0.2">
      <c r="A337" s="910" t="str">
        <f>FIXED('Balance N-1'!A337,0,1)</f>
        <v>0</v>
      </c>
      <c r="B337" s="572">
        <f>+'Balance N-1'!B337</f>
        <v>0</v>
      </c>
      <c r="C337" s="679" t="e">
        <f>ROUND('Balance N-1'!#REF!,2)</f>
        <v>#REF!</v>
      </c>
      <c r="D337" s="679" t="e">
        <f>ROUND('Balance N-1'!#REF!,2)</f>
        <v>#REF!</v>
      </c>
      <c r="E337" s="679">
        <f>ROUND('Balance N-1'!C337,2)</f>
        <v>0</v>
      </c>
      <c r="F337" s="679">
        <f>ROUND('Balance N-1'!D337,2)</f>
        <v>0</v>
      </c>
      <c r="G337" s="679">
        <f>ROUND('Balance N-1'!E337,2)</f>
        <v>0</v>
      </c>
      <c r="H337" s="679">
        <f>ROUND('Balance N-1'!F337,2)</f>
        <v>0</v>
      </c>
      <c r="I337" s="2" t="str">
        <f t="shared" si="8"/>
        <v>0</v>
      </c>
    </row>
    <row r="338" spans="1:9" x14ac:dyDescent="0.2">
      <c r="A338" s="910" t="str">
        <f>FIXED('Balance N-1'!A338,0,1)</f>
        <v>0</v>
      </c>
      <c r="B338" s="572">
        <f>+'Balance N-1'!B338</f>
        <v>0</v>
      </c>
      <c r="C338" s="679" t="e">
        <f>ROUND('Balance N-1'!#REF!,2)</f>
        <v>#REF!</v>
      </c>
      <c r="D338" s="679" t="e">
        <f>ROUND('Balance N-1'!#REF!,2)</f>
        <v>#REF!</v>
      </c>
      <c r="E338" s="679">
        <f>ROUND('Balance N-1'!C338,2)</f>
        <v>0</v>
      </c>
      <c r="F338" s="679">
        <f>ROUND('Balance N-1'!D338,2)</f>
        <v>0</v>
      </c>
      <c r="G338" s="679">
        <f>ROUND('Balance N-1'!E338,2)</f>
        <v>0</v>
      </c>
      <c r="H338" s="679">
        <f>ROUND('Balance N-1'!F338,2)</f>
        <v>0</v>
      </c>
      <c r="I338" s="2" t="str">
        <f t="shared" si="8"/>
        <v>0</v>
      </c>
    </row>
    <row r="339" spans="1:9" x14ac:dyDescent="0.2">
      <c r="A339" s="910" t="str">
        <f>FIXED('Balance N-1'!A339,0,1)</f>
        <v>0</v>
      </c>
      <c r="B339" s="572">
        <f>+'Balance N-1'!B339</f>
        <v>0</v>
      </c>
      <c r="C339" s="679" t="e">
        <f>ROUND('Balance N-1'!#REF!,2)</f>
        <v>#REF!</v>
      </c>
      <c r="D339" s="679" t="e">
        <f>ROUND('Balance N-1'!#REF!,2)</f>
        <v>#REF!</v>
      </c>
      <c r="E339" s="679">
        <f>ROUND('Balance N-1'!C339,2)</f>
        <v>0</v>
      </c>
      <c r="F339" s="679">
        <f>ROUND('Balance N-1'!D339,2)</f>
        <v>0</v>
      </c>
      <c r="G339" s="679">
        <f>ROUND('Balance N-1'!E339,2)</f>
        <v>0</v>
      </c>
      <c r="H339" s="679">
        <f>ROUND('Balance N-1'!F339,2)</f>
        <v>0</v>
      </c>
      <c r="I339" s="2" t="str">
        <f t="shared" si="8"/>
        <v>0</v>
      </c>
    </row>
    <row r="340" spans="1:9" x14ac:dyDescent="0.2">
      <c r="A340" s="910" t="str">
        <f>FIXED('Balance N-1'!A340,0,1)</f>
        <v>0</v>
      </c>
      <c r="B340" s="572">
        <f>+'Balance N-1'!B340</f>
        <v>0</v>
      </c>
      <c r="C340" s="679" t="e">
        <f>ROUND('Balance N-1'!#REF!,2)</f>
        <v>#REF!</v>
      </c>
      <c r="D340" s="679" t="e">
        <f>ROUND('Balance N-1'!#REF!,2)</f>
        <v>#REF!</v>
      </c>
      <c r="E340" s="679">
        <f>ROUND('Balance N-1'!C340,2)</f>
        <v>0</v>
      </c>
      <c r="F340" s="679">
        <f>ROUND('Balance N-1'!D340,2)</f>
        <v>0</v>
      </c>
      <c r="G340" s="679">
        <f>ROUND('Balance N-1'!E340,2)</f>
        <v>0</v>
      </c>
      <c r="H340" s="679">
        <f>ROUND('Balance N-1'!F340,2)</f>
        <v>0</v>
      </c>
      <c r="I340" s="2" t="str">
        <f t="shared" si="8"/>
        <v>0</v>
      </c>
    </row>
    <row r="341" spans="1:9" x14ac:dyDescent="0.2">
      <c r="A341" s="910" t="str">
        <f>FIXED('Balance N-1'!A341,0,1)</f>
        <v>0</v>
      </c>
      <c r="B341" s="572">
        <f>+'Balance N-1'!B341</f>
        <v>0</v>
      </c>
      <c r="C341" s="679" t="e">
        <f>ROUND('Balance N-1'!#REF!,2)</f>
        <v>#REF!</v>
      </c>
      <c r="D341" s="679" t="e">
        <f>ROUND('Balance N-1'!#REF!,2)</f>
        <v>#REF!</v>
      </c>
      <c r="E341" s="679">
        <f>ROUND('Balance N-1'!C341,2)</f>
        <v>0</v>
      </c>
      <c r="F341" s="679">
        <f>ROUND('Balance N-1'!D341,2)</f>
        <v>0</v>
      </c>
      <c r="G341" s="679">
        <f>ROUND('Balance N-1'!E341,2)</f>
        <v>0</v>
      </c>
      <c r="H341" s="679">
        <f>ROUND('Balance N-1'!F341,2)</f>
        <v>0</v>
      </c>
      <c r="I341" s="2" t="str">
        <f t="shared" si="8"/>
        <v>0</v>
      </c>
    </row>
    <row r="342" spans="1:9" x14ac:dyDescent="0.2">
      <c r="A342" s="910" t="str">
        <f>FIXED('Balance N-1'!A342,0,1)</f>
        <v>0</v>
      </c>
      <c r="B342" s="572">
        <f>+'Balance N-1'!B342</f>
        <v>0</v>
      </c>
      <c r="C342" s="679" t="e">
        <f>ROUND('Balance N-1'!#REF!,2)</f>
        <v>#REF!</v>
      </c>
      <c r="D342" s="679" t="e">
        <f>ROUND('Balance N-1'!#REF!,2)</f>
        <v>#REF!</v>
      </c>
      <c r="E342" s="679">
        <f>ROUND('Balance N-1'!C342,2)</f>
        <v>0</v>
      </c>
      <c r="F342" s="679">
        <f>ROUND('Balance N-1'!D342,2)</f>
        <v>0</v>
      </c>
      <c r="G342" s="679">
        <f>ROUND('Balance N-1'!E342,2)</f>
        <v>0</v>
      </c>
      <c r="H342" s="679">
        <f>ROUND('Balance N-1'!F342,2)</f>
        <v>0</v>
      </c>
      <c r="I342" s="2" t="str">
        <f t="shared" si="8"/>
        <v>0</v>
      </c>
    </row>
    <row r="343" spans="1:9" x14ac:dyDescent="0.2">
      <c r="A343" s="910" t="str">
        <f>FIXED('Balance N-1'!A343,0,1)</f>
        <v>0</v>
      </c>
      <c r="B343" s="572">
        <f>+'Balance N-1'!B343</f>
        <v>0</v>
      </c>
      <c r="C343" s="679" t="e">
        <f>ROUND('Balance N-1'!#REF!,2)</f>
        <v>#REF!</v>
      </c>
      <c r="D343" s="679" t="e">
        <f>ROUND('Balance N-1'!#REF!,2)</f>
        <v>#REF!</v>
      </c>
      <c r="E343" s="679">
        <f>ROUND('Balance N-1'!C343,2)</f>
        <v>0</v>
      </c>
      <c r="F343" s="679">
        <f>ROUND('Balance N-1'!D343,2)</f>
        <v>0</v>
      </c>
      <c r="G343" s="679">
        <f>ROUND('Balance N-1'!E343,2)</f>
        <v>0</v>
      </c>
      <c r="H343" s="679">
        <f>ROUND('Balance N-1'!F343,2)</f>
        <v>0</v>
      </c>
      <c r="I343" s="2" t="str">
        <f t="shared" si="8"/>
        <v>0</v>
      </c>
    </row>
    <row r="344" spans="1:9" x14ac:dyDescent="0.2">
      <c r="A344" s="910" t="str">
        <f>FIXED('Balance N-1'!A344,0,1)</f>
        <v>0</v>
      </c>
      <c r="B344" s="572">
        <f>+'Balance N-1'!B344</f>
        <v>0</v>
      </c>
      <c r="C344" s="679" t="e">
        <f>ROUND('Balance N-1'!#REF!,2)</f>
        <v>#REF!</v>
      </c>
      <c r="D344" s="679" t="e">
        <f>ROUND('Balance N-1'!#REF!,2)</f>
        <v>#REF!</v>
      </c>
      <c r="E344" s="679">
        <f>ROUND('Balance N-1'!C344,2)</f>
        <v>0</v>
      </c>
      <c r="F344" s="679">
        <f>ROUND('Balance N-1'!D344,2)</f>
        <v>0</v>
      </c>
      <c r="G344" s="679">
        <f>ROUND('Balance N-1'!E344,2)</f>
        <v>0</v>
      </c>
      <c r="H344" s="679">
        <f>ROUND('Balance N-1'!F344,2)</f>
        <v>0</v>
      </c>
      <c r="I344" s="2" t="str">
        <f t="shared" si="8"/>
        <v>0</v>
      </c>
    </row>
    <row r="345" spans="1:9" x14ac:dyDescent="0.2">
      <c r="A345" s="910" t="str">
        <f>FIXED('Balance N-1'!A345,0,1)</f>
        <v>0</v>
      </c>
      <c r="B345" s="572">
        <f>+'Balance N-1'!B345</f>
        <v>0</v>
      </c>
      <c r="C345" s="679" t="e">
        <f>ROUND('Balance N-1'!#REF!,2)</f>
        <v>#REF!</v>
      </c>
      <c r="D345" s="679" t="e">
        <f>ROUND('Balance N-1'!#REF!,2)</f>
        <v>#REF!</v>
      </c>
      <c r="E345" s="679">
        <f>ROUND('Balance N-1'!C345,2)</f>
        <v>0</v>
      </c>
      <c r="F345" s="679">
        <f>ROUND('Balance N-1'!D345,2)</f>
        <v>0</v>
      </c>
      <c r="G345" s="679">
        <f>ROUND('Balance N-1'!E345,2)</f>
        <v>0</v>
      </c>
      <c r="H345" s="679">
        <f>ROUND('Balance N-1'!F345,2)</f>
        <v>0</v>
      </c>
      <c r="I345" s="2" t="str">
        <f t="shared" si="8"/>
        <v>0</v>
      </c>
    </row>
    <row r="346" spans="1:9" x14ac:dyDescent="0.2">
      <c r="A346" s="910" t="str">
        <f>FIXED('Balance N-1'!A346,0,1)</f>
        <v>0</v>
      </c>
      <c r="B346" s="572">
        <f>+'Balance N-1'!B346</f>
        <v>0</v>
      </c>
      <c r="C346" s="679" t="e">
        <f>ROUND('Balance N-1'!#REF!,2)</f>
        <v>#REF!</v>
      </c>
      <c r="D346" s="679" t="e">
        <f>ROUND('Balance N-1'!#REF!,2)</f>
        <v>#REF!</v>
      </c>
      <c r="E346" s="679">
        <f>ROUND('Balance N-1'!C346,2)</f>
        <v>0</v>
      </c>
      <c r="F346" s="679">
        <f>ROUND('Balance N-1'!D346,2)</f>
        <v>0</v>
      </c>
      <c r="G346" s="679">
        <f>ROUND('Balance N-1'!E346,2)</f>
        <v>0</v>
      </c>
      <c r="H346" s="679">
        <f>ROUND('Balance N-1'!F346,2)</f>
        <v>0</v>
      </c>
      <c r="I346" s="2" t="str">
        <f t="shared" si="8"/>
        <v>0</v>
      </c>
    </row>
    <row r="347" spans="1:9" x14ac:dyDescent="0.2">
      <c r="A347" s="910" t="str">
        <f>FIXED('Balance N-1'!A347,0,1)</f>
        <v>0</v>
      </c>
      <c r="B347" s="572">
        <f>+'Balance N-1'!B347</f>
        <v>0</v>
      </c>
      <c r="C347" s="679" t="e">
        <f>ROUND('Balance N-1'!#REF!,2)</f>
        <v>#REF!</v>
      </c>
      <c r="D347" s="679" t="e">
        <f>ROUND('Balance N-1'!#REF!,2)</f>
        <v>#REF!</v>
      </c>
      <c r="E347" s="679">
        <f>ROUND('Balance N-1'!C347,2)</f>
        <v>0</v>
      </c>
      <c r="F347" s="679">
        <f>ROUND('Balance N-1'!D347,2)</f>
        <v>0</v>
      </c>
      <c r="G347" s="679">
        <f>ROUND('Balance N-1'!E347,2)</f>
        <v>0</v>
      </c>
      <c r="H347" s="679">
        <f>ROUND('Balance N-1'!F347,2)</f>
        <v>0</v>
      </c>
      <c r="I347" s="2" t="str">
        <f t="shared" si="8"/>
        <v>0</v>
      </c>
    </row>
    <row r="348" spans="1:9" x14ac:dyDescent="0.2">
      <c r="A348" s="910" t="str">
        <f>FIXED('Balance N-1'!A348,0,1)</f>
        <v>0</v>
      </c>
      <c r="B348" s="572">
        <f>+'Balance N-1'!B348</f>
        <v>0</v>
      </c>
      <c r="C348" s="679" t="e">
        <f>ROUND('Balance N-1'!#REF!,2)</f>
        <v>#REF!</v>
      </c>
      <c r="D348" s="679" t="e">
        <f>ROUND('Balance N-1'!#REF!,2)</f>
        <v>#REF!</v>
      </c>
      <c r="E348" s="679">
        <f>ROUND('Balance N-1'!C348,2)</f>
        <v>0</v>
      </c>
      <c r="F348" s="679">
        <f>ROUND('Balance N-1'!D348,2)</f>
        <v>0</v>
      </c>
      <c r="G348" s="679">
        <f>ROUND('Balance N-1'!E348,2)</f>
        <v>0</v>
      </c>
      <c r="H348" s="679">
        <f>ROUND('Balance N-1'!F348,2)</f>
        <v>0</v>
      </c>
      <c r="I348" s="2" t="str">
        <f t="shared" si="8"/>
        <v>0</v>
      </c>
    </row>
    <row r="349" spans="1:9" x14ac:dyDescent="0.2">
      <c r="A349" s="910" t="str">
        <f>FIXED('Balance N-1'!A349,0,1)</f>
        <v>0</v>
      </c>
      <c r="B349" s="572">
        <f>+'Balance N-1'!B349</f>
        <v>0</v>
      </c>
      <c r="C349" s="679" t="e">
        <f>ROUND('Balance N-1'!#REF!,2)</f>
        <v>#REF!</v>
      </c>
      <c r="D349" s="679" t="e">
        <f>ROUND('Balance N-1'!#REF!,2)</f>
        <v>#REF!</v>
      </c>
      <c r="E349" s="679">
        <f>ROUND('Balance N-1'!C349,2)</f>
        <v>0</v>
      </c>
      <c r="F349" s="679">
        <f>ROUND('Balance N-1'!D349,2)</f>
        <v>0</v>
      </c>
      <c r="G349" s="679">
        <f>ROUND('Balance N-1'!E349,2)</f>
        <v>0</v>
      </c>
      <c r="H349" s="679">
        <f>ROUND('Balance N-1'!F349,2)</f>
        <v>0</v>
      </c>
      <c r="I349" s="2" t="str">
        <f t="shared" si="8"/>
        <v>0</v>
      </c>
    </row>
    <row r="350" spans="1:9" x14ac:dyDescent="0.2">
      <c r="A350" s="910" t="str">
        <f>FIXED('Balance N-1'!A350,0,1)</f>
        <v>0</v>
      </c>
      <c r="B350" s="572">
        <f>+'Balance N-1'!B350</f>
        <v>0</v>
      </c>
      <c r="C350" s="679" t="e">
        <f>ROUND('Balance N-1'!#REF!,2)</f>
        <v>#REF!</v>
      </c>
      <c r="D350" s="679" t="e">
        <f>ROUND('Balance N-1'!#REF!,2)</f>
        <v>#REF!</v>
      </c>
      <c r="E350" s="679">
        <f>ROUND('Balance N-1'!C350,2)</f>
        <v>0</v>
      </c>
      <c r="F350" s="679">
        <f>ROUND('Balance N-1'!D350,2)</f>
        <v>0</v>
      </c>
      <c r="G350" s="679">
        <f>ROUND('Balance N-1'!E350,2)</f>
        <v>0</v>
      </c>
      <c r="H350" s="679">
        <f>ROUND('Balance N-1'!F350,2)</f>
        <v>0</v>
      </c>
      <c r="I350" s="2" t="str">
        <f t="shared" si="8"/>
        <v>0</v>
      </c>
    </row>
    <row r="351" spans="1:9" x14ac:dyDescent="0.2">
      <c r="A351" s="910" t="str">
        <f>FIXED('Balance N-1'!A351,0,1)</f>
        <v>0</v>
      </c>
      <c r="B351" s="572">
        <f>+'Balance N-1'!B351</f>
        <v>0</v>
      </c>
      <c r="C351" s="679" t="e">
        <f>ROUND('Balance N-1'!#REF!,2)</f>
        <v>#REF!</v>
      </c>
      <c r="D351" s="679" t="e">
        <f>ROUND('Balance N-1'!#REF!,2)</f>
        <v>#REF!</v>
      </c>
      <c r="E351" s="679">
        <f>ROUND('Balance N-1'!C351,2)</f>
        <v>0</v>
      </c>
      <c r="F351" s="679">
        <f>ROUND('Balance N-1'!D351,2)</f>
        <v>0</v>
      </c>
      <c r="G351" s="679">
        <f>ROUND('Balance N-1'!E351,2)</f>
        <v>0</v>
      </c>
      <c r="H351" s="679">
        <f>ROUND('Balance N-1'!F351,2)</f>
        <v>0</v>
      </c>
      <c r="I351" s="2" t="str">
        <f t="shared" si="8"/>
        <v>0</v>
      </c>
    </row>
    <row r="352" spans="1:9" x14ac:dyDescent="0.2">
      <c r="A352" s="910" t="str">
        <f>FIXED('Balance N-1'!A352,0,1)</f>
        <v>0</v>
      </c>
      <c r="B352" s="572">
        <f>+'Balance N-1'!B352</f>
        <v>0</v>
      </c>
      <c r="C352" s="679" t="e">
        <f>ROUND('Balance N-1'!#REF!,2)</f>
        <v>#REF!</v>
      </c>
      <c r="D352" s="679" t="e">
        <f>ROUND('Balance N-1'!#REF!,2)</f>
        <v>#REF!</v>
      </c>
      <c r="E352" s="679">
        <f>ROUND('Balance N-1'!C352,2)</f>
        <v>0</v>
      </c>
      <c r="F352" s="679">
        <f>ROUND('Balance N-1'!D352,2)</f>
        <v>0</v>
      </c>
      <c r="G352" s="679">
        <f>ROUND('Balance N-1'!E352,2)</f>
        <v>0</v>
      </c>
      <c r="H352" s="679">
        <f>ROUND('Balance N-1'!F352,2)</f>
        <v>0</v>
      </c>
      <c r="I352" s="2" t="str">
        <f t="shared" si="8"/>
        <v>0</v>
      </c>
    </row>
    <row r="353" spans="1:9" x14ac:dyDescent="0.2">
      <c r="A353" s="910" t="str">
        <f>FIXED('Balance N-1'!A353,0,1)</f>
        <v>0</v>
      </c>
      <c r="B353" s="572">
        <f>+'Balance N-1'!B353</f>
        <v>0</v>
      </c>
      <c r="C353" s="679" t="e">
        <f>ROUND('Balance N-1'!#REF!,2)</f>
        <v>#REF!</v>
      </c>
      <c r="D353" s="679" t="e">
        <f>ROUND('Balance N-1'!#REF!,2)</f>
        <v>#REF!</v>
      </c>
      <c r="E353" s="679">
        <f>ROUND('Balance N-1'!C353,2)</f>
        <v>0</v>
      </c>
      <c r="F353" s="679">
        <f>ROUND('Balance N-1'!D353,2)</f>
        <v>0</v>
      </c>
      <c r="G353" s="679">
        <f>ROUND('Balance N-1'!E353,2)</f>
        <v>0</v>
      </c>
      <c r="H353" s="679">
        <f>ROUND('Balance N-1'!F353,2)</f>
        <v>0</v>
      </c>
      <c r="I353" s="2" t="str">
        <f t="shared" si="8"/>
        <v>0</v>
      </c>
    </row>
    <row r="354" spans="1:9" x14ac:dyDescent="0.2">
      <c r="A354" s="910" t="str">
        <f>FIXED('Balance N-1'!A354,0,1)</f>
        <v>0</v>
      </c>
      <c r="B354" s="572">
        <f>+'Balance N-1'!B354</f>
        <v>0</v>
      </c>
      <c r="C354" s="679" t="e">
        <f>ROUND('Balance N-1'!#REF!,2)</f>
        <v>#REF!</v>
      </c>
      <c r="D354" s="679" t="e">
        <f>ROUND('Balance N-1'!#REF!,2)</f>
        <v>#REF!</v>
      </c>
      <c r="E354" s="679">
        <f>ROUND('Balance N-1'!C354,2)</f>
        <v>0</v>
      </c>
      <c r="F354" s="679">
        <f>ROUND('Balance N-1'!D354,2)</f>
        <v>0</v>
      </c>
      <c r="G354" s="679">
        <f>ROUND('Balance N-1'!E354,2)</f>
        <v>0</v>
      </c>
      <c r="H354" s="679">
        <f>ROUND('Balance N-1'!F354,2)</f>
        <v>0</v>
      </c>
      <c r="I354" s="2" t="str">
        <f t="shared" si="8"/>
        <v>0</v>
      </c>
    </row>
    <row r="355" spans="1:9" x14ac:dyDescent="0.2">
      <c r="A355" s="910" t="str">
        <f>FIXED('Balance N-1'!A355,0,1)</f>
        <v>0</v>
      </c>
      <c r="B355" s="572">
        <f>+'Balance N-1'!B355</f>
        <v>0</v>
      </c>
      <c r="C355" s="679" t="e">
        <f>ROUND('Balance N-1'!#REF!,2)</f>
        <v>#REF!</v>
      </c>
      <c r="D355" s="679" t="e">
        <f>ROUND('Balance N-1'!#REF!,2)</f>
        <v>#REF!</v>
      </c>
      <c r="E355" s="679">
        <f>ROUND('Balance N-1'!C355,2)</f>
        <v>0</v>
      </c>
      <c r="F355" s="679">
        <f>ROUND('Balance N-1'!D355,2)</f>
        <v>0</v>
      </c>
      <c r="G355" s="679">
        <f>ROUND('Balance N-1'!E355,2)</f>
        <v>0</v>
      </c>
      <c r="H355" s="679">
        <f>ROUND('Balance N-1'!F355,2)</f>
        <v>0</v>
      </c>
      <c r="I355" s="2" t="str">
        <f t="shared" si="8"/>
        <v>0</v>
      </c>
    </row>
    <row r="356" spans="1:9" x14ac:dyDescent="0.2">
      <c r="A356" s="910" t="str">
        <f>FIXED('Balance N-1'!A356,0,1)</f>
        <v>0</v>
      </c>
      <c r="B356" s="572">
        <f>+'Balance N-1'!B356</f>
        <v>0</v>
      </c>
      <c r="C356" s="679" t="e">
        <f>ROUND('Balance N-1'!#REF!,2)</f>
        <v>#REF!</v>
      </c>
      <c r="D356" s="679" t="e">
        <f>ROUND('Balance N-1'!#REF!,2)</f>
        <v>#REF!</v>
      </c>
      <c r="E356" s="679">
        <f>ROUND('Balance N-1'!C356,2)</f>
        <v>0</v>
      </c>
      <c r="F356" s="679">
        <f>ROUND('Balance N-1'!D356,2)</f>
        <v>0</v>
      </c>
      <c r="G356" s="679">
        <f>ROUND('Balance N-1'!E356,2)</f>
        <v>0</v>
      </c>
      <c r="H356" s="679">
        <f>ROUND('Balance N-1'!F356,2)</f>
        <v>0</v>
      </c>
      <c r="I356" s="2" t="str">
        <f t="shared" si="8"/>
        <v>0</v>
      </c>
    </row>
    <row r="357" spans="1:9" x14ac:dyDescent="0.2">
      <c r="A357" s="910" t="str">
        <f>FIXED('Balance N-1'!A357,0,1)</f>
        <v>0</v>
      </c>
      <c r="B357" s="572">
        <f>+'Balance N-1'!B357</f>
        <v>0</v>
      </c>
      <c r="C357" s="679" t="e">
        <f>ROUND('Balance N-1'!#REF!,2)</f>
        <v>#REF!</v>
      </c>
      <c r="D357" s="679" t="e">
        <f>ROUND('Balance N-1'!#REF!,2)</f>
        <v>#REF!</v>
      </c>
      <c r="E357" s="679">
        <f>ROUND('Balance N-1'!C357,2)</f>
        <v>0</v>
      </c>
      <c r="F357" s="679">
        <f>ROUND('Balance N-1'!D357,2)</f>
        <v>0</v>
      </c>
      <c r="G357" s="679">
        <f>ROUND('Balance N-1'!E357,2)</f>
        <v>0</v>
      </c>
      <c r="H357" s="679">
        <f>ROUND('Balance N-1'!F357,2)</f>
        <v>0</v>
      </c>
      <c r="I357" s="2" t="str">
        <f t="shared" si="8"/>
        <v>0</v>
      </c>
    </row>
    <row r="358" spans="1:9" x14ac:dyDescent="0.2">
      <c r="A358" s="910" t="str">
        <f>FIXED('Balance N-1'!A358,0,1)</f>
        <v>0</v>
      </c>
      <c r="B358" s="572">
        <f>+'Balance N-1'!B358</f>
        <v>0</v>
      </c>
      <c r="C358" s="679" t="e">
        <f>ROUND('Balance N-1'!#REF!,2)</f>
        <v>#REF!</v>
      </c>
      <c r="D358" s="679" t="e">
        <f>ROUND('Balance N-1'!#REF!,2)</f>
        <v>#REF!</v>
      </c>
      <c r="E358" s="679">
        <f>ROUND('Balance N-1'!C358,2)</f>
        <v>0</v>
      </c>
      <c r="F358" s="679">
        <f>ROUND('Balance N-1'!D358,2)</f>
        <v>0</v>
      </c>
      <c r="G358" s="679">
        <f>ROUND('Balance N-1'!E358,2)</f>
        <v>0</v>
      </c>
      <c r="H358" s="679">
        <f>ROUND('Balance N-1'!F358,2)</f>
        <v>0</v>
      </c>
      <c r="I358" s="2" t="str">
        <f t="shared" si="8"/>
        <v>0</v>
      </c>
    </row>
    <row r="359" spans="1:9" x14ac:dyDescent="0.2">
      <c r="A359" s="910" t="str">
        <f>FIXED('Balance N-1'!A359,0,1)</f>
        <v>0</v>
      </c>
      <c r="B359" s="572">
        <f>+'Balance N-1'!B359</f>
        <v>0</v>
      </c>
      <c r="C359" s="679" t="e">
        <f>ROUND('Balance N-1'!#REF!,2)</f>
        <v>#REF!</v>
      </c>
      <c r="D359" s="679" t="e">
        <f>ROUND('Balance N-1'!#REF!,2)</f>
        <v>#REF!</v>
      </c>
      <c r="E359" s="679">
        <f>ROUND('Balance N-1'!C359,2)</f>
        <v>0</v>
      </c>
      <c r="F359" s="679">
        <f>ROUND('Balance N-1'!D359,2)</f>
        <v>0</v>
      </c>
      <c r="G359" s="679">
        <f>ROUND('Balance N-1'!E359,2)</f>
        <v>0</v>
      </c>
      <c r="H359" s="679">
        <f>ROUND('Balance N-1'!F359,2)</f>
        <v>0</v>
      </c>
      <c r="I359" s="2" t="str">
        <f t="shared" si="8"/>
        <v>0</v>
      </c>
    </row>
    <row r="360" spans="1:9" x14ac:dyDescent="0.2">
      <c r="A360" s="910" t="str">
        <f>FIXED('Balance N-1'!A360,0,1)</f>
        <v>0</v>
      </c>
      <c r="B360" s="572">
        <f>+'Balance N-1'!B360</f>
        <v>0</v>
      </c>
      <c r="C360" s="679" t="e">
        <f>ROUND('Balance N-1'!#REF!,2)</f>
        <v>#REF!</v>
      </c>
      <c r="D360" s="679" t="e">
        <f>ROUND('Balance N-1'!#REF!,2)</f>
        <v>#REF!</v>
      </c>
      <c r="E360" s="679">
        <f>ROUND('Balance N-1'!C360,2)</f>
        <v>0</v>
      </c>
      <c r="F360" s="679">
        <f>ROUND('Balance N-1'!D360,2)</f>
        <v>0</v>
      </c>
      <c r="G360" s="679">
        <f>ROUND('Balance N-1'!E360,2)</f>
        <v>0</v>
      </c>
      <c r="H360" s="679">
        <f>ROUND('Balance N-1'!F360,2)</f>
        <v>0</v>
      </c>
      <c r="I360" s="2" t="str">
        <f t="shared" si="8"/>
        <v>0</v>
      </c>
    </row>
    <row r="361" spans="1:9" x14ac:dyDescent="0.2">
      <c r="A361" s="910" t="str">
        <f>FIXED('Balance N-1'!A361,0,1)</f>
        <v>0</v>
      </c>
      <c r="B361" s="572">
        <f>+'Balance N-1'!B361</f>
        <v>0</v>
      </c>
      <c r="C361" s="679" t="e">
        <f>ROUND('Balance N-1'!#REF!,2)</f>
        <v>#REF!</v>
      </c>
      <c r="D361" s="679" t="e">
        <f>ROUND('Balance N-1'!#REF!,2)</f>
        <v>#REF!</v>
      </c>
      <c r="E361" s="679">
        <f>ROUND('Balance N-1'!C361,2)</f>
        <v>0</v>
      </c>
      <c r="F361" s="679">
        <f>ROUND('Balance N-1'!D361,2)</f>
        <v>0</v>
      </c>
      <c r="G361" s="679">
        <f>ROUND('Balance N-1'!E361,2)</f>
        <v>0</v>
      </c>
      <c r="H361" s="679">
        <f>ROUND('Balance N-1'!F361,2)</f>
        <v>0</v>
      </c>
      <c r="I361" s="2" t="str">
        <f t="shared" si="8"/>
        <v>0</v>
      </c>
    </row>
    <row r="362" spans="1:9" x14ac:dyDescent="0.2">
      <c r="A362" s="910" t="str">
        <f>FIXED('Balance N-1'!A362,0,1)</f>
        <v>0</v>
      </c>
      <c r="B362" s="572">
        <f>+'Balance N-1'!B362</f>
        <v>0</v>
      </c>
      <c r="C362" s="679" t="e">
        <f>ROUND('Balance N-1'!#REF!,2)</f>
        <v>#REF!</v>
      </c>
      <c r="D362" s="679" t="e">
        <f>ROUND('Balance N-1'!#REF!,2)</f>
        <v>#REF!</v>
      </c>
      <c r="E362" s="679">
        <f>ROUND('Balance N-1'!C362,2)</f>
        <v>0</v>
      </c>
      <c r="F362" s="679">
        <f>ROUND('Balance N-1'!D362,2)</f>
        <v>0</v>
      </c>
      <c r="G362" s="679">
        <f>ROUND('Balance N-1'!E362,2)</f>
        <v>0</v>
      </c>
      <c r="H362" s="679">
        <f>ROUND('Balance N-1'!F362,2)</f>
        <v>0</v>
      </c>
      <c r="I362" s="2" t="str">
        <f t="shared" si="8"/>
        <v>0</v>
      </c>
    </row>
    <row r="363" spans="1:9" x14ac:dyDescent="0.2">
      <c r="A363" s="910" t="str">
        <f>FIXED('Balance N-1'!A363,0,1)</f>
        <v>0</v>
      </c>
      <c r="B363" s="572">
        <f>+'Balance N-1'!B363</f>
        <v>0</v>
      </c>
      <c r="C363" s="679" t="e">
        <f>ROUND('Balance N-1'!#REF!,2)</f>
        <v>#REF!</v>
      </c>
      <c r="D363" s="679" t="e">
        <f>ROUND('Balance N-1'!#REF!,2)</f>
        <v>#REF!</v>
      </c>
      <c r="E363" s="679">
        <f>ROUND('Balance N-1'!C363,2)</f>
        <v>0</v>
      </c>
      <c r="F363" s="679">
        <f>ROUND('Balance N-1'!D363,2)</f>
        <v>0</v>
      </c>
      <c r="G363" s="679">
        <f>ROUND('Balance N-1'!E363,2)</f>
        <v>0</v>
      </c>
      <c r="H363" s="679">
        <f>ROUND('Balance N-1'!F363,2)</f>
        <v>0</v>
      </c>
      <c r="I363" s="2" t="str">
        <f t="shared" si="8"/>
        <v>0</v>
      </c>
    </row>
    <row r="364" spans="1:9" x14ac:dyDescent="0.2">
      <c r="A364" s="910" t="str">
        <f>FIXED('Balance N-1'!A364,0,1)</f>
        <v>0</v>
      </c>
      <c r="B364" s="572">
        <f>+'Balance N-1'!B364</f>
        <v>0</v>
      </c>
      <c r="C364" s="679" t="e">
        <f>ROUND('Balance N-1'!#REF!,2)</f>
        <v>#REF!</v>
      </c>
      <c r="D364" s="679" t="e">
        <f>ROUND('Balance N-1'!#REF!,2)</f>
        <v>#REF!</v>
      </c>
      <c r="E364" s="679">
        <f>ROUND('Balance N-1'!C364,2)</f>
        <v>0</v>
      </c>
      <c r="F364" s="679">
        <f>ROUND('Balance N-1'!D364,2)</f>
        <v>0</v>
      </c>
      <c r="G364" s="679">
        <f>ROUND('Balance N-1'!E364,2)</f>
        <v>0</v>
      </c>
      <c r="H364" s="679">
        <f>ROUND('Balance N-1'!F364,2)</f>
        <v>0</v>
      </c>
      <c r="I364" s="2" t="str">
        <f t="shared" si="8"/>
        <v>0</v>
      </c>
    </row>
    <row r="365" spans="1:9" x14ac:dyDescent="0.2">
      <c r="A365" s="910" t="str">
        <f>FIXED('Balance N-1'!A365,0,1)</f>
        <v>0</v>
      </c>
      <c r="B365" s="572">
        <f>+'Balance N-1'!B365</f>
        <v>0</v>
      </c>
      <c r="C365" s="679" t="e">
        <f>ROUND('Balance N-1'!#REF!,2)</f>
        <v>#REF!</v>
      </c>
      <c r="D365" s="679" t="e">
        <f>ROUND('Balance N-1'!#REF!,2)</f>
        <v>#REF!</v>
      </c>
      <c r="E365" s="679">
        <f>ROUND('Balance N-1'!C365,2)</f>
        <v>0</v>
      </c>
      <c r="F365" s="679">
        <f>ROUND('Balance N-1'!D365,2)</f>
        <v>0</v>
      </c>
      <c r="G365" s="679">
        <f>ROUND('Balance N-1'!E365,2)</f>
        <v>0</v>
      </c>
      <c r="H365" s="679">
        <f>ROUND('Balance N-1'!F365,2)</f>
        <v>0</v>
      </c>
      <c r="I365" s="2" t="str">
        <f t="shared" si="8"/>
        <v>0</v>
      </c>
    </row>
    <row r="366" spans="1:9" x14ac:dyDescent="0.2">
      <c r="A366" s="910" t="str">
        <f>FIXED('Balance N-1'!A366,0,1)</f>
        <v>0</v>
      </c>
      <c r="B366" s="572">
        <f>+'Balance N-1'!B366</f>
        <v>0</v>
      </c>
      <c r="C366" s="679" t="e">
        <f>ROUND('Balance N-1'!#REF!,2)</f>
        <v>#REF!</v>
      </c>
      <c r="D366" s="679" t="e">
        <f>ROUND('Balance N-1'!#REF!,2)</f>
        <v>#REF!</v>
      </c>
      <c r="E366" s="679">
        <f>ROUND('Balance N-1'!C366,2)</f>
        <v>0</v>
      </c>
      <c r="F366" s="679">
        <f>ROUND('Balance N-1'!D366,2)</f>
        <v>0</v>
      </c>
      <c r="G366" s="679">
        <f>ROUND('Balance N-1'!E366,2)</f>
        <v>0</v>
      </c>
      <c r="H366" s="679">
        <f>ROUND('Balance N-1'!F366,2)</f>
        <v>0</v>
      </c>
      <c r="I366" s="2" t="str">
        <f t="shared" si="8"/>
        <v>0</v>
      </c>
    </row>
    <row r="367" spans="1:9" x14ac:dyDescent="0.2">
      <c r="A367" s="910" t="str">
        <f>FIXED('Balance N-1'!A367,0,1)</f>
        <v>0</v>
      </c>
      <c r="B367" s="572">
        <f>+'Balance N-1'!B367</f>
        <v>0</v>
      </c>
      <c r="C367" s="679" t="e">
        <f>ROUND('Balance N-1'!#REF!,2)</f>
        <v>#REF!</v>
      </c>
      <c r="D367" s="679" t="e">
        <f>ROUND('Balance N-1'!#REF!,2)</f>
        <v>#REF!</v>
      </c>
      <c r="E367" s="679">
        <f>ROUND('Balance N-1'!C367,2)</f>
        <v>0</v>
      </c>
      <c r="F367" s="679">
        <f>ROUND('Balance N-1'!D367,2)</f>
        <v>0</v>
      </c>
      <c r="G367" s="679">
        <f>ROUND('Balance N-1'!E367,2)</f>
        <v>0</v>
      </c>
      <c r="H367" s="679">
        <f>ROUND('Balance N-1'!F367,2)</f>
        <v>0</v>
      </c>
      <c r="I367" s="2" t="str">
        <f t="shared" si="8"/>
        <v>0</v>
      </c>
    </row>
    <row r="368" spans="1:9" x14ac:dyDescent="0.2">
      <c r="A368" s="910" t="str">
        <f>FIXED('Balance N-1'!A368,0,1)</f>
        <v>0</v>
      </c>
      <c r="B368" s="572">
        <f>+'Balance N-1'!B368</f>
        <v>0</v>
      </c>
      <c r="C368" s="679" t="e">
        <f>ROUND('Balance N-1'!#REF!,2)</f>
        <v>#REF!</v>
      </c>
      <c r="D368" s="679" t="e">
        <f>ROUND('Balance N-1'!#REF!,2)</f>
        <v>#REF!</v>
      </c>
      <c r="E368" s="679">
        <f>ROUND('Balance N-1'!C368,2)</f>
        <v>0</v>
      </c>
      <c r="F368" s="679">
        <f>ROUND('Balance N-1'!D368,2)</f>
        <v>0</v>
      </c>
      <c r="G368" s="679">
        <f>ROUND('Balance N-1'!E368,2)</f>
        <v>0</v>
      </c>
      <c r="H368" s="679">
        <f>ROUND('Balance N-1'!F368,2)</f>
        <v>0</v>
      </c>
      <c r="I368" s="2" t="str">
        <f t="shared" si="8"/>
        <v>0</v>
      </c>
    </row>
    <row r="369" spans="1:9" x14ac:dyDescent="0.2">
      <c r="A369" s="910" t="str">
        <f>FIXED('Balance N-1'!A369,0,1)</f>
        <v>0</v>
      </c>
      <c r="B369" s="572">
        <f>+'Balance N-1'!B369</f>
        <v>0</v>
      </c>
      <c r="C369" s="679" t="e">
        <f>ROUND('Balance N-1'!#REF!,2)</f>
        <v>#REF!</v>
      </c>
      <c r="D369" s="679" t="e">
        <f>ROUND('Balance N-1'!#REF!,2)</f>
        <v>#REF!</v>
      </c>
      <c r="E369" s="679">
        <f>ROUND('Balance N-1'!C369,2)</f>
        <v>0</v>
      </c>
      <c r="F369" s="679">
        <f>ROUND('Balance N-1'!D369,2)</f>
        <v>0</v>
      </c>
      <c r="G369" s="679">
        <f>ROUND('Balance N-1'!E369,2)</f>
        <v>0</v>
      </c>
      <c r="H369" s="679">
        <f>ROUND('Balance N-1'!F369,2)</f>
        <v>0</v>
      </c>
      <c r="I369" s="2" t="str">
        <f t="shared" si="8"/>
        <v>0</v>
      </c>
    </row>
    <row r="370" spans="1:9" x14ac:dyDescent="0.2">
      <c r="A370" s="910" t="str">
        <f>FIXED('Balance N-1'!A370,0,1)</f>
        <v>0</v>
      </c>
      <c r="B370" s="572">
        <f>+'Balance N-1'!B370</f>
        <v>0</v>
      </c>
      <c r="C370" s="679" t="e">
        <f>ROUND('Balance N-1'!#REF!,2)</f>
        <v>#REF!</v>
      </c>
      <c r="D370" s="679" t="e">
        <f>ROUND('Balance N-1'!#REF!,2)</f>
        <v>#REF!</v>
      </c>
      <c r="E370" s="679">
        <f>ROUND('Balance N-1'!C370,2)</f>
        <v>0</v>
      </c>
      <c r="F370" s="679">
        <f>ROUND('Balance N-1'!D370,2)</f>
        <v>0</v>
      </c>
      <c r="G370" s="679">
        <f>ROUND('Balance N-1'!E370,2)</f>
        <v>0</v>
      </c>
      <c r="H370" s="679">
        <f>ROUND('Balance N-1'!F370,2)</f>
        <v>0</v>
      </c>
      <c r="I370" s="2" t="str">
        <f t="shared" si="8"/>
        <v>0</v>
      </c>
    </row>
    <row r="371" spans="1:9" x14ac:dyDescent="0.2">
      <c r="A371" s="910" t="str">
        <f>FIXED('Balance N-1'!A371,0,1)</f>
        <v>0</v>
      </c>
      <c r="B371" s="572">
        <f>+'Balance N-1'!B371</f>
        <v>0</v>
      </c>
      <c r="C371" s="679" t="e">
        <f>ROUND('Balance N-1'!#REF!,2)</f>
        <v>#REF!</v>
      </c>
      <c r="D371" s="679" t="e">
        <f>ROUND('Balance N-1'!#REF!,2)</f>
        <v>#REF!</v>
      </c>
      <c r="E371" s="679">
        <f>ROUND('Balance N-1'!C371,2)</f>
        <v>0</v>
      </c>
      <c r="F371" s="679">
        <f>ROUND('Balance N-1'!D371,2)</f>
        <v>0</v>
      </c>
      <c r="G371" s="679">
        <f>ROUND('Balance N-1'!E371,2)</f>
        <v>0</v>
      </c>
      <c r="H371" s="679">
        <f>ROUND('Balance N-1'!F371,2)</f>
        <v>0</v>
      </c>
      <c r="I371" s="2" t="str">
        <f t="shared" si="8"/>
        <v>0</v>
      </c>
    </row>
    <row r="372" spans="1:9" x14ac:dyDescent="0.2">
      <c r="A372" s="910" t="str">
        <f>FIXED('Balance N-1'!A372,0,1)</f>
        <v>0</v>
      </c>
      <c r="B372" s="572">
        <f>+'Balance N-1'!B372</f>
        <v>0</v>
      </c>
      <c r="C372" s="679" t="e">
        <f>ROUND('Balance N-1'!#REF!,2)</f>
        <v>#REF!</v>
      </c>
      <c r="D372" s="679" t="e">
        <f>ROUND('Balance N-1'!#REF!,2)</f>
        <v>#REF!</v>
      </c>
      <c r="E372" s="679">
        <f>ROUND('Balance N-1'!C372,2)</f>
        <v>0</v>
      </c>
      <c r="F372" s="679">
        <f>ROUND('Balance N-1'!D372,2)</f>
        <v>0</v>
      </c>
      <c r="G372" s="679">
        <f>ROUND('Balance N-1'!E372,2)</f>
        <v>0</v>
      </c>
      <c r="H372" s="679">
        <f>ROUND('Balance N-1'!F372,2)</f>
        <v>0</v>
      </c>
      <c r="I372" s="2" t="str">
        <f t="shared" si="8"/>
        <v>0</v>
      </c>
    </row>
    <row r="373" spans="1:9" x14ac:dyDescent="0.2">
      <c r="A373" s="910" t="str">
        <f>FIXED('Balance N-1'!A373,0,1)</f>
        <v>0</v>
      </c>
      <c r="B373" s="572">
        <f>+'Balance N-1'!B373</f>
        <v>0</v>
      </c>
      <c r="C373" s="679" t="e">
        <f>ROUND('Balance N-1'!#REF!,2)</f>
        <v>#REF!</v>
      </c>
      <c r="D373" s="679" t="e">
        <f>ROUND('Balance N-1'!#REF!,2)</f>
        <v>#REF!</v>
      </c>
      <c r="E373" s="679">
        <f>ROUND('Balance N-1'!C373,2)</f>
        <v>0</v>
      </c>
      <c r="F373" s="679">
        <f>ROUND('Balance N-1'!D373,2)</f>
        <v>0</v>
      </c>
      <c r="G373" s="679">
        <f>ROUND('Balance N-1'!E373,2)</f>
        <v>0</v>
      </c>
      <c r="H373" s="679">
        <f>ROUND('Balance N-1'!F373,2)</f>
        <v>0</v>
      </c>
      <c r="I373" s="2" t="str">
        <f t="shared" si="8"/>
        <v>0</v>
      </c>
    </row>
    <row r="374" spans="1:9" x14ac:dyDescent="0.2">
      <c r="A374" s="910" t="str">
        <f>FIXED('Balance N-1'!A374,0,1)</f>
        <v>0</v>
      </c>
      <c r="B374" s="572">
        <f>+'Balance N-1'!B374</f>
        <v>0</v>
      </c>
      <c r="C374" s="679" t="e">
        <f>ROUND('Balance N-1'!#REF!,2)</f>
        <v>#REF!</v>
      </c>
      <c r="D374" s="679" t="e">
        <f>ROUND('Balance N-1'!#REF!,2)</f>
        <v>#REF!</v>
      </c>
      <c r="E374" s="679">
        <f>ROUND('Balance N-1'!C374,2)</f>
        <v>0</v>
      </c>
      <c r="F374" s="679">
        <f>ROUND('Balance N-1'!D374,2)</f>
        <v>0</v>
      </c>
      <c r="G374" s="679">
        <f>ROUND('Balance N-1'!E374,2)</f>
        <v>0</v>
      </c>
      <c r="H374" s="679">
        <f>ROUND('Balance N-1'!F374,2)</f>
        <v>0</v>
      </c>
      <c r="I374" s="2" t="str">
        <f t="shared" si="8"/>
        <v>0</v>
      </c>
    </row>
    <row r="375" spans="1:9" x14ac:dyDescent="0.2">
      <c r="A375" s="910" t="str">
        <f>FIXED('Balance N-1'!A375,0,1)</f>
        <v>0</v>
      </c>
      <c r="B375" s="572">
        <f>+'Balance N-1'!B375</f>
        <v>0</v>
      </c>
      <c r="C375" s="679" t="e">
        <f>ROUND('Balance N-1'!#REF!,2)</f>
        <v>#REF!</v>
      </c>
      <c r="D375" s="679" t="e">
        <f>ROUND('Balance N-1'!#REF!,2)</f>
        <v>#REF!</v>
      </c>
      <c r="E375" s="679">
        <f>ROUND('Balance N-1'!C375,2)</f>
        <v>0</v>
      </c>
      <c r="F375" s="679">
        <f>ROUND('Balance N-1'!D375,2)</f>
        <v>0</v>
      </c>
      <c r="G375" s="679">
        <f>ROUND('Balance N-1'!E375,2)</f>
        <v>0</v>
      </c>
      <c r="H375" s="679">
        <f>ROUND('Balance N-1'!F375,2)</f>
        <v>0</v>
      </c>
      <c r="I375" s="2" t="str">
        <f t="shared" si="8"/>
        <v>0</v>
      </c>
    </row>
    <row r="376" spans="1:9" x14ac:dyDescent="0.2">
      <c r="A376" s="910" t="str">
        <f>FIXED('Balance N-1'!A376,0,1)</f>
        <v>0</v>
      </c>
      <c r="B376" s="572">
        <f>+'Balance N-1'!B376</f>
        <v>0</v>
      </c>
      <c r="C376" s="679" t="e">
        <f>ROUND('Balance N-1'!#REF!,2)</f>
        <v>#REF!</v>
      </c>
      <c r="D376" s="679" t="e">
        <f>ROUND('Balance N-1'!#REF!,2)</f>
        <v>#REF!</v>
      </c>
      <c r="E376" s="679">
        <f>ROUND('Balance N-1'!C376,2)</f>
        <v>0</v>
      </c>
      <c r="F376" s="679">
        <f>ROUND('Balance N-1'!D376,2)</f>
        <v>0</v>
      </c>
      <c r="G376" s="679">
        <f>ROUND('Balance N-1'!E376,2)</f>
        <v>0</v>
      </c>
      <c r="H376" s="679">
        <f>ROUND('Balance N-1'!F376,2)</f>
        <v>0</v>
      </c>
      <c r="I376" s="2" t="str">
        <f t="shared" si="8"/>
        <v>0</v>
      </c>
    </row>
    <row r="377" spans="1:9" x14ac:dyDescent="0.2">
      <c r="A377" s="910" t="str">
        <f>FIXED('Balance N-1'!A377,0,1)</f>
        <v>0</v>
      </c>
      <c r="B377" s="572">
        <f>+'Balance N-1'!B377</f>
        <v>0</v>
      </c>
      <c r="C377" s="679" t="e">
        <f>ROUND('Balance N-1'!#REF!,2)</f>
        <v>#REF!</v>
      </c>
      <c r="D377" s="679" t="e">
        <f>ROUND('Balance N-1'!#REF!,2)</f>
        <v>#REF!</v>
      </c>
      <c r="E377" s="679">
        <f>ROUND('Balance N-1'!C377,2)</f>
        <v>0</v>
      </c>
      <c r="F377" s="679">
        <f>ROUND('Balance N-1'!D377,2)</f>
        <v>0</v>
      </c>
      <c r="G377" s="679">
        <f>ROUND('Balance N-1'!E377,2)</f>
        <v>0</v>
      </c>
      <c r="H377" s="679">
        <f>ROUND('Balance N-1'!F377,2)</f>
        <v>0</v>
      </c>
      <c r="I377" s="2" t="str">
        <f t="shared" si="8"/>
        <v>0</v>
      </c>
    </row>
    <row r="378" spans="1:9" x14ac:dyDescent="0.2">
      <c r="A378" s="910" t="str">
        <f>FIXED('Balance N-1'!A378,0,1)</f>
        <v>0</v>
      </c>
      <c r="B378" s="572">
        <f>+'Balance N-1'!B378</f>
        <v>0</v>
      </c>
      <c r="C378" s="679" t="e">
        <f>ROUND('Balance N-1'!#REF!,2)</f>
        <v>#REF!</v>
      </c>
      <c r="D378" s="679" t="e">
        <f>ROUND('Balance N-1'!#REF!,2)</f>
        <v>#REF!</v>
      </c>
      <c r="E378" s="679">
        <f>ROUND('Balance N-1'!C378,2)</f>
        <v>0</v>
      </c>
      <c r="F378" s="679">
        <f>ROUND('Balance N-1'!D378,2)</f>
        <v>0</v>
      </c>
      <c r="G378" s="679">
        <f>ROUND('Balance N-1'!E378,2)</f>
        <v>0</v>
      </c>
      <c r="H378" s="679">
        <f>ROUND('Balance N-1'!F378,2)</f>
        <v>0</v>
      </c>
      <c r="I378" s="2" t="str">
        <f t="shared" si="8"/>
        <v>0</v>
      </c>
    </row>
    <row r="379" spans="1:9" x14ac:dyDescent="0.2">
      <c r="A379" s="910" t="str">
        <f>FIXED('Balance N-1'!A379,0,1)</f>
        <v>0</v>
      </c>
      <c r="B379" s="572">
        <f>+'Balance N-1'!B379</f>
        <v>0</v>
      </c>
      <c r="C379" s="679" t="e">
        <f>ROUND('Balance N-1'!#REF!,2)</f>
        <v>#REF!</v>
      </c>
      <c r="D379" s="679" t="e">
        <f>ROUND('Balance N-1'!#REF!,2)</f>
        <v>#REF!</v>
      </c>
      <c r="E379" s="679">
        <f>ROUND('Balance N-1'!C379,2)</f>
        <v>0</v>
      </c>
      <c r="F379" s="679">
        <f>ROUND('Balance N-1'!D379,2)</f>
        <v>0</v>
      </c>
      <c r="G379" s="679">
        <f>ROUND('Balance N-1'!E379,2)</f>
        <v>0</v>
      </c>
      <c r="H379" s="679">
        <f>ROUND('Balance N-1'!F379,2)</f>
        <v>0</v>
      </c>
      <c r="I379" s="2" t="str">
        <f t="shared" si="8"/>
        <v>0</v>
      </c>
    </row>
    <row r="380" spans="1:9" x14ac:dyDescent="0.2">
      <c r="A380" s="910" t="str">
        <f>FIXED('Balance N-1'!A380,0,1)</f>
        <v>0</v>
      </c>
      <c r="B380" s="572">
        <f>+'Balance N-1'!B380</f>
        <v>0</v>
      </c>
      <c r="C380" s="679" t="e">
        <f>ROUND('Balance N-1'!#REF!,2)</f>
        <v>#REF!</v>
      </c>
      <c r="D380" s="679" t="e">
        <f>ROUND('Balance N-1'!#REF!,2)</f>
        <v>#REF!</v>
      </c>
      <c r="E380" s="679">
        <f>ROUND('Balance N-1'!C380,2)</f>
        <v>0</v>
      </c>
      <c r="F380" s="679">
        <f>ROUND('Balance N-1'!D380,2)</f>
        <v>0</v>
      </c>
      <c r="G380" s="679">
        <f>ROUND('Balance N-1'!E380,2)</f>
        <v>0</v>
      </c>
      <c r="H380" s="679">
        <f>ROUND('Balance N-1'!F380,2)</f>
        <v>0</v>
      </c>
      <c r="I380" s="2" t="str">
        <f t="shared" si="8"/>
        <v>0</v>
      </c>
    </row>
    <row r="381" spans="1:9" x14ac:dyDescent="0.2">
      <c r="A381" s="910" t="str">
        <f>FIXED('Balance N-1'!A381,0,1)</f>
        <v>0</v>
      </c>
      <c r="B381" s="572">
        <f>+'Balance N-1'!B381</f>
        <v>0</v>
      </c>
      <c r="C381" s="679" t="e">
        <f>ROUND('Balance N-1'!#REF!,2)</f>
        <v>#REF!</v>
      </c>
      <c r="D381" s="679" t="e">
        <f>ROUND('Balance N-1'!#REF!,2)</f>
        <v>#REF!</v>
      </c>
      <c r="E381" s="679">
        <f>ROUND('Balance N-1'!C381,2)</f>
        <v>0</v>
      </c>
      <c r="F381" s="679">
        <f>ROUND('Balance N-1'!D381,2)</f>
        <v>0</v>
      </c>
      <c r="G381" s="679">
        <f>ROUND('Balance N-1'!E381,2)</f>
        <v>0</v>
      </c>
      <c r="H381" s="679">
        <f>ROUND('Balance N-1'!F381,2)</f>
        <v>0</v>
      </c>
      <c r="I381" s="2" t="str">
        <f t="shared" si="8"/>
        <v>0</v>
      </c>
    </row>
    <row r="382" spans="1:9" x14ac:dyDescent="0.2">
      <c r="A382" s="910" t="str">
        <f>FIXED('Balance N-1'!A382,0,1)</f>
        <v>0</v>
      </c>
      <c r="B382" s="572">
        <f>+'Balance N-1'!B382</f>
        <v>0</v>
      </c>
      <c r="C382" s="679" t="e">
        <f>ROUND('Balance N-1'!#REF!,2)</f>
        <v>#REF!</v>
      </c>
      <c r="D382" s="679" t="e">
        <f>ROUND('Balance N-1'!#REF!,2)</f>
        <v>#REF!</v>
      </c>
      <c r="E382" s="679">
        <f>ROUND('Balance N-1'!C382,2)</f>
        <v>0</v>
      </c>
      <c r="F382" s="679">
        <f>ROUND('Balance N-1'!D382,2)</f>
        <v>0</v>
      </c>
      <c r="G382" s="679">
        <f>ROUND('Balance N-1'!E382,2)</f>
        <v>0</v>
      </c>
      <c r="H382" s="679">
        <f>ROUND('Balance N-1'!F382,2)</f>
        <v>0</v>
      </c>
      <c r="I382" s="2" t="str">
        <f t="shared" si="8"/>
        <v>0</v>
      </c>
    </row>
    <row r="383" spans="1:9" x14ac:dyDescent="0.2">
      <c r="A383" s="910" t="str">
        <f>FIXED('Balance N-1'!A383,0,1)</f>
        <v>0</v>
      </c>
      <c r="B383" s="572">
        <f>+'Balance N-1'!B383</f>
        <v>0</v>
      </c>
      <c r="C383" s="679" t="e">
        <f>ROUND('Balance N-1'!#REF!,2)</f>
        <v>#REF!</v>
      </c>
      <c r="D383" s="679" t="e">
        <f>ROUND('Balance N-1'!#REF!,2)</f>
        <v>#REF!</v>
      </c>
      <c r="E383" s="679">
        <f>ROUND('Balance N-1'!C383,2)</f>
        <v>0</v>
      </c>
      <c r="F383" s="679">
        <f>ROUND('Balance N-1'!D383,2)</f>
        <v>0</v>
      </c>
      <c r="G383" s="679">
        <f>ROUND('Balance N-1'!E383,2)</f>
        <v>0</v>
      </c>
      <c r="H383" s="679">
        <f>ROUND('Balance N-1'!F383,2)</f>
        <v>0</v>
      </c>
      <c r="I383" s="2" t="str">
        <f t="shared" si="8"/>
        <v>0</v>
      </c>
    </row>
    <row r="384" spans="1:9" x14ac:dyDescent="0.2">
      <c r="A384" s="910" t="str">
        <f>FIXED('Balance N-1'!A384,0,1)</f>
        <v>0</v>
      </c>
      <c r="B384" s="572">
        <f>+'Balance N-1'!B384</f>
        <v>0</v>
      </c>
      <c r="C384" s="679" t="e">
        <f>ROUND('Balance N-1'!#REF!,2)</f>
        <v>#REF!</v>
      </c>
      <c r="D384" s="679" t="e">
        <f>ROUND('Balance N-1'!#REF!,2)</f>
        <v>#REF!</v>
      </c>
      <c r="E384" s="679">
        <f>ROUND('Balance N-1'!C384,2)</f>
        <v>0</v>
      </c>
      <c r="F384" s="679">
        <f>ROUND('Balance N-1'!D384,2)</f>
        <v>0</v>
      </c>
      <c r="G384" s="679">
        <f>ROUND('Balance N-1'!E384,2)</f>
        <v>0</v>
      </c>
      <c r="H384" s="679">
        <f>ROUND('Balance N-1'!F384,2)</f>
        <v>0</v>
      </c>
      <c r="I384" s="2" t="str">
        <f t="shared" si="8"/>
        <v>0</v>
      </c>
    </row>
    <row r="385" spans="1:9" x14ac:dyDescent="0.2">
      <c r="A385" s="910" t="str">
        <f>FIXED('Balance N-1'!A385,0,1)</f>
        <v>0</v>
      </c>
      <c r="B385" s="572">
        <f>+'Balance N-1'!B385</f>
        <v>0</v>
      </c>
      <c r="C385" s="679" t="e">
        <f>ROUND('Balance N-1'!#REF!,2)</f>
        <v>#REF!</v>
      </c>
      <c r="D385" s="679" t="e">
        <f>ROUND('Balance N-1'!#REF!,2)</f>
        <v>#REF!</v>
      </c>
      <c r="E385" s="679">
        <f>ROUND('Balance N-1'!C385,2)</f>
        <v>0</v>
      </c>
      <c r="F385" s="679">
        <f>ROUND('Balance N-1'!D385,2)</f>
        <v>0</v>
      </c>
      <c r="G385" s="679">
        <f>ROUND('Balance N-1'!E385,2)</f>
        <v>0</v>
      </c>
      <c r="H385" s="679">
        <f>ROUND('Balance N-1'!F385,2)</f>
        <v>0</v>
      </c>
      <c r="I385" s="2" t="str">
        <f t="shared" si="8"/>
        <v>0</v>
      </c>
    </row>
    <row r="386" spans="1:9" x14ac:dyDescent="0.2">
      <c r="A386" s="910" t="str">
        <f>FIXED('Balance N-1'!A386,0,1)</f>
        <v>0</v>
      </c>
      <c r="B386" s="572">
        <f>+'Balance N-1'!B386</f>
        <v>0</v>
      </c>
      <c r="C386" s="679" t="e">
        <f>ROUND('Balance N-1'!#REF!,2)</f>
        <v>#REF!</v>
      </c>
      <c r="D386" s="679" t="e">
        <f>ROUND('Balance N-1'!#REF!,2)</f>
        <v>#REF!</v>
      </c>
      <c r="E386" s="679">
        <f>ROUND('Balance N-1'!C386,2)</f>
        <v>0</v>
      </c>
      <c r="F386" s="679">
        <f>ROUND('Balance N-1'!D386,2)</f>
        <v>0</v>
      </c>
      <c r="G386" s="679">
        <f>ROUND('Balance N-1'!E386,2)</f>
        <v>0</v>
      </c>
      <c r="H386" s="679">
        <f>ROUND('Balance N-1'!F386,2)</f>
        <v>0</v>
      </c>
      <c r="I386" s="2" t="str">
        <f t="shared" si="8"/>
        <v>0</v>
      </c>
    </row>
    <row r="387" spans="1:9" x14ac:dyDescent="0.2">
      <c r="A387" s="910" t="str">
        <f>FIXED('Balance N-1'!A387,0,1)</f>
        <v>0</v>
      </c>
      <c r="B387" s="572">
        <f>+'Balance N-1'!B387</f>
        <v>0</v>
      </c>
      <c r="C387" s="679" t="e">
        <f>ROUND('Balance N-1'!#REF!,2)</f>
        <v>#REF!</v>
      </c>
      <c r="D387" s="679" t="e">
        <f>ROUND('Balance N-1'!#REF!,2)</f>
        <v>#REF!</v>
      </c>
      <c r="E387" s="679">
        <f>ROUND('Balance N-1'!C387,2)</f>
        <v>0</v>
      </c>
      <c r="F387" s="679">
        <f>ROUND('Balance N-1'!D387,2)</f>
        <v>0</v>
      </c>
      <c r="G387" s="679">
        <f>ROUND('Balance N-1'!E387,2)</f>
        <v>0</v>
      </c>
      <c r="H387" s="679">
        <f>ROUND('Balance N-1'!F387,2)</f>
        <v>0</v>
      </c>
      <c r="I387" s="2" t="str">
        <f t="shared" ref="I387:I450" si="9">MID(A387,1,1)</f>
        <v>0</v>
      </c>
    </row>
    <row r="388" spans="1:9" x14ac:dyDescent="0.2">
      <c r="A388" s="910" t="str">
        <f>FIXED('Balance N-1'!A388,0,1)</f>
        <v>0</v>
      </c>
      <c r="B388" s="572">
        <f>+'Balance N-1'!B388</f>
        <v>0</v>
      </c>
      <c r="C388" s="679" t="e">
        <f>ROUND('Balance N-1'!#REF!,2)</f>
        <v>#REF!</v>
      </c>
      <c r="D388" s="679" t="e">
        <f>ROUND('Balance N-1'!#REF!,2)</f>
        <v>#REF!</v>
      </c>
      <c r="E388" s="679">
        <f>ROUND('Balance N-1'!C388,2)</f>
        <v>0</v>
      </c>
      <c r="F388" s="679">
        <f>ROUND('Balance N-1'!D388,2)</f>
        <v>0</v>
      </c>
      <c r="G388" s="679">
        <f>ROUND('Balance N-1'!E388,2)</f>
        <v>0</v>
      </c>
      <c r="H388" s="679">
        <f>ROUND('Balance N-1'!F388,2)</f>
        <v>0</v>
      </c>
      <c r="I388" s="2" t="str">
        <f t="shared" si="9"/>
        <v>0</v>
      </c>
    </row>
    <row r="389" spans="1:9" x14ac:dyDescent="0.2">
      <c r="A389" s="910" t="str">
        <f>FIXED('Balance N-1'!A389,0,1)</f>
        <v>0</v>
      </c>
      <c r="B389" s="572">
        <f>+'Balance N-1'!B389</f>
        <v>0</v>
      </c>
      <c r="C389" s="679" t="e">
        <f>ROUND('Balance N-1'!#REF!,2)</f>
        <v>#REF!</v>
      </c>
      <c r="D389" s="679" t="e">
        <f>ROUND('Balance N-1'!#REF!,2)</f>
        <v>#REF!</v>
      </c>
      <c r="E389" s="679">
        <f>ROUND('Balance N-1'!C389,2)</f>
        <v>0</v>
      </c>
      <c r="F389" s="679">
        <f>ROUND('Balance N-1'!D389,2)</f>
        <v>0</v>
      </c>
      <c r="G389" s="679">
        <f>ROUND('Balance N-1'!E389,2)</f>
        <v>0</v>
      </c>
      <c r="H389" s="679">
        <f>ROUND('Balance N-1'!F389,2)</f>
        <v>0</v>
      </c>
      <c r="I389" s="2" t="str">
        <f t="shared" si="9"/>
        <v>0</v>
      </c>
    </row>
    <row r="390" spans="1:9" x14ac:dyDescent="0.2">
      <c r="A390" s="910" t="str">
        <f>FIXED('Balance N-1'!A390,0,1)</f>
        <v>0</v>
      </c>
      <c r="B390" s="572">
        <f>+'Balance N-1'!B390</f>
        <v>0</v>
      </c>
      <c r="C390" s="679" t="e">
        <f>ROUND('Balance N-1'!#REF!,2)</f>
        <v>#REF!</v>
      </c>
      <c r="D390" s="679" t="e">
        <f>ROUND('Balance N-1'!#REF!,2)</f>
        <v>#REF!</v>
      </c>
      <c r="E390" s="679">
        <f>ROUND('Balance N-1'!C390,2)</f>
        <v>0</v>
      </c>
      <c r="F390" s="679">
        <f>ROUND('Balance N-1'!D390,2)</f>
        <v>0</v>
      </c>
      <c r="G390" s="679">
        <f>ROUND('Balance N-1'!E390,2)</f>
        <v>0</v>
      </c>
      <c r="H390" s="679">
        <f>ROUND('Balance N-1'!F390,2)</f>
        <v>0</v>
      </c>
      <c r="I390" s="2" t="str">
        <f t="shared" si="9"/>
        <v>0</v>
      </c>
    </row>
    <row r="391" spans="1:9" x14ac:dyDescent="0.2">
      <c r="A391" s="910" t="str">
        <f>FIXED('Balance N-1'!A391,0,1)</f>
        <v>0</v>
      </c>
      <c r="B391" s="572">
        <f>+'Balance N-1'!B391</f>
        <v>0</v>
      </c>
      <c r="C391" s="679" t="e">
        <f>ROUND('Balance N-1'!#REF!,2)</f>
        <v>#REF!</v>
      </c>
      <c r="D391" s="679" t="e">
        <f>ROUND('Balance N-1'!#REF!,2)</f>
        <v>#REF!</v>
      </c>
      <c r="E391" s="679">
        <f>ROUND('Balance N-1'!C391,2)</f>
        <v>0</v>
      </c>
      <c r="F391" s="679">
        <f>ROUND('Balance N-1'!D391,2)</f>
        <v>0</v>
      </c>
      <c r="G391" s="679">
        <f>ROUND('Balance N-1'!E391,2)</f>
        <v>0</v>
      </c>
      <c r="H391" s="679">
        <f>ROUND('Balance N-1'!F391,2)</f>
        <v>0</v>
      </c>
      <c r="I391" s="2" t="str">
        <f t="shared" si="9"/>
        <v>0</v>
      </c>
    </row>
    <row r="392" spans="1:9" x14ac:dyDescent="0.2">
      <c r="A392" s="910" t="str">
        <f>FIXED('Balance N-1'!A392,0,1)</f>
        <v>0</v>
      </c>
      <c r="B392" s="572">
        <f>+'Balance N-1'!B392</f>
        <v>0</v>
      </c>
      <c r="C392" s="679" t="e">
        <f>ROUND('Balance N-1'!#REF!,2)</f>
        <v>#REF!</v>
      </c>
      <c r="D392" s="679" t="e">
        <f>ROUND('Balance N-1'!#REF!,2)</f>
        <v>#REF!</v>
      </c>
      <c r="E392" s="679">
        <f>ROUND('Balance N-1'!C392,2)</f>
        <v>0</v>
      </c>
      <c r="F392" s="679">
        <f>ROUND('Balance N-1'!D392,2)</f>
        <v>0</v>
      </c>
      <c r="G392" s="679">
        <f>ROUND('Balance N-1'!E392,2)</f>
        <v>0</v>
      </c>
      <c r="H392" s="679">
        <f>ROUND('Balance N-1'!F392,2)</f>
        <v>0</v>
      </c>
      <c r="I392" s="2" t="str">
        <f t="shared" si="9"/>
        <v>0</v>
      </c>
    </row>
    <row r="393" spans="1:9" x14ac:dyDescent="0.2">
      <c r="A393" s="910" t="str">
        <f>FIXED('Balance N-1'!A393,0,1)</f>
        <v>0</v>
      </c>
      <c r="B393" s="572">
        <f>+'Balance N-1'!B393</f>
        <v>0</v>
      </c>
      <c r="C393" s="679" t="e">
        <f>ROUND('Balance N-1'!#REF!,2)</f>
        <v>#REF!</v>
      </c>
      <c r="D393" s="679" t="e">
        <f>ROUND('Balance N-1'!#REF!,2)</f>
        <v>#REF!</v>
      </c>
      <c r="E393" s="679">
        <f>ROUND('Balance N-1'!C393,2)</f>
        <v>0</v>
      </c>
      <c r="F393" s="679">
        <f>ROUND('Balance N-1'!D393,2)</f>
        <v>0</v>
      </c>
      <c r="G393" s="679">
        <f>ROUND('Balance N-1'!E393,2)</f>
        <v>0</v>
      </c>
      <c r="H393" s="679">
        <f>ROUND('Balance N-1'!F393,2)</f>
        <v>0</v>
      </c>
      <c r="I393" s="2" t="str">
        <f t="shared" si="9"/>
        <v>0</v>
      </c>
    </row>
    <row r="394" spans="1:9" x14ac:dyDescent="0.2">
      <c r="A394" s="910" t="str">
        <f>FIXED('Balance N-1'!A394,0,1)</f>
        <v>0</v>
      </c>
      <c r="B394" s="572">
        <f>+'Balance N-1'!B394</f>
        <v>0</v>
      </c>
      <c r="C394" s="679" t="e">
        <f>ROUND('Balance N-1'!#REF!,2)</f>
        <v>#REF!</v>
      </c>
      <c r="D394" s="679" t="e">
        <f>ROUND('Balance N-1'!#REF!,2)</f>
        <v>#REF!</v>
      </c>
      <c r="E394" s="679">
        <f>ROUND('Balance N-1'!C394,2)</f>
        <v>0</v>
      </c>
      <c r="F394" s="679">
        <f>ROUND('Balance N-1'!D394,2)</f>
        <v>0</v>
      </c>
      <c r="G394" s="679">
        <f>ROUND('Balance N-1'!E394,2)</f>
        <v>0</v>
      </c>
      <c r="H394" s="679">
        <f>ROUND('Balance N-1'!F394,2)</f>
        <v>0</v>
      </c>
      <c r="I394" s="2" t="str">
        <f t="shared" si="9"/>
        <v>0</v>
      </c>
    </row>
    <row r="395" spans="1:9" x14ac:dyDescent="0.2">
      <c r="A395" s="910" t="str">
        <f>FIXED('Balance N-1'!A395,0,1)</f>
        <v>0</v>
      </c>
      <c r="B395" s="572">
        <f>+'Balance N-1'!B395</f>
        <v>0</v>
      </c>
      <c r="C395" s="679" t="e">
        <f>ROUND('Balance N-1'!#REF!,2)</f>
        <v>#REF!</v>
      </c>
      <c r="D395" s="679" t="e">
        <f>ROUND('Balance N-1'!#REF!,2)</f>
        <v>#REF!</v>
      </c>
      <c r="E395" s="679">
        <f>ROUND('Balance N-1'!C395,2)</f>
        <v>0</v>
      </c>
      <c r="F395" s="679">
        <f>ROUND('Balance N-1'!D395,2)</f>
        <v>0</v>
      </c>
      <c r="G395" s="679">
        <f>ROUND('Balance N-1'!E395,2)</f>
        <v>0</v>
      </c>
      <c r="H395" s="679">
        <f>ROUND('Balance N-1'!F395,2)</f>
        <v>0</v>
      </c>
      <c r="I395" s="2" t="str">
        <f t="shared" si="9"/>
        <v>0</v>
      </c>
    </row>
    <row r="396" spans="1:9" x14ac:dyDescent="0.2">
      <c r="A396" s="910" t="str">
        <f>FIXED('Balance N-1'!A396,0,1)</f>
        <v>0</v>
      </c>
      <c r="B396" s="572">
        <f>+'Balance N-1'!B396</f>
        <v>0</v>
      </c>
      <c r="C396" s="679" t="e">
        <f>ROUND('Balance N-1'!#REF!,2)</f>
        <v>#REF!</v>
      </c>
      <c r="D396" s="679" t="e">
        <f>ROUND('Balance N-1'!#REF!,2)</f>
        <v>#REF!</v>
      </c>
      <c r="E396" s="679">
        <f>ROUND('Balance N-1'!C396,2)</f>
        <v>0</v>
      </c>
      <c r="F396" s="679">
        <f>ROUND('Balance N-1'!D396,2)</f>
        <v>0</v>
      </c>
      <c r="G396" s="679">
        <f>ROUND('Balance N-1'!E396,2)</f>
        <v>0</v>
      </c>
      <c r="H396" s="679">
        <f>ROUND('Balance N-1'!F396,2)</f>
        <v>0</v>
      </c>
      <c r="I396" s="2" t="str">
        <f t="shared" si="9"/>
        <v>0</v>
      </c>
    </row>
    <row r="397" spans="1:9" x14ac:dyDescent="0.2">
      <c r="A397" s="910" t="str">
        <f>FIXED('Balance N-1'!A397,0,1)</f>
        <v>0</v>
      </c>
      <c r="B397" s="572">
        <f>+'Balance N-1'!B397</f>
        <v>0</v>
      </c>
      <c r="C397" s="679" t="e">
        <f>ROUND('Balance N-1'!#REF!,2)</f>
        <v>#REF!</v>
      </c>
      <c r="D397" s="679" t="e">
        <f>ROUND('Balance N-1'!#REF!,2)</f>
        <v>#REF!</v>
      </c>
      <c r="E397" s="679">
        <f>ROUND('Balance N-1'!C397,2)</f>
        <v>0</v>
      </c>
      <c r="F397" s="679">
        <f>ROUND('Balance N-1'!D397,2)</f>
        <v>0</v>
      </c>
      <c r="G397" s="679">
        <f>ROUND('Balance N-1'!E397,2)</f>
        <v>0</v>
      </c>
      <c r="H397" s="679">
        <f>ROUND('Balance N-1'!F397,2)</f>
        <v>0</v>
      </c>
      <c r="I397" s="2" t="str">
        <f t="shared" si="9"/>
        <v>0</v>
      </c>
    </row>
    <row r="398" spans="1:9" x14ac:dyDescent="0.2">
      <c r="A398" s="910" t="str">
        <f>FIXED('Balance N-1'!A398,0,1)</f>
        <v>0</v>
      </c>
      <c r="B398" s="572">
        <f>+'Balance N-1'!B398</f>
        <v>0</v>
      </c>
      <c r="C398" s="679" t="e">
        <f>ROUND('Balance N-1'!#REF!,2)</f>
        <v>#REF!</v>
      </c>
      <c r="D398" s="679" t="e">
        <f>ROUND('Balance N-1'!#REF!,2)</f>
        <v>#REF!</v>
      </c>
      <c r="E398" s="679">
        <f>ROUND('Balance N-1'!C398,2)</f>
        <v>0</v>
      </c>
      <c r="F398" s="679">
        <f>ROUND('Balance N-1'!D398,2)</f>
        <v>0</v>
      </c>
      <c r="G398" s="679">
        <f>ROUND('Balance N-1'!E398,2)</f>
        <v>0</v>
      </c>
      <c r="H398" s="679">
        <f>ROUND('Balance N-1'!F398,2)</f>
        <v>0</v>
      </c>
      <c r="I398" s="2" t="str">
        <f t="shared" si="9"/>
        <v>0</v>
      </c>
    </row>
    <row r="399" spans="1:9" x14ac:dyDescent="0.2">
      <c r="A399" s="910" t="str">
        <f>FIXED('Balance N-1'!A399,0,1)</f>
        <v>0</v>
      </c>
      <c r="B399" s="572">
        <f>+'Balance N-1'!B399</f>
        <v>0</v>
      </c>
      <c r="C399" s="679" t="e">
        <f>ROUND('Balance N-1'!#REF!,2)</f>
        <v>#REF!</v>
      </c>
      <c r="D399" s="679" t="e">
        <f>ROUND('Balance N-1'!#REF!,2)</f>
        <v>#REF!</v>
      </c>
      <c r="E399" s="679">
        <f>ROUND('Balance N-1'!C399,2)</f>
        <v>0</v>
      </c>
      <c r="F399" s="679">
        <f>ROUND('Balance N-1'!D399,2)</f>
        <v>0</v>
      </c>
      <c r="G399" s="679">
        <f>ROUND('Balance N-1'!E399,2)</f>
        <v>0</v>
      </c>
      <c r="H399" s="679">
        <f>ROUND('Balance N-1'!F399,2)</f>
        <v>0</v>
      </c>
      <c r="I399" s="2" t="str">
        <f t="shared" si="9"/>
        <v>0</v>
      </c>
    </row>
    <row r="400" spans="1:9" x14ac:dyDescent="0.2">
      <c r="A400" s="910" t="str">
        <f>FIXED('Balance N-1'!A400,0,1)</f>
        <v>0</v>
      </c>
      <c r="B400" s="572">
        <f>+'Balance N-1'!B400</f>
        <v>0</v>
      </c>
      <c r="C400" s="679" t="e">
        <f>ROUND('Balance N-1'!#REF!,2)</f>
        <v>#REF!</v>
      </c>
      <c r="D400" s="679" t="e">
        <f>ROUND('Balance N-1'!#REF!,2)</f>
        <v>#REF!</v>
      </c>
      <c r="E400" s="679">
        <f>ROUND('Balance N-1'!C400,2)</f>
        <v>0</v>
      </c>
      <c r="F400" s="679">
        <f>ROUND('Balance N-1'!D400,2)</f>
        <v>0</v>
      </c>
      <c r="G400" s="679">
        <f>ROUND('Balance N-1'!E400,2)</f>
        <v>0</v>
      </c>
      <c r="H400" s="679">
        <f>ROUND('Balance N-1'!F400,2)</f>
        <v>0</v>
      </c>
      <c r="I400" s="2" t="str">
        <f t="shared" si="9"/>
        <v>0</v>
      </c>
    </row>
    <row r="401" spans="1:9" x14ac:dyDescent="0.2">
      <c r="A401" s="910" t="str">
        <f>FIXED('Balance N-1'!A401,0,1)</f>
        <v>0</v>
      </c>
      <c r="B401" s="572">
        <f>+'Balance N-1'!B401</f>
        <v>0</v>
      </c>
      <c r="C401" s="679" t="e">
        <f>ROUND('Balance N-1'!#REF!,2)</f>
        <v>#REF!</v>
      </c>
      <c r="D401" s="679" t="e">
        <f>ROUND('Balance N-1'!#REF!,2)</f>
        <v>#REF!</v>
      </c>
      <c r="E401" s="679">
        <f>ROUND('Balance N-1'!C401,2)</f>
        <v>0</v>
      </c>
      <c r="F401" s="679">
        <f>ROUND('Balance N-1'!D401,2)</f>
        <v>0</v>
      </c>
      <c r="G401" s="679">
        <f>ROUND('Balance N-1'!E401,2)</f>
        <v>0</v>
      </c>
      <c r="H401" s="679">
        <f>ROUND('Balance N-1'!F401,2)</f>
        <v>0</v>
      </c>
      <c r="I401" s="2" t="str">
        <f t="shared" si="9"/>
        <v>0</v>
      </c>
    </row>
    <row r="402" spans="1:9" x14ac:dyDescent="0.2">
      <c r="A402" s="910" t="str">
        <f>FIXED('Balance N-1'!A402,0,1)</f>
        <v>0</v>
      </c>
      <c r="B402" s="572">
        <f>+'Balance N-1'!B402</f>
        <v>0</v>
      </c>
      <c r="C402" s="679" t="e">
        <f>ROUND('Balance N-1'!#REF!,2)</f>
        <v>#REF!</v>
      </c>
      <c r="D402" s="679" t="e">
        <f>ROUND('Balance N-1'!#REF!,2)</f>
        <v>#REF!</v>
      </c>
      <c r="E402" s="679">
        <f>ROUND('Balance N-1'!C402,2)</f>
        <v>0</v>
      </c>
      <c r="F402" s="679">
        <f>ROUND('Balance N-1'!D402,2)</f>
        <v>0</v>
      </c>
      <c r="G402" s="679">
        <f>ROUND('Balance N-1'!E402,2)</f>
        <v>0</v>
      </c>
      <c r="H402" s="679">
        <f>ROUND('Balance N-1'!F402,2)</f>
        <v>0</v>
      </c>
      <c r="I402" s="2" t="str">
        <f t="shared" si="9"/>
        <v>0</v>
      </c>
    </row>
    <row r="403" spans="1:9" x14ac:dyDescent="0.2">
      <c r="A403" s="910" t="str">
        <f>FIXED('Balance N-1'!A403,0,1)</f>
        <v>0</v>
      </c>
      <c r="B403" s="572">
        <f>+'Balance N-1'!B403</f>
        <v>0</v>
      </c>
      <c r="C403" s="679" t="e">
        <f>ROUND('Balance N-1'!#REF!,2)</f>
        <v>#REF!</v>
      </c>
      <c r="D403" s="679" t="e">
        <f>ROUND('Balance N-1'!#REF!,2)</f>
        <v>#REF!</v>
      </c>
      <c r="E403" s="679">
        <f>ROUND('Balance N-1'!C403,2)</f>
        <v>0</v>
      </c>
      <c r="F403" s="679">
        <f>ROUND('Balance N-1'!D403,2)</f>
        <v>0</v>
      </c>
      <c r="G403" s="679">
        <f>ROUND('Balance N-1'!E403,2)</f>
        <v>0</v>
      </c>
      <c r="H403" s="679">
        <f>ROUND('Balance N-1'!F403,2)</f>
        <v>0</v>
      </c>
      <c r="I403" s="2" t="str">
        <f t="shared" si="9"/>
        <v>0</v>
      </c>
    </row>
    <row r="404" spans="1:9" x14ac:dyDescent="0.2">
      <c r="A404" s="910" t="str">
        <f>FIXED('Balance N-1'!A404,0,1)</f>
        <v>0</v>
      </c>
      <c r="B404" s="572">
        <f>+'Balance N-1'!B404</f>
        <v>0</v>
      </c>
      <c r="C404" s="679" t="e">
        <f>ROUND('Balance N-1'!#REF!,2)</f>
        <v>#REF!</v>
      </c>
      <c r="D404" s="679" t="e">
        <f>ROUND('Balance N-1'!#REF!,2)</f>
        <v>#REF!</v>
      </c>
      <c r="E404" s="679">
        <f>ROUND('Balance N-1'!C404,2)</f>
        <v>0</v>
      </c>
      <c r="F404" s="679">
        <f>ROUND('Balance N-1'!D404,2)</f>
        <v>0</v>
      </c>
      <c r="G404" s="679">
        <f>ROUND('Balance N-1'!E404,2)</f>
        <v>0</v>
      </c>
      <c r="H404" s="679">
        <f>ROUND('Balance N-1'!F404,2)</f>
        <v>0</v>
      </c>
      <c r="I404" s="2" t="str">
        <f t="shared" si="9"/>
        <v>0</v>
      </c>
    </row>
    <row r="405" spans="1:9" x14ac:dyDescent="0.2">
      <c r="A405" s="910" t="str">
        <f>FIXED('Balance N-1'!A405,0,1)</f>
        <v>0</v>
      </c>
      <c r="B405" s="572">
        <f>+'Balance N-1'!B405</f>
        <v>0</v>
      </c>
      <c r="C405" s="679" t="e">
        <f>ROUND('Balance N-1'!#REF!,2)</f>
        <v>#REF!</v>
      </c>
      <c r="D405" s="679" t="e">
        <f>ROUND('Balance N-1'!#REF!,2)</f>
        <v>#REF!</v>
      </c>
      <c r="E405" s="679">
        <f>ROUND('Balance N-1'!C405,2)</f>
        <v>0</v>
      </c>
      <c r="F405" s="679">
        <f>ROUND('Balance N-1'!D405,2)</f>
        <v>0</v>
      </c>
      <c r="G405" s="679">
        <f>ROUND('Balance N-1'!E405,2)</f>
        <v>0</v>
      </c>
      <c r="H405" s="679">
        <f>ROUND('Balance N-1'!F405,2)</f>
        <v>0</v>
      </c>
      <c r="I405" s="2" t="str">
        <f t="shared" si="9"/>
        <v>0</v>
      </c>
    </row>
    <row r="406" spans="1:9" x14ac:dyDescent="0.2">
      <c r="A406" s="910" t="str">
        <f>FIXED('Balance N-1'!A406,0,1)</f>
        <v>0</v>
      </c>
      <c r="B406" s="572">
        <f>+'Balance N-1'!B406</f>
        <v>0</v>
      </c>
      <c r="C406" s="679" t="e">
        <f>ROUND('Balance N-1'!#REF!,2)</f>
        <v>#REF!</v>
      </c>
      <c r="D406" s="679" t="e">
        <f>ROUND('Balance N-1'!#REF!,2)</f>
        <v>#REF!</v>
      </c>
      <c r="E406" s="679">
        <f>ROUND('Balance N-1'!C406,2)</f>
        <v>0</v>
      </c>
      <c r="F406" s="679">
        <f>ROUND('Balance N-1'!D406,2)</f>
        <v>0</v>
      </c>
      <c r="G406" s="679">
        <f>ROUND('Balance N-1'!E406,2)</f>
        <v>0</v>
      </c>
      <c r="H406" s="679">
        <f>ROUND('Balance N-1'!F406,2)</f>
        <v>0</v>
      </c>
      <c r="I406" s="2" t="str">
        <f t="shared" si="9"/>
        <v>0</v>
      </c>
    </row>
    <row r="407" spans="1:9" x14ac:dyDescent="0.2">
      <c r="A407" s="910" t="str">
        <f>FIXED('Balance N-1'!A407,0,1)</f>
        <v>0</v>
      </c>
      <c r="B407" s="572">
        <f>+'Balance N-1'!B407</f>
        <v>0</v>
      </c>
      <c r="C407" s="679" t="e">
        <f>ROUND('Balance N-1'!#REF!,2)</f>
        <v>#REF!</v>
      </c>
      <c r="D407" s="679" t="e">
        <f>ROUND('Balance N-1'!#REF!,2)</f>
        <v>#REF!</v>
      </c>
      <c r="E407" s="679">
        <f>ROUND('Balance N-1'!C407,2)</f>
        <v>0</v>
      </c>
      <c r="F407" s="679">
        <f>ROUND('Balance N-1'!D407,2)</f>
        <v>0</v>
      </c>
      <c r="G407" s="679">
        <f>ROUND('Balance N-1'!E407,2)</f>
        <v>0</v>
      </c>
      <c r="H407" s="679">
        <f>ROUND('Balance N-1'!F407,2)</f>
        <v>0</v>
      </c>
      <c r="I407" s="2" t="str">
        <f t="shared" si="9"/>
        <v>0</v>
      </c>
    </row>
    <row r="408" spans="1:9" x14ac:dyDescent="0.2">
      <c r="A408" s="910" t="str">
        <f>FIXED('Balance N-1'!A408,0,1)</f>
        <v>0</v>
      </c>
      <c r="B408" s="572">
        <f>+'Balance N-1'!B408</f>
        <v>0</v>
      </c>
      <c r="C408" s="679" t="e">
        <f>ROUND('Balance N-1'!#REF!,2)</f>
        <v>#REF!</v>
      </c>
      <c r="D408" s="679" t="e">
        <f>ROUND('Balance N-1'!#REF!,2)</f>
        <v>#REF!</v>
      </c>
      <c r="E408" s="679">
        <f>ROUND('Balance N-1'!C408,2)</f>
        <v>0</v>
      </c>
      <c r="F408" s="679">
        <f>ROUND('Balance N-1'!D408,2)</f>
        <v>0</v>
      </c>
      <c r="G408" s="679">
        <f>ROUND('Balance N-1'!E408,2)</f>
        <v>0</v>
      </c>
      <c r="H408" s="679">
        <f>ROUND('Balance N-1'!F408,2)</f>
        <v>0</v>
      </c>
      <c r="I408" s="2" t="str">
        <f t="shared" si="9"/>
        <v>0</v>
      </c>
    </row>
    <row r="409" spans="1:9" x14ac:dyDescent="0.2">
      <c r="A409" s="910" t="str">
        <f>FIXED('Balance N-1'!A409,0,1)</f>
        <v>0</v>
      </c>
      <c r="B409" s="572">
        <f>+'Balance N-1'!B409</f>
        <v>0</v>
      </c>
      <c r="C409" s="679" t="e">
        <f>ROUND('Balance N-1'!#REF!,2)</f>
        <v>#REF!</v>
      </c>
      <c r="D409" s="679" t="e">
        <f>ROUND('Balance N-1'!#REF!,2)</f>
        <v>#REF!</v>
      </c>
      <c r="E409" s="679">
        <f>ROUND('Balance N-1'!C409,2)</f>
        <v>0</v>
      </c>
      <c r="F409" s="679">
        <f>ROUND('Balance N-1'!D409,2)</f>
        <v>0</v>
      </c>
      <c r="G409" s="679">
        <f>ROUND('Balance N-1'!E409,2)</f>
        <v>0</v>
      </c>
      <c r="H409" s="679">
        <f>ROUND('Balance N-1'!F409,2)</f>
        <v>0</v>
      </c>
      <c r="I409" s="2" t="str">
        <f t="shared" si="9"/>
        <v>0</v>
      </c>
    </row>
    <row r="410" spans="1:9" x14ac:dyDescent="0.2">
      <c r="A410" s="910" t="str">
        <f>FIXED('Balance N-1'!A410,0,1)</f>
        <v>0</v>
      </c>
      <c r="B410" s="572">
        <f>+'Balance N-1'!B410</f>
        <v>0</v>
      </c>
      <c r="C410" s="679" t="e">
        <f>ROUND('Balance N-1'!#REF!,2)</f>
        <v>#REF!</v>
      </c>
      <c r="D410" s="679" t="e">
        <f>ROUND('Balance N-1'!#REF!,2)</f>
        <v>#REF!</v>
      </c>
      <c r="E410" s="679">
        <f>ROUND('Balance N-1'!C410,2)</f>
        <v>0</v>
      </c>
      <c r="F410" s="679">
        <f>ROUND('Balance N-1'!D410,2)</f>
        <v>0</v>
      </c>
      <c r="G410" s="679">
        <f>ROUND('Balance N-1'!E410,2)</f>
        <v>0</v>
      </c>
      <c r="H410" s="679">
        <f>ROUND('Balance N-1'!F410,2)</f>
        <v>0</v>
      </c>
      <c r="I410" s="2" t="str">
        <f t="shared" si="9"/>
        <v>0</v>
      </c>
    </row>
    <row r="411" spans="1:9" x14ac:dyDescent="0.2">
      <c r="A411" s="910" t="str">
        <f>FIXED('Balance N-1'!A411,0,1)</f>
        <v>0</v>
      </c>
      <c r="B411" s="572">
        <f>+'Balance N-1'!B411</f>
        <v>0</v>
      </c>
      <c r="C411" s="679" t="e">
        <f>ROUND('Balance N-1'!#REF!,2)</f>
        <v>#REF!</v>
      </c>
      <c r="D411" s="679" t="e">
        <f>ROUND('Balance N-1'!#REF!,2)</f>
        <v>#REF!</v>
      </c>
      <c r="E411" s="679">
        <f>ROUND('Balance N-1'!C411,2)</f>
        <v>0</v>
      </c>
      <c r="F411" s="679">
        <f>ROUND('Balance N-1'!D411,2)</f>
        <v>0</v>
      </c>
      <c r="G411" s="679">
        <f>ROUND('Balance N-1'!E411,2)</f>
        <v>0</v>
      </c>
      <c r="H411" s="679">
        <f>ROUND('Balance N-1'!F411,2)</f>
        <v>0</v>
      </c>
      <c r="I411" s="2" t="str">
        <f t="shared" si="9"/>
        <v>0</v>
      </c>
    </row>
    <row r="412" spans="1:9" x14ac:dyDescent="0.2">
      <c r="A412" s="910" t="str">
        <f>FIXED('Balance N-1'!A412,0,1)</f>
        <v>0</v>
      </c>
      <c r="B412" s="572">
        <f>+'Balance N-1'!B412</f>
        <v>0</v>
      </c>
      <c r="C412" s="679" t="e">
        <f>ROUND('Balance N-1'!#REF!,2)</f>
        <v>#REF!</v>
      </c>
      <c r="D412" s="679" t="e">
        <f>ROUND('Balance N-1'!#REF!,2)</f>
        <v>#REF!</v>
      </c>
      <c r="E412" s="679">
        <f>ROUND('Balance N-1'!C412,2)</f>
        <v>0</v>
      </c>
      <c r="F412" s="679">
        <f>ROUND('Balance N-1'!D412,2)</f>
        <v>0</v>
      </c>
      <c r="G412" s="679">
        <f>ROUND('Balance N-1'!E412,2)</f>
        <v>0</v>
      </c>
      <c r="H412" s="679">
        <f>ROUND('Balance N-1'!F412,2)</f>
        <v>0</v>
      </c>
      <c r="I412" s="2" t="str">
        <f t="shared" si="9"/>
        <v>0</v>
      </c>
    </row>
    <row r="413" spans="1:9" x14ac:dyDescent="0.2">
      <c r="A413" s="910" t="str">
        <f>FIXED('Balance N-1'!A413,0,1)</f>
        <v>0</v>
      </c>
      <c r="B413" s="572">
        <f>+'Balance N-1'!B413</f>
        <v>0</v>
      </c>
      <c r="C413" s="679" t="e">
        <f>ROUND('Balance N-1'!#REF!,2)</f>
        <v>#REF!</v>
      </c>
      <c r="D413" s="679" t="e">
        <f>ROUND('Balance N-1'!#REF!,2)</f>
        <v>#REF!</v>
      </c>
      <c r="E413" s="679">
        <f>ROUND('Balance N-1'!C413,2)</f>
        <v>0</v>
      </c>
      <c r="F413" s="679">
        <f>ROUND('Balance N-1'!D413,2)</f>
        <v>0</v>
      </c>
      <c r="G413" s="679">
        <f>ROUND('Balance N-1'!E413,2)</f>
        <v>0</v>
      </c>
      <c r="H413" s="679">
        <f>ROUND('Balance N-1'!F413,2)</f>
        <v>0</v>
      </c>
      <c r="I413" s="2" t="str">
        <f t="shared" si="9"/>
        <v>0</v>
      </c>
    </row>
    <row r="414" spans="1:9" x14ac:dyDescent="0.2">
      <c r="A414" s="910" t="str">
        <f>FIXED('Balance N-1'!A414,0,1)</f>
        <v>0</v>
      </c>
      <c r="B414" s="572">
        <f>+'Balance N-1'!B414</f>
        <v>0</v>
      </c>
      <c r="C414" s="679" t="e">
        <f>ROUND('Balance N-1'!#REF!,2)</f>
        <v>#REF!</v>
      </c>
      <c r="D414" s="679" t="e">
        <f>ROUND('Balance N-1'!#REF!,2)</f>
        <v>#REF!</v>
      </c>
      <c r="E414" s="679">
        <f>ROUND('Balance N-1'!C414,2)</f>
        <v>0</v>
      </c>
      <c r="F414" s="679">
        <f>ROUND('Balance N-1'!D414,2)</f>
        <v>0</v>
      </c>
      <c r="G414" s="679">
        <f>ROUND('Balance N-1'!E414,2)</f>
        <v>0</v>
      </c>
      <c r="H414" s="679">
        <f>ROUND('Balance N-1'!F414,2)</f>
        <v>0</v>
      </c>
      <c r="I414" s="2" t="str">
        <f t="shared" si="9"/>
        <v>0</v>
      </c>
    </row>
    <row r="415" spans="1:9" x14ac:dyDescent="0.2">
      <c r="A415" s="910" t="str">
        <f>FIXED('Balance N-1'!A415,0,1)</f>
        <v>0</v>
      </c>
      <c r="B415" s="572">
        <f>+'Balance N-1'!B415</f>
        <v>0</v>
      </c>
      <c r="C415" s="679" t="e">
        <f>ROUND('Balance N-1'!#REF!,2)</f>
        <v>#REF!</v>
      </c>
      <c r="D415" s="679" t="e">
        <f>ROUND('Balance N-1'!#REF!,2)</f>
        <v>#REF!</v>
      </c>
      <c r="E415" s="679">
        <f>ROUND('Balance N-1'!C415,2)</f>
        <v>0</v>
      </c>
      <c r="F415" s="679">
        <f>ROUND('Balance N-1'!D415,2)</f>
        <v>0</v>
      </c>
      <c r="G415" s="679">
        <f>ROUND('Balance N-1'!E415,2)</f>
        <v>0</v>
      </c>
      <c r="H415" s="679">
        <f>ROUND('Balance N-1'!F415,2)</f>
        <v>0</v>
      </c>
      <c r="I415" s="2" t="str">
        <f t="shared" si="9"/>
        <v>0</v>
      </c>
    </row>
    <row r="416" spans="1:9" x14ac:dyDescent="0.2">
      <c r="A416" s="910" t="str">
        <f>FIXED('Balance N-1'!A416,0,1)</f>
        <v>0</v>
      </c>
      <c r="B416" s="572">
        <f>+'Balance N-1'!B416</f>
        <v>0</v>
      </c>
      <c r="C416" s="679" t="e">
        <f>ROUND('Balance N-1'!#REF!,2)</f>
        <v>#REF!</v>
      </c>
      <c r="D416" s="679" t="e">
        <f>ROUND('Balance N-1'!#REF!,2)</f>
        <v>#REF!</v>
      </c>
      <c r="E416" s="679">
        <f>ROUND('Balance N-1'!C416,2)</f>
        <v>0</v>
      </c>
      <c r="F416" s="679">
        <f>ROUND('Balance N-1'!D416,2)</f>
        <v>0</v>
      </c>
      <c r="G416" s="679">
        <f>ROUND('Balance N-1'!E416,2)</f>
        <v>0</v>
      </c>
      <c r="H416" s="679">
        <f>ROUND('Balance N-1'!F416,2)</f>
        <v>0</v>
      </c>
      <c r="I416" s="2" t="str">
        <f t="shared" si="9"/>
        <v>0</v>
      </c>
    </row>
    <row r="417" spans="1:9" x14ac:dyDescent="0.2">
      <c r="A417" s="910" t="str">
        <f>FIXED('Balance N-1'!A417,0,1)</f>
        <v>0</v>
      </c>
      <c r="B417" s="572">
        <f>+'Balance N-1'!B417</f>
        <v>0</v>
      </c>
      <c r="C417" s="679" t="e">
        <f>ROUND('Balance N-1'!#REF!,2)</f>
        <v>#REF!</v>
      </c>
      <c r="D417" s="679" t="e">
        <f>ROUND('Balance N-1'!#REF!,2)</f>
        <v>#REF!</v>
      </c>
      <c r="E417" s="679">
        <f>ROUND('Balance N-1'!C417,2)</f>
        <v>0</v>
      </c>
      <c r="F417" s="679">
        <f>ROUND('Balance N-1'!D417,2)</f>
        <v>0</v>
      </c>
      <c r="G417" s="679">
        <f>ROUND('Balance N-1'!E417,2)</f>
        <v>0</v>
      </c>
      <c r="H417" s="679">
        <f>ROUND('Balance N-1'!F417,2)</f>
        <v>0</v>
      </c>
      <c r="I417" s="2" t="str">
        <f t="shared" si="9"/>
        <v>0</v>
      </c>
    </row>
    <row r="418" spans="1:9" x14ac:dyDescent="0.2">
      <c r="A418" s="910" t="str">
        <f>FIXED('Balance N-1'!A418,0,1)</f>
        <v>0</v>
      </c>
      <c r="B418" s="572">
        <f>+'Balance N-1'!B418</f>
        <v>0</v>
      </c>
      <c r="C418" s="679" t="e">
        <f>ROUND('Balance N-1'!#REF!,2)</f>
        <v>#REF!</v>
      </c>
      <c r="D418" s="679" t="e">
        <f>ROUND('Balance N-1'!#REF!,2)</f>
        <v>#REF!</v>
      </c>
      <c r="E418" s="679">
        <f>ROUND('Balance N-1'!C418,2)</f>
        <v>0</v>
      </c>
      <c r="F418" s="679">
        <f>ROUND('Balance N-1'!D418,2)</f>
        <v>0</v>
      </c>
      <c r="G418" s="679">
        <f>ROUND('Balance N-1'!E418,2)</f>
        <v>0</v>
      </c>
      <c r="H418" s="679">
        <f>ROUND('Balance N-1'!F418,2)</f>
        <v>0</v>
      </c>
      <c r="I418" s="2" t="str">
        <f t="shared" si="9"/>
        <v>0</v>
      </c>
    </row>
    <row r="419" spans="1:9" x14ac:dyDescent="0.2">
      <c r="A419" s="910" t="str">
        <f>FIXED('Balance N-1'!A419,0,1)</f>
        <v>0</v>
      </c>
      <c r="B419" s="572">
        <f>+'Balance N-1'!B419</f>
        <v>0</v>
      </c>
      <c r="C419" s="679" t="e">
        <f>ROUND('Balance N-1'!#REF!,2)</f>
        <v>#REF!</v>
      </c>
      <c r="D419" s="679" t="e">
        <f>ROUND('Balance N-1'!#REF!,2)</f>
        <v>#REF!</v>
      </c>
      <c r="E419" s="679">
        <f>ROUND('Balance N-1'!C419,2)</f>
        <v>0</v>
      </c>
      <c r="F419" s="679">
        <f>ROUND('Balance N-1'!D419,2)</f>
        <v>0</v>
      </c>
      <c r="G419" s="679">
        <f>ROUND('Balance N-1'!E419,2)</f>
        <v>0</v>
      </c>
      <c r="H419" s="679">
        <f>ROUND('Balance N-1'!F419,2)</f>
        <v>0</v>
      </c>
      <c r="I419" s="2" t="str">
        <f t="shared" si="9"/>
        <v>0</v>
      </c>
    </row>
    <row r="420" spans="1:9" x14ac:dyDescent="0.2">
      <c r="A420" s="910" t="str">
        <f>FIXED('Balance N-1'!A420,0,1)</f>
        <v>0</v>
      </c>
      <c r="B420" s="572">
        <f>+'Balance N-1'!B420</f>
        <v>0</v>
      </c>
      <c r="C420" s="679" t="e">
        <f>ROUND('Balance N-1'!#REF!,2)</f>
        <v>#REF!</v>
      </c>
      <c r="D420" s="679" t="e">
        <f>ROUND('Balance N-1'!#REF!,2)</f>
        <v>#REF!</v>
      </c>
      <c r="E420" s="679">
        <f>ROUND('Balance N-1'!C420,2)</f>
        <v>0</v>
      </c>
      <c r="F420" s="679">
        <f>ROUND('Balance N-1'!D420,2)</f>
        <v>0</v>
      </c>
      <c r="G420" s="679">
        <f>ROUND('Balance N-1'!E420,2)</f>
        <v>0</v>
      </c>
      <c r="H420" s="679">
        <f>ROUND('Balance N-1'!F420,2)</f>
        <v>0</v>
      </c>
      <c r="I420" s="2" t="str">
        <f t="shared" si="9"/>
        <v>0</v>
      </c>
    </row>
    <row r="421" spans="1:9" x14ac:dyDescent="0.2">
      <c r="A421" s="910" t="str">
        <f>FIXED('Balance N-1'!A421,0,1)</f>
        <v>0</v>
      </c>
      <c r="B421" s="572">
        <f>+'Balance N-1'!B421</f>
        <v>0</v>
      </c>
      <c r="C421" s="679" t="e">
        <f>ROUND('Balance N-1'!#REF!,2)</f>
        <v>#REF!</v>
      </c>
      <c r="D421" s="679" t="e">
        <f>ROUND('Balance N-1'!#REF!,2)</f>
        <v>#REF!</v>
      </c>
      <c r="E421" s="679">
        <f>ROUND('Balance N-1'!C421,2)</f>
        <v>0</v>
      </c>
      <c r="F421" s="679">
        <f>ROUND('Balance N-1'!D421,2)</f>
        <v>0</v>
      </c>
      <c r="G421" s="679">
        <f>ROUND('Balance N-1'!E421,2)</f>
        <v>0</v>
      </c>
      <c r="H421" s="679">
        <f>ROUND('Balance N-1'!F421,2)</f>
        <v>0</v>
      </c>
      <c r="I421" s="2" t="str">
        <f t="shared" si="9"/>
        <v>0</v>
      </c>
    </row>
    <row r="422" spans="1:9" x14ac:dyDescent="0.2">
      <c r="A422" s="910" t="str">
        <f>FIXED('Balance N-1'!A422,0,1)</f>
        <v>0</v>
      </c>
      <c r="B422" s="572">
        <f>+'Balance N-1'!B422</f>
        <v>0</v>
      </c>
      <c r="C422" s="679" t="e">
        <f>ROUND('Balance N-1'!#REF!,2)</f>
        <v>#REF!</v>
      </c>
      <c r="D422" s="679" t="e">
        <f>ROUND('Balance N-1'!#REF!,2)</f>
        <v>#REF!</v>
      </c>
      <c r="E422" s="679">
        <f>ROUND('Balance N-1'!C422,2)</f>
        <v>0</v>
      </c>
      <c r="F422" s="679">
        <f>ROUND('Balance N-1'!D422,2)</f>
        <v>0</v>
      </c>
      <c r="G422" s="679">
        <f>ROUND('Balance N-1'!E422,2)</f>
        <v>0</v>
      </c>
      <c r="H422" s="679">
        <f>ROUND('Balance N-1'!F422,2)</f>
        <v>0</v>
      </c>
      <c r="I422" s="2" t="str">
        <f t="shared" si="9"/>
        <v>0</v>
      </c>
    </row>
    <row r="423" spans="1:9" x14ac:dyDescent="0.2">
      <c r="A423" s="910" t="str">
        <f>FIXED('Balance N-1'!A423,0,1)</f>
        <v>0</v>
      </c>
      <c r="B423" s="572">
        <f>+'Balance N-1'!B423</f>
        <v>0</v>
      </c>
      <c r="C423" s="679" t="e">
        <f>ROUND('Balance N-1'!#REF!,2)</f>
        <v>#REF!</v>
      </c>
      <c r="D423" s="679" t="e">
        <f>ROUND('Balance N-1'!#REF!,2)</f>
        <v>#REF!</v>
      </c>
      <c r="E423" s="679">
        <f>ROUND('Balance N-1'!C423,2)</f>
        <v>0</v>
      </c>
      <c r="F423" s="679">
        <f>ROUND('Balance N-1'!D423,2)</f>
        <v>0</v>
      </c>
      <c r="G423" s="679">
        <f>ROUND('Balance N-1'!E423,2)</f>
        <v>0</v>
      </c>
      <c r="H423" s="679">
        <f>ROUND('Balance N-1'!F423,2)</f>
        <v>0</v>
      </c>
      <c r="I423" s="2" t="str">
        <f t="shared" si="9"/>
        <v>0</v>
      </c>
    </row>
    <row r="424" spans="1:9" x14ac:dyDescent="0.2">
      <c r="A424" s="910" t="str">
        <f>FIXED('Balance N-1'!A424,0,1)</f>
        <v>0</v>
      </c>
      <c r="B424" s="572">
        <f>+'Balance N-1'!B424</f>
        <v>0</v>
      </c>
      <c r="C424" s="679" t="e">
        <f>ROUND('Balance N-1'!#REF!,2)</f>
        <v>#REF!</v>
      </c>
      <c r="D424" s="679" t="e">
        <f>ROUND('Balance N-1'!#REF!,2)</f>
        <v>#REF!</v>
      </c>
      <c r="E424" s="679">
        <f>ROUND('Balance N-1'!C424,2)</f>
        <v>0</v>
      </c>
      <c r="F424" s="679">
        <f>ROUND('Balance N-1'!D424,2)</f>
        <v>0</v>
      </c>
      <c r="G424" s="679">
        <f>ROUND('Balance N-1'!E424,2)</f>
        <v>0</v>
      </c>
      <c r="H424" s="679">
        <f>ROUND('Balance N-1'!F424,2)</f>
        <v>0</v>
      </c>
      <c r="I424" s="2" t="str">
        <f t="shared" si="9"/>
        <v>0</v>
      </c>
    </row>
    <row r="425" spans="1:9" x14ac:dyDescent="0.2">
      <c r="A425" s="910" t="str">
        <f>FIXED('Balance N-1'!A425,0,1)</f>
        <v>0</v>
      </c>
      <c r="B425" s="572">
        <f>+'Balance N-1'!B425</f>
        <v>0</v>
      </c>
      <c r="C425" s="679" t="e">
        <f>ROUND('Balance N-1'!#REF!,2)</f>
        <v>#REF!</v>
      </c>
      <c r="D425" s="679" t="e">
        <f>ROUND('Balance N-1'!#REF!,2)</f>
        <v>#REF!</v>
      </c>
      <c r="E425" s="679">
        <f>ROUND('Balance N-1'!C425,2)</f>
        <v>0</v>
      </c>
      <c r="F425" s="679">
        <f>ROUND('Balance N-1'!D425,2)</f>
        <v>0</v>
      </c>
      <c r="G425" s="679">
        <f>ROUND('Balance N-1'!E425,2)</f>
        <v>0</v>
      </c>
      <c r="H425" s="679">
        <f>ROUND('Balance N-1'!F425,2)</f>
        <v>0</v>
      </c>
      <c r="I425" s="2" t="str">
        <f t="shared" si="9"/>
        <v>0</v>
      </c>
    </row>
    <row r="426" spans="1:9" x14ac:dyDescent="0.2">
      <c r="A426" s="910" t="str">
        <f>FIXED('Balance N-1'!A426,0,1)</f>
        <v>0</v>
      </c>
      <c r="B426" s="572">
        <f>+'Balance N-1'!B426</f>
        <v>0</v>
      </c>
      <c r="C426" s="679" t="e">
        <f>ROUND('Balance N-1'!#REF!,2)</f>
        <v>#REF!</v>
      </c>
      <c r="D426" s="679" t="e">
        <f>ROUND('Balance N-1'!#REF!,2)</f>
        <v>#REF!</v>
      </c>
      <c r="E426" s="679">
        <f>ROUND('Balance N-1'!C426,2)</f>
        <v>0</v>
      </c>
      <c r="F426" s="679">
        <f>ROUND('Balance N-1'!D426,2)</f>
        <v>0</v>
      </c>
      <c r="G426" s="679">
        <f>ROUND('Balance N-1'!E426,2)</f>
        <v>0</v>
      </c>
      <c r="H426" s="679">
        <f>ROUND('Balance N-1'!F426,2)</f>
        <v>0</v>
      </c>
      <c r="I426" s="2" t="str">
        <f t="shared" si="9"/>
        <v>0</v>
      </c>
    </row>
    <row r="427" spans="1:9" x14ac:dyDescent="0.2">
      <c r="A427" s="910" t="str">
        <f>FIXED('Balance N-1'!A427,0,1)</f>
        <v>0</v>
      </c>
      <c r="B427" s="572">
        <f>+'Balance N-1'!B427</f>
        <v>0</v>
      </c>
      <c r="C427" s="679" t="e">
        <f>ROUND('Balance N-1'!#REF!,2)</f>
        <v>#REF!</v>
      </c>
      <c r="D427" s="679" t="e">
        <f>ROUND('Balance N-1'!#REF!,2)</f>
        <v>#REF!</v>
      </c>
      <c r="E427" s="679">
        <f>ROUND('Balance N-1'!C427,2)</f>
        <v>0</v>
      </c>
      <c r="F427" s="679">
        <f>ROUND('Balance N-1'!D427,2)</f>
        <v>0</v>
      </c>
      <c r="G427" s="679">
        <f>ROUND('Balance N-1'!E427,2)</f>
        <v>0</v>
      </c>
      <c r="H427" s="679">
        <f>ROUND('Balance N-1'!F427,2)</f>
        <v>0</v>
      </c>
      <c r="I427" s="2" t="str">
        <f t="shared" si="9"/>
        <v>0</v>
      </c>
    </row>
    <row r="428" spans="1:9" x14ac:dyDescent="0.2">
      <c r="A428" s="910" t="str">
        <f>FIXED('Balance N-1'!A428,0,1)</f>
        <v>0</v>
      </c>
      <c r="B428" s="572">
        <f>+'Balance N-1'!B428</f>
        <v>0</v>
      </c>
      <c r="C428" s="679" t="e">
        <f>ROUND('Balance N-1'!#REF!,2)</f>
        <v>#REF!</v>
      </c>
      <c r="D428" s="679" t="e">
        <f>ROUND('Balance N-1'!#REF!,2)</f>
        <v>#REF!</v>
      </c>
      <c r="E428" s="679">
        <f>ROUND('Balance N-1'!C428,2)</f>
        <v>0</v>
      </c>
      <c r="F428" s="679">
        <f>ROUND('Balance N-1'!D428,2)</f>
        <v>0</v>
      </c>
      <c r="G428" s="679">
        <f>ROUND('Balance N-1'!E428,2)</f>
        <v>0</v>
      </c>
      <c r="H428" s="679">
        <f>ROUND('Balance N-1'!F428,2)</f>
        <v>0</v>
      </c>
      <c r="I428" s="2" t="str">
        <f t="shared" si="9"/>
        <v>0</v>
      </c>
    </row>
    <row r="429" spans="1:9" x14ac:dyDescent="0.2">
      <c r="A429" s="910" t="str">
        <f>FIXED('Balance N-1'!A429,0,1)</f>
        <v>0</v>
      </c>
      <c r="B429" s="572">
        <f>+'Balance N-1'!B429</f>
        <v>0</v>
      </c>
      <c r="C429" s="679" t="e">
        <f>ROUND('Balance N-1'!#REF!,2)</f>
        <v>#REF!</v>
      </c>
      <c r="D429" s="679" t="e">
        <f>ROUND('Balance N-1'!#REF!,2)</f>
        <v>#REF!</v>
      </c>
      <c r="E429" s="679">
        <f>ROUND('Balance N-1'!C429,2)</f>
        <v>0</v>
      </c>
      <c r="F429" s="679">
        <f>ROUND('Balance N-1'!D429,2)</f>
        <v>0</v>
      </c>
      <c r="G429" s="679">
        <f>ROUND('Balance N-1'!E429,2)</f>
        <v>0</v>
      </c>
      <c r="H429" s="679">
        <f>ROUND('Balance N-1'!F429,2)</f>
        <v>0</v>
      </c>
      <c r="I429" s="2" t="str">
        <f t="shared" si="9"/>
        <v>0</v>
      </c>
    </row>
    <row r="430" spans="1:9" x14ac:dyDescent="0.2">
      <c r="A430" s="910" t="str">
        <f>FIXED('Balance N-1'!A430,0,1)</f>
        <v>0</v>
      </c>
      <c r="B430" s="572">
        <f>+'Balance N-1'!B430</f>
        <v>0</v>
      </c>
      <c r="C430" s="679" t="e">
        <f>ROUND('Balance N-1'!#REF!,2)</f>
        <v>#REF!</v>
      </c>
      <c r="D430" s="679" t="e">
        <f>ROUND('Balance N-1'!#REF!,2)</f>
        <v>#REF!</v>
      </c>
      <c r="E430" s="679">
        <f>ROUND('Balance N-1'!C430,2)</f>
        <v>0</v>
      </c>
      <c r="F430" s="679">
        <f>ROUND('Balance N-1'!D430,2)</f>
        <v>0</v>
      </c>
      <c r="G430" s="679">
        <f>ROUND('Balance N-1'!E430,2)</f>
        <v>0</v>
      </c>
      <c r="H430" s="679">
        <f>ROUND('Balance N-1'!F430,2)</f>
        <v>0</v>
      </c>
      <c r="I430" s="2" t="str">
        <f t="shared" si="9"/>
        <v>0</v>
      </c>
    </row>
    <row r="431" spans="1:9" x14ac:dyDescent="0.2">
      <c r="A431" s="910" t="str">
        <f>FIXED('Balance N-1'!A431,0,1)</f>
        <v>0</v>
      </c>
      <c r="B431" s="572">
        <f>+'Balance N-1'!B431</f>
        <v>0</v>
      </c>
      <c r="C431" s="679" t="e">
        <f>ROUND('Balance N-1'!#REF!,2)</f>
        <v>#REF!</v>
      </c>
      <c r="D431" s="679" t="e">
        <f>ROUND('Balance N-1'!#REF!,2)</f>
        <v>#REF!</v>
      </c>
      <c r="E431" s="679">
        <f>ROUND('Balance N-1'!C431,2)</f>
        <v>0</v>
      </c>
      <c r="F431" s="679">
        <f>ROUND('Balance N-1'!D431,2)</f>
        <v>0</v>
      </c>
      <c r="G431" s="679">
        <f>ROUND('Balance N-1'!E431,2)</f>
        <v>0</v>
      </c>
      <c r="H431" s="679">
        <f>ROUND('Balance N-1'!F431,2)</f>
        <v>0</v>
      </c>
      <c r="I431" s="2" t="str">
        <f t="shared" si="9"/>
        <v>0</v>
      </c>
    </row>
    <row r="432" spans="1:9" x14ac:dyDescent="0.2">
      <c r="A432" s="910" t="str">
        <f>FIXED('Balance N-1'!A432,0,1)</f>
        <v>0</v>
      </c>
      <c r="B432" s="572">
        <f>+'Balance N-1'!B432</f>
        <v>0</v>
      </c>
      <c r="C432" s="679" t="e">
        <f>ROUND('Balance N-1'!#REF!,2)</f>
        <v>#REF!</v>
      </c>
      <c r="D432" s="679" t="e">
        <f>ROUND('Balance N-1'!#REF!,2)</f>
        <v>#REF!</v>
      </c>
      <c r="E432" s="679">
        <f>ROUND('Balance N-1'!C432,2)</f>
        <v>0</v>
      </c>
      <c r="F432" s="679">
        <f>ROUND('Balance N-1'!D432,2)</f>
        <v>0</v>
      </c>
      <c r="G432" s="679">
        <f>ROUND('Balance N-1'!E432,2)</f>
        <v>0</v>
      </c>
      <c r="H432" s="679">
        <f>ROUND('Balance N-1'!F432,2)</f>
        <v>0</v>
      </c>
      <c r="I432" s="2" t="str">
        <f t="shared" si="9"/>
        <v>0</v>
      </c>
    </row>
    <row r="433" spans="1:9" x14ac:dyDescent="0.2">
      <c r="A433" s="910" t="str">
        <f>FIXED('Balance N-1'!A433,0,1)</f>
        <v>0</v>
      </c>
      <c r="B433" s="572">
        <f>+'Balance N-1'!B433</f>
        <v>0</v>
      </c>
      <c r="C433" s="679" t="e">
        <f>ROUND('Balance N-1'!#REF!,2)</f>
        <v>#REF!</v>
      </c>
      <c r="D433" s="679" t="e">
        <f>ROUND('Balance N-1'!#REF!,2)</f>
        <v>#REF!</v>
      </c>
      <c r="E433" s="679">
        <f>ROUND('Balance N-1'!C433,2)</f>
        <v>0</v>
      </c>
      <c r="F433" s="679">
        <f>ROUND('Balance N-1'!D433,2)</f>
        <v>0</v>
      </c>
      <c r="G433" s="679">
        <f>ROUND('Balance N-1'!E433,2)</f>
        <v>0</v>
      </c>
      <c r="H433" s="679">
        <f>ROUND('Balance N-1'!F433,2)</f>
        <v>0</v>
      </c>
      <c r="I433" s="2" t="str">
        <f t="shared" si="9"/>
        <v>0</v>
      </c>
    </row>
    <row r="434" spans="1:9" x14ac:dyDescent="0.2">
      <c r="A434" s="910" t="str">
        <f>FIXED('Balance N-1'!A434,0,1)</f>
        <v>0</v>
      </c>
      <c r="B434" s="572">
        <f>+'Balance N-1'!B434</f>
        <v>0</v>
      </c>
      <c r="C434" s="679" t="e">
        <f>ROUND('Balance N-1'!#REF!,2)</f>
        <v>#REF!</v>
      </c>
      <c r="D434" s="679" t="e">
        <f>ROUND('Balance N-1'!#REF!,2)</f>
        <v>#REF!</v>
      </c>
      <c r="E434" s="679">
        <f>ROUND('Balance N-1'!C434,2)</f>
        <v>0</v>
      </c>
      <c r="F434" s="679">
        <f>ROUND('Balance N-1'!D434,2)</f>
        <v>0</v>
      </c>
      <c r="G434" s="679">
        <f>ROUND('Balance N-1'!E434,2)</f>
        <v>0</v>
      </c>
      <c r="H434" s="679">
        <f>ROUND('Balance N-1'!F434,2)</f>
        <v>0</v>
      </c>
      <c r="I434" s="2" t="str">
        <f t="shared" si="9"/>
        <v>0</v>
      </c>
    </row>
    <row r="435" spans="1:9" x14ac:dyDescent="0.2">
      <c r="A435" s="910" t="str">
        <f>FIXED('Balance N-1'!A435,0,1)</f>
        <v>0</v>
      </c>
      <c r="B435" s="572">
        <f>+'Balance N-1'!B435</f>
        <v>0</v>
      </c>
      <c r="C435" s="679" t="e">
        <f>ROUND('Balance N-1'!#REF!,2)</f>
        <v>#REF!</v>
      </c>
      <c r="D435" s="679" t="e">
        <f>ROUND('Balance N-1'!#REF!,2)</f>
        <v>#REF!</v>
      </c>
      <c r="E435" s="679">
        <f>ROUND('Balance N-1'!C435,2)</f>
        <v>0</v>
      </c>
      <c r="F435" s="679">
        <f>ROUND('Balance N-1'!D435,2)</f>
        <v>0</v>
      </c>
      <c r="G435" s="679">
        <f>ROUND('Balance N-1'!E435,2)</f>
        <v>0</v>
      </c>
      <c r="H435" s="679">
        <f>ROUND('Balance N-1'!F435,2)</f>
        <v>0</v>
      </c>
      <c r="I435" s="2" t="str">
        <f t="shared" si="9"/>
        <v>0</v>
      </c>
    </row>
    <row r="436" spans="1:9" x14ac:dyDescent="0.2">
      <c r="A436" s="910" t="str">
        <f>FIXED('Balance N-1'!A436,0,1)</f>
        <v>0</v>
      </c>
      <c r="B436" s="572">
        <f>+'Balance N-1'!B436</f>
        <v>0</v>
      </c>
      <c r="C436" s="679" t="e">
        <f>ROUND('Balance N-1'!#REF!,2)</f>
        <v>#REF!</v>
      </c>
      <c r="D436" s="679" t="e">
        <f>ROUND('Balance N-1'!#REF!,2)</f>
        <v>#REF!</v>
      </c>
      <c r="E436" s="679">
        <f>ROUND('Balance N-1'!C436,2)</f>
        <v>0</v>
      </c>
      <c r="F436" s="679">
        <f>ROUND('Balance N-1'!D436,2)</f>
        <v>0</v>
      </c>
      <c r="G436" s="679">
        <f>ROUND('Balance N-1'!E436,2)</f>
        <v>0</v>
      </c>
      <c r="H436" s="679">
        <f>ROUND('Balance N-1'!F436,2)</f>
        <v>0</v>
      </c>
      <c r="I436" s="2" t="str">
        <f t="shared" si="9"/>
        <v>0</v>
      </c>
    </row>
    <row r="437" spans="1:9" x14ac:dyDescent="0.2">
      <c r="A437" s="910" t="str">
        <f>FIXED('Balance N-1'!A437,0,1)</f>
        <v>0</v>
      </c>
      <c r="B437" s="572">
        <f>+'Balance N-1'!B437</f>
        <v>0</v>
      </c>
      <c r="C437" s="679" t="e">
        <f>ROUND('Balance N-1'!#REF!,2)</f>
        <v>#REF!</v>
      </c>
      <c r="D437" s="679" t="e">
        <f>ROUND('Balance N-1'!#REF!,2)</f>
        <v>#REF!</v>
      </c>
      <c r="E437" s="679">
        <f>ROUND('Balance N-1'!C437,2)</f>
        <v>0</v>
      </c>
      <c r="F437" s="679">
        <f>ROUND('Balance N-1'!D437,2)</f>
        <v>0</v>
      </c>
      <c r="G437" s="679">
        <f>ROUND('Balance N-1'!E437,2)</f>
        <v>0</v>
      </c>
      <c r="H437" s="679">
        <f>ROUND('Balance N-1'!F437,2)</f>
        <v>0</v>
      </c>
      <c r="I437" s="2" t="str">
        <f t="shared" si="9"/>
        <v>0</v>
      </c>
    </row>
    <row r="438" spans="1:9" x14ac:dyDescent="0.2">
      <c r="A438" s="910" t="str">
        <f>FIXED('Balance N-1'!A438,0,1)</f>
        <v>0</v>
      </c>
      <c r="B438" s="572">
        <f>+'Balance N-1'!B438</f>
        <v>0</v>
      </c>
      <c r="C438" s="679" t="e">
        <f>ROUND('Balance N-1'!#REF!,2)</f>
        <v>#REF!</v>
      </c>
      <c r="D438" s="679" t="e">
        <f>ROUND('Balance N-1'!#REF!,2)</f>
        <v>#REF!</v>
      </c>
      <c r="E438" s="679">
        <f>ROUND('Balance N-1'!C438,2)</f>
        <v>0</v>
      </c>
      <c r="F438" s="679">
        <f>ROUND('Balance N-1'!D438,2)</f>
        <v>0</v>
      </c>
      <c r="G438" s="679">
        <f>ROUND('Balance N-1'!E438,2)</f>
        <v>0</v>
      </c>
      <c r="H438" s="679">
        <f>ROUND('Balance N-1'!F438,2)</f>
        <v>0</v>
      </c>
      <c r="I438" s="2" t="str">
        <f t="shared" si="9"/>
        <v>0</v>
      </c>
    </row>
    <row r="439" spans="1:9" x14ac:dyDescent="0.2">
      <c r="A439" s="910" t="str">
        <f>FIXED('Balance N-1'!A439,0,1)</f>
        <v>0</v>
      </c>
      <c r="B439" s="572">
        <f>+'Balance N-1'!B439</f>
        <v>0</v>
      </c>
      <c r="C439" s="679" t="e">
        <f>ROUND('Balance N-1'!#REF!,2)</f>
        <v>#REF!</v>
      </c>
      <c r="D439" s="679" t="e">
        <f>ROUND('Balance N-1'!#REF!,2)</f>
        <v>#REF!</v>
      </c>
      <c r="E439" s="679">
        <f>ROUND('Balance N-1'!C439,2)</f>
        <v>0</v>
      </c>
      <c r="F439" s="679">
        <f>ROUND('Balance N-1'!D439,2)</f>
        <v>0</v>
      </c>
      <c r="G439" s="679">
        <f>ROUND('Balance N-1'!E439,2)</f>
        <v>0</v>
      </c>
      <c r="H439" s="679">
        <f>ROUND('Balance N-1'!F439,2)</f>
        <v>0</v>
      </c>
      <c r="I439" s="2" t="str">
        <f t="shared" si="9"/>
        <v>0</v>
      </c>
    </row>
    <row r="440" spans="1:9" x14ac:dyDescent="0.2">
      <c r="A440" s="910" t="str">
        <f>FIXED('Balance N-1'!A440,0,1)</f>
        <v>0</v>
      </c>
      <c r="B440" s="572">
        <f>+'Balance N-1'!B440</f>
        <v>0</v>
      </c>
      <c r="C440" s="679" t="e">
        <f>ROUND('Balance N-1'!#REF!,2)</f>
        <v>#REF!</v>
      </c>
      <c r="D440" s="679" t="e">
        <f>ROUND('Balance N-1'!#REF!,2)</f>
        <v>#REF!</v>
      </c>
      <c r="E440" s="679">
        <f>ROUND('Balance N-1'!C440,2)</f>
        <v>0</v>
      </c>
      <c r="F440" s="679">
        <f>ROUND('Balance N-1'!D440,2)</f>
        <v>0</v>
      </c>
      <c r="G440" s="679">
        <f>ROUND('Balance N-1'!E440,2)</f>
        <v>0</v>
      </c>
      <c r="H440" s="679">
        <f>ROUND('Balance N-1'!F440,2)</f>
        <v>0</v>
      </c>
      <c r="I440" s="2" t="str">
        <f t="shared" si="9"/>
        <v>0</v>
      </c>
    </row>
    <row r="441" spans="1:9" x14ac:dyDescent="0.2">
      <c r="A441" s="910" t="str">
        <f>FIXED('Balance N-1'!A441,0,1)</f>
        <v>0</v>
      </c>
      <c r="B441" s="572">
        <f>+'Balance N-1'!B441</f>
        <v>0</v>
      </c>
      <c r="C441" s="679" t="e">
        <f>ROUND('Balance N-1'!#REF!,2)</f>
        <v>#REF!</v>
      </c>
      <c r="D441" s="679" t="e">
        <f>ROUND('Balance N-1'!#REF!,2)</f>
        <v>#REF!</v>
      </c>
      <c r="E441" s="679">
        <f>ROUND('Balance N-1'!C441,2)</f>
        <v>0</v>
      </c>
      <c r="F441" s="679">
        <f>ROUND('Balance N-1'!D441,2)</f>
        <v>0</v>
      </c>
      <c r="G441" s="679">
        <f>ROUND('Balance N-1'!E441,2)</f>
        <v>0</v>
      </c>
      <c r="H441" s="679">
        <f>ROUND('Balance N-1'!F441,2)</f>
        <v>0</v>
      </c>
      <c r="I441" s="2" t="str">
        <f t="shared" si="9"/>
        <v>0</v>
      </c>
    </row>
    <row r="442" spans="1:9" x14ac:dyDescent="0.2">
      <c r="A442" s="910" t="str">
        <f>FIXED('Balance N-1'!A442,0,1)</f>
        <v>0</v>
      </c>
      <c r="B442" s="572">
        <f>+'Balance N-1'!B442</f>
        <v>0</v>
      </c>
      <c r="C442" s="679" t="e">
        <f>ROUND('Balance N-1'!#REF!,2)</f>
        <v>#REF!</v>
      </c>
      <c r="D442" s="679" t="e">
        <f>ROUND('Balance N-1'!#REF!,2)</f>
        <v>#REF!</v>
      </c>
      <c r="E442" s="679">
        <f>ROUND('Balance N-1'!C442,2)</f>
        <v>0</v>
      </c>
      <c r="F442" s="679">
        <f>ROUND('Balance N-1'!D442,2)</f>
        <v>0</v>
      </c>
      <c r="G442" s="679">
        <f>ROUND('Balance N-1'!E442,2)</f>
        <v>0</v>
      </c>
      <c r="H442" s="679">
        <f>ROUND('Balance N-1'!F442,2)</f>
        <v>0</v>
      </c>
      <c r="I442" s="2" t="str">
        <f t="shared" si="9"/>
        <v>0</v>
      </c>
    </row>
    <row r="443" spans="1:9" x14ac:dyDescent="0.2">
      <c r="A443" s="910" t="str">
        <f>FIXED('Balance N-1'!A443,0,1)</f>
        <v>0</v>
      </c>
      <c r="B443" s="572">
        <f>+'Balance N-1'!B443</f>
        <v>0</v>
      </c>
      <c r="C443" s="679" t="e">
        <f>ROUND('Balance N-1'!#REF!,2)</f>
        <v>#REF!</v>
      </c>
      <c r="D443" s="679" t="e">
        <f>ROUND('Balance N-1'!#REF!,2)</f>
        <v>#REF!</v>
      </c>
      <c r="E443" s="679">
        <f>ROUND('Balance N-1'!C443,2)</f>
        <v>0</v>
      </c>
      <c r="F443" s="679">
        <f>ROUND('Balance N-1'!D443,2)</f>
        <v>0</v>
      </c>
      <c r="G443" s="679">
        <f>ROUND('Balance N-1'!E443,2)</f>
        <v>0</v>
      </c>
      <c r="H443" s="679">
        <f>ROUND('Balance N-1'!F443,2)</f>
        <v>0</v>
      </c>
      <c r="I443" s="2" t="str">
        <f t="shared" si="9"/>
        <v>0</v>
      </c>
    </row>
    <row r="444" spans="1:9" x14ac:dyDescent="0.2">
      <c r="A444" s="910" t="str">
        <f>FIXED('Balance N-1'!A444,0,1)</f>
        <v>0</v>
      </c>
      <c r="B444" s="572">
        <f>+'Balance N-1'!B444</f>
        <v>0</v>
      </c>
      <c r="C444" s="679" t="e">
        <f>ROUND('Balance N-1'!#REF!,2)</f>
        <v>#REF!</v>
      </c>
      <c r="D444" s="679" t="e">
        <f>ROUND('Balance N-1'!#REF!,2)</f>
        <v>#REF!</v>
      </c>
      <c r="E444" s="679">
        <f>ROUND('Balance N-1'!C444,2)</f>
        <v>0</v>
      </c>
      <c r="F444" s="679">
        <f>ROUND('Balance N-1'!D444,2)</f>
        <v>0</v>
      </c>
      <c r="G444" s="679">
        <f>ROUND('Balance N-1'!E444,2)</f>
        <v>0</v>
      </c>
      <c r="H444" s="679">
        <f>ROUND('Balance N-1'!F444,2)</f>
        <v>0</v>
      </c>
      <c r="I444" s="2" t="str">
        <f t="shared" si="9"/>
        <v>0</v>
      </c>
    </row>
    <row r="445" spans="1:9" x14ac:dyDescent="0.2">
      <c r="A445" s="910" t="str">
        <f>FIXED('Balance N-1'!A445,0,1)</f>
        <v>0</v>
      </c>
      <c r="B445" s="572">
        <f>+'Balance N-1'!B445</f>
        <v>0</v>
      </c>
      <c r="C445" s="679" t="e">
        <f>ROUND('Balance N-1'!#REF!,2)</f>
        <v>#REF!</v>
      </c>
      <c r="D445" s="679" t="e">
        <f>ROUND('Balance N-1'!#REF!,2)</f>
        <v>#REF!</v>
      </c>
      <c r="E445" s="679">
        <f>ROUND('Balance N-1'!C445,2)</f>
        <v>0</v>
      </c>
      <c r="F445" s="679">
        <f>ROUND('Balance N-1'!D445,2)</f>
        <v>0</v>
      </c>
      <c r="G445" s="679">
        <f>ROUND('Balance N-1'!E445,2)</f>
        <v>0</v>
      </c>
      <c r="H445" s="679">
        <f>ROUND('Balance N-1'!F445,2)</f>
        <v>0</v>
      </c>
      <c r="I445" s="2" t="str">
        <f t="shared" si="9"/>
        <v>0</v>
      </c>
    </row>
    <row r="446" spans="1:9" x14ac:dyDescent="0.2">
      <c r="A446" s="910" t="str">
        <f>FIXED('Balance N-1'!A446,0,1)</f>
        <v>0</v>
      </c>
      <c r="B446" s="572">
        <f>+'Balance N-1'!B446</f>
        <v>0</v>
      </c>
      <c r="C446" s="679" t="e">
        <f>ROUND('Balance N-1'!#REF!,2)</f>
        <v>#REF!</v>
      </c>
      <c r="D446" s="679" t="e">
        <f>ROUND('Balance N-1'!#REF!,2)</f>
        <v>#REF!</v>
      </c>
      <c r="E446" s="679">
        <f>ROUND('Balance N-1'!C446,2)</f>
        <v>0</v>
      </c>
      <c r="F446" s="679">
        <f>ROUND('Balance N-1'!D446,2)</f>
        <v>0</v>
      </c>
      <c r="G446" s="679">
        <f>ROUND('Balance N-1'!E446,2)</f>
        <v>0</v>
      </c>
      <c r="H446" s="679">
        <f>ROUND('Balance N-1'!F446,2)</f>
        <v>0</v>
      </c>
      <c r="I446" s="2" t="str">
        <f t="shared" si="9"/>
        <v>0</v>
      </c>
    </row>
    <row r="447" spans="1:9" x14ac:dyDescent="0.2">
      <c r="A447" s="910" t="str">
        <f>FIXED('Balance N-1'!A447,0,1)</f>
        <v>0</v>
      </c>
      <c r="B447" s="572">
        <f>+'Balance N-1'!B447</f>
        <v>0</v>
      </c>
      <c r="C447" s="679" t="e">
        <f>ROUND('Balance N-1'!#REF!,2)</f>
        <v>#REF!</v>
      </c>
      <c r="D447" s="679" t="e">
        <f>ROUND('Balance N-1'!#REF!,2)</f>
        <v>#REF!</v>
      </c>
      <c r="E447" s="679">
        <f>ROUND('Balance N-1'!C447,2)</f>
        <v>0</v>
      </c>
      <c r="F447" s="679">
        <f>ROUND('Balance N-1'!D447,2)</f>
        <v>0</v>
      </c>
      <c r="G447" s="679">
        <f>ROUND('Balance N-1'!E447,2)</f>
        <v>0</v>
      </c>
      <c r="H447" s="679">
        <f>ROUND('Balance N-1'!F447,2)</f>
        <v>0</v>
      </c>
      <c r="I447" s="2" t="str">
        <f t="shared" si="9"/>
        <v>0</v>
      </c>
    </row>
    <row r="448" spans="1:9" x14ac:dyDescent="0.2">
      <c r="A448" s="910" t="str">
        <f>FIXED('Balance N-1'!A448,0,1)</f>
        <v>0</v>
      </c>
      <c r="B448" s="572">
        <f>+'Balance N-1'!B448</f>
        <v>0</v>
      </c>
      <c r="C448" s="679" t="e">
        <f>ROUND('Balance N-1'!#REF!,2)</f>
        <v>#REF!</v>
      </c>
      <c r="D448" s="679" t="e">
        <f>ROUND('Balance N-1'!#REF!,2)</f>
        <v>#REF!</v>
      </c>
      <c r="E448" s="679">
        <f>ROUND('Balance N-1'!C448,2)</f>
        <v>0</v>
      </c>
      <c r="F448" s="679">
        <f>ROUND('Balance N-1'!D448,2)</f>
        <v>0</v>
      </c>
      <c r="G448" s="679">
        <f>ROUND('Balance N-1'!E448,2)</f>
        <v>0</v>
      </c>
      <c r="H448" s="679">
        <f>ROUND('Balance N-1'!F448,2)</f>
        <v>0</v>
      </c>
      <c r="I448" s="2" t="str">
        <f t="shared" si="9"/>
        <v>0</v>
      </c>
    </row>
    <row r="449" spans="1:9" x14ac:dyDescent="0.2">
      <c r="A449" s="910" t="str">
        <f>FIXED('Balance N-1'!A449,0,1)</f>
        <v>0</v>
      </c>
      <c r="B449" s="572">
        <f>+'Balance N-1'!B449</f>
        <v>0</v>
      </c>
      <c r="C449" s="679" t="e">
        <f>ROUND('Balance N-1'!#REF!,2)</f>
        <v>#REF!</v>
      </c>
      <c r="D449" s="679" t="e">
        <f>ROUND('Balance N-1'!#REF!,2)</f>
        <v>#REF!</v>
      </c>
      <c r="E449" s="679">
        <f>ROUND('Balance N-1'!C449,2)</f>
        <v>0</v>
      </c>
      <c r="F449" s="679">
        <f>ROUND('Balance N-1'!D449,2)</f>
        <v>0</v>
      </c>
      <c r="G449" s="679">
        <f>ROUND('Balance N-1'!E449,2)</f>
        <v>0</v>
      </c>
      <c r="H449" s="679">
        <f>ROUND('Balance N-1'!F449,2)</f>
        <v>0</v>
      </c>
      <c r="I449" s="2" t="str">
        <f t="shared" si="9"/>
        <v>0</v>
      </c>
    </row>
    <row r="450" spans="1:9" x14ac:dyDescent="0.2">
      <c r="A450" s="910" t="str">
        <f>FIXED('Balance N-1'!A450,0,1)</f>
        <v>0</v>
      </c>
      <c r="B450" s="572">
        <f>+'Balance N-1'!B450</f>
        <v>0</v>
      </c>
      <c r="C450" s="679" t="e">
        <f>ROUND('Balance N-1'!#REF!,2)</f>
        <v>#REF!</v>
      </c>
      <c r="D450" s="679" t="e">
        <f>ROUND('Balance N-1'!#REF!,2)</f>
        <v>#REF!</v>
      </c>
      <c r="E450" s="679">
        <f>ROUND('Balance N-1'!C450,2)</f>
        <v>0</v>
      </c>
      <c r="F450" s="679">
        <f>ROUND('Balance N-1'!D450,2)</f>
        <v>0</v>
      </c>
      <c r="G450" s="679">
        <f>ROUND('Balance N-1'!E450,2)</f>
        <v>0</v>
      </c>
      <c r="H450" s="679">
        <f>ROUND('Balance N-1'!F450,2)</f>
        <v>0</v>
      </c>
      <c r="I450" s="2" t="str">
        <f t="shared" si="9"/>
        <v>0</v>
      </c>
    </row>
    <row r="451" spans="1:9" x14ac:dyDescent="0.2">
      <c r="A451" s="910" t="str">
        <f>FIXED('Balance N-1'!A451,0,1)</f>
        <v>0</v>
      </c>
      <c r="B451" s="572">
        <f>+'Balance N-1'!B451</f>
        <v>0</v>
      </c>
      <c r="C451" s="679" t="e">
        <f>ROUND('Balance N-1'!#REF!,2)</f>
        <v>#REF!</v>
      </c>
      <c r="D451" s="679" t="e">
        <f>ROUND('Balance N-1'!#REF!,2)</f>
        <v>#REF!</v>
      </c>
      <c r="E451" s="679">
        <f>ROUND('Balance N-1'!C451,2)</f>
        <v>0</v>
      </c>
      <c r="F451" s="679">
        <f>ROUND('Balance N-1'!D451,2)</f>
        <v>0</v>
      </c>
      <c r="G451" s="679">
        <f>ROUND('Balance N-1'!E451,2)</f>
        <v>0</v>
      </c>
      <c r="H451" s="679">
        <f>ROUND('Balance N-1'!F451,2)</f>
        <v>0</v>
      </c>
      <c r="I451" s="2" t="str">
        <f t="shared" ref="I451:I514" si="10">MID(A451,1,1)</f>
        <v>0</v>
      </c>
    </row>
    <row r="452" spans="1:9" x14ac:dyDescent="0.2">
      <c r="A452" s="910" t="str">
        <f>FIXED('Balance N-1'!A452,0,1)</f>
        <v>0</v>
      </c>
      <c r="B452" s="572">
        <f>+'Balance N-1'!B452</f>
        <v>0</v>
      </c>
      <c r="C452" s="679" t="e">
        <f>ROUND('Balance N-1'!#REF!,2)</f>
        <v>#REF!</v>
      </c>
      <c r="D452" s="679" t="e">
        <f>ROUND('Balance N-1'!#REF!,2)</f>
        <v>#REF!</v>
      </c>
      <c r="E452" s="679">
        <f>ROUND('Balance N-1'!C452,2)</f>
        <v>0</v>
      </c>
      <c r="F452" s="679">
        <f>ROUND('Balance N-1'!D452,2)</f>
        <v>0</v>
      </c>
      <c r="G452" s="679">
        <f>ROUND('Balance N-1'!E452,2)</f>
        <v>0</v>
      </c>
      <c r="H452" s="679">
        <f>ROUND('Balance N-1'!F452,2)</f>
        <v>0</v>
      </c>
      <c r="I452" s="2" t="str">
        <f t="shared" si="10"/>
        <v>0</v>
      </c>
    </row>
    <row r="453" spans="1:9" x14ac:dyDescent="0.2">
      <c r="A453" s="910" t="str">
        <f>FIXED('Balance N-1'!A453,0,1)</f>
        <v>0</v>
      </c>
      <c r="B453" s="572">
        <f>+'Balance N-1'!B453</f>
        <v>0</v>
      </c>
      <c r="C453" s="679" t="e">
        <f>ROUND('Balance N-1'!#REF!,2)</f>
        <v>#REF!</v>
      </c>
      <c r="D453" s="679" t="e">
        <f>ROUND('Balance N-1'!#REF!,2)</f>
        <v>#REF!</v>
      </c>
      <c r="E453" s="679">
        <f>ROUND('Balance N-1'!C453,2)</f>
        <v>0</v>
      </c>
      <c r="F453" s="679">
        <f>ROUND('Balance N-1'!D453,2)</f>
        <v>0</v>
      </c>
      <c r="G453" s="679">
        <f>ROUND('Balance N-1'!E453,2)</f>
        <v>0</v>
      </c>
      <c r="H453" s="679">
        <f>ROUND('Balance N-1'!F453,2)</f>
        <v>0</v>
      </c>
      <c r="I453" s="2" t="str">
        <f t="shared" si="10"/>
        <v>0</v>
      </c>
    </row>
    <row r="454" spans="1:9" x14ac:dyDescent="0.2">
      <c r="A454" s="910" t="str">
        <f>FIXED('Balance N-1'!A454,0,1)</f>
        <v>0</v>
      </c>
      <c r="B454" s="572">
        <f>+'Balance N-1'!B454</f>
        <v>0</v>
      </c>
      <c r="C454" s="679" t="e">
        <f>ROUND('Balance N-1'!#REF!,2)</f>
        <v>#REF!</v>
      </c>
      <c r="D454" s="679" t="e">
        <f>ROUND('Balance N-1'!#REF!,2)</f>
        <v>#REF!</v>
      </c>
      <c r="E454" s="679">
        <f>ROUND('Balance N-1'!C454,2)</f>
        <v>0</v>
      </c>
      <c r="F454" s="679">
        <f>ROUND('Balance N-1'!D454,2)</f>
        <v>0</v>
      </c>
      <c r="G454" s="679">
        <f>ROUND('Balance N-1'!E454,2)</f>
        <v>0</v>
      </c>
      <c r="H454" s="679">
        <f>ROUND('Balance N-1'!F454,2)</f>
        <v>0</v>
      </c>
      <c r="I454" s="2" t="str">
        <f t="shared" si="10"/>
        <v>0</v>
      </c>
    </row>
    <row r="455" spans="1:9" x14ac:dyDescent="0.2">
      <c r="A455" s="910" t="str">
        <f>FIXED('Balance N-1'!A455,0,1)</f>
        <v>0</v>
      </c>
      <c r="B455" s="572">
        <f>+'Balance N-1'!B455</f>
        <v>0</v>
      </c>
      <c r="C455" s="679" t="e">
        <f>ROUND('Balance N-1'!#REF!,2)</f>
        <v>#REF!</v>
      </c>
      <c r="D455" s="679" t="e">
        <f>ROUND('Balance N-1'!#REF!,2)</f>
        <v>#REF!</v>
      </c>
      <c r="E455" s="679">
        <f>ROUND('Balance N-1'!C455,2)</f>
        <v>0</v>
      </c>
      <c r="F455" s="679">
        <f>ROUND('Balance N-1'!D455,2)</f>
        <v>0</v>
      </c>
      <c r="G455" s="679">
        <f>ROUND('Balance N-1'!E455,2)</f>
        <v>0</v>
      </c>
      <c r="H455" s="679">
        <f>ROUND('Balance N-1'!F455,2)</f>
        <v>0</v>
      </c>
      <c r="I455" s="2" t="str">
        <f t="shared" si="10"/>
        <v>0</v>
      </c>
    </row>
    <row r="456" spans="1:9" x14ac:dyDescent="0.2">
      <c r="A456" s="910" t="str">
        <f>FIXED('Balance N-1'!A456,0,1)</f>
        <v>0</v>
      </c>
      <c r="B456" s="572">
        <f>+'Balance N-1'!B456</f>
        <v>0</v>
      </c>
      <c r="C456" s="679" t="e">
        <f>ROUND('Balance N-1'!#REF!,2)</f>
        <v>#REF!</v>
      </c>
      <c r="D456" s="679" t="e">
        <f>ROUND('Balance N-1'!#REF!,2)</f>
        <v>#REF!</v>
      </c>
      <c r="E456" s="679">
        <f>ROUND('Balance N-1'!C456,2)</f>
        <v>0</v>
      </c>
      <c r="F456" s="679">
        <f>ROUND('Balance N-1'!D456,2)</f>
        <v>0</v>
      </c>
      <c r="G456" s="679">
        <f>ROUND('Balance N-1'!E456,2)</f>
        <v>0</v>
      </c>
      <c r="H456" s="679">
        <f>ROUND('Balance N-1'!F456,2)</f>
        <v>0</v>
      </c>
      <c r="I456" s="2" t="str">
        <f t="shared" si="10"/>
        <v>0</v>
      </c>
    </row>
    <row r="457" spans="1:9" x14ac:dyDescent="0.2">
      <c r="A457" s="910" t="str">
        <f>FIXED('Balance N-1'!A457,0,1)</f>
        <v>0</v>
      </c>
      <c r="B457" s="572">
        <f>+'Balance N-1'!B457</f>
        <v>0</v>
      </c>
      <c r="C457" s="679" t="e">
        <f>ROUND('Balance N-1'!#REF!,2)</f>
        <v>#REF!</v>
      </c>
      <c r="D457" s="679" t="e">
        <f>ROUND('Balance N-1'!#REF!,2)</f>
        <v>#REF!</v>
      </c>
      <c r="E457" s="679">
        <f>ROUND('Balance N-1'!C457,2)</f>
        <v>0</v>
      </c>
      <c r="F457" s="679">
        <f>ROUND('Balance N-1'!D457,2)</f>
        <v>0</v>
      </c>
      <c r="G457" s="679">
        <f>ROUND('Balance N-1'!E457,2)</f>
        <v>0</v>
      </c>
      <c r="H457" s="679">
        <f>ROUND('Balance N-1'!F457,2)</f>
        <v>0</v>
      </c>
      <c r="I457" s="2" t="str">
        <f t="shared" si="10"/>
        <v>0</v>
      </c>
    </row>
    <row r="458" spans="1:9" x14ac:dyDescent="0.2">
      <c r="A458" s="910" t="str">
        <f>FIXED('Balance N-1'!A458,0,1)</f>
        <v>0</v>
      </c>
      <c r="B458" s="572">
        <f>+'Balance N-1'!B458</f>
        <v>0</v>
      </c>
      <c r="C458" s="679" t="e">
        <f>ROUND('Balance N-1'!#REF!,2)</f>
        <v>#REF!</v>
      </c>
      <c r="D458" s="679" t="e">
        <f>ROUND('Balance N-1'!#REF!,2)</f>
        <v>#REF!</v>
      </c>
      <c r="E458" s="679">
        <f>ROUND('Balance N-1'!C458,2)</f>
        <v>0</v>
      </c>
      <c r="F458" s="679">
        <f>ROUND('Balance N-1'!D458,2)</f>
        <v>0</v>
      </c>
      <c r="G458" s="679">
        <f>ROUND('Balance N-1'!E458,2)</f>
        <v>0</v>
      </c>
      <c r="H458" s="679">
        <f>ROUND('Balance N-1'!F458,2)</f>
        <v>0</v>
      </c>
      <c r="I458" s="2" t="str">
        <f t="shared" si="10"/>
        <v>0</v>
      </c>
    </row>
    <row r="459" spans="1:9" x14ac:dyDescent="0.2">
      <c r="A459" s="910" t="str">
        <f>FIXED('Balance N-1'!A459,0,1)</f>
        <v>0</v>
      </c>
      <c r="B459" s="572">
        <f>+'Balance N-1'!B459</f>
        <v>0</v>
      </c>
      <c r="C459" s="679" t="e">
        <f>ROUND('Balance N-1'!#REF!,2)</f>
        <v>#REF!</v>
      </c>
      <c r="D459" s="679" t="e">
        <f>ROUND('Balance N-1'!#REF!,2)</f>
        <v>#REF!</v>
      </c>
      <c r="E459" s="679">
        <f>ROUND('Balance N-1'!C459,2)</f>
        <v>0</v>
      </c>
      <c r="F459" s="679">
        <f>ROUND('Balance N-1'!D459,2)</f>
        <v>0</v>
      </c>
      <c r="G459" s="679">
        <f>ROUND('Balance N-1'!E459,2)</f>
        <v>0</v>
      </c>
      <c r="H459" s="679">
        <f>ROUND('Balance N-1'!F459,2)</f>
        <v>0</v>
      </c>
      <c r="I459" s="2" t="str">
        <f t="shared" si="10"/>
        <v>0</v>
      </c>
    </row>
    <row r="460" spans="1:9" x14ac:dyDescent="0.2">
      <c r="A460" s="910" t="str">
        <f>FIXED('Balance N-1'!A460,0,1)</f>
        <v>0</v>
      </c>
      <c r="B460" s="572">
        <f>+'Balance N-1'!B460</f>
        <v>0</v>
      </c>
      <c r="C460" s="679" t="e">
        <f>ROUND('Balance N-1'!#REF!,2)</f>
        <v>#REF!</v>
      </c>
      <c r="D460" s="679" t="e">
        <f>ROUND('Balance N-1'!#REF!,2)</f>
        <v>#REF!</v>
      </c>
      <c r="E460" s="679">
        <f>ROUND('Balance N-1'!C460,2)</f>
        <v>0</v>
      </c>
      <c r="F460" s="679">
        <f>ROUND('Balance N-1'!D460,2)</f>
        <v>0</v>
      </c>
      <c r="G460" s="679">
        <f>ROUND('Balance N-1'!E460,2)</f>
        <v>0</v>
      </c>
      <c r="H460" s="679">
        <f>ROUND('Balance N-1'!F460,2)</f>
        <v>0</v>
      </c>
      <c r="I460" s="2" t="str">
        <f t="shared" si="10"/>
        <v>0</v>
      </c>
    </row>
    <row r="461" spans="1:9" x14ac:dyDescent="0.2">
      <c r="A461" s="910" t="str">
        <f>FIXED('Balance N-1'!A461,0,1)</f>
        <v>0</v>
      </c>
      <c r="B461" s="572">
        <f>+'Balance N-1'!B461</f>
        <v>0</v>
      </c>
      <c r="C461" s="679" t="e">
        <f>ROUND('Balance N-1'!#REF!,2)</f>
        <v>#REF!</v>
      </c>
      <c r="D461" s="679" t="e">
        <f>ROUND('Balance N-1'!#REF!,2)</f>
        <v>#REF!</v>
      </c>
      <c r="E461" s="679">
        <f>ROUND('Balance N-1'!C461,2)</f>
        <v>0</v>
      </c>
      <c r="F461" s="679">
        <f>ROUND('Balance N-1'!D461,2)</f>
        <v>0</v>
      </c>
      <c r="G461" s="679">
        <f>ROUND('Balance N-1'!E461,2)</f>
        <v>0</v>
      </c>
      <c r="H461" s="679">
        <f>ROUND('Balance N-1'!F461,2)</f>
        <v>0</v>
      </c>
      <c r="I461" s="2" t="str">
        <f t="shared" si="10"/>
        <v>0</v>
      </c>
    </row>
    <row r="462" spans="1:9" x14ac:dyDescent="0.2">
      <c r="A462" s="910" t="str">
        <f>FIXED('Balance N-1'!A462,0,1)</f>
        <v>0</v>
      </c>
      <c r="B462" s="572">
        <f>+'Balance N-1'!B462</f>
        <v>0</v>
      </c>
      <c r="C462" s="679" t="e">
        <f>ROUND('Balance N-1'!#REF!,2)</f>
        <v>#REF!</v>
      </c>
      <c r="D462" s="679" t="e">
        <f>ROUND('Balance N-1'!#REF!,2)</f>
        <v>#REF!</v>
      </c>
      <c r="E462" s="679">
        <f>ROUND('Balance N-1'!C462,2)</f>
        <v>0</v>
      </c>
      <c r="F462" s="679">
        <f>ROUND('Balance N-1'!D462,2)</f>
        <v>0</v>
      </c>
      <c r="G462" s="679">
        <f>ROUND('Balance N-1'!E462,2)</f>
        <v>0</v>
      </c>
      <c r="H462" s="679">
        <f>ROUND('Balance N-1'!F462,2)</f>
        <v>0</v>
      </c>
      <c r="I462" s="2" t="str">
        <f t="shared" si="10"/>
        <v>0</v>
      </c>
    </row>
    <row r="463" spans="1:9" x14ac:dyDescent="0.2">
      <c r="A463" s="910" t="str">
        <f>FIXED('Balance N-1'!A463,0,1)</f>
        <v>0</v>
      </c>
      <c r="B463" s="572">
        <f>+'Balance N-1'!B463</f>
        <v>0</v>
      </c>
      <c r="C463" s="679" t="e">
        <f>ROUND('Balance N-1'!#REF!,2)</f>
        <v>#REF!</v>
      </c>
      <c r="D463" s="679" t="e">
        <f>ROUND('Balance N-1'!#REF!,2)</f>
        <v>#REF!</v>
      </c>
      <c r="E463" s="679">
        <f>ROUND('Balance N-1'!C463,2)</f>
        <v>0</v>
      </c>
      <c r="F463" s="679">
        <f>ROUND('Balance N-1'!D463,2)</f>
        <v>0</v>
      </c>
      <c r="G463" s="679">
        <f>ROUND('Balance N-1'!E463,2)</f>
        <v>0</v>
      </c>
      <c r="H463" s="679">
        <f>ROUND('Balance N-1'!F463,2)</f>
        <v>0</v>
      </c>
      <c r="I463" s="2" t="str">
        <f t="shared" si="10"/>
        <v>0</v>
      </c>
    </row>
    <row r="464" spans="1:9" x14ac:dyDescent="0.2">
      <c r="A464" s="910" t="str">
        <f>FIXED('Balance N-1'!A464,0,1)</f>
        <v>0</v>
      </c>
      <c r="B464" s="572">
        <f>+'Balance N-1'!B464</f>
        <v>0</v>
      </c>
      <c r="C464" s="679" t="e">
        <f>ROUND('Balance N-1'!#REF!,2)</f>
        <v>#REF!</v>
      </c>
      <c r="D464" s="679" t="e">
        <f>ROUND('Balance N-1'!#REF!,2)</f>
        <v>#REF!</v>
      </c>
      <c r="E464" s="679">
        <f>ROUND('Balance N-1'!C464,2)</f>
        <v>0</v>
      </c>
      <c r="F464" s="679">
        <f>ROUND('Balance N-1'!D464,2)</f>
        <v>0</v>
      </c>
      <c r="G464" s="679">
        <f>ROUND('Balance N-1'!E464,2)</f>
        <v>0</v>
      </c>
      <c r="H464" s="679">
        <f>ROUND('Balance N-1'!F464,2)</f>
        <v>0</v>
      </c>
      <c r="I464" s="2" t="str">
        <f t="shared" si="10"/>
        <v>0</v>
      </c>
    </row>
    <row r="465" spans="1:9" x14ac:dyDescent="0.2">
      <c r="A465" s="910" t="str">
        <f>FIXED('Balance N-1'!A465,0,1)</f>
        <v>0</v>
      </c>
      <c r="B465" s="572">
        <f>+'Balance N-1'!B465</f>
        <v>0</v>
      </c>
      <c r="C465" s="679" t="e">
        <f>ROUND('Balance N-1'!#REF!,2)</f>
        <v>#REF!</v>
      </c>
      <c r="D465" s="679" t="e">
        <f>ROUND('Balance N-1'!#REF!,2)</f>
        <v>#REF!</v>
      </c>
      <c r="E465" s="679">
        <f>ROUND('Balance N-1'!C465,2)</f>
        <v>0</v>
      </c>
      <c r="F465" s="679">
        <f>ROUND('Balance N-1'!D465,2)</f>
        <v>0</v>
      </c>
      <c r="G465" s="679">
        <f>ROUND('Balance N-1'!E465,2)</f>
        <v>0</v>
      </c>
      <c r="H465" s="679">
        <f>ROUND('Balance N-1'!F465,2)</f>
        <v>0</v>
      </c>
      <c r="I465" s="2" t="str">
        <f t="shared" si="10"/>
        <v>0</v>
      </c>
    </row>
    <row r="466" spans="1:9" x14ac:dyDescent="0.2">
      <c r="A466" s="910" t="str">
        <f>FIXED('Balance N-1'!A466,0,1)</f>
        <v>0</v>
      </c>
      <c r="B466" s="572">
        <f>+'Balance N-1'!B466</f>
        <v>0</v>
      </c>
      <c r="C466" s="679" t="e">
        <f>ROUND('Balance N-1'!#REF!,2)</f>
        <v>#REF!</v>
      </c>
      <c r="D466" s="679" t="e">
        <f>ROUND('Balance N-1'!#REF!,2)</f>
        <v>#REF!</v>
      </c>
      <c r="E466" s="679">
        <f>ROUND('Balance N-1'!C466,2)</f>
        <v>0</v>
      </c>
      <c r="F466" s="679">
        <f>ROUND('Balance N-1'!D466,2)</f>
        <v>0</v>
      </c>
      <c r="G466" s="679">
        <f>ROUND('Balance N-1'!E466,2)</f>
        <v>0</v>
      </c>
      <c r="H466" s="679">
        <f>ROUND('Balance N-1'!F466,2)</f>
        <v>0</v>
      </c>
      <c r="I466" s="2" t="str">
        <f t="shared" si="10"/>
        <v>0</v>
      </c>
    </row>
    <row r="467" spans="1:9" x14ac:dyDescent="0.2">
      <c r="A467" s="910" t="str">
        <f>FIXED('Balance N-1'!A467,0,1)</f>
        <v>0</v>
      </c>
      <c r="B467" s="572">
        <f>+'Balance N-1'!B467</f>
        <v>0</v>
      </c>
      <c r="C467" s="679" t="e">
        <f>ROUND('Balance N-1'!#REF!,2)</f>
        <v>#REF!</v>
      </c>
      <c r="D467" s="679" t="e">
        <f>ROUND('Balance N-1'!#REF!,2)</f>
        <v>#REF!</v>
      </c>
      <c r="E467" s="679">
        <f>ROUND('Balance N-1'!C467,2)</f>
        <v>0</v>
      </c>
      <c r="F467" s="679">
        <f>ROUND('Balance N-1'!D467,2)</f>
        <v>0</v>
      </c>
      <c r="G467" s="679">
        <f>ROUND('Balance N-1'!E467,2)</f>
        <v>0</v>
      </c>
      <c r="H467" s="679">
        <f>ROUND('Balance N-1'!F467,2)</f>
        <v>0</v>
      </c>
      <c r="I467" s="2" t="str">
        <f t="shared" si="10"/>
        <v>0</v>
      </c>
    </row>
    <row r="468" spans="1:9" x14ac:dyDescent="0.2">
      <c r="A468" s="910" t="str">
        <f>FIXED('Balance N-1'!A468,0,1)</f>
        <v>0</v>
      </c>
      <c r="B468" s="572">
        <f>+'Balance N-1'!B468</f>
        <v>0</v>
      </c>
      <c r="C468" s="679" t="e">
        <f>ROUND('Balance N-1'!#REF!,2)</f>
        <v>#REF!</v>
      </c>
      <c r="D468" s="679" t="e">
        <f>ROUND('Balance N-1'!#REF!,2)</f>
        <v>#REF!</v>
      </c>
      <c r="E468" s="679">
        <f>ROUND('Balance N-1'!C468,2)</f>
        <v>0</v>
      </c>
      <c r="F468" s="679">
        <f>ROUND('Balance N-1'!D468,2)</f>
        <v>0</v>
      </c>
      <c r="G468" s="679">
        <f>ROUND('Balance N-1'!E468,2)</f>
        <v>0</v>
      </c>
      <c r="H468" s="679">
        <f>ROUND('Balance N-1'!F468,2)</f>
        <v>0</v>
      </c>
      <c r="I468" s="2" t="str">
        <f t="shared" si="10"/>
        <v>0</v>
      </c>
    </row>
    <row r="469" spans="1:9" x14ac:dyDescent="0.2">
      <c r="A469" s="910" t="str">
        <f>FIXED('Balance N-1'!A469,0,1)</f>
        <v>0</v>
      </c>
      <c r="B469" s="572">
        <f>+'Balance N-1'!B469</f>
        <v>0</v>
      </c>
      <c r="C469" s="679" t="e">
        <f>ROUND('Balance N-1'!#REF!,2)</f>
        <v>#REF!</v>
      </c>
      <c r="D469" s="679" t="e">
        <f>ROUND('Balance N-1'!#REF!,2)</f>
        <v>#REF!</v>
      </c>
      <c r="E469" s="679">
        <f>ROUND('Balance N-1'!C469,2)</f>
        <v>0</v>
      </c>
      <c r="F469" s="679">
        <f>ROUND('Balance N-1'!D469,2)</f>
        <v>0</v>
      </c>
      <c r="G469" s="679">
        <f>ROUND('Balance N-1'!E469,2)</f>
        <v>0</v>
      </c>
      <c r="H469" s="679">
        <f>ROUND('Balance N-1'!F469,2)</f>
        <v>0</v>
      </c>
      <c r="I469" s="2" t="str">
        <f t="shared" si="10"/>
        <v>0</v>
      </c>
    </row>
    <row r="470" spans="1:9" x14ac:dyDescent="0.2">
      <c r="A470" s="910" t="str">
        <f>FIXED('Balance N-1'!A470,0,1)</f>
        <v>0</v>
      </c>
      <c r="B470" s="572">
        <f>+'Balance N-1'!B470</f>
        <v>0</v>
      </c>
      <c r="C470" s="679" t="e">
        <f>ROUND('Balance N-1'!#REF!,2)</f>
        <v>#REF!</v>
      </c>
      <c r="D470" s="679" t="e">
        <f>ROUND('Balance N-1'!#REF!,2)</f>
        <v>#REF!</v>
      </c>
      <c r="E470" s="679">
        <f>ROUND('Balance N-1'!C470,2)</f>
        <v>0</v>
      </c>
      <c r="F470" s="679">
        <f>ROUND('Balance N-1'!D470,2)</f>
        <v>0</v>
      </c>
      <c r="G470" s="679">
        <f>ROUND('Balance N-1'!E470,2)</f>
        <v>0</v>
      </c>
      <c r="H470" s="679">
        <f>ROUND('Balance N-1'!F470,2)</f>
        <v>0</v>
      </c>
      <c r="I470" s="2" t="str">
        <f t="shared" si="10"/>
        <v>0</v>
      </c>
    </row>
    <row r="471" spans="1:9" x14ac:dyDescent="0.2">
      <c r="A471" s="910" t="str">
        <f>FIXED('Balance N-1'!A471,0,1)</f>
        <v>0</v>
      </c>
      <c r="B471" s="572">
        <f>+'Balance N-1'!B471</f>
        <v>0</v>
      </c>
      <c r="C471" s="679" t="e">
        <f>ROUND('Balance N-1'!#REF!,2)</f>
        <v>#REF!</v>
      </c>
      <c r="D471" s="679" t="e">
        <f>ROUND('Balance N-1'!#REF!,2)</f>
        <v>#REF!</v>
      </c>
      <c r="E471" s="679">
        <f>ROUND('Balance N-1'!C471,2)</f>
        <v>0</v>
      </c>
      <c r="F471" s="679">
        <f>ROUND('Balance N-1'!D471,2)</f>
        <v>0</v>
      </c>
      <c r="G471" s="679">
        <f>ROUND('Balance N-1'!E471,2)</f>
        <v>0</v>
      </c>
      <c r="H471" s="679">
        <f>ROUND('Balance N-1'!F471,2)</f>
        <v>0</v>
      </c>
      <c r="I471" s="2" t="str">
        <f t="shared" si="10"/>
        <v>0</v>
      </c>
    </row>
    <row r="472" spans="1:9" x14ac:dyDescent="0.2">
      <c r="A472" s="910" t="str">
        <f>FIXED('Balance N-1'!A472,0,1)</f>
        <v>0</v>
      </c>
      <c r="B472" s="572">
        <f>+'Balance N-1'!B472</f>
        <v>0</v>
      </c>
      <c r="C472" s="679" t="e">
        <f>ROUND('Balance N-1'!#REF!,2)</f>
        <v>#REF!</v>
      </c>
      <c r="D472" s="679" t="e">
        <f>ROUND('Balance N-1'!#REF!,2)</f>
        <v>#REF!</v>
      </c>
      <c r="E472" s="679">
        <f>ROUND('Balance N-1'!C472,2)</f>
        <v>0</v>
      </c>
      <c r="F472" s="679">
        <f>ROUND('Balance N-1'!D472,2)</f>
        <v>0</v>
      </c>
      <c r="G472" s="679">
        <f>ROUND('Balance N-1'!E472,2)</f>
        <v>0</v>
      </c>
      <c r="H472" s="679">
        <f>ROUND('Balance N-1'!F472,2)</f>
        <v>0</v>
      </c>
      <c r="I472" s="2" t="str">
        <f t="shared" si="10"/>
        <v>0</v>
      </c>
    </row>
    <row r="473" spans="1:9" x14ac:dyDescent="0.2">
      <c r="A473" s="910" t="str">
        <f>FIXED('Balance N-1'!A473,0,1)</f>
        <v>0</v>
      </c>
      <c r="B473" s="572">
        <f>+'Balance N-1'!B473</f>
        <v>0</v>
      </c>
      <c r="C473" s="679" t="e">
        <f>ROUND('Balance N-1'!#REF!,2)</f>
        <v>#REF!</v>
      </c>
      <c r="D473" s="679" t="e">
        <f>ROUND('Balance N-1'!#REF!,2)</f>
        <v>#REF!</v>
      </c>
      <c r="E473" s="679">
        <f>ROUND('Balance N-1'!C473,2)</f>
        <v>0</v>
      </c>
      <c r="F473" s="679">
        <f>ROUND('Balance N-1'!D473,2)</f>
        <v>0</v>
      </c>
      <c r="G473" s="679">
        <f>ROUND('Balance N-1'!E473,2)</f>
        <v>0</v>
      </c>
      <c r="H473" s="679">
        <f>ROUND('Balance N-1'!F473,2)</f>
        <v>0</v>
      </c>
      <c r="I473" s="2" t="str">
        <f t="shared" si="10"/>
        <v>0</v>
      </c>
    </row>
    <row r="474" spans="1:9" x14ac:dyDescent="0.2">
      <c r="A474" s="910" t="str">
        <f>FIXED('Balance N-1'!A474,0,1)</f>
        <v>0</v>
      </c>
      <c r="B474" s="572">
        <f>+'Balance N-1'!B474</f>
        <v>0</v>
      </c>
      <c r="C474" s="679" t="e">
        <f>ROUND('Balance N-1'!#REF!,2)</f>
        <v>#REF!</v>
      </c>
      <c r="D474" s="679" t="e">
        <f>ROUND('Balance N-1'!#REF!,2)</f>
        <v>#REF!</v>
      </c>
      <c r="E474" s="679">
        <f>ROUND('Balance N-1'!C474,2)</f>
        <v>0</v>
      </c>
      <c r="F474" s="679">
        <f>ROUND('Balance N-1'!D474,2)</f>
        <v>0</v>
      </c>
      <c r="G474" s="679">
        <f>ROUND('Balance N-1'!E474,2)</f>
        <v>0</v>
      </c>
      <c r="H474" s="679">
        <f>ROUND('Balance N-1'!F474,2)</f>
        <v>0</v>
      </c>
      <c r="I474" s="2" t="str">
        <f t="shared" si="10"/>
        <v>0</v>
      </c>
    </row>
    <row r="475" spans="1:9" x14ac:dyDescent="0.2">
      <c r="A475" s="910" t="str">
        <f>FIXED('Balance N-1'!A475,0,1)</f>
        <v>0</v>
      </c>
      <c r="B475" s="572">
        <f>+'Balance N-1'!B475</f>
        <v>0</v>
      </c>
      <c r="C475" s="679" t="e">
        <f>ROUND('Balance N-1'!#REF!,2)</f>
        <v>#REF!</v>
      </c>
      <c r="D475" s="679" t="e">
        <f>ROUND('Balance N-1'!#REF!,2)</f>
        <v>#REF!</v>
      </c>
      <c r="E475" s="679">
        <f>ROUND('Balance N-1'!C475,2)</f>
        <v>0</v>
      </c>
      <c r="F475" s="679">
        <f>ROUND('Balance N-1'!D475,2)</f>
        <v>0</v>
      </c>
      <c r="G475" s="679">
        <f>ROUND('Balance N-1'!E475,2)</f>
        <v>0</v>
      </c>
      <c r="H475" s="679">
        <f>ROUND('Balance N-1'!F475,2)</f>
        <v>0</v>
      </c>
      <c r="I475" s="2" t="str">
        <f t="shared" si="10"/>
        <v>0</v>
      </c>
    </row>
    <row r="476" spans="1:9" x14ac:dyDescent="0.2">
      <c r="A476" s="910" t="str">
        <f>FIXED('Balance N-1'!A476,0,1)</f>
        <v>0</v>
      </c>
      <c r="B476" s="572">
        <f>+'Balance N-1'!B476</f>
        <v>0</v>
      </c>
      <c r="C476" s="679" t="e">
        <f>ROUND('Balance N-1'!#REF!,2)</f>
        <v>#REF!</v>
      </c>
      <c r="D476" s="679" t="e">
        <f>ROUND('Balance N-1'!#REF!,2)</f>
        <v>#REF!</v>
      </c>
      <c r="E476" s="679">
        <f>ROUND('Balance N-1'!C476,2)</f>
        <v>0</v>
      </c>
      <c r="F476" s="679">
        <f>ROUND('Balance N-1'!D476,2)</f>
        <v>0</v>
      </c>
      <c r="G476" s="679">
        <f>ROUND('Balance N-1'!E476,2)</f>
        <v>0</v>
      </c>
      <c r="H476" s="679">
        <f>ROUND('Balance N-1'!F476,2)</f>
        <v>0</v>
      </c>
      <c r="I476" s="2" t="str">
        <f t="shared" si="10"/>
        <v>0</v>
      </c>
    </row>
    <row r="477" spans="1:9" x14ac:dyDescent="0.2">
      <c r="A477" s="910" t="str">
        <f>FIXED('Balance N-1'!A477,0,1)</f>
        <v>0</v>
      </c>
      <c r="B477" s="572">
        <f>+'Balance N-1'!B477</f>
        <v>0</v>
      </c>
      <c r="C477" s="679" t="e">
        <f>ROUND('Balance N-1'!#REF!,2)</f>
        <v>#REF!</v>
      </c>
      <c r="D477" s="679" t="e">
        <f>ROUND('Balance N-1'!#REF!,2)</f>
        <v>#REF!</v>
      </c>
      <c r="E477" s="679">
        <f>ROUND('Balance N-1'!C477,2)</f>
        <v>0</v>
      </c>
      <c r="F477" s="679">
        <f>ROUND('Balance N-1'!D477,2)</f>
        <v>0</v>
      </c>
      <c r="G477" s="679">
        <f>ROUND('Balance N-1'!E477,2)</f>
        <v>0</v>
      </c>
      <c r="H477" s="679">
        <f>ROUND('Balance N-1'!F477,2)</f>
        <v>0</v>
      </c>
      <c r="I477" s="2" t="str">
        <f t="shared" si="10"/>
        <v>0</v>
      </c>
    </row>
    <row r="478" spans="1:9" x14ac:dyDescent="0.2">
      <c r="A478" s="910" t="str">
        <f>FIXED('Balance N-1'!A478,0,1)</f>
        <v>0</v>
      </c>
      <c r="B478" s="572">
        <f>+'Balance N-1'!B478</f>
        <v>0</v>
      </c>
      <c r="C478" s="679" t="e">
        <f>ROUND('Balance N-1'!#REF!,2)</f>
        <v>#REF!</v>
      </c>
      <c r="D478" s="679" t="e">
        <f>ROUND('Balance N-1'!#REF!,2)</f>
        <v>#REF!</v>
      </c>
      <c r="E478" s="679">
        <f>ROUND('Balance N-1'!C478,2)</f>
        <v>0</v>
      </c>
      <c r="F478" s="679">
        <f>ROUND('Balance N-1'!D478,2)</f>
        <v>0</v>
      </c>
      <c r="G478" s="679">
        <f>ROUND('Balance N-1'!E478,2)</f>
        <v>0</v>
      </c>
      <c r="H478" s="679">
        <f>ROUND('Balance N-1'!F478,2)</f>
        <v>0</v>
      </c>
      <c r="I478" s="2" t="str">
        <f t="shared" si="10"/>
        <v>0</v>
      </c>
    </row>
    <row r="479" spans="1:9" x14ac:dyDescent="0.2">
      <c r="A479" s="910" t="str">
        <f>FIXED('Balance N-1'!A479,0,1)</f>
        <v>0</v>
      </c>
      <c r="B479" s="572">
        <f>+'Balance N-1'!B479</f>
        <v>0</v>
      </c>
      <c r="C479" s="679" t="e">
        <f>ROUND('Balance N-1'!#REF!,2)</f>
        <v>#REF!</v>
      </c>
      <c r="D479" s="679" t="e">
        <f>ROUND('Balance N-1'!#REF!,2)</f>
        <v>#REF!</v>
      </c>
      <c r="E479" s="679">
        <f>ROUND('Balance N-1'!C479,2)</f>
        <v>0</v>
      </c>
      <c r="F479" s="679">
        <f>ROUND('Balance N-1'!D479,2)</f>
        <v>0</v>
      </c>
      <c r="G479" s="679">
        <f>ROUND('Balance N-1'!E479,2)</f>
        <v>0</v>
      </c>
      <c r="H479" s="679">
        <f>ROUND('Balance N-1'!F479,2)</f>
        <v>0</v>
      </c>
      <c r="I479" s="2" t="str">
        <f t="shared" si="10"/>
        <v>0</v>
      </c>
    </row>
    <row r="480" spans="1:9" x14ac:dyDescent="0.2">
      <c r="A480" s="910" t="str">
        <f>FIXED('Balance N-1'!A480,0,1)</f>
        <v>0</v>
      </c>
      <c r="B480" s="572">
        <f>+'Balance N-1'!B480</f>
        <v>0</v>
      </c>
      <c r="C480" s="679" t="e">
        <f>ROUND('Balance N-1'!#REF!,2)</f>
        <v>#REF!</v>
      </c>
      <c r="D480" s="679" t="e">
        <f>ROUND('Balance N-1'!#REF!,2)</f>
        <v>#REF!</v>
      </c>
      <c r="E480" s="679">
        <f>ROUND('Balance N-1'!C480,2)</f>
        <v>0</v>
      </c>
      <c r="F480" s="679">
        <f>ROUND('Balance N-1'!D480,2)</f>
        <v>0</v>
      </c>
      <c r="G480" s="679">
        <f>ROUND('Balance N-1'!E480,2)</f>
        <v>0</v>
      </c>
      <c r="H480" s="679">
        <f>ROUND('Balance N-1'!F480,2)</f>
        <v>0</v>
      </c>
      <c r="I480" s="2" t="str">
        <f t="shared" si="10"/>
        <v>0</v>
      </c>
    </row>
    <row r="481" spans="1:9" x14ac:dyDescent="0.2">
      <c r="A481" s="910" t="str">
        <f>FIXED('Balance N-1'!A481,0,1)</f>
        <v>0</v>
      </c>
      <c r="B481" s="572">
        <f>+'Balance N-1'!B481</f>
        <v>0</v>
      </c>
      <c r="C481" s="679" t="e">
        <f>ROUND('Balance N-1'!#REF!,2)</f>
        <v>#REF!</v>
      </c>
      <c r="D481" s="679" t="e">
        <f>ROUND('Balance N-1'!#REF!,2)</f>
        <v>#REF!</v>
      </c>
      <c r="E481" s="679">
        <f>ROUND('Balance N-1'!C481,2)</f>
        <v>0</v>
      </c>
      <c r="F481" s="679">
        <f>ROUND('Balance N-1'!D481,2)</f>
        <v>0</v>
      </c>
      <c r="G481" s="679">
        <f>ROUND('Balance N-1'!E481,2)</f>
        <v>0</v>
      </c>
      <c r="H481" s="679">
        <f>ROUND('Balance N-1'!F481,2)</f>
        <v>0</v>
      </c>
      <c r="I481" s="2" t="str">
        <f t="shared" si="10"/>
        <v>0</v>
      </c>
    </row>
    <row r="482" spans="1:9" x14ac:dyDescent="0.2">
      <c r="A482" s="910" t="str">
        <f>FIXED('Balance N-1'!A482,0,1)</f>
        <v>0</v>
      </c>
      <c r="B482" s="572">
        <f>+'Balance N-1'!B482</f>
        <v>0</v>
      </c>
      <c r="C482" s="679" t="e">
        <f>ROUND('Balance N-1'!#REF!,2)</f>
        <v>#REF!</v>
      </c>
      <c r="D482" s="679" t="e">
        <f>ROUND('Balance N-1'!#REF!,2)</f>
        <v>#REF!</v>
      </c>
      <c r="E482" s="679">
        <f>ROUND('Balance N-1'!C482,2)</f>
        <v>0</v>
      </c>
      <c r="F482" s="679">
        <f>ROUND('Balance N-1'!D482,2)</f>
        <v>0</v>
      </c>
      <c r="G482" s="679">
        <f>ROUND('Balance N-1'!E482,2)</f>
        <v>0</v>
      </c>
      <c r="H482" s="679">
        <f>ROUND('Balance N-1'!F482,2)</f>
        <v>0</v>
      </c>
      <c r="I482" s="2" t="str">
        <f t="shared" si="10"/>
        <v>0</v>
      </c>
    </row>
    <row r="483" spans="1:9" x14ac:dyDescent="0.2">
      <c r="A483" s="910" t="str">
        <f>FIXED('Balance N-1'!A483,0,1)</f>
        <v>0</v>
      </c>
      <c r="B483" s="572">
        <f>+'Balance N-1'!B483</f>
        <v>0</v>
      </c>
      <c r="C483" s="679" t="e">
        <f>ROUND('Balance N-1'!#REF!,2)</f>
        <v>#REF!</v>
      </c>
      <c r="D483" s="679" t="e">
        <f>ROUND('Balance N-1'!#REF!,2)</f>
        <v>#REF!</v>
      </c>
      <c r="E483" s="679">
        <f>ROUND('Balance N-1'!C483,2)</f>
        <v>0</v>
      </c>
      <c r="F483" s="679">
        <f>ROUND('Balance N-1'!D483,2)</f>
        <v>0</v>
      </c>
      <c r="G483" s="679">
        <f>ROUND('Balance N-1'!E483,2)</f>
        <v>0</v>
      </c>
      <c r="H483" s="679">
        <f>ROUND('Balance N-1'!F483,2)</f>
        <v>0</v>
      </c>
      <c r="I483" s="2" t="str">
        <f t="shared" si="10"/>
        <v>0</v>
      </c>
    </row>
    <row r="484" spans="1:9" x14ac:dyDescent="0.2">
      <c r="A484" s="910" t="str">
        <f>FIXED('Balance N-1'!A484,0,1)</f>
        <v>0</v>
      </c>
      <c r="B484" s="572">
        <f>+'Balance N-1'!B484</f>
        <v>0</v>
      </c>
      <c r="C484" s="679" t="e">
        <f>ROUND('Balance N-1'!#REF!,2)</f>
        <v>#REF!</v>
      </c>
      <c r="D484" s="679" t="e">
        <f>ROUND('Balance N-1'!#REF!,2)</f>
        <v>#REF!</v>
      </c>
      <c r="E484" s="679">
        <f>ROUND('Balance N-1'!C484,2)</f>
        <v>0</v>
      </c>
      <c r="F484" s="679">
        <f>ROUND('Balance N-1'!D484,2)</f>
        <v>0</v>
      </c>
      <c r="G484" s="679">
        <f>ROUND('Balance N-1'!E484,2)</f>
        <v>0</v>
      </c>
      <c r="H484" s="679">
        <f>ROUND('Balance N-1'!F484,2)</f>
        <v>0</v>
      </c>
      <c r="I484" s="2" t="str">
        <f t="shared" si="10"/>
        <v>0</v>
      </c>
    </row>
    <row r="485" spans="1:9" x14ac:dyDescent="0.2">
      <c r="A485" s="910" t="str">
        <f>FIXED('Balance N-1'!A485,0,1)</f>
        <v>0</v>
      </c>
      <c r="B485" s="572">
        <f>+'Balance N-1'!B485</f>
        <v>0</v>
      </c>
      <c r="C485" s="679" t="e">
        <f>ROUND('Balance N-1'!#REF!,2)</f>
        <v>#REF!</v>
      </c>
      <c r="D485" s="679" t="e">
        <f>ROUND('Balance N-1'!#REF!,2)</f>
        <v>#REF!</v>
      </c>
      <c r="E485" s="679">
        <f>ROUND('Balance N-1'!C485,2)</f>
        <v>0</v>
      </c>
      <c r="F485" s="679">
        <f>ROUND('Balance N-1'!D485,2)</f>
        <v>0</v>
      </c>
      <c r="G485" s="679">
        <f>ROUND('Balance N-1'!E485,2)</f>
        <v>0</v>
      </c>
      <c r="H485" s="679">
        <f>ROUND('Balance N-1'!F485,2)</f>
        <v>0</v>
      </c>
      <c r="I485" s="2" t="str">
        <f t="shared" si="10"/>
        <v>0</v>
      </c>
    </row>
    <row r="486" spans="1:9" x14ac:dyDescent="0.2">
      <c r="A486" s="910" t="str">
        <f>FIXED('Balance N-1'!A486,0,1)</f>
        <v>0</v>
      </c>
      <c r="B486" s="572">
        <f>+'Balance N-1'!B486</f>
        <v>0</v>
      </c>
      <c r="C486" s="679" t="e">
        <f>ROUND('Balance N-1'!#REF!,2)</f>
        <v>#REF!</v>
      </c>
      <c r="D486" s="679" t="e">
        <f>ROUND('Balance N-1'!#REF!,2)</f>
        <v>#REF!</v>
      </c>
      <c r="E486" s="679">
        <f>ROUND('Balance N-1'!C486,2)</f>
        <v>0</v>
      </c>
      <c r="F486" s="679">
        <f>ROUND('Balance N-1'!D486,2)</f>
        <v>0</v>
      </c>
      <c r="G486" s="679">
        <f>ROUND('Balance N-1'!E486,2)</f>
        <v>0</v>
      </c>
      <c r="H486" s="679">
        <f>ROUND('Balance N-1'!F486,2)</f>
        <v>0</v>
      </c>
      <c r="I486" s="2" t="str">
        <f t="shared" si="10"/>
        <v>0</v>
      </c>
    </row>
    <row r="487" spans="1:9" x14ac:dyDescent="0.2">
      <c r="A487" s="910" t="str">
        <f>FIXED('Balance N-1'!A487,0,1)</f>
        <v>0</v>
      </c>
      <c r="B487" s="572">
        <f>+'Balance N-1'!B487</f>
        <v>0</v>
      </c>
      <c r="C487" s="679" t="e">
        <f>ROUND('Balance N-1'!#REF!,2)</f>
        <v>#REF!</v>
      </c>
      <c r="D487" s="679" t="e">
        <f>ROUND('Balance N-1'!#REF!,2)</f>
        <v>#REF!</v>
      </c>
      <c r="E487" s="679">
        <f>ROUND('Balance N-1'!C487,2)</f>
        <v>0</v>
      </c>
      <c r="F487" s="679">
        <f>ROUND('Balance N-1'!D487,2)</f>
        <v>0</v>
      </c>
      <c r="G487" s="679">
        <f>ROUND('Balance N-1'!E487,2)</f>
        <v>0</v>
      </c>
      <c r="H487" s="679">
        <f>ROUND('Balance N-1'!F487,2)</f>
        <v>0</v>
      </c>
      <c r="I487" s="2" t="str">
        <f t="shared" si="10"/>
        <v>0</v>
      </c>
    </row>
    <row r="488" spans="1:9" x14ac:dyDescent="0.2">
      <c r="A488" s="910" t="str">
        <f>FIXED('Balance N-1'!A488,0,1)</f>
        <v>0</v>
      </c>
      <c r="B488" s="572">
        <f>+'Balance N-1'!B488</f>
        <v>0</v>
      </c>
      <c r="C488" s="679" t="e">
        <f>ROUND('Balance N-1'!#REF!,2)</f>
        <v>#REF!</v>
      </c>
      <c r="D488" s="679" t="e">
        <f>ROUND('Balance N-1'!#REF!,2)</f>
        <v>#REF!</v>
      </c>
      <c r="E488" s="679">
        <f>ROUND('Balance N-1'!C488,2)</f>
        <v>0</v>
      </c>
      <c r="F488" s="679">
        <f>ROUND('Balance N-1'!D488,2)</f>
        <v>0</v>
      </c>
      <c r="G488" s="679">
        <f>ROUND('Balance N-1'!E488,2)</f>
        <v>0</v>
      </c>
      <c r="H488" s="679">
        <f>ROUND('Balance N-1'!F488,2)</f>
        <v>0</v>
      </c>
      <c r="I488" s="2" t="str">
        <f t="shared" si="10"/>
        <v>0</v>
      </c>
    </row>
    <row r="489" spans="1:9" x14ac:dyDescent="0.2">
      <c r="A489" s="910" t="str">
        <f>FIXED('Balance N-1'!A489,0,1)</f>
        <v>0</v>
      </c>
      <c r="B489" s="572">
        <f>+'Balance N-1'!B489</f>
        <v>0</v>
      </c>
      <c r="C489" s="679" t="e">
        <f>ROUND('Balance N-1'!#REF!,2)</f>
        <v>#REF!</v>
      </c>
      <c r="D489" s="679" t="e">
        <f>ROUND('Balance N-1'!#REF!,2)</f>
        <v>#REF!</v>
      </c>
      <c r="E489" s="679">
        <f>ROUND('Balance N-1'!C489,2)</f>
        <v>0</v>
      </c>
      <c r="F489" s="679">
        <f>ROUND('Balance N-1'!D489,2)</f>
        <v>0</v>
      </c>
      <c r="G489" s="679">
        <f>ROUND('Balance N-1'!E489,2)</f>
        <v>0</v>
      </c>
      <c r="H489" s="679">
        <f>ROUND('Balance N-1'!F489,2)</f>
        <v>0</v>
      </c>
      <c r="I489" s="2" t="str">
        <f t="shared" si="10"/>
        <v>0</v>
      </c>
    </row>
    <row r="490" spans="1:9" x14ac:dyDescent="0.2">
      <c r="A490" s="910" t="str">
        <f>FIXED('Balance N-1'!A490,0,1)</f>
        <v>0</v>
      </c>
      <c r="B490" s="572">
        <f>+'Balance N-1'!B490</f>
        <v>0</v>
      </c>
      <c r="C490" s="679" t="e">
        <f>ROUND('Balance N-1'!#REF!,2)</f>
        <v>#REF!</v>
      </c>
      <c r="D490" s="679" t="e">
        <f>ROUND('Balance N-1'!#REF!,2)</f>
        <v>#REF!</v>
      </c>
      <c r="E490" s="679">
        <f>ROUND('Balance N-1'!C490,2)</f>
        <v>0</v>
      </c>
      <c r="F490" s="679">
        <f>ROUND('Balance N-1'!D490,2)</f>
        <v>0</v>
      </c>
      <c r="G490" s="679">
        <f>ROUND('Balance N-1'!E490,2)</f>
        <v>0</v>
      </c>
      <c r="H490" s="679">
        <f>ROUND('Balance N-1'!F490,2)</f>
        <v>0</v>
      </c>
      <c r="I490" s="2" t="str">
        <f t="shared" si="10"/>
        <v>0</v>
      </c>
    </row>
    <row r="491" spans="1:9" x14ac:dyDescent="0.2">
      <c r="A491" s="910" t="str">
        <f>FIXED('Balance N-1'!A491,0,1)</f>
        <v>0</v>
      </c>
      <c r="B491" s="572">
        <f>+'Balance N-1'!B491</f>
        <v>0</v>
      </c>
      <c r="C491" s="679" t="e">
        <f>ROUND('Balance N-1'!#REF!,2)</f>
        <v>#REF!</v>
      </c>
      <c r="D491" s="679" t="e">
        <f>ROUND('Balance N-1'!#REF!,2)</f>
        <v>#REF!</v>
      </c>
      <c r="E491" s="679">
        <f>ROUND('Balance N-1'!C491,2)</f>
        <v>0</v>
      </c>
      <c r="F491" s="679">
        <f>ROUND('Balance N-1'!D491,2)</f>
        <v>0</v>
      </c>
      <c r="G491" s="679">
        <f>ROUND('Balance N-1'!E491,2)</f>
        <v>0</v>
      </c>
      <c r="H491" s="679">
        <f>ROUND('Balance N-1'!F491,2)</f>
        <v>0</v>
      </c>
      <c r="I491" s="2" t="str">
        <f t="shared" si="10"/>
        <v>0</v>
      </c>
    </row>
    <row r="492" spans="1:9" x14ac:dyDescent="0.2">
      <c r="A492" s="910" t="str">
        <f>FIXED('Balance N-1'!A492,0,1)</f>
        <v>0</v>
      </c>
      <c r="B492" s="572">
        <f>+'Balance N-1'!B492</f>
        <v>0</v>
      </c>
      <c r="C492" s="679" t="e">
        <f>ROUND('Balance N-1'!#REF!,2)</f>
        <v>#REF!</v>
      </c>
      <c r="D492" s="679" t="e">
        <f>ROUND('Balance N-1'!#REF!,2)</f>
        <v>#REF!</v>
      </c>
      <c r="E492" s="679">
        <f>ROUND('Balance N-1'!C492,2)</f>
        <v>0</v>
      </c>
      <c r="F492" s="679">
        <f>ROUND('Balance N-1'!D492,2)</f>
        <v>0</v>
      </c>
      <c r="G492" s="679">
        <f>ROUND('Balance N-1'!E492,2)</f>
        <v>0</v>
      </c>
      <c r="H492" s="679">
        <f>ROUND('Balance N-1'!F492,2)</f>
        <v>0</v>
      </c>
      <c r="I492" s="2" t="str">
        <f t="shared" si="10"/>
        <v>0</v>
      </c>
    </row>
    <row r="493" spans="1:9" x14ac:dyDescent="0.2">
      <c r="A493" s="910" t="str">
        <f>FIXED('Balance N-1'!A493,0,1)</f>
        <v>0</v>
      </c>
      <c r="B493" s="572">
        <f>+'Balance N-1'!B493</f>
        <v>0</v>
      </c>
      <c r="C493" s="679" t="e">
        <f>ROUND('Balance N-1'!#REF!,2)</f>
        <v>#REF!</v>
      </c>
      <c r="D493" s="679" t="e">
        <f>ROUND('Balance N-1'!#REF!,2)</f>
        <v>#REF!</v>
      </c>
      <c r="E493" s="679">
        <f>ROUND('Balance N-1'!C493,2)</f>
        <v>0</v>
      </c>
      <c r="F493" s="679">
        <f>ROUND('Balance N-1'!D493,2)</f>
        <v>0</v>
      </c>
      <c r="G493" s="679">
        <f>ROUND('Balance N-1'!E493,2)</f>
        <v>0</v>
      </c>
      <c r="H493" s="679">
        <f>ROUND('Balance N-1'!F493,2)</f>
        <v>0</v>
      </c>
      <c r="I493" s="2" t="str">
        <f t="shared" si="10"/>
        <v>0</v>
      </c>
    </row>
    <row r="494" spans="1:9" x14ac:dyDescent="0.2">
      <c r="A494" s="910" t="str">
        <f>FIXED('Balance N-1'!A494,0,1)</f>
        <v>0</v>
      </c>
      <c r="B494" s="572">
        <f>+'Balance N-1'!B494</f>
        <v>0</v>
      </c>
      <c r="C494" s="679" t="e">
        <f>ROUND('Balance N-1'!#REF!,2)</f>
        <v>#REF!</v>
      </c>
      <c r="D494" s="679" t="e">
        <f>ROUND('Balance N-1'!#REF!,2)</f>
        <v>#REF!</v>
      </c>
      <c r="E494" s="679">
        <f>ROUND('Balance N-1'!C494,2)</f>
        <v>0</v>
      </c>
      <c r="F494" s="679">
        <f>ROUND('Balance N-1'!D494,2)</f>
        <v>0</v>
      </c>
      <c r="G494" s="679">
        <f>ROUND('Balance N-1'!E494,2)</f>
        <v>0</v>
      </c>
      <c r="H494" s="679">
        <f>ROUND('Balance N-1'!F494,2)</f>
        <v>0</v>
      </c>
      <c r="I494" s="2" t="str">
        <f t="shared" si="10"/>
        <v>0</v>
      </c>
    </row>
    <row r="495" spans="1:9" x14ac:dyDescent="0.2">
      <c r="A495" s="910" t="str">
        <f>FIXED('Balance N-1'!A495,0,1)</f>
        <v>0</v>
      </c>
      <c r="B495" s="572">
        <f>+'Balance N-1'!B495</f>
        <v>0</v>
      </c>
      <c r="C495" s="679" t="e">
        <f>ROUND('Balance N-1'!#REF!,2)</f>
        <v>#REF!</v>
      </c>
      <c r="D495" s="679" t="e">
        <f>ROUND('Balance N-1'!#REF!,2)</f>
        <v>#REF!</v>
      </c>
      <c r="E495" s="679">
        <f>ROUND('Balance N-1'!C495,2)</f>
        <v>0</v>
      </c>
      <c r="F495" s="679">
        <f>ROUND('Balance N-1'!D495,2)</f>
        <v>0</v>
      </c>
      <c r="G495" s="679">
        <f>ROUND('Balance N-1'!E495,2)</f>
        <v>0</v>
      </c>
      <c r="H495" s="679">
        <f>ROUND('Balance N-1'!F495,2)</f>
        <v>0</v>
      </c>
      <c r="I495" s="2" t="str">
        <f t="shared" si="10"/>
        <v>0</v>
      </c>
    </row>
    <row r="496" spans="1:9" x14ac:dyDescent="0.2">
      <c r="A496" s="910" t="str">
        <f>FIXED('Balance N-1'!A496,0,1)</f>
        <v>0</v>
      </c>
      <c r="B496" s="572">
        <f>+'Balance N-1'!B496</f>
        <v>0</v>
      </c>
      <c r="C496" s="679" t="e">
        <f>ROUND('Balance N-1'!#REF!,2)</f>
        <v>#REF!</v>
      </c>
      <c r="D496" s="679" t="e">
        <f>ROUND('Balance N-1'!#REF!,2)</f>
        <v>#REF!</v>
      </c>
      <c r="E496" s="679">
        <f>ROUND('Balance N-1'!C496,2)</f>
        <v>0</v>
      </c>
      <c r="F496" s="679">
        <f>ROUND('Balance N-1'!D496,2)</f>
        <v>0</v>
      </c>
      <c r="G496" s="679">
        <f>ROUND('Balance N-1'!E496,2)</f>
        <v>0</v>
      </c>
      <c r="H496" s="679">
        <f>ROUND('Balance N-1'!F496,2)</f>
        <v>0</v>
      </c>
      <c r="I496" s="2" t="str">
        <f t="shared" si="10"/>
        <v>0</v>
      </c>
    </row>
    <row r="497" spans="1:9" x14ac:dyDescent="0.2">
      <c r="A497" s="910" t="str">
        <f>FIXED('Balance N-1'!A497,0,1)</f>
        <v>0</v>
      </c>
      <c r="B497" s="572">
        <f>+'Balance N-1'!B497</f>
        <v>0</v>
      </c>
      <c r="C497" s="679" t="e">
        <f>ROUND('Balance N-1'!#REF!,2)</f>
        <v>#REF!</v>
      </c>
      <c r="D497" s="679" t="e">
        <f>ROUND('Balance N-1'!#REF!,2)</f>
        <v>#REF!</v>
      </c>
      <c r="E497" s="679">
        <f>ROUND('Balance N-1'!C497,2)</f>
        <v>0</v>
      </c>
      <c r="F497" s="679">
        <f>ROUND('Balance N-1'!D497,2)</f>
        <v>0</v>
      </c>
      <c r="G497" s="679">
        <f>ROUND('Balance N-1'!E497,2)</f>
        <v>0</v>
      </c>
      <c r="H497" s="679">
        <f>ROUND('Balance N-1'!F497,2)</f>
        <v>0</v>
      </c>
      <c r="I497" s="2" t="str">
        <f t="shared" si="10"/>
        <v>0</v>
      </c>
    </row>
    <row r="498" spans="1:9" x14ac:dyDescent="0.2">
      <c r="A498" s="910" t="str">
        <f>FIXED('Balance N-1'!A498,0,1)</f>
        <v>0</v>
      </c>
      <c r="B498" s="572">
        <f>+'Balance N-1'!B498</f>
        <v>0</v>
      </c>
      <c r="C498" s="679" t="e">
        <f>ROUND('Balance N-1'!#REF!,2)</f>
        <v>#REF!</v>
      </c>
      <c r="D498" s="679" t="e">
        <f>ROUND('Balance N-1'!#REF!,2)</f>
        <v>#REF!</v>
      </c>
      <c r="E498" s="679">
        <f>ROUND('Balance N-1'!C498,2)</f>
        <v>0</v>
      </c>
      <c r="F498" s="679">
        <f>ROUND('Balance N-1'!D498,2)</f>
        <v>0</v>
      </c>
      <c r="G498" s="679">
        <f>ROUND('Balance N-1'!E498,2)</f>
        <v>0</v>
      </c>
      <c r="H498" s="679">
        <f>ROUND('Balance N-1'!F498,2)</f>
        <v>0</v>
      </c>
      <c r="I498" s="2" t="str">
        <f t="shared" si="10"/>
        <v>0</v>
      </c>
    </row>
    <row r="499" spans="1:9" x14ac:dyDescent="0.2">
      <c r="A499" s="910" t="str">
        <f>FIXED('Balance N-1'!A499,0,1)</f>
        <v>0</v>
      </c>
      <c r="B499" s="572">
        <f>+'Balance N-1'!B499</f>
        <v>0</v>
      </c>
      <c r="C499" s="679" t="e">
        <f>ROUND('Balance N-1'!#REF!,2)</f>
        <v>#REF!</v>
      </c>
      <c r="D499" s="679" t="e">
        <f>ROUND('Balance N-1'!#REF!,2)</f>
        <v>#REF!</v>
      </c>
      <c r="E499" s="679">
        <f>ROUND('Balance N-1'!C499,2)</f>
        <v>0</v>
      </c>
      <c r="F499" s="679">
        <f>ROUND('Balance N-1'!D499,2)</f>
        <v>0</v>
      </c>
      <c r="G499" s="679">
        <f>ROUND('Balance N-1'!E499,2)</f>
        <v>0</v>
      </c>
      <c r="H499" s="679">
        <f>ROUND('Balance N-1'!F499,2)</f>
        <v>0</v>
      </c>
      <c r="I499" s="2" t="str">
        <f t="shared" si="10"/>
        <v>0</v>
      </c>
    </row>
    <row r="500" spans="1:9" x14ac:dyDescent="0.2">
      <c r="A500" s="910" t="str">
        <f>FIXED('Balance N-1'!A500,0,1)</f>
        <v>0</v>
      </c>
      <c r="B500" s="572">
        <f>+'Balance N-1'!B500</f>
        <v>0</v>
      </c>
      <c r="C500" s="679" t="e">
        <f>ROUND('Balance N-1'!#REF!,2)</f>
        <v>#REF!</v>
      </c>
      <c r="D500" s="679" t="e">
        <f>ROUND('Balance N-1'!#REF!,2)</f>
        <v>#REF!</v>
      </c>
      <c r="E500" s="679">
        <f>ROUND('Balance N-1'!C500,2)</f>
        <v>0</v>
      </c>
      <c r="F500" s="679">
        <f>ROUND('Balance N-1'!D500,2)</f>
        <v>0</v>
      </c>
      <c r="G500" s="679">
        <f>ROUND('Balance N-1'!E500,2)</f>
        <v>0</v>
      </c>
      <c r="H500" s="679">
        <f>ROUND('Balance N-1'!F500,2)</f>
        <v>0</v>
      </c>
      <c r="I500" s="2" t="str">
        <f t="shared" si="10"/>
        <v>0</v>
      </c>
    </row>
    <row r="501" spans="1:9" x14ac:dyDescent="0.2">
      <c r="A501" s="910" t="str">
        <f>FIXED('Balance N-1'!A501,0,1)</f>
        <v>0</v>
      </c>
      <c r="B501" s="572">
        <f>+'Balance N-1'!B501</f>
        <v>0</v>
      </c>
      <c r="C501" s="679" t="e">
        <f>ROUND('Balance N-1'!#REF!,2)</f>
        <v>#REF!</v>
      </c>
      <c r="D501" s="679" t="e">
        <f>ROUND('Balance N-1'!#REF!,2)</f>
        <v>#REF!</v>
      </c>
      <c r="E501" s="679">
        <f>ROUND('Balance N-1'!C501,2)</f>
        <v>0</v>
      </c>
      <c r="F501" s="679">
        <f>ROUND('Balance N-1'!D501,2)</f>
        <v>0</v>
      </c>
      <c r="G501" s="679">
        <f>ROUND('Balance N-1'!E501,2)</f>
        <v>0</v>
      </c>
      <c r="H501" s="679">
        <f>ROUND('Balance N-1'!F501,2)</f>
        <v>0</v>
      </c>
      <c r="I501" s="2" t="str">
        <f t="shared" si="10"/>
        <v>0</v>
      </c>
    </row>
    <row r="502" spans="1:9" x14ac:dyDescent="0.2">
      <c r="A502" s="910" t="str">
        <f>FIXED('Balance N-1'!A502,0,1)</f>
        <v>0</v>
      </c>
      <c r="B502" s="572">
        <f>+'Balance N-1'!B502</f>
        <v>0</v>
      </c>
      <c r="C502" s="679" t="e">
        <f>ROUND('Balance N-1'!#REF!,2)</f>
        <v>#REF!</v>
      </c>
      <c r="D502" s="679" t="e">
        <f>ROUND('Balance N-1'!#REF!,2)</f>
        <v>#REF!</v>
      </c>
      <c r="E502" s="679">
        <f>ROUND('Balance N-1'!C502,2)</f>
        <v>0</v>
      </c>
      <c r="F502" s="679">
        <f>ROUND('Balance N-1'!D502,2)</f>
        <v>0</v>
      </c>
      <c r="G502" s="679">
        <f>ROUND('Balance N-1'!E502,2)</f>
        <v>0</v>
      </c>
      <c r="H502" s="679">
        <f>ROUND('Balance N-1'!F502,2)</f>
        <v>0</v>
      </c>
      <c r="I502" s="2" t="str">
        <f t="shared" si="10"/>
        <v>0</v>
      </c>
    </row>
    <row r="503" spans="1:9" x14ac:dyDescent="0.2">
      <c r="A503" s="910" t="str">
        <f>FIXED('Balance N-1'!A503,0,1)</f>
        <v>0</v>
      </c>
      <c r="B503" s="572">
        <f>+'Balance N-1'!B503</f>
        <v>0</v>
      </c>
      <c r="C503" s="679" t="e">
        <f>ROUND('Balance N-1'!#REF!,2)</f>
        <v>#REF!</v>
      </c>
      <c r="D503" s="679" t="e">
        <f>ROUND('Balance N-1'!#REF!,2)</f>
        <v>#REF!</v>
      </c>
      <c r="E503" s="679">
        <f>ROUND('Balance N-1'!C503,2)</f>
        <v>0</v>
      </c>
      <c r="F503" s="679">
        <f>ROUND('Balance N-1'!D503,2)</f>
        <v>0</v>
      </c>
      <c r="G503" s="679">
        <f>ROUND('Balance N-1'!E503,2)</f>
        <v>0</v>
      </c>
      <c r="H503" s="679">
        <f>ROUND('Balance N-1'!F503,2)</f>
        <v>0</v>
      </c>
      <c r="I503" s="2" t="str">
        <f t="shared" si="10"/>
        <v>0</v>
      </c>
    </row>
    <row r="504" spans="1:9" x14ac:dyDescent="0.2">
      <c r="A504" s="910" t="str">
        <f>FIXED('Balance N-1'!A504,0,1)</f>
        <v>0</v>
      </c>
      <c r="B504" s="572">
        <f>+'Balance N-1'!B504</f>
        <v>0</v>
      </c>
      <c r="C504" s="679" t="e">
        <f>ROUND('Balance N-1'!#REF!,2)</f>
        <v>#REF!</v>
      </c>
      <c r="D504" s="679" t="e">
        <f>ROUND('Balance N-1'!#REF!,2)</f>
        <v>#REF!</v>
      </c>
      <c r="E504" s="679">
        <f>ROUND('Balance N-1'!C504,2)</f>
        <v>0</v>
      </c>
      <c r="F504" s="679">
        <f>ROUND('Balance N-1'!D504,2)</f>
        <v>0</v>
      </c>
      <c r="G504" s="679">
        <f>ROUND('Balance N-1'!E504,2)</f>
        <v>0</v>
      </c>
      <c r="H504" s="679">
        <f>ROUND('Balance N-1'!F504,2)</f>
        <v>0</v>
      </c>
      <c r="I504" s="2" t="str">
        <f t="shared" si="10"/>
        <v>0</v>
      </c>
    </row>
    <row r="505" spans="1:9" x14ac:dyDescent="0.2">
      <c r="A505" s="910" t="str">
        <f>FIXED('Balance N-1'!A505,0,1)</f>
        <v>0</v>
      </c>
      <c r="B505" s="572">
        <f>+'Balance N-1'!B505</f>
        <v>0</v>
      </c>
      <c r="C505" s="679" t="e">
        <f>ROUND('Balance N-1'!#REF!,2)</f>
        <v>#REF!</v>
      </c>
      <c r="D505" s="679" t="e">
        <f>ROUND('Balance N-1'!#REF!,2)</f>
        <v>#REF!</v>
      </c>
      <c r="E505" s="679">
        <f>ROUND('Balance N-1'!C505,2)</f>
        <v>0</v>
      </c>
      <c r="F505" s="679">
        <f>ROUND('Balance N-1'!D505,2)</f>
        <v>0</v>
      </c>
      <c r="G505" s="679">
        <f>ROUND('Balance N-1'!E505,2)</f>
        <v>0</v>
      </c>
      <c r="H505" s="679">
        <f>ROUND('Balance N-1'!F505,2)</f>
        <v>0</v>
      </c>
      <c r="I505" s="2" t="str">
        <f t="shared" si="10"/>
        <v>0</v>
      </c>
    </row>
    <row r="506" spans="1:9" x14ac:dyDescent="0.2">
      <c r="A506" s="910" t="str">
        <f>FIXED('Balance N-1'!A506,0,1)</f>
        <v>0</v>
      </c>
      <c r="B506" s="572">
        <f>+'Balance N-1'!B506</f>
        <v>0</v>
      </c>
      <c r="C506" s="679" t="e">
        <f>ROUND('Balance N-1'!#REF!,2)</f>
        <v>#REF!</v>
      </c>
      <c r="D506" s="679" t="e">
        <f>ROUND('Balance N-1'!#REF!,2)</f>
        <v>#REF!</v>
      </c>
      <c r="E506" s="679">
        <f>ROUND('Balance N-1'!C506,2)</f>
        <v>0</v>
      </c>
      <c r="F506" s="679">
        <f>ROUND('Balance N-1'!D506,2)</f>
        <v>0</v>
      </c>
      <c r="G506" s="679">
        <f>ROUND('Balance N-1'!E506,2)</f>
        <v>0</v>
      </c>
      <c r="H506" s="679">
        <f>ROUND('Balance N-1'!F506,2)</f>
        <v>0</v>
      </c>
      <c r="I506" s="2" t="str">
        <f t="shared" si="10"/>
        <v>0</v>
      </c>
    </row>
    <row r="507" spans="1:9" x14ac:dyDescent="0.2">
      <c r="A507" s="910" t="str">
        <f>FIXED('Balance N-1'!A507,0,1)</f>
        <v>0</v>
      </c>
      <c r="B507" s="572">
        <f>+'Balance N-1'!B507</f>
        <v>0</v>
      </c>
      <c r="C507" s="679" t="e">
        <f>ROUND('Balance N-1'!#REF!,2)</f>
        <v>#REF!</v>
      </c>
      <c r="D507" s="679" t="e">
        <f>ROUND('Balance N-1'!#REF!,2)</f>
        <v>#REF!</v>
      </c>
      <c r="E507" s="679">
        <f>ROUND('Balance N-1'!C507,2)</f>
        <v>0</v>
      </c>
      <c r="F507" s="679">
        <f>ROUND('Balance N-1'!D507,2)</f>
        <v>0</v>
      </c>
      <c r="G507" s="679">
        <f>ROUND('Balance N-1'!E507,2)</f>
        <v>0</v>
      </c>
      <c r="H507" s="679">
        <f>ROUND('Balance N-1'!F507,2)</f>
        <v>0</v>
      </c>
      <c r="I507" s="2" t="str">
        <f t="shared" si="10"/>
        <v>0</v>
      </c>
    </row>
    <row r="508" spans="1:9" x14ac:dyDescent="0.2">
      <c r="A508" s="910" t="str">
        <f>FIXED('Balance N-1'!A508,0,1)</f>
        <v>0</v>
      </c>
      <c r="B508" s="572">
        <f>+'Balance N-1'!B508</f>
        <v>0</v>
      </c>
      <c r="C508" s="679" t="e">
        <f>ROUND('Balance N-1'!#REF!,2)</f>
        <v>#REF!</v>
      </c>
      <c r="D508" s="679" t="e">
        <f>ROUND('Balance N-1'!#REF!,2)</f>
        <v>#REF!</v>
      </c>
      <c r="E508" s="679">
        <f>ROUND('Balance N-1'!C508,2)</f>
        <v>0</v>
      </c>
      <c r="F508" s="679">
        <f>ROUND('Balance N-1'!D508,2)</f>
        <v>0</v>
      </c>
      <c r="G508" s="679">
        <f>ROUND('Balance N-1'!E508,2)</f>
        <v>0</v>
      </c>
      <c r="H508" s="679">
        <f>ROUND('Balance N-1'!F508,2)</f>
        <v>0</v>
      </c>
      <c r="I508" s="2" t="str">
        <f t="shared" si="10"/>
        <v>0</v>
      </c>
    </row>
    <row r="509" spans="1:9" x14ac:dyDescent="0.2">
      <c r="A509" s="910" t="str">
        <f>FIXED('Balance N-1'!A509,0,1)</f>
        <v>0</v>
      </c>
      <c r="B509" s="572">
        <f>+'Balance N-1'!B509</f>
        <v>0</v>
      </c>
      <c r="C509" s="679" t="e">
        <f>ROUND('Balance N-1'!#REF!,2)</f>
        <v>#REF!</v>
      </c>
      <c r="D509" s="679" t="e">
        <f>ROUND('Balance N-1'!#REF!,2)</f>
        <v>#REF!</v>
      </c>
      <c r="E509" s="679">
        <f>ROUND('Balance N-1'!C509,2)</f>
        <v>0</v>
      </c>
      <c r="F509" s="679">
        <f>ROUND('Balance N-1'!D509,2)</f>
        <v>0</v>
      </c>
      <c r="G509" s="679">
        <f>ROUND('Balance N-1'!E509,2)</f>
        <v>0</v>
      </c>
      <c r="H509" s="679">
        <f>ROUND('Balance N-1'!F509,2)</f>
        <v>0</v>
      </c>
      <c r="I509" s="2" t="str">
        <f t="shared" si="10"/>
        <v>0</v>
      </c>
    </row>
    <row r="510" spans="1:9" x14ac:dyDescent="0.2">
      <c r="A510" s="910" t="str">
        <f>FIXED('Balance N-1'!A510,0,1)</f>
        <v>0</v>
      </c>
      <c r="B510" s="572">
        <f>+'Balance N-1'!B510</f>
        <v>0</v>
      </c>
      <c r="C510" s="679" t="e">
        <f>ROUND('Balance N-1'!#REF!,2)</f>
        <v>#REF!</v>
      </c>
      <c r="D510" s="679" t="e">
        <f>ROUND('Balance N-1'!#REF!,2)</f>
        <v>#REF!</v>
      </c>
      <c r="E510" s="679">
        <f>ROUND('Balance N-1'!C510,2)</f>
        <v>0</v>
      </c>
      <c r="F510" s="679">
        <f>ROUND('Balance N-1'!D510,2)</f>
        <v>0</v>
      </c>
      <c r="G510" s="679">
        <f>ROUND('Balance N-1'!E510,2)</f>
        <v>0</v>
      </c>
      <c r="H510" s="679">
        <f>ROUND('Balance N-1'!F510,2)</f>
        <v>0</v>
      </c>
      <c r="I510" s="2" t="str">
        <f t="shared" si="10"/>
        <v>0</v>
      </c>
    </row>
    <row r="511" spans="1:9" x14ac:dyDescent="0.2">
      <c r="A511" s="910" t="str">
        <f>FIXED('Balance N-1'!A511,0,1)</f>
        <v>0</v>
      </c>
      <c r="B511" s="572">
        <f>+'Balance N-1'!B511</f>
        <v>0</v>
      </c>
      <c r="C511" s="679" t="e">
        <f>ROUND('Balance N-1'!#REF!,2)</f>
        <v>#REF!</v>
      </c>
      <c r="D511" s="679" t="e">
        <f>ROUND('Balance N-1'!#REF!,2)</f>
        <v>#REF!</v>
      </c>
      <c r="E511" s="679">
        <f>ROUND('Balance N-1'!C511,2)</f>
        <v>0</v>
      </c>
      <c r="F511" s="679">
        <f>ROUND('Balance N-1'!D511,2)</f>
        <v>0</v>
      </c>
      <c r="G511" s="679">
        <f>ROUND('Balance N-1'!E511,2)</f>
        <v>0</v>
      </c>
      <c r="H511" s="679">
        <f>ROUND('Balance N-1'!F511,2)</f>
        <v>0</v>
      </c>
      <c r="I511" s="2" t="str">
        <f t="shared" si="10"/>
        <v>0</v>
      </c>
    </row>
    <row r="512" spans="1:9" x14ac:dyDescent="0.2">
      <c r="A512" s="910" t="str">
        <f>FIXED('Balance N-1'!A512,0,1)</f>
        <v>0</v>
      </c>
      <c r="B512" s="572">
        <f>+'Balance N-1'!B512</f>
        <v>0</v>
      </c>
      <c r="C512" s="679" t="e">
        <f>ROUND('Balance N-1'!#REF!,2)</f>
        <v>#REF!</v>
      </c>
      <c r="D512" s="679" t="e">
        <f>ROUND('Balance N-1'!#REF!,2)</f>
        <v>#REF!</v>
      </c>
      <c r="E512" s="679">
        <f>ROUND('Balance N-1'!C512,2)</f>
        <v>0</v>
      </c>
      <c r="F512" s="679">
        <f>ROUND('Balance N-1'!D512,2)</f>
        <v>0</v>
      </c>
      <c r="G512" s="679">
        <f>ROUND('Balance N-1'!E512,2)</f>
        <v>0</v>
      </c>
      <c r="H512" s="679">
        <f>ROUND('Balance N-1'!F512,2)</f>
        <v>0</v>
      </c>
      <c r="I512" s="2" t="str">
        <f t="shared" si="10"/>
        <v>0</v>
      </c>
    </row>
    <row r="513" spans="1:9" x14ac:dyDescent="0.2">
      <c r="A513" s="910" t="str">
        <f>FIXED('Balance N-1'!A513,0,1)</f>
        <v>0</v>
      </c>
      <c r="B513" s="572">
        <f>+'Balance N-1'!B513</f>
        <v>0</v>
      </c>
      <c r="C513" s="679" t="e">
        <f>ROUND('Balance N-1'!#REF!,2)</f>
        <v>#REF!</v>
      </c>
      <c r="D513" s="679" t="e">
        <f>ROUND('Balance N-1'!#REF!,2)</f>
        <v>#REF!</v>
      </c>
      <c r="E513" s="679">
        <f>ROUND('Balance N-1'!C513,2)</f>
        <v>0</v>
      </c>
      <c r="F513" s="679">
        <f>ROUND('Balance N-1'!D513,2)</f>
        <v>0</v>
      </c>
      <c r="G513" s="679">
        <f>ROUND('Balance N-1'!E513,2)</f>
        <v>0</v>
      </c>
      <c r="H513" s="679">
        <f>ROUND('Balance N-1'!F513,2)</f>
        <v>0</v>
      </c>
      <c r="I513" s="2" t="str">
        <f t="shared" si="10"/>
        <v>0</v>
      </c>
    </row>
    <row r="514" spans="1:9" x14ac:dyDescent="0.2">
      <c r="A514" s="910" t="str">
        <f>FIXED('Balance N-1'!A514,0,1)</f>
        <v>0</v>
      </c>
      <c r="B514" s="572">
        <f>+'Balance N-1'!B514</f>
        <v>0</v>
      </c>
      <c r="C514" s="679" t="e">
        <f>ROUND('Balance N-1'!#REF!,2)</f>
        <v>#REF!</v>
      </c>
      <c r="D514" s="679" t="e">
        <f>ROUND('Balance N-1'!#REF!,2)</f>
        <v>#REF!</v>
      </c>
      <c r="E514" s="679">
        <f>ROUND('Balance N-1'!C514,2)</f>
        <v>0</v>
      </c>
      <c r="F514" s="679">
        <f>ROUND('Balance N-1'!D514,2)</f>
        <v>0</v>
      </c>
      <c r="G514" s="679">
        <f>ROUND('Balance N-1'!E514,2)</f>
        <v>0</v>
      </c>
      <c r="H514" s="679">
        <f>ROUND('Balance N-1'!F514,2)</f>
        <v>0</v>
      </c>
      <c r="I514" s="2" t="str">
        <f t="shared" si="10"/>
        <v>0</v>
      </c>
    </row>
    <row r="515" spans="1:9" x14ac:dyDescent="0.2">
      <c r="A515" s="910" t="str">
        <f>FIXED('Balance N-1'!A515,0,1)</f>
        <v>0</v>
      </c>
      <c r="B515" s="572">
        <f>+'Balance N-1'!B515</f>
        <v>0</v>
      </c>
      <c r="C515" s="679" t="e">
        <f>ROUND('Balance N-1'!#REF!,2)</f>
        <v>#REF!</v>
      </c>
      <c r="D515" s="679" t="e">
        <f>ROUND('Balance N-1'!#REF!,2)</f>
        <v>#REF!</v>
      </c>
      <c r="E515" s="679">
        <f>ROUND('Balance N-1'!C515,2)</f>
        <v>0</v>
      </c>
      <c r="F515" s="679">
        <f>ROUND('Balance N-1'!D515,2)</f>
        <v>0</v>
      </c>
      <c r="G515" s="679">
        <f>ROUND('Balance N-1'!E515,2)</f>
        <v>0</v>
      </c>
      <c r="H515" s="679">
        <f>ROUND('Balance N-1'!F515,2)</f>
        <v>0</v>
      </c>
      <c r="I515" s="2" t="str">
        <f t="shared" ref="I515:I578" si="11">MID(A515,1,1)</f>
        <v>0</v>
      </c>
    </row>
    <row r="516" spans="1:9" x14ac:dyDescent="0.2">
      <c r="A516" s="910" t="str">
        <f>FIXED('Balance N-1'!A516,0,1)</f>
        <v>0</v>
      </c>
      <c r="B516" s="572">
        <f>+'Balance N-1'!B516</f>
        <v>0</v>
      </c>
      <c r="C516" s="679" t="e">
        <f>ROUND('Balance N-1'!#REF!,2)</f>
        <v>#REF!</v>
      </c>
      <c r="D516" s="679" t="e">
        <f>ROUND('Balance N-1'!#REF!,2)</f>
        <v>#REF!</v>
      </c>
      <c r="E516" s="679">
        <f>ROUND('Balance N-1'!C516,2)</f>
        <v>0</v>
      </c>
      <c r="F516" s="679">
        <f>ROUND('Balance N-1'!D516,2)</f>
        <v>0</v>
      </c>
      <c r="G516" s="679">
        <f>ROUND('Balance N-1'!E516,2)</f>
        <v>0</v>
      </c>
      <c r="H516" s="679">
        <f>ROUND('Balance N-1'!F516,2)</f>
        <v>0</v>
      </c>
      <c r="I516" s="2" t="str">
        <f t="shared" si="11"/>
        <v>0</v>
      </c>
    </row>
    <row r="517" spans="1:9" x14ac:dyDescent="0.2">
      <c r="A517" s="910" t="str">
        <f>FIXED('Balance N-1'!A517,0,1)</f>
        <v>0</v>
      </c>
      <c r="B517" s="572">
        <f>+'Balance N-1'!B517</f>
        <v>0</v>
      </c>
      <c r="C517" s="679" t="e">
        <f>ROUND('Balance N-1'!#REF!,2)</f>
        <v>#REF!</v>
      </c>
      <c r="D517" s="679" t="e">
        <f>ROUND('Balance N-1'!#REF!,2)</f>
        <v>#REF!</v>
      </c>
      <c r="E517" s="679">
        <f>ROUND('Balance N-1'!C517,2)</f>
        <v>0</v>
      </c>
      <c r="F517" s="679">
        <f>ROUND('Balance N-1'!D517,2)</f>
        <v>0</v>
      </c>
      <c r="G517" s="679">
        <f>ROUND('Balance N-1'!E517,2)</f>
        <v>0</v>
      </c>
      <c r="H517" s="679">
        <f>ROUND('Balance N-1'!F517,2)</f>
        <v>0</v>
      </c>
      <c r="I517" s="2" t="str">
        <f t="shared" si="11"/>
        <v>0</v>
      </c>
    </row>
    <row r="518" spans="1:9" x14ac:dyDescent="0.2">
      <c r="A518" s="910" t="str">
        <f>FIXED('Balance N-1'!A518,0,1)</f>
        <v>0</v>
      </c>
      <c r="B518" s="572">
        <f>+'Balance N-1'!B518</f>
        <v>0</v>
      </c>
      <c r="C518" s="679" t="e">
        <f>ROUND('Balance N-1'!#REF!,2)</f>
        <v>#REF!</v>
      </c>
      <c r="D518" s="679" t="e">
        <f>ROUND('Balance N-1'!#REF!,2)</f>
        <v>#REF!</v>
      </c>
      <c r="E518" s="679">
        <f>ROUND('Balance N-1'!C518,2)</f>
        <v>0</v>
      </c>
      <c r="F518" s="679">
        <f>ROUND('Balance N-1'!D518,2)</f>
        <v>0</v>
      </c>
      <c r="G518" s="679">
        <f>ROUND('Balance N-1'!E518,2)</f>
        <v>0</v>
      </c>
      <c r="H518" s="679">
        <f>ROUND('Balance N-1'!F518,2)</f>
        <v>0</v>
      </c>
      <c r="I518" s="2" t="str">
        <f t="shared" si="11"/>
        <v>0</v>
      </c>
    </row>
    <row r="519" spans="1:9" x14ac:dyDescent="0.2">
      <c r="A519" s="910" t="str">
        <f>FIXED('Balance N-1'!A519,0,1)</f>
        <v>0</v>
      </c>
      <c r="B519" s="572">
        <f>+'Balance N-1'!B519</f>
        <v>0</v>
      </c>
      <c r="C519" s="679" t="e">
        <f>ROUND('Balance N-1'!#REF!,2)</f>
        <v>#REF!</v>
      </c>
      <c r="D519" s="679" t="e">
        <f>ROUND('Balance N-1'!#REF!,2)</f>
        <v>#REF!</v>
      </c>
      <c r="E519" s="679">
        <f>ROUND('Balance N-1'!C519,2)</f>
        <v>0</v>
      </c>
      <c r="F519" s="679">
        <f>ROUND('Balance N-1'!D519,2)</f>
        <v>0</v>
      </c>
      <c r="G519" s="679">
        <f>ROUND('Balance N-1'!E519,2)</f>
        <v>0</v>
      </c>
      <c r="H519" s="679">
        <f>ROUND('Balance N-1'!F519,2)</f>
        <v>0</v>
      </c>
      <c r="I519" s="2" t="str">
        <f t="shared" si="11"/>
        <v>0</v>
      </c>
    </row>
    <row r="520" spans="1:9" x14ac:dyDescent="0.2">
      <c r="A520" s="910" t="str">
        <f>FIXED('Balance N-1'!A520,0,1)</f>
        <v>0</v>
      </c>
      <c r="B520" s="572">
        <f>+'Balance N-1'!B520</f>
        <v>0</v>
      </c>
      <c r="C520" s="679" t="e">
        <f>ROUND('Balance N-1'!#REF!,2)</f>
        <v>#REF!</v>
      </c>
      <c r="D520" s="679" t="e">
        <f>ROUND('Balance N-1'!#REF!,2)</f>
        <v>#REF!</v>
      </c>
      <c r="E520" s="679">
        <f>ROUND('Balance N-1'!C520,2)</f>
        <v>0</v>
      </c>
      <c r="F520" s="679">
        <f>ROUND('Balance N-1'!D520,2)</f>
        <v>0</v>
      </c>
      <c r="G520" s="679">
        <f>ROUND('Balance N-1'!E520,2)</f>
        <v>0</v>
      </c>
      <c r="H520" s="679">
        <f>ROUND('Balance N-1'!F520,2)</f>
        <v>0</v>
      </c>
      <c r="I520" s="2" t="str">
        <f t="shared" si="11"/>
        <v>0</v>
      </c>
    </row>
    <row r="521" spans="1:9" x14ac:dyDescent="0.2">
      <c r="A521" s="910" t="str">
        <f>FIXED('Balance N-1'!A521,0,1)</f>
        <v>0</v>
      </c>
      <c r="B521" s="572">
        <f>+'Balance N-1'!B521</f>
        <v>0</v>
      </c>
      <c r="C521" s="679" t="e">
        <f>ROUND('Balance N-1'!#REF!,2)</f>
        <v>#REF!</v>
      </c>
      <c r="D521" s="679" t="e">
        <f>ROUND('Balance N-1'!#REF!,2)</f>
        <v>#REF!</v>
      </c>
      <c r="E521" s="679">
        <f>ROUND('Balance N-1'!C521,2)</f>
        <v>0</v>
      </c>
      <c r="F521" s="679">
        <f>ROUND('Balance N-1'!D521,2)</f>
        <v>0</v>
      </c>
      <c r="G521" s="679">
        <f>ROUND('Balance N-1'!E521,2)</f>
        <v>0</v>
      </c>
      <c r="H521" s="679">
        <f>ROUND('Balance N-1'!F521,2)</f>
        <v>0</v>
      </c>
      <c r="I521" s="2" t="str">
        <f t="shared" si="11"/>
        <v>0</v>
      </c>
    </row>
    <row r="522" spans="1:9" x14ac:dyDescent="0.2">
      <c r="A522" s="910" t="str">
        <f>FIXED('Balance N-1'!A522,0,1)</f>
        <v>0</v>
      </c>
      <c r="B522" s="572">
        <f>+'Balance N-1'!B522</f>
        <v>0</v>
      </c>
      <c r="C522" s="679" t="e">
        <f>ROUND('Balance N-1'!#REF!,2)</f>
        <v>#REF!</v>
      </c>
      <c r="D522" s="679" t="e">
        <f>ROUND('Balance N-1'!#REF!,2)</f>
        <v>#REF!</v>
      </c>
      <c r="E522" s="679">
        <f>ROUND('Balance N-1'!C522,2)</f>
        <v>0</v>
      </c>
      <c r="F522" s="679">
        <f>ROUND('Balance N-1'!D522,2)</f>
        <v>0</v>
      </c>
      <c r="G522" s="679">
        <f>ROUND('Balance N-1'!E522,2)</f>
        <v>0</v>
      </c>
      <c r="H522" s="679">
        <f>ROUND('Balance N-1'!F522,2)</f>
        <v>0</v>
      </c>
      <c r="I522" s="2" t="str">
        <f t="shared" si="11"/>
        <v>0</v>
      </c>
    </row>
    <row r="523" spans="1:9" x14ac:dyDescent="0.2">
      <c r="A523" s="910" t="str">
        <f>FIXED('Balance N-1'!A523,0,1)</f>
        <v>0</v>
      </c>
      <c r="B523" s="572">
        <f>+'Balance N-1'!B523</f>
        <v>0</v>
      </c>
      <c r="C523" s="679" t="e">
        <f>ROUND('Balance N-1'!#REF!,2)</f>
        <v>#REF!</v>
      </c>
      <c r="D523" s="679" t="e">
        <f>ROUND('Balance N-1'!#REF!,2)</f>
        <v>#REF!</v>
      </c>
      <c r="E523" s="679">
        <f>ROUND('Balance N-1'!C523,2)</f>
        <v>0</v>
      </c>
      <c r="F523" s="679">
        <f>ROUND('Balance N-1'!D523,2)</f>
        <v>0</v>
      </c>
      <c r="G523" s="679">
        <f>ROUND('Balance N-1'!E523,2)</f>
        <v>0</v>
      </c>
      <c r="H523" s="679">
        <f>ROUND('Balance N-1'!F523,2)</f>
        <v>0</v>
      </c>
      <c r="I523" s="2" t="str">
        <f t="shared" si="11"/>
        <v>0</v>
      </c>
    </row>
    <row r="524" spans="1:9" x14ac:dyDescent="0.2">
      <c r="A524" s="910" t="str">
        <f>FIXED('Balance N-1'!A524,0,1)</f>
        <v>0</v>
      </c>
      <c r="B524" s="572">
        <f>+'Balance N-1'!B524</f>
        <v>0</v>
      </c>
      <c r="C524" s="679" t="e">
        <f>ROUND('Balance N-1'!#REF!,2)</f>
        <v>#REF!</v>
      </c>
      <c r="D524" s="679" t="e">
        <f>ROUND('Balance N-1'!#REF!,2)</f>
        <v>#REF!</v>
      </c>
      <c r="E524" s="679">
        <f>ROUND('Balance N-1'!C524,2)</f>
        <v>0</v>
      </c>
      <c r="F524" s="679">
        <f>ROUND('Balance N-1'!D524,2)</f>
        <v>0</v>
      </c>
      <c r="G524" s="679">
        <f>ROUND('Balance N-1'!E524,2)</f>
        <v>0</v>
      </c>
      <c r="H524" s="679">
        <f>ROUND('Balance N-1'!F524,2)</f>
        <v>0</v>
      </c>
      <c r="I524" s="2" t="str">
        <f t="shared" si="11"/>
        <v>0</v>
      </c>
    </row>
    <row r="525" spans="1:9" x14ac:dyDescent="0.2">
      <c r="A525" s="910" t="str">
        <f>FIXED('Balance N-1'!A525,0,1)</f>
        <v>0</v>
      </c>
      <c r="B525" s="572">
        <f>+'Balance N-1'!B525</f>
        <v>0</v>
      </c>
      <c r="C525" s="679" t="e">
        <f>ROUND('Balance N-1'!#REF!,2)</f>
        <v>#REF!</v>
      </c>
      <c r="D525" s="679" t="e">
        <f>ROUND('Balance N-1'!#REF!,2)</f>
        <v>#REF!</v>
      </c>
      <c r="E525" s="679">
        <f>ROUND('Balance N-1'!C525,2)</f>
        <v>0</v>
      </c>
      <c r="F525" s="679">
        <f>ROUND('Balance N-1'!D525,2)</f>
        <v>0</v>
      </c>
      <c r="G525" s="679">
        <f>ROUND('Balance N-1'!E525,2)</f>
        <v>0</v>
      </c>
      <c r="H525" s="679">
        <f>ROUND('Balance N-1'!F525,2)</f>
        <v>0</v>
      </c>
      <c r="I525" s="2" t="str">
        <f t="shared" si="11"/>
        <v>0</v>
      </c>
    </row>
    <row r="526" spans="1:9" x14ac:dyDescent="0.2">
      <c r="A526" s="910" t="str">
        <f>FIXED('Balance N-1'!A526,0,1)</f>
        <v>0</v>
      </c>
      <c r="B526" s="572">
        <f>+'Balance N-1'!B526</f>
        <v>0</v>
      </c>
      <c r="C526" s="679" t="e">
        <f>ROUND('Balance N-1'!#REF!,2)</f>
        <v>#REF!</v>
      </c>
      <c r="D526" s="679" t="e">
        <f>ROUND('Balance N-1'!#REF!,2)</f>
        <v>#REF!</v>
      </c>
      <c r="E526" s="679">
        <f>ROUND('Balance N-1'!C526,2)</f>
        <v>0</v>
      </c>
      <c r="F526" s="679">
        <f>ROUND('Balance N-1'!D526,2)</f>
        <v>0</v>
      </c>
      <c r="G526" s="679">
        <f>ROUND('Balance N-1'!E526,2)</f>
        <v>0</v>
      </c>
      <c r="H526" s="679">
        <f>ROUND('Balance N-1'!F526,2)</f>
        <v>0</v>
      </c>
      <c r="I526" s="2" t="str">
        <f t="shared" si="11"/>
        <v>0</v>
      </c>
    </row>
    <row r="527" spans="1:9" x14ac:dyDescent="0.2">
      <c r="A527" s="910" t="str">
        <f>FIXED('Balance N-1'!A527,0,1)</f>
        <v>0</v>
      </c>
      <c r="B527" s="572">
        <f>+'Balance N-1'!B527</f>
        <v>0</v>
      </c>
      <c r="C527" s="679" t="e">
        <f>ROUND('Balance N-1'!#REF!,2)</f>
        <v>#REF!</v>
      </c>
      <c r="D527" s="679" t="e">
        <f>ROUND('Balance N-1'!#REF!,2)</f>
        <v>#REF!</v>
      </c>
      <c r="E527" s="679">
        <f>ROUND('Balance N-1'!C527,2)</f>
        <v>0</v>
      </c>
      <c r="F527" s="679">
        <f>ROUND('Balance N-1'!D527,2)</f>
        <v>0</v>
      </c>
      <c r="G527" s="679">
        <f>ROUND('Balance N-1'!E527,2)</f>
        <v>0</v>
      </c>
      <c r="H527" s="679">
        <f>ROUND('Balance N-1'!F527,2)</f>
        <v>0</v>
      </c>
      <c r="I527" s="2" t="str">
        <f t="shared" si="11"/>
        <v>0</v>
      </c>
    </row>
    <row r="528" spans="1:9" x14ac:dyDescent="0.2">
      <c r="A528" s="910" t="str">
        <f>FIXED('Balance N-1'!A528,0,1)</f>
        <v>0</v>
      </c>
      <c r="B528" s="572">
        <f>+'Balance N-1'!B528</f>
        <v>0</v>
      </c>
      <c r="C528" s="679" t="e">
        <f>ROUND('Balance N-1'!#REF!,2)</f>
        <v>#REF!</v>
      </c>
      <c r="D528" s="679" t="e">
        <f>ROUND('Balance N-1'!#REF!,2)</f>
        <v>#REF!</v>
      </c>
      <c r="E528" s="679">
        <f>ROUND('Balance N-1'!C528,2)</f>
        <v>0</v>
      </c>
      <c r="F528" s="679">
        <f>ROUND('Balance N-1'!D528,2)</f>
        <v>0</v>
      </c>
      <c r="G528" s="679">
        <f>ROUND('Balance N-1'!E528,2)</f>
        <v>0</v>
      </c>
      <c r="H528" s="679">
        <f>ROUND('Balance N-1'!F528,2)</f>
        <v>0</v>
      </c>
      <c r="I528" s="2" t="str">
        <f t="shared" si="11"/>
        <v>0</v>
      </c>
    </row>
    <row r="529" spans="1:9" x14ac:dyDescent="0.2">
      <c r="A529" s="910" t="str">
        <f>FIXED('Balance N-1'!A529,0,1)</f>
        <v>0</v>
      </c>
      <c r="B529" s="572">
        <f>+'Balance N-1'!B529</f>
        <v>0</v>
      </c>
      <c r="C529" s="679" t="e">
        <f>ROUND('Balance N-1'!#REF!,2)</f>
        <v>#REF!</v>
      </c>
      <c r="D529" s="679" t="e">
        <f>ROUND('Balance N-1'!#REF!,2)</f>
        <v>#REF!</v>
      </c>
      <c r="E529" s="679">
        <f>ROUND('Balance N-1'!C529,2)</f>
        <v>0</v>
      </c>
      <c r="F529" s="679">
        <f>ROUND('Balance N-1'!D529,2)</f>
        <v>0</v>
      </c>
      <c r="G529" s="679">
        <f>ROUND('Balance N-1'!E529,2)</f>
        <v>0</v>
      </c>
      <c r="H529" s="679">
        <f>ROUND('Balance N-1'!F529,2)</f>
        <v>0</v>
      </c>
      <c r="I529" s="2" t="str">
        <f t="shared" si="11"/>
        <v>0</v>
      </c>
    </row>
    <row r="530" spans="1:9" x14ac:dyDescent="0.2">
      <c r="A530" s="910" t="str">
        <f>FIXED('Balance N-1'!A530,0,1)</f>
        <v>0</v>
      </c>
      <c r="B530" s="572">
        <f>+'Balance N-1'!B530</f>
        <v>0</v>
      </c>
      <c r="C530" s="679" t="e">
        <f>ROUND('Balance N-1'!#REF!,2)</f>
        <v>#REF!</v>
      </c>
      <c r="D530" s="679" t="e">
        <f>ROUND('Balance N-1'!#REF!,2)</f>
        <v>#REF!</v>
      </c>
      <c r="E530" s="679">
        <f>ROUND('Balance N-1'!C530,2)</f>
        <v>0</v>
      </c>
      <c r="F530" s="679">
        <f>ROUND('Balance N-1'!D530,2)</f>
        <v>0</v>
      </c>
      <c r="G530" s="679">
        <f>ROUND('Balance N-1'!E530,2)</f>
        <v>0</v>
      </c>
      <c r="H530" s="679">
        <f>ROUND('Balance N-1'!F530,2)</f>
        <v>0</v>
      </c>
      <c r="I530" s="2" t="str">
        <f t="shared" si="11"/>
        <v>0</v>
      </c>
    </row>
    <row r="531" spans="1:9" x14ac:dyDescent="0.2">
      <c r="A531" s="910" t="str">
        <f>FIXED('Balance N-1'!A531,0,1)</f>
        <v>0</v>
      </c>
      <c r="B531" s="572">
        <f>+'Balance N-1'!B531</f>
        <v>0</v>
      </c>
      <c r="C531" s="679" t="e">
        <f>ROUND('Balance N-1'!#REF!,2)</f>
        <v>#REF!</v>
      </c>
      <c r="D531" s="679" t="e">
        <f>ROUND('Balance N-1'!#REF!,2)</f>
        <v>#REF!</v>
      </c>
      <c r="E531" s="679">
        <f>ROUND('Balance N-1'!C531,2)</f>
        <v>0</v>
      </c>
      <c r="F531" s="679">
        <f>ROUND('Balance N-1'!D531,2)</f>
        <v>0</v>
      </c>
      <c r="G531" s="679">
        <f>ROUND('Balance N-1'!E531,2)</f>
        <v>0</v>
      </c>
      <c r="H531" s="679">
        <f>ROUND('Balance N-1'!F531,2)</f>
        <v>0</v>
      </c>
      <c r="I531" s="2" t="str">
        <f t="shared" si="11"/>
        <v>0</v>
      </c>
    </row>
    <row r="532" spans="1:9" x14ac:dyDescent="0.2">
      <c r="A532" s="910" t="str">
        <f>FIXED('Balance N-1'!A532,0,1)</f>
        <v>0</v>
      </c>
      <c r="B532" s="572">
        <f>+'Balance N-1'!B532</f>
        <v>0</v>
      </c>
      <c r="C532" s="679" t="e">
        <f>ROUND('Balance N-1'!#REF!,2)</f>
        <v>#REF!</v>
      </c>
      <c r="D532" s="679" t="e">
        <f>ROUND('Balance N-1'!#REF!,2)</f>
        <v>#REF!</v>
      </c>
      <c r="E532" s="679">
        <f>ROUND('Balance N-1'!C532,2)</f>
        <v>0</v>
      </c>
      <c r="F532" s="679">
        <f>ROUND('Balance N-1'!D532,2)</f>
        <v>0</v>
      </c>
      <c r="G532" s="679">
        <f>ROUND('Balance N-1'!E532,2)</f>
        <v>0</v>
      </c>
      <c r="H532" s="679">
        <f>ROUND('Balance N-1'!F532,2)</f>
        <v>0</v>
      </c>
      <c r="I532" s="2" t="str">
        <f t="shared" si="11"/>
        <v>0</v>
      </c>
    </row>
    <row r="533" spans="1:9" x14ac:dyDescent="0.2">
      <c r="A533" s="910" t="str">
        <f>FIXED('Balance N-1'!A533,0,1)</f>
        <v>0</v>
      </c>
      <c r="B533" s="572">
        <f>+'Balance N-1'!B533</f>
        <v>0</v>
      </c>
      <c r="C533" s="679" t="e">
        <f>ROUND('Balance N-1'!#REF!,2)</f>
        <v>#REF!</v>
      </c>
      <c r="D533" s="679" t="e">
        <f>ROUND('Balance N-1'!#REF!,2)</f>
        <v>#REF!</v>
      </c>
      <c r="E533" s="679">
        <f>ROUND('Balance N-1'!C533,2)</f>
        <v>0</v>
      </c>
      <c r="F533" s="679">
        <f>ROUND('Balance N-1'!D533,2)</f>
        <v>0</v>
      </c>
      <c r="G533" s="679">
        <f>ROUND('Balance N-1'!E533,2)</f>
        <v>0</v>
      </c>
      <c r="H533" s="679">
        <f>ROUND('Balance N-1'!F533,2)</f>
        <v>0</v>
      </c>
      <c r="I533" s="2" t="str">
        <f t="shared" si="11"/>
        <v>0</v>
      </c>
    </row>
    <row r="534" spans="1:9" x14ac:dyDescent="0.2">
      <c r="A534" s="910" t="str">
        <f>FIXED('Balance N-1'!A534,0,1)</f>
        <v>0</v>
      </c>
      <c r="B534" s="572">
        <f>+'Balance N-1'!B534</f>
        <v>0</v>
      </c>
      <c r="C534" s="679" t="e">
        <f>ROUND('Balance N-1'!#REF!,2)</f>
        <v>#REF!</v>
      </c>
      <c r="D534" s="679" t="e">
        <f>ROUND('Balance N-1'!#REF!,2)</f>
        <v>#REF!</v>
      </c>
      <c r="E534" s="679">
        <f>ROUND('Balance N-1'!C534,2)</f>
        <v>0</v>
      </c>
      <c r="F534" s="679">
        <f>ROUND('Balance N-1'!D534,2)</f>
        <v>0</v>
      </c>
      <c r="G534" s="679">
        <f>ROUND('Balance N-1'!E534,2)</f>
        <v>0</v>
      </c>
      <c r="H534" s="679">
        <f>ROUND('Balance N-1'!F534,2)</f>
        <v>0</v>
      </c>
      <c r="I534" s="2" t="str">
        <f t="shared" si="11"/>
        <v>0</v>
      </c>
    </row>
    <row r="535" spans="1:9" x14ac:dyDescent="0.2">
      <c r="A535" s="910" t="str">
        <f>FIXED('Balance N-1'!A535,0,1)</f>
        <v>0</v>
      </c>
      <c r="B535" s="572">
        <f>+'Balance N-1'!B535</f>
        <v>0</v>
      </c>
      <c r="C535" s="679" t="e">
        <f>ROUND('Balance N-1'!#REF!,2)</f>
        <v>#REF!</v>
      </c>
      <c r="D535" s="679" t="e">
        <f>ROUND('Balance N-1'!#REF!,2)</f>
        <v>#REF!</v>
      </c>
      <c r="E535" s="679">
        <f>ROUND('Balance N-1'!C535,2)</f>
        <v>0</v>
      </c>
      <c r="F535" s="679">
        <f>ROUND('Balance N-1'!D535,2)</f>
        <v>0</v>
      </c>
      <c r="G535" s="679">
        <f>ROUND('Balance N-1'!E535,2)</f>
        <v>0</v>
      </c>
      <c r="H535" s="679">
        <f>ROUND('Balance N-1'!F535,2)</f>
        <v>0</v>
      </c>
      <c r="I535" s="2" t="str">
        <f t="shared" si="11"/>
        <v>0</v>
      </c>
    </row>
    <row r="536" spans="1:9" x14ac:dyDescent="0.2">
      <c r="A536" s="910" t="str">
        <f>FIXED('Balance N-1'!A536,0,1)</f>
        <v>0</v>
      </c>
      <c r="B536" s="572">
        <f>+'Balance N-1'!B536</f>
        <v>0</v>
      </c>
      <c r="C536" s="679" t="e">
        <f>ROUND('Balance N-1'!#REF!,2)</f>
        <v>#REF!</v>
      </c>
      <c r="D536" s="679" t="e">
        <f>ROUND('Balance N-1'!#REF!,2)</f>
        <v>#REF!</v>
      </c>
      <c r="E536" s="679">
        <f>ROUND('Balance N-1'!C536,2)</f>
        <v>0</v>
      </c>
      <c r="F536" s="679">
        <f>ROUND('Balance N-1'!D536,2)</f>
        <v>0</v>
      </c>
      <c r="G536" s="679">
        <f>ROUND('Balance N-1'!E536,2)</f>
        <v>0</v>
      </c>
      <c r="H536" s="679">
        <f>ROUND('Balance N-1'!F536,2)</f>
        <v>0</v>
      </c>
      <c r="I536" s="2" t="str">
        <f t="shared" si="11"/>
        <v>0</v>
      </c>
    </row>
    <row r="537" spans="1:9" x14ac:dyDescent="0.2">
      <c r="A537" s="910" t="str">
        <f>FIXED('Balance N-1'!A537,0,1)</f>
        <v>0</v>
      </c>
      <c r="B537" s="572">
        <f>+'Balance N-1'!B537</f>
        <v>0</v>
      </c>
      <c r="C537" s="679" t="e">
        <f>ROUND('Balance N-1'!#REF!,2)</f>
        <v>#REF!</v>
      </c>
      <c r="D537" s="679" t="e">
        <f>ROUND('Balance N-1'!#REF!,2)</f>
        <v>#REF!</v>
      </c>
      <c r="E537" s="679">
        <f>ROUND('Balance N-1'!C537,2)</f>
        <v>0</v>
      </c>
      <c r="F537" s="679">
        <f>ROUND('Balance N-1'!D537,2)</f>
        <v>0</v>
      </c>
      <c r="G537" s="679">
        <f>ROUND('Balance N-1'!E537,2)</f>
        <v>0</v>
      </c>
      <c r="H537" s="679">
        <f>ROUND('Balance N-1'!F537,2)</f>
        <v>0</v>
      </c>
      <c r="I537" s="2" t="str">
        <f t="shared" si="11"/>
        <v>0</v>
      </c>
    </row>
    <row r="538" spans="1:9" x14ac:dyDescent="0.2">
      <c r="A538" s="910" t="str">
        <f>FIXED('Balance N-1'!A538,0,1)</f>
        <v>0</v>
      </c>
      <c r="B538" s="572">
        <f>+'Balance N-1'!B538</f>
        <v>0</v>
      </c>
      <c r="C538" s="679" t="e">
        <f>ROUND('Balance N-1'!#REF!,2)</f>
        <v>#REF!</v>
      </c>
      <c r="D538" s="679" t="e">
        <f>ROUND('Balance N-1'!#REF!,2)</f>
        <v>#REF!</v>
      </c>
      <c r="E538" s="679">
        <f>ROUND('Balance N-1'!C538,2)</f>
        <v>0</v>
      </c>
      <c r="F538" s="679">
        <f>ROUND('Balance N-1'!D538,2)</f>
        <v>0</v>
      </c>
      <c r="G538" s="679">
        <f>ROUND('Balance N-1'!E538,2)</f>
        <v>0</v>
      </c>
      <c r="H538" s="679">
        <f>ROUND('Balance N-1'!F538,2)</f>
        <v>0</v>
      </c>
      <c r="I538" s="2" t="str">
        <f t="shared" si="11"/>
        <v>0</v>
      </c>
    </row>
    <row r="539" spans="1:9" x14ac:dyDescent="0.2">
      <c r="A539" s="910" t="str">
        <f>FIXED('Balance N-1'!A539,0,1)</f>
        <v>0</v>
      </c>
      <c r="B539" s="572">
        <f>+'Balance N-1'!B539</f>
        <v>0</v>
      </c>
      <c r="C539" s="679" t="e">
        <f>ROUND('Balance N-1'!#REF!,2)</f>
        <v>#REF!</v>
      </c>
      <c r="D539" s="679" t="e">
        <f>ROUND('Balance N-1'!#REF!,2)</f>
        <v>#REF!</v>
      </c>
      <c r="E539" s="679">
        <f>ROUND('Balance N-1'!C539,2)</f>
        <v>0</v>
      </c>
      <c r="F539" s="679">
        <f>ROUND('Balance N-1'!D539,2)</f>
        <v>0</v>
      </c>
      <c r="G539" s="679">
        <f>ROUND('Balance N-1'!E539,2)</f>
        <v>0</v>
      </c>
      <c r="H539" s="679">
        <f>ROUND('Balance N-1'!F539,2)</f>
        <v>0</v>
      </c>
      <c r="I539" s="2" t="str">
        <f t="shared" si="11"/>
        <v>0</v>
      </c>
    </row>
    <row r="540" spans="1:9" x14ac:dyDescent="0.2">
      <c r="A540" s="910" t="str">
        <f>FIXED('Balance N-1'!A540,0,1)</f>
        <v>0</v>
      </c>
      <c r="B540" s="572">
        <f>+'Balance N-1'!B540</f>
        <v>0</v>
      </c>
      <c r="C540" s="679" t="e">
        <f>ROUND('Balance N-1'!#REF!,2)</f>
        <v>#REF!</v>
      </c>
      <c r="D540" s="679" t="e">
        <f>ROUND('Balance N-1'!#REF!,2)</f>
        <v>#REF!</v>
      </c>
      <c r="E540" s="679">
        <f>ROUND('Balance N-1'!C540,2)</f>
        <v>0</v>
      </c>
      <c r="F540" s="679">
        <f>ROUND('Balance N-1'!D540,2)</f>
        <v>0</v>
      </c>
      <c r="G540" s="679">
        <f>ROUND('Balance N-1'!E540,2)</f>
        <v>0</v>
      </c>
      <c r="H540" s="679">
        <f>ROUND('Balance N-1'!F540,2)</f>
        <v>0</v>
      </c>
      <c r="I540" s="2" t="str">
        <f t="shared" si="11"/>
        <v>0</v>
      </c>
    </row>
    <row r="541" spans="1:9" x14ac:dyDescent="0.2">
      <c r="A541" s="910" t="str">
        <f>FIXED('Balance N-1'!A541,0,1)</f>
        <v>0</v>
      </c>
      <c r="B541" s="572">
        <f>+'Balance N-1'!B541</f>
        <v>0</v>
      </c>
      <c r="C541" s="679" t="e">
        <f>ROUND('Balance N-1'!#REF!,2)</f>
        <v>#REF!</v>
      </c>
      <c r="D541" s="679" t="e">
        <f>ROUND('Balance N-1'!#REF!,2)</f>
        <v>#REF!</v>
      </c>
      <c r="E541" s="679">
        <f>ROUND('Balance N-1'!C541,2)</f>
        <v>0</v>
      </c>
      <c r="F541" s="679">
        <f>ROUND('Balance N-1'!D541,2)</f>
        <v>0</v>
      </c>
      <c r="G541" s="679">
        <f>ROUND('Balance N-1'!E541,2)</f>
        <v>0</v>
      </c>
      <c r="H541" s="679">
        <f>ROUND('Balance N-1'!F541,2)</f>
        <v>0</v>
      </c>
      <c r="I541" s="2" t="str">
        <f t="shared" si="11"/>
        <v>0</v>
      </c>
    </row>
    <row r="542" spans="1:9" x14ac:dyDescent="0.2">
      <c r="A542" s="910" t="str">
        <f>FIXED('Balance N-1'!A542,0,1)</f>
        <v>0</v>
      </c>
      <c r="B542" s="572">
        <f>+'Balance N-1'!B542</f>
        <v>0</v>
      </c>
      <c r="C542" s="679" t="e">
        <f>ROUND('Balance N-1'!#REF!,2)</f>
        <v>#REF!</v>
      </c>
      <c r="D542" s="679" t="e">
        <f>ROUND('Balance N-1'!#REF!,2)</f>
        <v>#REF!</v>
      </c>
      <c r="E542" s="679">
        <f>ROUND('Balance N-1'!C542,2)</f>
        <v>0</v>
      </c>
      <c r="F542" s="679">
        <f>ROUND('Balance N-1'!D542,2)</f>
        <v>0</v>
      </c>
      <c r="G542" s="679">
        <f>ROUND('Balance N-1'!E542,2)</f>
        <v>0</v>
      </c>
      <c r="H542" s="679">
        <f>ROUND('Balance N-1'!F542,2)</f>
        <v>0</v>
      </c>
      <c r="I542" s="2" t="str">
        <f t="shared" si="11"/>
        <v>0</v>
      </c>
    </row>
    <row r="543" spans="1:9" x14ac:dyDescent="0.2">
      <c r="A543" s="910" t="str">
        <f>FIXED('Balance N-1'!A543,0,1)</f>
        <v>0</v>
      </c>
      <c r="B543" s="572">
        <f>+'Balance N-1'!B543</f>
        <v>0</v>
      </c>
      <c r="C543" s="679" t="e">
        <f>ROUND('Balance N-1'!#REF!,2)</f>
        <v>#REF!</v>
      </c>
      <c r="D543" s="679" t="e">
        <f>ROUND('Balance N-1'!#REF!,2)</f>
        <v>#REF!</v>
      </c>
      <c r="E543" s="679">
        <f>ROUND('Balance N-1'!C543,2)</f>
        <v>0</v>
      </c>
      <c r="F543" s="679">
        <f>ROUND('Balance N-1'!D543,2)</f>
        <v>0</v>
      </c>
      <c r="G543" s="679">
        <f>ROUND('Balance N-1'!E543,2)</f>
        <v>0</v>
      </c>
      <c r="H543" s="679">
        <f>ROUND('Balance N-1'!F543,2)</f>
        <v>0</v>
      </c>
      <c r="I543" s="2" t="str">
        <f t="shared" si="11"/>
        <v>0</v>
      </c>
    </row>
    <row r="544" spans="1:9" x14ac:dyDescent="0.2">
      <c r="A544" s="910" t="str">
        <f>FIXED('Balance N-1'!A544,0,1)</f>
        <v>0</v>
      </c>
      <c r="B544" s="572">
        <f>+'Balance N-1'!B544</f>
        <v>0</v>
      </c>
      <c r="C544" s="679" t="e">
        <f>ROUND('Balance N-1'!#REF!,2)</f>
        <v>#REF!</v>
      </c>
      <c r="D544" s="679" t="e">
        <f>ROUND('Balance N-1'!#REF!,2)</f>
        <v>#REF!</v>
      </c>
      <c r="E544" s="679">
        <f>ROUND('Balance N-1'!C544,2)</f>
        <v>0</v>
      </c>
      <c r="F544" s="679">
        <f>ROUND('Balance N-1'!D544,2)</f>
        <v>0</v>
      </c>
      <c r="G544" s="679">
        <f>ROUND('Balance N-1'!E544,2)</f>
        <v>0</v>
      </c>
      <c r="H544" s="679">
        <f>ROUND('Balance N-1'!F544,2)</f>
        <v>0</v>
      </c>
      <c r="I544" s="2" t="str">
        <f t="shared" si="11"/>
        <v>0</v>
      </c>
    </row>
    <row r="545" spans="1:9" x14ac:dyDescent="0.2">
      <c r="A545" s="910" t="str">
        <f>FIXED('Balance N-1'!A545,0,1)</f>
        <v>0</v>
      </c>
      <c r="B545" s="572">
        <f>+'Balance N-1'!B545</f>
        <v>0</v>
      </c>
      <c r="C545" s="679" t="e">
        <f>ROUND('Balance N-1'!#REF!,2)</f>
        <v>#REF!</v>
      </c>
      <c r="D545" s="679" t="e">
        <f>ROUND('Balance N-1'!#REF!,2)</f>
        <v>#REF!</v>
      </c>
      <c r="E545" s="679">
        <f>ROUND('Balance N-1'!C545,2)</f>
        <v>0</v>
      </c>
      <c r="F545" s="679">
        <f>ROUND('Balance N-1'!D545,2)</f>
        <v>0</v>
      </c>
      <c r="G545" s="679">
        <f>ROUND('Balance N-1'!E545,2)</f>
        <v>0</v>
      </c>
      <c r="H545" s="679">
        <f>ROUND('Balance N-1'!F545,2)</f>
        <v>0</v>
      </c>
      <c r="I545" s="2" t="str">
        <f t="shared" si="11"/>
        <v>0</v>
      </c>
    </row>
    <row r="546" spans="1:9" x14ac:dyDescent="0.2">
      <c r="A546" s="910" t="str">
        <f>FIXED('Balance N-1'!A546,0,1)</f>
        <v>0</v>
      </c>
      <c r="B546" s="572">
        <f>+'Balance N-1'!B546</f>
        <v>0</v>
      </c>
      <c r="C546" s="679" t="e">
        <f>ROUND('Balance N-1'!#REF!,2)</f>
        <v>#REF!</v>
      </c>
      <c r="D546" s="679" t="e">
        <f>ROUND('Balance N-1'!#REF!,2)</f>
        <v>#REF!</v>
      </c>
      <c r="E546" s="679">
        <f>ROUND('Balance N-1'!C546,2)</f>
        <v>0</v>
      </c>
      <c r="F546" s="679">
        <f>ROUND('Balance N-1'!D546,2)</f>
        <v>0</v>
      </c>
      <c r="G546" s="679">
        <f>ROUND('Balance N-1'!E546,2)</f>
        <v>0</v>
      </c>
      <c r="H546" s="679">
        <f>ROUND('Balance N-1'!F546,2)</f>
        <v>0</v>
      </c>
      <c r="I546" s="2" t="str">
        <f t="shared" si="11"/>
        <v>0</v>
      </c>
    </row>
    <row r="547" spans="1:9" x14ac:dyDescent="0.2">
      <c r="A547" s="910" t="str">
        <f>FIXED('Balance N-1'!A547,0,1)</f>
        <v>0</v>
      </c>
      <c r="B547" s="572">
        <f>+'Balance N-1'!B547</f>
        <v>0</v>
      </c>
      <c r="C547" s="679" t="e">
        <f>ROUND('Balance N-1'!#REF!,2)</f>
        <v>#REF!</v>
      </c>
      <c r="D547" s="679" t="e">
        <f>ROUND('Balance N-1'!#REF!,2)</f>
        <v>#REF!</v>
      </c>
      <c r="E547" s="679">
        <f>ROUND('Balance N-1'!C547,2)</f>
        <v>0</v>
      </c>
      <c r="F547" s="679">
        <f>ROUND('Balance N-1'!D547,2)</f>
        <v>0</v>
      </c>
      <c r="G547" s="679">
        <f>ROUND('Balance N-1'!E547,2)</f>
        <v>0</v>
      </c>
      <c r="H547" s="679">
        <f>ROUND('Balance N-1'!F547,2)</f>
        <v>0</v>
      </c>
      <c r="I547" s="2" t="str">
        <f t="shared" si="11"/>
        <v>0</v>
      </c>
    </row>
    <row r="548" spans="1:9" x14ac:dyDescent="0.2">
      <c r="A548" s="910" t="str">
        <f>FIXED('Balance N-1'!A548,0,1)</f>
        <v>0</v>
      </c>
      <c r="B548" s="572">
        <f>+'Balance N-1'!B548</f>
        <v>0</v>
      </c>
      <c r="C548" s="679" t="e">
        <f>ROUND('Balance N-1'!#REF!,2)</f>
        <v>#REF!</v>
      </c>
      <c r="D548" s="679" t="e">
        <f>ROUND('Balance N-1'!#REF!,2)</f>
        <v>#REF!</v>
      </c>
      <c r="E548" s="679">
        <f>ROUND('Balance N-1'!C548,2)</f>
        <v>0</v>
      </c>
      <c r="F548" s="679">
        <f>ROUND('Balance N-1'!D548,2)</f>
        <v>0</v>
      </c>
      <c r="G548" s="679">
        <f>ROUND('Balance N-1'!E548,2)</f>
        <v>0</v>
      </c>
      <c r="H548" s="679">
        <f>ROUND('Balance N-1'!F548,2)</f>
        <v>0</v>
      </c>
      <c r="I548" s="2" t="str">
        <f t="shared" si="11"/>
        <v>0</v>
      </c>
    </row>
    <row r="549" spans="1:9" x14ac:dyDescent="0.2">
      <c r="A549" s="910" t="str">
        <f>FIXED('Balance N-1'!A549,0,1)</f>
        <v>0</v>
      </c>
      <c r="B549" s="572">
        <f>+'Balance N-1'!B549</f>
        <v>0</v>
      </c>
      <c r="C549" s="679" t="e">
        <f>ROUND('Balance N-1'!#REF!,2)</f>
        <v>#REF!</v>
      </c>
      <c r="D549" s="679" t="e">
        <f>ROUND('Balance N-1'!#REF!,2)</f>
        <v>#REF!</v>
      </c>
      <c r="E549" s="679">
        <f>ROUND('Balance N-1'!C549,2)</f>
        <v>0</v>
      </c>
      <c r="F549" s="679">
        <f>ROUND('Balance N-1'!D549,2)</f>
        <v>0</v>
      </c>
      <c r="G549" s="679">
        <f>ROUND('Balance N-1'!E549,2)</f>
        <v>0</v>
      </c>
      <c r="H549" s="679">
        <f>ROUND('Balance N-1'!F549,2)</f>
        <v>0</v>
      </c>
      <c r="I549" s="2" t="str">
        <f t="shared" si="11"/>
        <v>0</v>
      </c>
    </row>
    <row r="550" spans="1:9" x14ac:dyDescent="0.2">
      <c r="A550" s="910" t="str">
        <f>FIXED('Balance N-1'!A550,0,1)</f>
        <v>0</v>
      </c>
      <c r="B550" s="572">
        <f>+'Balance N-1'!B550</f>
        <v>0</v>
      </c>
      <c r="C550" s="679" t="e">
        <f>ROUND('Balance N-1'!#REF!,2)</f>
        <v>#REF!</v>
      </c>
      <c r="D550" s="679" t="e">
        <f>ROUND('Balance N-1'!#REF!,2)</f>
        <v>#REF!</v>
      </c>
      <c r="E550" s="679">
        <f>ROUND('Balance N-1'!C550,2)</f>
        <v>0</v>
      </c>
      <c r="F550" s="679">
        <f>ROUND('Balance N-1'!D550,2)</f>
        <v>0</v>
      </c>
      <c r="G550" s="679">
        <f>ROUND('Balance N-1'!E550,2)</f>
        <v>0</v>
      </c>
      <c r="H550" s="679">
        <f>ROUND('Balance N-1'!F550,2)</f>
        <v>0</v>
      </c>
      <c r="I550" s="2" t="str">
        <f t="shared" si="11"/>
        <v>0</v>
      </c>
    </row>
    <row r="551" spans="1:9" x14ac:dyDescent="0.2">
      <c r="A551" s="910" t="str">
        <f>FIXED('Balance N-1'!A551,0,1)</f>
        <v>0</v>
      </c>
      <c r="B551" s="572">
        <f>+'Balance N-1'!B551</f>
        <v>0</v>
      </c>
      <c r="C551" s="679" t="e">
        <f>ROUND('Balance N-1'!#REF!,2)</f>
        <v>#REF!</v>
      </c>
      <c r="D551" s="679" t="e">
        <f>ROUND('Balance N-1'!#REF!,2)</f>
        <v>#REF!</v>
      </c>
      <c r="E551" s="679">
        <f>ROUND('Balance N-1'!C551,2)</f>
        <v>0</v>
      </c>
      <c r="F551" s="679">
        <f>ROUND('Balance N-1'!D551,2)</f>
        <v>0</v>
      </c>
      <c r="G551" s="679">
        <f>ROUND('Balance N-1'!E551,2)</f>
        <v>0</v>
      </c>
      <c r="H551" s="679">
        <f>ROUND('Balance N-1'!F551,2)</f>
        <v>0</v>
      </c>
      <c r="I551" s="2" t="str">
        <f t="shared" si="11"/>
        <v>0</v>
      </c>
    </row>
    <row r="552" spans="1:9" x14ac:dyDescent="0.2">
      <c r="A552" s="910" t="str">
        <f>FIXED('Balance N-1'!A552,0,1)</f>
        <v>0</v>
      </c>
      <c r="B552" s="572">
        <f>+'Balance N-1'!B552</f>
        <v>0</v>
      </c>
      <c r="C552" s="679" t="e">
        <f>ROUND('Balance N-1'!#REF!,2)</f>
        <v>#REF!</v>
      </c>
      <c r="D552" s="679" t="e">
        <f>ROUND('Balance N-1'!#REF!,2)</f>
        <v>#REF!</v>
      </c>
      <c r="E552" s="679">
        <f>ROUND('Balance N-1'!C552,2)</f>
        <v>0</v>
      </c>
      <c r="F552" s="679">
        <f>ROUND('Balance N-1'!D552,2)</f>
        <v>0</v>
      </c>
      <c r="G552" s="679">
        <f>ROUND('Balance N-1'!E552,2)</f>
        <v>0</v>
      </c>
      <c r="H552" s="679">
        <f>ROUND('Balance N-1'!F552,2)</f>
        <v>0</v>
      </c>
      <c r="I552" s="2" t="str">
        <f t="shared" si="11"/>
        <v>0</v>
      </c>
    </row>
    <row r="553" spans="1:9" x14ac:dyDescent="0.2">
      <c r="A553" s="910" t="str">
        <f>FIXED('Balance N-1'!A553,0,1)</f>
        <v>0</v>
      </c>
      <c r="B553" s="572">
        <f>+'Balance N-1'!B553</f>
        <v>0</v>
      </c>
      <c r="C553" s="679" t="e">
        <f>ROUND('Balance N-1'!#REF!,2)</f>
        <v>#REF!</v>
      </c>
      <c r="D553" s="679" t="e">
        <f>ROUND('Balance N-1'!#REF!,2)</f>
        <v>#REF!</v>
      </c>
      <c r="E553" s="679">
        <f>ROUND('Balance N-1'!C553,2)</f>
        <v>0</v>
      </c>
      <c r="F553" s="679">
        <f>ROUND('Balance N-1'!D553,2)</f>
        <v>0</v>
      </c>
      <c r="G553" s="679">
        <f>ROUND('Balance N-1'!E553,2)</f>
        <v>0</v>
      </c>
      <c r="H553" s="679">
        <f>ROUND('Balance N-1'!F553,2)</f>
        <v>0</v>
      </c>
      <c r="I553" s="2" t="str">
        <f t="shared" si="11"/>
        <v>0</v>
      </c>
    </row>
    <row r="554" spans="1:9" x14ac:dyDescent="0.2">
      <c r="A554" s="910" t="str">
        <f>FIXED('Balance N-1'!A554,0,1)</f>
        <v>0</v>
      </c>
      <c r="B554" s="572">
        <f>+'Balance N-1'!B554</f>
        <v>0</v>
      </c>
      <c r="C554" s="679" t="e">
        <f>ROUND('Balance N-1'!#REF!,2)</f>
        <v>#REF!</v>
      </c>
      <c r="D554" s="679" t="e">
        <f>ROUND('Balance N-1'!#REF!,2)</f>
        <v>#REF!</v>
      </c>
      <c r="E554" s="679">
        <f>ROUND('Balance N-1'!C554,2)</f>
        <v>0</v>
      </c>
      <c r="F554" s="679">
        <f>ROUND('Balance N-1'!D554,2)</f>
        <v>0</v>
      </c>
      <c r="G554" s="679">
        <f>ROUND('Balance N-1'!E554,2)</f>
        <v>0</v>
      </c>
      <c r="H554" s="679">
        <f>ROUND('Balance N-1'!F554,2)</f>
        <v>0</v>
      </c>
      <c r="I554" s="2" t="str">
        <f t="shared" si="11"/>
        <v>0</v>
      </c>
    </row>
    <row r="555" spans="1:9" x14ac:dyDescent="0.2">
      <c r="A555" s="910" t="str">
        <f>FIXED('Balance N-1'!A555,0,1)</f>
        <v>0</v>
      </c>
      <c r="B555" s="572">
        <f>+'Balance N-1'!B555</f>
        <v>0</v>
      </c>
      <c r="C555" s="679" t="e">
        <f>ROUND('Balance N-1'!#REF!,2)</f>
        <v>#REF!</v>
      </c>
      <c r="D555" s="679" t="e">
        <f>ROUND('Balance N-1'!#REF!,2)</f>
        <v>#REF!</v>
      </c>
      <c r="E555" s="679">
        <f>ROUND('Balance N-1'!C555,2)</f>
        <v>0</v>
      </c>
      <c r="F555" s="679">
        <f>ROUND('Balance N-1'!D555,2)</f>
        <v>0</v>
      </c>
      <c r="G555" s="679">
        <f>ROUND('Balance N-1'!E555,2)</f>
        <v>0</v>
      </c>
      <c r="H555" s="679">
        <f>ROUND('Balance N-1'!F555,2)</f>
        <v>0</v>
      </c>
      <c r="I555" s="2" t="str">
        <f t="shared" si="11"/>
        <v>0</v>
      </c>
    </row>
    <row r="556" spans="1:9" x14ac:dyDescent="0.2">
      <c r="A556" s="910" t="str">
        <f>FIXED('Balance N-1'!A556,0,1)</f>
        <v>0</v>
      </c>
      <c r="B556" s="572">
        <f>+'Balance N-1'!B556</f>
        <v>0</v>
      </c>
      <c r="C556" s="679" t="e">
        <f>ROUND('Balance N-1'!#REF!,2)</f>
        <v>#REF!</v>
      </c>
      <c r="D556" s="679" t="e">
        <f>ROUND('Balance N-1'!#REF!,2)</f>
        <v>#REF!</v>
      </c>
      <c r="E556" s="679">
        <f>ROUND('Balance N-1'!C556,2)</f>
        <v>0</v>
      </c>
      <c r="F556" s="679">
        <f>ROUND('Balance N-1'!D556,2)</f>
        <v>0</v>
      </c>
      <c r="G556" s="679">
        <f>ROUND('Balance N-1'!E556,2)</f>
        <v>0</v>
      </c>
      <c r="H556" s="679">
        <f>ROUND('Balance N-1'!F556,2)</f>
        <v>0</v>
      </c>
      <c r="I556" s="2" t="str">
        <f t="shared" si="11"/>
        <v>0</v>
      </c>
    </row>
    <row r="557" spans="1:9" x14ac:dyDescent="0.2">
      <c r="A557" s="910" t="str">
        <f>FIXED('Balance N-1'!A557,0,1)</f>
        <v>0</v>
      </c>
      <c r="B557" s="572">
        <f>+'Balance N-1'!B557</f>
        <v>0</v>
      </c>
      <c r="C557" s="679" t="e">
        <f>ROUND('Balance N-1'!#REF!,2)</f>
        <v>#REF!</v>
      </c>
      <c r="D557" s="679" t="e">
        <f>ROUND('Balance N-1'!#REF!,2)</f>
        <v>#REF!</v>
      </c>
      <c r="E557" s="679">
        <f>ROUND('Balance N-1'!C557,2)</f>
        <v>0</v>
      </c>
      <c r="F557" s="679">
        <f>ROUND('Balance N-1'!D557,2)</f>
        <v>0</v>
      </c>
      <c r="G557" s="679">
        <f>ROUND('Balance N-1'!E557,2)</f>
        <v>0</v>
      </c>
      <c r="H557" s="679">
        <f>ROUND('Balance N-1'!F557,2)</f>
        <v>0</v>
      </c>
      <c r="I557" s="2" t="str">
        <f t="shared" si="11"/>
        <v>0</v>
      </c>
    </row>
    <row r="558" spans="1:9" x14ac:dyDescent="0.2">
      <c r="A558" s="910" t="str">
        <f>FIXED('Balance N-1'!A558,0,1)</f>
        <v>0</v>
      </c>
      <c r="B558" s="572">
        <f>+'Balance N-1'!B558</f>
        <v>0</v>
      </c>
      <c r="C558" s="679" t="e">
        <f>ROUND('Balance N-1'!#REF!,2)</f>
        <v>#REF!</v>
      </c>
      <c r="D558" s="679" t="e">
        <f>ROUND('Balance N-1'!#REF!,2)</f>
        <v>#REF!</v>
      </c>
      <c r="E558" s="679">
        <f>ROUND('Balance N-1'!C558,2)</f>
        <v>0</v>
      </c>
      <c r="F558" s="679">
        <f>ROUND('Balance N-1'!D558,2)</f>
        <v>0</v>
      </c>
      <c r="G558" s="679">
        <f>ROUND('Balance N-1'!E558,2)</f>
        <v>0</v>
      </c>
      <c r="H558" s="679">
        <f>ROUND('Balance N-1'!F558,2)</f>
        <v>0</v>
      </c>
      <c r="I558" s="2" t="str">
        <f t="shared" si="11"/>
        <v>0</v>
      </c>
    </row>
    <row r="559" spans="1:9" x14ac:dyDescent="0.2">
      <c r="A559" s="910" t="str">
        <f>FIXED('Balance N-1'!A559,0,1)</f>
        <v>0</v>
      </c>
      <c r="B559" s="572">
        <f>+'Balance N-1'!B559</f>
        <v>0</v>
      </c>
      <c r="C559" s="679" t="e">
        <f>ROUND('Balance N-1'!#REF!,2)</f>
        <v>#REF!</v>
      </c>
      <c r="D559" s="679" t="e">
        <f>ROUND('Balance N-1'!#REF!,2)</f>
        <v>#REF!</v>
      </c>
      <c r="E559" s="679">
        <f>ROUND('Balance N-1'!C559,2)</f>
        <v>0</v>
      </c>
      <c r="F559" s="679">
        <f>ROUND('Balance N-1'!D559,2)</f>
        <v>0</v>
      </c>
      <c r="G559" s="679">
        <f>ROUND('Balance N-1'!E559,2)</f>
        <v>0</v>
      </c>
      <c r="H559" s="679">
        <f>ROUND('Balance N-1'!F559,2)</f>
        <v>0</v>
      </c>
      <c r="I559" s="2" t="str">
        <f t="shared" si="11"/>
        <v>0</v>
      </c>
    </row>
    <row r="560" spans="1:9" x14ac:dyDescent="0.2">
      <c r="A560" s="910" t="str">
        <f>FIXED('Balance N-1'!A560,0,1)</f>
        <v>0</v>
      </c>
      <c r="B560" s="572">
        <f>+'Balance N-1'!B560</f>
        <v>0</v>
      </c>
      <c r="C560" s="679" t="e">
        <f>ROUND('Balance N-1'!#REF!,2)</f>
        <v>#REF!</v>
      </c>
      <c r="D560" s="679" t="e">
        <f>ROUND('Balance N-1'!#REF!,2)</f>
        <v>#REF!</v>
      </c>
      <c r="E560" s="679">
        <f>ROUND('Balance N-1'!C560,2)</f>
        <v>0</v>
      </c>
      <c r="F560" s="679">
        <f>ROUND('Balance N-1'!D560,2)</f>
        <v>0</v>
      </c>
      <c r="G560" s="679">
        <f>ROUND('Balance N-1'!E560,2)</f>
        <v>0</v>
      </c>
      <c r="H560" s="679">
        <f>ROUND('Balance N-1'!F560,2)</f>
        <v>0</v>
      </c>
      <c r="I560" s="2" t="str">
        <f t="shared" si="11"/>
        <v>0</v>
      </c>
    </row>
    <row r="561" spans="1:9" x14ac:dyDescent="0.2">
      <c r="A561" s="910" t="str">
        <f>FIXED('Balance N-1'!A561,0,1)</f>
        <v>0</v>
      </c>
      <c r="B561" s="572">
        <f>+'Balance N-1'!B561</f>
        <v>0</v>
      </c>
      <c r="C561" s="679" t="e">
        <f>ROUND('Balance N-1'!#REF!,2)</f>
        <v>#REF!</v>
      </c>
      <c r="D561" s="679" t="e">
        <f>ROUND('Balance N-1'!#REF!,2)</f>
        <v>#REF!</v>
      </c>
      <c r="E561" s="679">
        <f>ROUND('Balance N-1'!C561,2)</f>
        <v>0</v>
      </c>
      <c r="F561" s="679">
        <f>ROUND('Balance N-1'!D561,2)</f>
        <v>0</v>
      </c>
      <c r="G561" s="679">
        <f>ROUND('Balance N-1'!E561,2)</f>
        <v>0</v>
      </c>
      <c r="H561" s="679">
        <f>ROUND('Balance N-1'!F561,2)</f>
        <v>0</v>
      </c>
      <c r="I561" s="2" t="str">
        <f t="shared" si="11"/>
        <v>0</v>
      </c>
    </row>
    <row r="562" spans="1:9" x14ac:dyDescent="0.2">
      <c r="A562" s="910" t="str">
        <f>FIXED('Balance N-1'!A562,0,1)</f>
        <v>0</v>
      </c>
      <c r="B562" s="572">
        <f>+'Balance N-1'!B562</f>
        <v>0</v>
      </c>
      <c r="C562" s="679" t="e">
        <f>ROUND('Balance N-1'!#REF!,2)</f>
        <v>#REF!</v>
      </c>
      <c r="D562" s="679" t="e">
        <f>ROUND('Balance N-1'!#REF!,2)</f>
        <v>#REF!</v>
      </c>
      <c r="E562" s="679">
        <f>ROUND('Balance N-1'!C562,2)</f>
        <v>0</v>
      </c>
      <c r="F562" s="679">
        <f>ROUND('Balance N-1'!D562,2)</f>
        <v>0</v>
      </c>
      <c r="G562" s="679">
        <f>ROUND('Balance N-1'!E562,2)</f>
        <v>0</v>
      </c>
      <c r="H562" s="679">
        <f>ROUND('Balance N-1'!F562,2)</f>
        <v>0</v>
      </c>
      <c r="I562" s="2" t="str">
        <f t="shared" si="11"/>
        <v>0</v>
      </c>
    </row>
    <row r="563" spans="1:9" x14ac:dyDescent="0.2">
      <c r="A563" s="910" t="str">
        <f>FIXED('Balance N-1'!A563,0,1)</f>
        <v>0</v>
      </c>
      <c r="B563" s="572">
        <f>+'Balance N-1'!B563</f>
        <v>0</v>
      </c>
      <c r="C563" s="679" t="e">
        <f>ROUND('Balance N-1'!#REF!,2)</f>
        <v>#REF!</v>
      </c>
      <c r="D563" s="679" t="e">
        <f>ROUND('Balance N-1'!#REF!,2)</f>
        <v>#REF!</v>
      </c>
      <c r="E563" s="679">
        <f>ROUND('Balance N-1'!C563,2)</f>
        <v>0</v>
      </c>
      <c r="F563" s="679">
        <f>ROUND('Balance N-1'!D563,2)</f>
        <v>0</v>
      </c>
      <c r="G563" s="679">
        <f>ROUND('Balance N-1'!E563,2)</f>
        <v>0</v>
      </c>
      <c r="H563" s="679">
        <f>ROUND('Balance N-1'!F563,2)</f>
        <v>0</v>
      </c>
      <c r="I563" s="2" t="str">
        <f t="shared" si="11"/>
        <v>0</v>
      </c>
    </row>
    <row r="564" spans="1:9" x14ac:dyDescent="0.2">
      <c r="A564" s="910" t="str">
        <f>FIXED('Balance N-1'!A564,0,1)</f>
        <v>0</v>
      </c>
      <c r="B564" s="572">
        <f>+'Balance N-1'!B564</f>
        <v>0</v>
      </c>
      <c r="C564" s="679" t="e">
        <f>ROUND('Balance N-1'!#REF!,2)</f>
        <v>#REF!</v>
      </c>
      <c r="D564" s="679" t="e">
        <f>ROUND('Balance N-1'!#REF!,2)</f>
        <v>#REF!</v>
      </c>
      <c r="E564" s="679">
        <f>ROUND('Balance N-1'!C564,2)</f>
        <v>0</v>
      </c>
      <c r="F564" s="679">
        <f>ROUND('Balance N-1'!D564,2)</f>
        <v>0</v>
      </c>
      <c r="G564" s="679">
        <f>ROUND('Balance N-1'!E564,2)</f>
        <v>0</v>
      </c>
      <c r="H564" s="679">
        <f>ROUND('Balance N-1'!F564,2)</f>
        <v>0</v>
      </c>
      <c r="I564" s="2" t="str">
        <f t="shared" si="11"/>
        <v>0</v>
      </c>
    </row>
    <row r="565" spans="1:9" x14ac:dyDescent="0.2">
      <c r="A565" s="910" t="str">
        <f>FIXED('Balance N-1'!A565,0,1)</f>
        <v>0</v>
      </c>
      <c r="B565" s="572">
        <f>+'Balance N-1'!B565</f>
        <v>0</v>
      </c>
      <c r="C565" s="679" t="e">
        <f>ROUND('Balance N-1'!#REF!,2)</f>
        <v>#REF!</v>
      </c>
      <c r="D565" s="679" t="e">
        <f>ROUND('Balance N-1'!#REF!,2)</f>
        <v>#REF!</v>
      </c>
      <c r="E565" s="679">
        <f>ROUND('Balance N-1'!C565,2)</f>
        <v>0</v>
      </c>
      <c r="F565" s="679">
        <f>ROUND('Balance N-1'!D565,2)</f>
        <v>0</v>
      </c>
      <c r="G565" s="679">
        <f>ROUND('Balance N-1'!E565,2)</f>
        <v>0</v>
      </c>
      <c r="H565" s="679">
        <f>ROUND('Balance N-1'!F565,2)</f>
        <v>0</v>
      </c>
      <c r="I565" s="2" t="str">
        <f t="shared" si="11"/>
        <v>0</v>
      </c>
    </row>
    <row r="566" spans="1:9" x14ac:dyDescent="0.2">
      <c r="A566" s="910" t="str">
        <f>FIXED('Balance N-1'!A566,0,1)</f>
        <v>0</v>
      </c>
      <c r="B566" s="572">
        <f>+'Balance N-1'!B566</f>
        <v>0</v>
      </c>
      <c r="C566" s="679" t="e">
        <f>ROUND('Balance N-1'!#REF!,2)</f>
        <v>#REF!</v>
      </c>
      <c r="D566" s="679" t="e">
        <f>ROUND('Balance N-1'!#REF!,2)</f>
        <v>#REF!</v>
      </c>
      <c r="E566" s="679">
        <f>ROUND('Balance N-1'!C566,2)</f>
        <v>0</v>
      </c>
      <c r="F566" s="679">
        <f>ROUND('Balance N-1'!D566,2)</f>
        <v>0</v>
      </c>
      <c r="G566" s="679">
        <f>ROUND('Balance N-1'!E566,2)</f>
        <v>0</v>
      </c>
      <c r="H566" s="679">
        <f>ROUND('Balance N-1'!F566,2)</f>
        <v>0</v>
      </c>
      <c r="I566" s="2" t="str">
        <f t="shared" si="11"/>
        <v>0</v>
      </c>
    </row>
    <row r="567" spans="1:9" x14ac:dyDescent="0.2">
      <c r="A567" s="910" t="str">
        <f>FIXED('Balance N-1'!A567,0,1)</f>
        <v>0</v>
      </c>
      <c r="B567" s="572">
        <f>+'Balance N-1'!B567</f>
        <v>0</v>
      </c>
      <c r="C567" s="679" t="e">
        <f>ROUND('Balance N-1'!#REF!,2)</f>
        <v>#REF!</v>
      </c>
      <c r="D567" s="679" t="e">
        <f>ROUND('Balance N-1'!#REF!,2)</f>
        <v>#REF!</v>
      </c>
      <c r="E567" s="679">
        <f>ROUND('Balance N-1'!C567,2)</f>
        <v>0</v>
      </c>
      <c r="F567" s="679">
        <f>ROUND('Balance N-1'!D567,2)</f>
        <v>0</v>
      </c>
      <c r="G567" s="679">
        <f>ROUND('Balance N-1'!E567,2)</f>
        <v>0</v>
      </c>
      <c r="H567" s="679">
        <f>ROUND('Balance N-1'!F567,2)</f>
        <v>0</v>
      </c>
      <c r="I567" s="2" t="str">
        <f t="shared" si="11"/>
        <v>0</v>
      </c>
    </row>
    <row r="568" spans="1:9" x14ac:dyDescent="0.2">
      <c r="A568" s="910" t="str">
        <f>FIXED('Balance N-1'!A568,0,1)</f>
        <v>0</v>
      </c>
      <c r="B568" s="572">
        <f>+'Balance N-1'!B568</f>
        <v>0</v>
      </c>
      <c r="C568" s="679" t="e">
        <f>ROUND('Balance N-1'!#REF!,2)</f>
        <v>#REF!</v>
      </c>
      <c r="D568" s="679" t="e">
        <f>ROUND('Balance N-1'!#REF!,2)</f>
        <v>#REF!</v>
      </c>
      <c r="E568" s="679">
        <f>ROUND('Balance N-1'!C568,2)</f>
        <v>0</v>
      </c>
      <c r="F568" s="679">
        <f>ROUND('Balance N-1'!D568,2)</f>
        <v>0</v>
      </c>
      <c r="G568" s="679">
        <f>ROUND('Balance N-1'!E568,2)</f>
        <v>0</v>
      </c>
      <c r="H568" s="679">
        <f>ROUND('Balance N-1'!F568,2)</f>
        <v>0</v>
      </c>
      <c r="I568" s="2" t="str">
        <f t="shared" si="11"/>
        <v>0</v>
      </c>
    </row>
    <row r="569" spans="1:9" x14ac:dyDescent="0.2">
      <c r="A569" s="910" t="str">
        <f>FIXED('Balance N-1'!A569,0,1)</f>
        <v>0</v>
      </c>
      <c r="B569" s="572">
        <f>+'Balance N-1'!B569</f>
        <v>0</v>
      </c>
      <c r="C569" s="679" t="e">
        <f>ROUND('Balance N-1'!#REF!,2)</f>
        <v>#REF!</v>
      </c>
      <c r="D569" s="679" t="e">
        <f>ROUND('Balance N-1'!#REF!,2)</f>
        <v>#REF!</v>
      </c>
      <c r="E569" s="679">
        <f>ROUND('Balance N-1'!C569,2)</f>
        <v>0</v>
      </c>
      <c r="F569" s="679">
        <f>ROUND('Balance N-1'!D569,2)</f>
        <v>0</v>
      </c>
      <c r="G569" s="679">
        <f>ROUND('Balance N-1'!E569,2)</f>
        <v>0</v>
      </c>
      <c r="H569" s="679">
        <f>ROUND('Balance N-1'!F569,2)</f>
        <v>0</v>
      </c>
      <c r="I569" s="2" t="str">
        <f t="shared" si="11"/>
        <v>0</v>
      </c>
    </row>
    <row r="570" spans="1:9" x14ac:dyDescent="0.2">
      <c r="A570" s="910" t="str">
        <f>FIXED('Balance N-1'!A570,0,1)</f>
        <v>0</v>
      </c>
      <c r="B570" s="572">
        <f>+'Balance N-1'!B570</f>
        <v>0</v>
      </c>
      <c r="C570" s="679" t="e">
        <f>ROUND('Balance N-1'!#REF!,2)</f>
        <v>#REF!</v>
      </c>
      <c r="D570" s="679" t="e">
        <f>ROUND('Balance N-1'!#REF!,2)</f>
        <v>#REF!</v>
      </c>
      <c r="E570" s="679">
        <f>ROUND('Balance N-1'!C570,2)</f>
        <v>0</v>
      </c>
      <c r="F570" s="679">
        <f>ROUND('Balance N-1'!D570,2)</f>
        <v>0</v>
      </c>
      <c r="G570" s="679">
        <f>ROUND('Balance N-1'!E570,2)</f>
        <v>0</v>
      </c>
      <c r="H570" s="679">
        <f>ROUND('Balance N-1'!F570,2)</f>
        <v>0</v>
      </c>
      <c r="I570" s="2" t="str">
        <f t="shared" si="11"/>
        <v>0</v>
      </c>
    </row>
    <row r="571" spans="1:9" x14ac:dyDescent="0.2">
      <c r="A571" s="910" t="str">
        <f>FIXED('Balance N-1'!A571,0,1)</f>
        <v>0</v>
      </c>
      <c r="B571" s="572">
        <f>+'Balance N-1'!B571</f>
        <v>0</v>
      </c>
      <c r="C571" s="679" t="e">
        <f>ROUND('Balance N-1'!#REF!,2)</f>
        <v>#REF!</v>
      </c>
      <c r="D571" s="679" t="e">
        <f>ROUND('Balance N-1'!#REF!,2)</f>
        <v>#REF!</v>
      </c>
      <c r="E571" s="679">
        <f>ROUND('Balance N-1'!C571,2)</f>
        <v>0</v>
      </c>
      <c r="F571" s="679">
        <f>ROUND('Balance N-1'!D571,2)</f>
        <v>0</v>
      </c>
      <c r="G571" s="679">
        <f>ROUND('Balance N-1'!E571,2)</f>
        <v>0</v>
      </c>
      <c r="H571" s="679">
        <f>ROUND('Balance N-1'!F571,2)</f>
        <v>0</v>
      </c>
      <c r="I571" s="2" t="str">
        <f t="shared" si="11"/>
        <v>0</v>
      </c>
    </row>
    <row r="572" spans="1:9" x14ac:dyDescent="0.2">
      <c r="A572" s="910" t="str">
        <f>FIXED('Balance N-1'!A572,0,1)</f>
        <v>0</v>
      </c>
      <c r="B572" s="572">
        <f>+'Balance N-1'!B572</f>
        <v>0</v>
      </c>
      <c r="C572" s="679" t="e">
        <f>ROUND('Balance N-1'!#REF!,2)</f>
        <v>#REF!</v>
      </c>
      <c r="D572" s="679" t="e">
        <f>ROUND('Balance N-1'!#REF!,2)</f>
        <v>#REF!</v>
      </c>
      <c r="E572" s="679">
        <f>ROUND('Balance N-1'!C572,2)</f>
        <v>0</v>
      </c>
      <c r="F572" s="679">
        <f>ROUND('Balance N-1'!D572,2)</f>
        <v>0</v>
      </c>
      <c r="G572" s="679">
        <f>ROUND('Balance N-1'!E572,2)</f>
        <v>0</v>
      </c>
      <c r="H572" s="679">
        <f>ROUND('Balance N-1'!F572,2)</f>
        <v>0</v>
      </c>
      <c r="I572" s="2" t="str">
        <f t="shared" si="11"/>
        <v>0</v>
      </c>
    </row>
    <row r="573" spans="1:9" x14ac:dyDescent="0.2">
      <c r="A573" s="910" t="str">
        <f>FIXED('Balance N-1'!A573,0,1)</f>
        <v>0</v>
      </c>
      <c r="B573" s="572">
        <f>+'Balance N-1'!B573</f>
        <v>0</v>
      </c>
      <c r="C573" s="679" t="e">
        <f>ROUND('Balance N-1'!#REF!,2)</f>
        <v>#REF!</v>
      </c>
      <c r="D573" s="679" t="e">
        <f>ROUND('Balance N-1'!#REF!,2)</f>
        <v>#REF!</v>
      </c>
      <c r="E573" s="679">
        <f>ROUND('Balance N-1'!C573,2)</f>
        <v>0</v>
      </c>
      <c r="F573" s="679">
        <f>ROUND('Balance N-1'!D573,2)</f>
        <v>0</v>
      </c>
      <c r="G573" s="679">
        <f>ROUND('Balance N-1'!E573,2)</f>
        <v>0</v>
      </c>
      <c r="H573" s="679">
        <f>ROUND('Balance N-1'!F573,2)</f>
        <v>0</v>
      </c>
      <c r="I573" s="2" t="str">
        <f t="shared" si="11"/>
        <v>0</v>
      </c>
    </row>
    <row r="574" spans="1:9" x14ac:dyDescent="0.2">
      <c r="A574" s="910" t="str">
        <f>FIXED('Balance N-1'!A574,0,1)</f>
        <v>0</v>
      </c>
      <c r="B574" s="572">
        <f>+'Balance N-1'!B574</f>
        <v>0</v>
      </c>
      <c r="C574" s="679" t="e">
        <f>ROUND('Balance N-1'!#REF!,2)</f>
        <v>#REF!</v>
      </c>
      <c r="D574" s="679" t="e">
        <f>ROUND('Balance N-1'!#REF!,2)</f>
        <v>#REF!</v>
      </c>
      <c r="E574" s="679">
        <f>ROUND('Balance N-1'!C574,2)</f>
        <v>0</v>
      </c>
      <c r="F574" s="679">
        <f>ROUND('Balance N-1'!D574,2)</f>
        <v>0</v>
      </c>
      <c r="G574" s="679">
        <f>ROUND('Balance N-1'!E574,2)</f>
        <v>0</v>
      </c>
      <c r="H574" s="679">
        <f>ROUND('Balance N-1'!F574,2)</f>
        <v>0</v>
      </c>
      <c r="I574" s="2" t="str">
        <f t="shared" si="11"/>
        <v>0</v>
      </c>
    </row>
    <row r="575" spans="1:9" x14ac:dyDescent="0.2">
      <c r="A575" s="910" t="str">
        <f>FIXED('Balance N-1'!A575,0,1)</f>
        <v>0</v>
      </c>
      <c r="B575" s="572">
        <f>+'Balance N-1'!B575</f>
        <v>0</v>
      </c>
      <c r="C575" s="679" t="e">
        <f>ROUND('Balance N-1'!#REF!,2)</f>
        <v>#REF!</v>
      </c>
      <c r="D575" s="679" t="e">
        <f>ROUND('Balance N-1'!#REF!,2)</f>
        <v>#REF!</v>
      </c>
      <c r="E575" s="679">
        <f>ROUND('Balance N-1'!C575,2)</f>
        <v>0</v>
      </c>
      <c r="F575" s="679">
        <f>ROUND('Balance N-1'!D575,2)</f>
        <v>0</v>
      </c>
      <c r="G575" s="679">
        <f>ROUND('Balance N-1'!E575,2)</f>
        <v>0</v>
      </c>
      <c r="H575" s="679">
        <f>ROUND('Balance N-1'!F575,2)</f>
        <v>0</v>
      </c>
      <c r="I575" s="2" t="str">
        <f t="shared" si="11"/>
        <v>0</v>
      </c>
    </row>
    <row r="576" spans="1:9" x14ac:dyDescent="0.2">
      <c r="A576" s="910" t="str">
        <f>FIXED('Balance N-1'!A576,0,1)</f>
        <v>0</v>
      </c>
      <c r="B576" s="572">
        <f>+'Balance N-1'!B576</f>
        <v>0</v>
      </c>
      <c r="C576" s="679" t="e">
        <f>ROUND('Balance N-1'!#REF!,2)</f>
        <v>#REF!</v>
      </c>
      <c r="D576" s="679" t="e">
        <f>ROUND('Balance N-1'!#REF!,2)</f>
        <v>#REF!</v>
      </c>
      <c r="E576" s="679">
        <f>ROUND('Balance N-1'!C576,2)</f>
        <v>0</v>
      </c>
      <c r="F576" s="679">
        <f>ROUND('Balance N-1'!D576,2)</f>
        <v>0</v>
      </c>
      <c r="G576" s="679">
        <f>ROUND('Balance N-1'!E576,2)</f>
        <v>0</v>
      </c>
      <c r="H576" s="679">
        <f>ROUND('Balance N-1'!F576,2)</f>
        <v>0</v>
      </c>
      <c r="I576" s="2" t="str">
        <f t="shared" si="11"/>
        <v>0</v>
      </c>
    </row>
    <row r="577" spans="1:9" x14ac:dyDescent="0.2">
      <c r="A577" s="910" t="str">
        <f>FIXED('Balance N-1'!A577,0,1)</f>
        <v>0</v>
      </c>
      <c r="B577" s="572">
        <f>+'Balance N-1'!B577</f>
        <v>0</v>
      </c>
      <c r="C577" s="679" t="e">
        <f>ROUND('Balance N-1'!#REF!,2)</f>
        <v>#REF!</v>
      </c>
      <c r="D577" s="679" t="e">
        <f>ROUND('Balance N-1'!#REF!,2)</f>
        <v>#REF!</v>
      </c>
      <c r="E577" s="679">
        <f>ROUND('Balance N-1'!C577,2)</f>
        <v>0</v>
      </c>
      <c r="F577" s="679">
        <f>ROUND('Balance N-1'!D577,2)</f>
        <v>0</v>
      </c>
      <c r="G577" s="679">
        <f>ROUND('Balance N-1'!E577,2)</f>
        <v>0</v>
      </c>
      <c r="H577" s="679">
        <f>ROUND('Balance N-1'!F577,2)</f>
        <v>0</v>
      </c>
      <c r="I577" s="2" t="str">
        <f t="shared" si="11"/>
        <v>0</v>
      </c>
    </row>
    <row r="578" spans="1:9" x14ac:dyDescent="0.2">
      <c r="A578" s="910" t="str">
        <f>FIXED('Balance N-1'!A578,0,1)</f>
        <v>0</v>
      </c>
      <c r="B578" s="572">
        <f>+'Balance N-1'!B578</f>
        <v>0</v>
      </c>
      <c r="C578" s="679" t="e">
        <f>ROUND('Balance N-1'!#REF!,2)</f>
        <v>#REF!</v>
      </c>
      <c r="D578" s="679" t="e">
        <f>ROUND('Balance N-1'!#REF!,2)</f>
        <v>#REF!</v>
      </c>
      <c r="E578" s="679">
        <f>ROUND('Balance N-1'!C578,2)</f>
        <v>0</v>
      </c>
      <c r="F578" s="679">
        <f>ROUND('Balance N-1'!D578,2)</f>
        <v>0</v>
      </c>
      <c r="G578" s="679">
        <f>ROUND('Balance N-1'!E578,2)</f>
        <v>0</v>
      </c>
      <c r="H578" s="679">
        <f>ROUND('Balance N-1'!F578,2)</f>
        <v>0</v>
      </c>
      <c r="I578" s="2" t="str">
        <f t="shared" si="11"/>
        <v>0</v>
      </c>
    </row>
    <row r="579" spans="1:9" x14ac:dyDescent="0.2">
      <c r="A579" s="910" t="str">
        <f>FIXED('Balance N-1'!A579,0,1)</f>
        <v>0</v>
      </c>
      <c r="B579" s="572">
        <f>+'Balance N-1'!B579</f>
        <v>0</v>
      </c>
      <c r="C579" s="679" t="e">
        <f>ROUND('Balance N-1'!#REF!,2)</f>
        <v>#REF!</v>
      </c>
      <c r="D579" s="679" t="e">
        <f>ROUND('Balance N-1'!#REF!,2)</f>
        <v>#REF!</v>
      </c>
      <c r="E579" s="679">
        <f>ROUND('Balance N-1'!C579,2)</f>
        <v>0</v>
      </c>
      <c r="F579" s="679">
        <f>ROUND('Balance N-1'!D579,2)</f>
        <v>0</v>
      </c>
      <c r="G579" s="679">
        <f>ROUND('Balance N-1'!E579,2)</f>
        <v>0</v>
      </c>
      <c r="H579" s="679">
        <f>ROUND('Balance N-1'!F579,2)</f>
        <v>0</v>
      </c>
      <c r="I579" s="2" t="str">
        <f t="shared" ref="I579:I599" si="12">MID(A579,1,1)</f>
        <v>0</v>
      </c>
    </row>
    <row r="580" spans="1:9" x14ac:dyDescent="0.2">
      <c r="A580" s="910" t="str">
        <f>FIXED('Balance N-1'!A580,0,1)</f>
        <v>0</v>
      </c>
      <c r="B580" s="572">
        <f>+'Balance N-1'!B580</f>
        <v>0</v>
      </c>
      <c r="C580" s="679" t="e">
        <f>ROUND('Balance N-1'!#REF!,2)</f>
        <v>#REF!</v>
      </c>
      <c r="D580" s="679" t="e">
        <f>ROUND('Balance N-1'!#REF!,2)</f>
        <v>#REF!</v>
      </c>
      <c r="E580" s="679">
        <f>ROUND('Balance N-1'!C580,2)</f>
        <v>0</v>
      </c>
      <c r="F580" s="679">
        <f>ROUND('Balance N-1'!D580,2)</f>
        <v>0</v>
      </c>
      <c r="G580" s="679">
        <f>ROUND('Balance N-1'!E580,2)</f>
        <v>0</v>
      </c>
      <c r="H580" s="679">
        <f>ROUND('Balance N-1'!F580,2)</f>
        <v>0</v>
      </c>
      <c r="I580" s="2" t="str">
        <f t="shared" si="12"/>
        <v>0</v>
      </c>
    </row>
    <row r="581" spans="1:9" x14ac:dyDescent="0.2">
      <c r="A581" s="910" t="str">
        <f>FIXED('Balance N-1'!A581,0,1)</f>
        <v>0</v>
      </c>
      <c r="B581" s="572">
        <f>+'Balance N-1'!B581</f>
        <v>0</v>
      </c>
      <c r="C581" s="679" t="e">
        <f>ROUND('Balance N-1'!#REF!,2)</f>
        <v>#REF!</v>
      </c>
      <c r="D581" s="679" t="e">
        <f>ROUND('Balance N-1'!#REF!,2)</f>
        <v>#REF!</v>
      </c>
      <c r="E581" s="679">
        <f>ROUND('Balance N-1'!C581,2)</f>
        <v>0</v>
      </c>
      <c r="F581" s="679">
        <f>ROUND('Balance N-1'!D581,2)</f>
        <v>0</v>
      </c>
      <c r="G581" s="679">
        <f>ROUND('Balance N-1'!E581,2)</f>
        <v>0</v>
      </c>
      <c r="H581" s="679">
        <f>ROUND('Balance N-1'!F581,2)</f>
        <v>0</v>
      </c>
      <c r="I581" s="2" t="str">
        <f t="shared" si="12"/>
        <v>0</v>
      </c>
    </row>
    <row r="582" spans="1:9" x14ac:dyDescent="0.2">
      <c r="A582" s="910" t="str">
        <f>FIXED('Balance N-1'!A582,0,1)</f>
        <v>0</v>
      </c>
      <c r="B582" s="572">
        <f>+'Balance N-1'!B582</f>
        <v>0</v>
      </c>
      <c r="C582" s="679" t="e">
        <f>ROUND('Balance N-1'!#REF!,2)</f>
        <v>#REF!</v>
      </c>
      <c r="D582" s="679" t="e">
        <f>ROUND('Balance N-1'!#REF!,2)</f>
        <v>#REF!</v>
      </c>
      <c r="E582" s="679">
        <f>ROUND('Balance N-1'!C582,2)</f>
        <v>0</v>
      </c>
      <c r="F582" s="679">
        <f>ROUND('Balance N-1'!D582,2)</f>
        <v>0</v>
      </c>
      <c r="G582" s="679">
        <f>ROUND('Balance N-1'!E582,2)</f>
        <v>0</v>
      </c>
      <c r="H582" s="679">
        <f>ROUND('Balance N-1'!F582,2)</f>
        <v>0</v>
      </c>
      <c r="I582" s="2" t="str">
        <f t="shared" si="12"/>
        <v>0</v>
      </c>
    </row>
    <row r="583" spans="1:9" x14ac:dyDescent="0.2">
      <c r="A583" s="910" t="str">
        <f>FIXED('Balance N-1'!A583,0,1)</f>
        <v>0</v>
      </c>
      <c r="B583" s="572">
        <f>+'Balance N-1'!B583</f>
        <v>0</v>
      </c>
      <c r="C583" s="679" t="e">
        <f>ROUND('Balance N-1'!#REF!,2)</f>
        <v>#REF!</v>
      </c>
      <c r="D583" s="679" t="e">
        <f>ROUND('Balance N-1'!#REF!,2)</f>
        <v>#REF!</v>
      </c>
      <c r="E583" s="679">
        <f>ROUND('Balance N-1'!C583,2)</f>
        <v>0</v>
      </c>
      <c r="F583" s="679">
        <f>ROUND('Balance N-1'!D583,2)</f>
        <v>0</v>
      </c>
      <c r="G583" s="679">
        <f>ROUND('Balance N-1'!E583,2)</f>
        <v>0</v>
      </c>
      <c r="H583" s="679">
        <f>ROUND('Balance N-1'!F583,2)</f>
        <v>0</v>
      </c>
      <c r="I583" s="2" t="str">
        <f t="shared" si="12"/>
        <v>0</v>
      </c>
    </row>
    <row r="584" spans="1:9" x14ac:dyDescent="0.2">
      <c r="A584" s="910" t="str">
        <f>FIXED('Balance N-1'!A584,0,1)</f>
        <v>0</v>
      </c>
      <c r="B584" s="572">
        <f>+'Balance N-1'!B584</f>
        <v>0</v>
      </c>
      <c r="C584" s="679" t="e">
        <f>ROUND('Balance N-1'!#REF!,2)</f>
        <v>#REF!</v>
      </c>
      <c r="D584" s="679" t="e">
        <f>ROUND('Balance N-1'!#REF!,2)</f>
        <v>#REF!</v>
      </c>
      <c r="E584" s="679">
        <f>ROUND('Balance N-1'!C584,2)</f>
        <v>0</v>
      </c>
      <c r="F584" s="679">
        <f>ROUND('Balance N-1'!D584,2)</f>
        <v>0</v>
      </c>
      <c r="G584" s="679">
        <f>ROUND('Balance N-1'!E584,2)</f>
        <v>0</v>
      </c>
      <c r="H584" s="679">
        <f>ROUND('Balance N-1'!F584,2)</f>
        <v>0</v>
      </c>
      <c r="I584" s="2" t="str">
        <f t="shared" si="12"/>
        <v>0</v>
      </c>
    </row>
    <row r="585" spans="1:9" x14ac:dyDescent="0.2">
      <c r="A585" s="910" t="str">
        <f>FIXED('Balance N-1'!A585,0,1)</f>
        <v>0</v>
      </c>
      <c r="B585" s="572">
        <f>+'Balance N-1'!B585</f>
        <v>0</v>
      </c>
      <c r="C585" s="679" t="e">
        <f>ROUND('Balance N-1'!#REF!,2)</f>
        <v>#REF!</v>
      </c>
      <c r="D585" s="679" t="e">
        <f>ROUND('Balance N-1'!#REF!,2)</f>
        <v>#REF!</v>
      </c>
      <c r="E585" s="679">
        <f>ROUND('Balance N-1'!C585,2)</f>
        <v>0</v>
      </c>
      <c r="F585" s="679">
        <f>ROUND('Balance N-1'!D585,2)</f>
        <v>0</v>
      </c>
      <c r="G585" s="679">
        <f>ROUND('Balance N-1'!E585,2)</f>
        <v>0</v>
      </c>
      <c r="H585" s="679">
        <f>ROUND('Balance N-1'!F585,2)</f>
        <v>0</v>
      </c>
      <c r="I585" s="2" t="str">
        <f t="shared" si="12"/>
        <v>0</v>
      </c>
    </row>
    <row r="586" spans="1:9" x14ac:dyDescent="0.2">
      <c r="A586" s="910" t="str">
        <f>FIXED('Balance N-1'!A586,0,1)</f>
        <v>0</v>
      </c>
      <c r="B586" s="572">
        <f>+'Balance N-1'!B586</f>
        <v>0</v>
      </c>
      <c r="C586" s="679" t="e">
        <f>ROUND('Balance N-1'!#REF!,2)</f>
        <v>#REF!</v>
      </c>
      <c r="D586" s="679" t="e">
        <f>ROUND('Balance N-1'!#REF!,2)</f>
        <v>#REF!</v>
      </c>
      <c r="E586" s="679">
        <f>ROUND('Balance N-1'!C586,2)</f>
        <v>0</v>
      </c>
      <c r="F586" s="679">
        <f>ROUND('Balance N-1'!D586,2)</f>
        <v>0</v>
      </c>
      <c r="G586" s="679">
        <f>ROUND('Balance N-1'!E586,2)</f>
        <v>0</v>
      </c>
      <c r="H586" s="679">
        <f>ROUND('Balance N-1'!F586,2)</f>
        <v>0</v>
      </c>
      <c r="I586" s="2" t="str">
        <f t="shared" si="12"/>
        <v>0</v>
      </c>
    </row>
    <row r="587" spans="1:9" x14ac:dyDescent="0.2">
      <c r="A587" s="910" t="str">
        <f>FIXED('Balance N-1'!A587,0,1)</f>
        <v>0</v>
      </c>
      <c r="B587" s="572">
        <f>+'Balance N-1'!B587</f>
        <v>0</v>
      </c>
      <c r="C587" s="679" t="e">
        <f>ROUND('Balance N-1'!#REF!,2)</f>
        <v>#REF!</v>
      </c>
      <c r="D587" s="679" t="e">
        <f>ROUND('Balance N-1'!#REF!,2)</f>
        <v>#REF!</v>
      </c>
      <c r="E587" s="679">
        <f>ROUND('Balance N-1'!C587,2)</f>
        <v>0</v>
      </c>
      <c r="F587" s="679">
        <f>ROUND('Balance N-1'!D587,2)</f>
        <v>0</v>
      </c>
      <c r="G587" s="679">
        <f>ROUND('Balance N-1'!E587,2)</f>
        <v>0</v>
      </c>
      <c r="H587" s="679">
        <f>ROUND('Balance N-1'!F587,2)</f>
        <v>0</v>
      </c>
      <c r="I587" s="2" t="str">
        <f t="shared" si="12"/>
        <v>0</v>
      </c>
    </row>
    <row r="588" spans="1:9" x14ac:dyDescent="0.2">
      <c r="A588" s="910" t="str">
        <f>FIXED('Balance N-1'!A588,0,1)</f>
        <v>0</v>
      </c>
      <c r="B588" s="572">
        <f>+'Balance N-1'!B588</f>
        <v>0</v>
      </c>
      <c r="C588" s="679" t="e">
        <f>ROUND('Balance N-1'!#REF!,2)</f>
        <v>#REF!</v>
      </c>
      <c r="D588" s="679" t="e">
        <f>ROUND('Balance N-1'!#REF!,2)</f>
        <v>#REF!</v>
      </c>
      <c r="E588" s="679">
        <f>ROUND('Balance N-1'!C588,2)</f>
        <v>0</v>
      </c>
      <c r="F588" s="679">
        <f>ROUND('Balance N-1'!D588,2)</f>
        <v>0</v>
      </c>
      <c r="G588" s="679">
        <f>ROUND('Balance N-1'!E588,2)</f>
        <v>0</v>
      </c>
      <c r="H588" s="679">
        <f>ROUND('Balance N-1'!F588,2)</f>
        <v>0</v>
      </c>
      <c r="I588" s="2" t="str">
        <f t="shared" si="12"/>
        <v>0</v>
      </c>
    </row>
    <row r="589" spans="1:9" x14ac:dyDescent="0.2">
      <c r="A589" s="910" t="str">
        <f>FIXED('Balance N-1'!A589,0,1)</f>
        <v>0</v>
      </c>
      <c r="B589" s="572">
        <f>+'Balance N-1'!B589</f>
        <v>0</v>
      </c>
      <c r="C589" s="679" t="e">
        <f>ROUND('Balance N-1'!#REF!,2)</f>
        <v>#REF!</v>
      </c>
      <c r="D589" s="679" t="e">
        <f>ROUND('Balance N-1'!#REF!,2)</f>
        <v>#REF!</v>
      </c>
      <c r="E589" s="679">
        <f>ROUND('Balance N-1'!C589,2)</f>
        <v>0</v>
      </c>
      <c r="F589" s="679">
        <f>ROUND('Balance N-1'!D589,2)</f>
        <v>0</v>
      </c>
      <c r="G589" s="679">
        <f>ROUND('Balance N-1'!E589,2)</f>
        <v>0</v>
      </c>
      <c r="H589" s="679">
        <f>ROUND('Balance N-1'!F589,2)</f>
        <v>0</v>
      </c>
      <c r="I589" s="2" t="str">
        <f t="shared" si="12"/>
        <v>0</v>
      </c>
    </row>
    <row r="590" spans="1:9" x14ac:dyDescent="0.2">
      <c r="A590" s="910" t="str">
        <f>FIXED('Balance N-1'!A590,0,1)</f>
        <v>0</v>
      </c>
      <c r="B590" s="572">
        <f>+'Balance N-1'!B590</f>
        <v>0</v>
      </c>
      <c r="C590" s="679" t="e">
        <f>ROUND('Balance N-1'!#REF!,2)</f>
        <v>#REF!</v>
      </c>
      <c r="D590" s="679" t="e">
        <f>ROUND('Balance N-1'!#REF!,2)</f>
        <v>#REF!</v>
      </c>
      <c r="E590" s="679">
        <f>ROUND('Balance N-1'!C590,2)</f>
        <v>0</v>
      </c>
      <c r="F590" s="679">
        <f>ROUND('Balance N-1'!D590,2)</f>
        <v>0</v>
      </c>
      <c r="G590" s="679">
        <f>ROUND('Balance N-1'!E590,2)</f>
        <v>0</v>
      </c>
      <c r="H590" s="679">
        <f>ROUND('Balance N-1'!F590,2)</f>
        <v>0</v>
      </c>
      <c r="I590" s="2" t="str">
        <f t="shared" si="12"/>
        <v>0</v>
      </c>
    </row>
    <row r="591" spans="1:9" x14ac:dyDescent="0.2">
      <c r="A591" s="910" t="str">
        <f>FIXED('Balance N-1'!A591,0,1)</f>
        <v>0</v>
      </c>
      <c r="B591" s="572">
        <f>+'Balance N-1'!B591</f>
        <v>0</v>
      </c>
      <c r="C591" s="679" t="e">
        <f>ROUND('Balance N-1'!#REF!,2)</f>
        <v>#REF!</v>
      </c>
      <c r="D591" s="679" t="e">
        <f>ROUND('Balance N-1'!#REF!,2)</f>
        <v>#REF!</v>
      </c>
      <c r="E591" s="679">
        <f>ROUND('Balance N-1'!C591,2)</f>
        <v>0</v>
      </c>
      <c r="F591" s="679">
        <f>ROUND('Balance N-1'!D591,2)</f>
        <v>0</v>
      </c>
      <c r="G591" s="679">
        <f>ROUND('Balance N-1'!E591,2)</f>
        <v>0</v>
      </c>
      <c r="H591" s="679">
        <f>ROUND('Balance N-1'!F591,2)</f>
        <v>0</v>
      </c>
      <c r="I591" s="2" t="str">
        <f t="shared" si="12"/>
        <v>0</v>
      </c>
    </row>
    <row r="592" spans="1:9" x14ac:dyDescent="0.2">
      <c r="A592" s="910" t="str">
        <f>FIXED('Balance N-1'!A592,0,1)</f>
        <v>0</v>
      </c>
      <c r="B592" s="572">
        <f>+'Balance N-1'!B592</f>
        <v>0</v>
      </c>
      <c r="C592" s="679" t="e">
        <f>ROUND('Balance N-1'!#REF!,2)</f>
        <v>#REF!</v>
      </c>
      <c r="D592" s="679" t="e">
        <f>ROUND('Balance N-1'!#REF!,2)</f>
        <v>#REF!</v>
      </c>
      <c r="E592" s="679">
        <f>ROUND('Balance N-1'!C592,2)</f>
        <v>0</v>
      </c>
      <c r="F592" s="679">
        <f>ROUND('Balance N-1'!D592,2)</f>
        <v>0</v>
      </c>
      <c r="G592" s="679">
        <f>ROUND('Balance N-1'!E592,2)</f>
        <v>0</v>
      </c>
      <c r="H592" s="679">
        <f>ROUND('Balance N-1'!F592,2)</f>
        <v>0</v>
      </c>
      <c r="I592" s="2" t="str">
        <f t="shared" si="12"/>
        <v>0</v>
      </c>
    </row>
    <row r="593" spans="1:9" x14ac:dyDescent="0.2">
      <c r="A593" s="910" t="str">
        <f>FIXED('Balance N-1'!A593,0,1)</f>
        <v>0</v>
      </c>
      <c r="B593" s="572">
        <f>+'Balance N-1'!B593</f>
        <v>0</v>
      </c>
      <c r="C593" s="679" t="e">
        <f>ROUND('Balance N-1'!#REF!,2)</f>
        <v>#REF!</v>
      </c>
      <c r="D593" s="679" t="e">
        <f>ROUND('Balance N-1'!#REF!,2)</f>
        <v>#REF!</v>
      </c>
      <c r="E593" s="679">
        <f>ROUND('Balance N-1'!C593,2)</f>
        <v>0</v>
      </c>
      <c r="F593" s="679">
        <f>ROUND('Balance N-1'!D593,2)</f>
        <v>0</v>
      </c>
      <c r="G593" s="679">
        <f>ROUND('Balance N-1'!E593,2)</f>
        <v>0</v>
      </c>
      <c r="H593" s="679">
        <f>ROUND('Balance N-1'!F593,2)</f>
        <v>0</v>
      </c>
      <c r="I593" s="2" t="str">
        <f t="shared" si="12"/>
        <v>0</v>
      </c>
    </row>
    <row r="594" spans="1:9" x14ac:dyDescent="0.2">
      <c r="A594" s="910" t="str">
        <f>FIXED('Balance N-1'!A594,0,1)</f>
        <v>0</v>
      </c>
      <c r="B594" s="572">
        <f>+'Balance N-1'!B594</f>
        <v>0</v>
      </c>
      <c r="C594" s="679" t="e">
        <f>ROUND('Balance N-1'!#REF!,2)</f>
        <v>#REF!</v>
      </c>
      <c r="D594" s="679" t="e">
        <f>ROUND('Balance N-1'!#REF!,2)</f>
        <v>#REF!</v>
      </c>
      <c r="E594" s="679">
        <f>ROUND('Balance N-1'!C594,2)</f>
        <v>0</v>
      </c>
      <c r="F594" s="679">
        <f>ROUND('Balance N-1'!D594,2)</f>
        <v>0</v>
      </c>
      <c r="G594" s="679">
        <f>ROUND('Balance N-1'!E594,2)</f>
        <v>0</v>
      </c>
      <c r="H594" s="679">
        <f>ROUND('Balance N-1'!F594,2)</f>
        <v>0</v>
      </c>
      <c r="I594" s="2" t="str">
        <f t="shared" si="12"/>
        <v>0</v>
      </c>
    </row>
    <row r="595" spans="1:9" x14ac:dyDescent="0.2">
      <c r="A595" s="910" t="str">
        <f>FIXED('Balance N-1'!A595,0,1)</f>
        <v>0</v>
      </c>
      <c r="B595" s="572">
        <f>+'Balance N-1'!B595</f>
        <v>0</v>
      </c>
      <c r="C595" s="679" t="e">
        <f>ROUND('Balance N-1'!#REF!,2)</f>
        <v>#REF!</v>
      </c>
      <c r="D595" s="679" t="e">
        <f>ROUND('Balance N-1'!#REF!,2)</f>
        <v>#REF!</v>
      </c>
      <c r="E595" s="679">
        <f>ROUND('Balance N-1'!C595,2)</f>
        <v>0</v>
      </c>
      <c r="F595" s="679">
        <f>ROUND('Balance N-1'!D595,2)</f>
        <v>0</v>
      </c>
      <c r="G595" s="679">
        <f>ROUND('Balance N-1'!E595,2)</f>
        <v>0</v>
      </c>
      <c r="H595" s="679">
        <f>ROUND('Balance N-1'!F595,2)</f>
        <v>0</v>
      </c>
      <c r="I595" s="2" t="str">
        <f t="shared" si="12"/>
        <v>0</v>
      </c>
    </row>
    <row r="596" spans="1:9" x14ac:dyDescent="0.2">
      <c r="A596" s="910" t="str">
        <f>FIXED('Balance N-1'!A596,0,1)</f>
        <v>0</v>
      </c>
      <c r="B596" s="572">
        <f>+'Balance N-1'!B596</f>
        <v>0</v>
      </c>
      <c r="C596" s="679" t="e">
        <f>ROUND('Balance N-1'!#REF!,2)</f>
        <v>#REF!</v>
      </c>
      <c r="D596" s="679" t="e">
        <f>ROUND('Balance N-1'!#REF!,2)</f>
        <v>#REF!</v>
      </c>
      <c r="E596" s="679">
        <f>ROUND('Balance N-1'!C596,2)</f>
        <v>0</v>
      </c>
      <c r="F596" s="679">
        <f>ROUND('Balance N-1'!D596,2)</f>
        <v>0</v>
      </c>
      <c r="G596" s="679">
        <f>ROUND('Balance N-1'!E596,2)</f>
        <v>0</v>
      </c>
      <c r="H596" s="679">
        <f>ROUND('Balance N-1'!F596,2)</f>
        <v>0</v>
      </c>
      <c r="I596" s="2" t="str">
        <f t="shared" si="12"/>
        <v>0</v>
      </c>
    </row>
    <row r="597" spans="1:9" x14ac:dyDescent="0.2">
      <c r="A597" s="910" t="str">
        <f>FIXED('Balance N-1'!A597,0,1)</f>
        <v>0</v>
      </c>
      <c r="B597" s="572">
        <f>+'Balance N-1'!B597</f>
        <v>0</v>
      </c>
      <c r="C597" s="679" t="e">
        <f>ROUND('Balance N-1'!#REF!,2)</f>
        <v>#REF!</v>
      </c>
      <c r="D597" s="679" t="e">
        <f>ROUND('Balance N-1'!#REF!,2)</f>
        <v>#REF!</v>
      </c>
      <c r="E597" s="679">
        <f>ROUND('Balance N-1'!C597,2)</f>
        <v>0</v>
      </c>
      <c r="F597" s="679">
        <f>ROUND('Balance N-1'!D597,2)</f>
        <v>0</v>
      </c>
      <c r="G597" s="679">
        <f>ROUND('Balance N-1'!E597,2)</f>
        <v>0</v>
      </c>
      <c r="H597" s="679">
        <f>ROUND('Balance N-1'!F597,2)</f>
        <v>0</v>
      </c>
      <c r="I597" s="2" t="str">
        <f t="shared" si="12"/>
        <v>0</v>
      </c>
    </row>
    <row r="598" spans="1:9" x14ac:dyDescent="0.2">
      <c r="A598" s="910" t="str">
        <f>FIXED('Balance N-1'!A598,0,1)</f>
        <v>0</v>
      </c>
      <c r="B598" s="572">
        <f>+'Balance N-1'!B598</f>
        <v>0</v>
      </c>
      <c r="C598" s="679" t="e">
        <f>ROUND('Balance N-1'!#REF!,2)</f>
        <v>#REF!</v>
      </c>
      <c r="D598" s="679" t="e">
        <f>ROUND('Balance N-1'!#REF!,2)</f>
        <v>#REF!</v>
      </c>
      <c r="E598" s="679">
        <f>ROUND('Balance N-1'!C598,2)</f>
        <v>0</v>
      </c>
      <c r="F598" s="679">
        <f>ROUND('Balance N-1'!D598,2)</f>
        <v>0</v>
      </c>
      <c r="G598" s="679">
        <f>ROUND('Balance N-1'!E598,2)</f>
        <v>0</v>
      </c>
      <c r="H598" s="679">
        <f>ROUND('Balance N-1'!F598,2)</f>
        <v>0</v>
      </c>
      <c r="I598" s="2" t="str">
        <f t="shared" si="12"/>
        <v>0</v>
      </c>
    </row>
    <row r="599" spans="1:9" x14ac:dyDescent="0.2">
      <c r="A599" s="910" t="str">
        <f>FIXED('Balance N-1'!A599,0,1)</f>
        <v>0</v>
      </c>
      <c r="B599" s="572">
        <f>+'Balance N-1'!B599</f>
        <v>0</v>
      </c>
      <c r="C599" s="679" t="e">
        <f>ROUND('Balance N-1'!#REF!,2)</f>
        <v>#REF!</v>
      </c>
      <c r="D599" s="679" t="e">
        <f>ROUND('Balance N-1'!#REF!,2)</f>
        <v>#REF!</v>
      </c>
      <c r="E599" s="679">
        <f>ROUND('Balance N-1'!C599,2)</f>
        <v>0</v>
      </c>
      <c r="F599" s="679">
        <f>ROUND('Balance N-1'!D599,2)</f>
        <v>0</v>
      </c>
      <c r="G599" s="679">
        <f>ROUND('Balance N-1'!E599,2)</f>
        <v>0</v>
      </c>
      <c r="H599" s="679">
        <f>ROUND('Balance N-1'!F599,2)</f>
        <v>0</v>
      </c>
      <c r="I599" s="2" t="str">
        <f t="shared" si="12"/>
        <v>0</v>
      </c>
    </row>
    <row r="600" spans="1:9" x14ac:dyDescent="0.2">
      <c r="A600" s="910" t="str">
        <f>FIXED('Balance N-1'!A600,0,1)</f>
        <v>0</v>
      </c>
      <c r="B600" s="572">
        <f>+'Balance N-1'!B600</f>
        <v>0</v>
      </c>
      <c r="C600" s="679" t="e">
        <f>ROUND('Balance N-1'!#REF!,2)</f>
        <v>#REF!</v>
      </c>
      <c r="D600" s="679" t="e">
        <f>ROUND('Balance N-1'!#REF!,2)</f>
        <v>#REF!</v>
      </c>
      <c r="E600" s="679">
        <f>ROUND('Balance N-1'!C600,2)</f>
        <v>0</v>
      </c>
      <c r="F600" s="679">
        <f>ROUND('Balance N-1'!D600,2)</f>
        <v>0</v>
      </c>
      <c r="G600" s="679">
        <f>ROUND('Balance N-1'!E600,2)</f>
        <v>0</v>
      </c>
      <c r="H600" s="679">
        <f>ROUND('Balance N-1'!F600,2)</f>
        <v>0</v>
      </c>
      <c r="I600" s="2" t="str">
        <f t="shared" ref="I600:I616" si="13">MID(A600,1,1)</f>
        <v>0</v>
      </c>
    </row>
    <row r="601" spans="1:9" x14ac:dyDescent="0.2">
      <c r="A601" s="910" t="str">
        <f>FIXED('Balance N-1'!A601,0,1)</f>
        <v>0</v>
      </c>
      <c r="B601" s="572">
        <f>+'Balance N-1'!B601</f>
        <v>0</v>
      </c>
      <c r="C601" s="679" t="e">
        <f>ROUND('Balance N-1'!#REF!,2)</f>
        <v>#REF!</v>
      </c>
      <c r="D601" s="679" t="e">
        <f>ROUND('Balance N-1'!#REF!,2)</f>
        <v>#REF!</v>
      </c>
      <c r="E601" s="679">
        <f>ROUND('Balance N-1'!C601,2)</f>
        <v>0</v>
      </c>
      <c r="F601" s="679">
        <f>ROUND('Balance N-1'!D601,2)</f>
        <v>0</v>
      </c>
      <c r="G601" s="679">
        <f>ROUND('Balance N-1'!E601,2)</f>
        <v>0</v>
      </c>
      <c r="H601" s="679">
        <f>ROUND('Balance N-1'!F601,2)</f>
        <v>0</v>
      </c>
      <c r="I601" s="2" t="str">
        <f t="shared" si="13"/>
        <v>0</v>
      </c>
    </row>
    <row r="602" spans="1:9" x14ac:dyDescent="0.2">
      <c r="A602" s="910" t="str">
        <f>FIXED('Balance N-1'!A602,0,1)</f>
        <v>0</v>
      </c>
      <c r="B602" s="572">
        <f>+'Balance N-1'!B602</f>
        <v>0</v>
      </c>
      <c r="C602" s="679" t="e">
        <f>ROUND('Balance N-1'!#REF!,2)</f>
        <v>#REF!</v>
      </c>
      <c r="D602" s="679" t="e">
        <f>ROUND('Balance N-1'!#REF!,2)</f>
        <v>#REF!</v>
      </c>
      <c r="E602" s="679">
        <f>ROUND('Balance N-1'!C602,2)</f>
        <v>0</v>
      </c>
      <c r="F602" s="679">
        <f>ROUND('Balance N-1'!D602,2)</f>
        <v>0</v>
      </c>
      <c r="G602" s="679">
        <f>ROUND('Balance N-1'!E602,2)</f>
        <v>0</v>
      </c>
      <c r="H602" s="679">
        <f>ROUND('Balance N-1'!F602,2)</f>
        <v>0</v>
      </c>
      <c r="I602" s="2" t="str">
        <f t="shared" si="13"/>
        <v>0</v>
      </c>
    </row>
    <row r="603" spans="1:9" x14ac:dyDescent="0.2">
      <c r="A603" s="910" t="str">
        <f>FIXED('Balance N-1'!A603,0,1)</f>
        <v>0</v>
      </c>
      <c r="B603" s="572">
        <f>+'Balance N-1'!B603</f>
        <v>0</v>
      </c>
      <c r="C603" s="679" t="e">
        <f>ROUND('Balance N-1'!#REF!,2)</f>
        <v>#REF!</v>
      </c>
      <c r="D603" s="679" t="e">
        <f>ROUND('Balance N-1'!#REF!,2)</f>
        <v>#REF!</v>
      </c>
      <c r="E603" s="679">
        <f>ROUND('Balance N-1'!C603,2)</f>
        <v>0</v>
      </c>
      <c r="F603" s="679">
        <f>ROUND('Balance N-1'!D603,2)</f>
        <v>0</v>
      </c>
      <c r="G603" s="679">
        <f>ROUND('Balance N-1'!E603,2)</f>
        <v>0</v>
      </c>
      <c r="H603" s="679">
        <f>ROUND('Balance N-1'!F603,2)</f>
        <v>0</v>
      </c>
      <c r="I603" s="2" t="str">
        <f t="shared" si="13"/>
        <v>0</v>
      </c>
    </row>
    <row r="604" spans="1:9" x14ac:dyDescent="0.2">
      <c r="A604" s="910" t="str">
        <f>FIXED('Balance N-1'!A604,0,1)</f>
        <v>0</v>
      </c>
      <c r="B604" s="572">
        <f>+'Balance N-1'!B604</f>
        <v>0</v>
      </c>
      <c r="C604" s="679" t="e">
        <f>ROUND('Balance N-1'!#REF!,2)</f>
        <v>#REF!</v>
      </c>
      <c r="D604" s="679" t="e">
        <f>ROUND('Balance N-1'!#REF!,2)</f>
        <v>#REF!</v>
      </c>
      <c r="E604" s="679">
        <f>ROUND('Balance N-1'!C604,2)</f>
        <v>0</v>
      </c>
      <c r="F604" s="679">
        <f>ROUND('Balance N-1'!D604,2)</f>
        <v>0</v>
      </c>
      <c r="G604" s="679">
        <f>ROUND('Balance N-1'!E604,2)</f>
        <v>0</v>
      </c>
      <c r="H604" s="679">
        <f>ROUND('Balance N-1'!F604,2)</f>
        <v>0</v>
      </c>
      <c r="I604" s="2" t="str">
        <f t="shared" si="13"/>
        <v>0</v>
      </c>
    </row>
    <row r="605" spans="1:9" x14ac:dyDescent="0.2">
      <c r="A605" s="910" t="str">
        <f>FIXED('Balance N-1'!A605,0,1)</f>
        <v>0</v>
      </c>
      <c r="B605" s="572">
        <f>+'Balance N-1'!B605</f>
        <v>0</v>
      </c>
      <c r="C605" s="679" t="e">
        <f>ROUND('Balance N-1'!#REF!,2)</f>
        <v>#REF!</v>
      </c>
      <c r="D605" s="679" t="e">
        <f>ROUND('Balance N-1'!#REF!,2)</f>
        <v>#REF!</v>
      </c>
      <c r="E605" s="679">
        <f>ROUND('Balance N-1'!C605,2)</f>
        <v>0</v>
      </c>
      <c r="F605" s="679">
        <f>ROUND('Balance N-1'!D605,2)</f>
        <v>0</v>
      </c>
      <c r="G605" s="679">
        <f>ROUND('Balance N-1'!E605,2)</f>
        <v>0</v>
      </c>
      <c r="H605" s="679">
        <f>ROUND('Balance N-1'!F605,2)</f>
        <v>0</v>
      </c>
      <c r="I605" s="2" t="str">
        <f t="shared" si="13"/>
        <v>0</v>
      </c>
    </row>
    <row r="606" spans="1:9" x14ac:dyDescent="0.2">
      <c r="A606" s="910" t="str">
        <f>FIXED('Balance N-1'!A606,0,1)</f>
        <v>0</v>
      </c>
      <c r="B606" s="572">
        <f>+'Balance N-1'!B606</f>
        <v>0</v>
      </c>
      <c r="C606" s="679" t="e">
        <f>ROUND('Balance N-1'!#REF!,2)</f>
        <v>#REF!</v>
      </c>
      <c r="D606" s="679" t="e">
        <f>ROUND('Balance N-1'!#REF!,2)</f>
        <v>#REF!</v>
      </c>
      <c r="E606" s="679">
        <f>ROUND('Balance N-1'!C606,2)</f>
        <v>0</v>
      </c>
      <c r="F606" s="679">
        <f>ROUND('Balance N-1'!D606,2)</f>
        <v>0</v>
      </c>
      <c r="G606" s="679">
        <f>ROUND('Balance N-1'!E606,2)</f>
        <v>0</v>
      </c>
      <c r="H606" s="679">
        <f>ROUND('Balance N-1'!F606,2)</f>
        <v>0</v>
      </c>
      <c r="I606" s="2" t="str">
        <f t="shared" si="13"/>
        <v>0</v>
      </c>
    </row>
    <row r="607" spans="1:9" x14ac:dyDescent="0.2">
      <c r="A607" s="910" t="str">
        <f>FIXED('Balance N-1'!A607,0,1)</f>
        <v>0</v>
      </c>
      <c r="B607" s="572">
        <f>+'Balance N-1'!B607</f>
        <v>0</v>
      </c>
      <c r="C607" s="679" t="e">
        <f>ROUND('Balance N-1'!#REF!,2)</f>
        <v>#REF!</v>
      </c>
      <c r="D607" s="679" t="e">
        <f>ROUND('Balance N-1'!#REF!,2)</f>
        <v>#REF!</v>
      </c>
      <c r="E607" s="679">
        <f>ROUND('Balance N-1'!C607,2)</f>
        <v>0</v>
      </c>
      <c r="F607" s="679">
        <f>ROUND('Balance N-1'!D607,2)</f>
        <v>0</v>
      </c>
      <c r="G607" s="679">
        <f>ROUND('Balance N-1'!E607,2)</f>
        <v>0</v>
      </c>
      <c r="H607" s="679">
        <f>ROUND('Balance N-1'!F607,2)</f>
        <v>0</v>
      </c>
      <c r="I607" s="2" t="str">
        <f t="shared" si="13"/>
        <v>0</v>
      </c>
    </row>
    <row r="608" spans="1:9" x14ac:dyDescent="0.2">
      <c r="A608" s="910" t="str">
        <f>FIXED('Balance N-1'!A608,0,1)</f>
        <v>0</v>
      </c>
      <c r="B608" s="572">
        <f>+'Balance N-1'!B608</f>
        <v>0</v>
      </c>
      <c r="C608" s="679" t="e">
        <f>ROUND('Balance N-1'!#REF!,2)</f>
        <v>#REF!</v>
      </c>
      <c r="D608" s="679" t="e">
        <f>ROUND('Balance N-1'!#REF!,2)</f>
        <v>#REF!</v>
      </c>
      <c r="E608" s="679">
        <f>ROUND('Balance N-1'!C608,2)</f>
        <v>0</v>
      </c>
      <c r="F608" s="679">
        <f>ROUND('Balance N-1'!D608,2)</f>
        <v>0</v>
      </c>
      <c r="G608" s="679">
        <f>ROUND('Balance N-1'!E608,2)</f>
        <v>0</v>
      </c>
      <c r="H608" s="679">
        <f>ROUND('Balance N-1'!F608,2)</f>
        <v>0</v>
      </c>
      <c r="I608" s="2" t="str">
        <f t="shared" si="13"/>
        <v>0</v>
      </c>
    </row>
    <row r="609" spans="1:9" x14ac:dyDescent="0.2">
      <c r="A609" s="910" t="str">
        <f>FIXED('Balance N-1'!A609,0,1)</f>
        <v>0</v>
      </c>
      <c r="B609" s="572">
        <f>+'Balance N-1'!B609</f>
        <v>0</v>
      </c>
      <c r="C609" s="679" t="e">
        <f>ROUND('Balance N-1'!#REF!,2)</f>
        <v>#REF!</v>
      </c>
      <c r="D609" s="679" t="e">
        <f>ROUND('Balance N-1'!#REF!,2)</f>
        <v>#REF!</v>
      </c>
      <c r="E609" s="679">
        <f>ROUND('Balance N-1'!C609,2)</f>
        <v>0</v>
      </c>
      <c r="F609" s="679">
        <f>ROUND('Balance N-1'!D609,2)</f>
        <v>0</v>
      </c>
      <c r="G609" s="679">
        <f>ROUND('Balance N-1'!E609,2)</f>
        <v>0</v>
      </c>
      <c r="H609" s="679">
        <f>ROUND('Balance N-1'!F609,2)</f>
        <v>0</v>
      </c>
      <c r="I609" s="2" t="str">
        <f t="shared" si="13"/>
        <v>0</v>
      </c>
    </row>
    <row r="610" spans="1:9" x14ac:dyDescent="0.2">
      <c r="A610" s="910" t="str">
        <f>FIXED('Balance N-1'!A610,0,1)</f>
        <v>0</v>
      </c>
      <c r="B610" s="572">
        <f>+'Balance N-1'!B610</f>
        <v>0</v>
      </c>
      <c r="C610" s="679" t="e">
        <f>ROUND('Balance N-1'!#REF!,2)</f>
        <v>#REF!</v>
      </c>
      <c r="D610" s="679" t="e">
        <f>ROUND('Balance N-1'!#REF!,2)</f>
        <v>#REF!</v>
      </c>
      <c r="E610" s="679">
        <f>ROUND('Balance N-1'!C610,2)</f>
        <v>0</v>
      </c>
      <c r="F610" s="679">
        <f>ROUND('Balance N-1'!D610,2)</f>
        <v>0</v>
      </c>
      <c r="G610" s="679">
        <f>ROUND('Balance N-1'!E610,2)</f>
        <v>0</v>
      </c>
      <c r="H610" s="679">
        <f>ROUND('Balance N-1'!F610,2)</f>
        <v>0</v>
      </c>
      <c r="I610" s="2" t="str">
        <f t="shared" si="13"/>
        <v>0</v>
      </c>
    </row>
    <row r="611" spans="1:9" x14ac:dyDescent="0.2">
      <c r="A611" s="910" t="str">
        <f>FIXED('Balance N-1'!A611,0,1)</f>
        <v>0</v>
      </c>
      <c r="B611" s="572">
        <f>+'Balance N-1'!B611</f>
        <v>0</v>
      </c>
      <c r="C611" s="679" t="e">
        <f>ROUND('Balance N-1'!#REF!,2)</f>
        <v>#REF!</v>
      </c>
      <c r="D611" s="679" t="e">
        <f>ROUND('Balance N-1'!#REF!,2)</f>
        <v>#REF!</v>
      </c>
      <c r="E611" s="679">
        <f>ROUND('Balance N-1'!C611,2)</f>
        <v>0</v>
      </c>
      <c r="F611" s="679">
        <f>ROUND('Balance N-1'!D611,2)</f>
        <v>0</v>
      </c>
      <c r="G611" s="679">
        <f>ROUND('Balance N-1'!E611,2)</f>
        <v>0</v>
      </c>
      <c r="H611" s="679">
        <f>ROUND('Balance N-1'!F611,2)</f>
        <v>0</v>
      </c>
      <c r="I611" s="2" t="str">
        <f t="shared" si="13"/>
        <v>0</v>
      </c>
    </row>
    <row r="612" spans="1:9" x14ac:dyDescent="0.2">
      <c r="A612" s="910" t="str">
        <f>FIXED('Balance N-1'!A612,0,1)</f>
        <v>0</v>
      </c>
      <c r="B612" s="572">
        <f>+'Balance N-1'!B612</f>
        <v>0</v>
      </c>
      <c r="C612" s="679" t="e">
        <f>ROUND('Balance N-1'!#REF!,2)</f>
        <v>#REF!</v>
      </c>
      <c r="D612" s="679" t="e">
        <f>ROUND('Balance N-1'!#REF!,2)</f>
        <v>#REF!</v>
      </c>
      <c r="E612" s="679">
        <f>ROUND('Balance N-1'!C612,2)</f>
        <v>0</v>
      </c>
      <c r="F612" s="679">
        <f>ROUND('Balance N-1'!D612,2)</f>
        <v>0</v>
      </c>
      <c r="G612" s="679">
        <f>ROUND('Balance N-1'!E612,2)</f>
        <v>0</v>
      </c>
      <c r="H612" s="679">
        <f>ROUND('Balance N-1'!F612,2)</f>
        <v>0</v>
      </c>
      <c r="I612" s="2" t="str">
        <f t="shared" si="13"/>
        <v>0</v>
      </c>
    </row>
    <row r="613" spans="1:9" x14ac:dyDescent="0.2">
      <c r="A613" s="910" t="str">
        <f>FIXED('Balance N-1'!A613,0,1)</f>
        <v>0</v>
      </c>
      <c r="B613" s="572">
        <f>+'Balance N-1'!B613</f>
        <v>0</v>
      </c>
      <c r="C613" s="679" t="e">
        <f>ROUND('Balance N-1'!#REF!,2)</f>
        <v>#REF!</v>
      </c>
      <c r="D613" s="679" t="e">
        <f>ROUND('Balance N-1'!#REF!,2)</f>
        <v>#REF!</v>
      </c>
      <c r="E613" s="679">
        <f>ROUND('Balance N-1'!C613,2)</f>
        <v>0</v>
      </c>
      <c r="F613" s="679">
        <f>ROUND('Balance N-1'!D613,2)</f>
        <v>0</v>
      </c>
      <c r="G613" s="679">
        <f>ROUND('Balance N-1'!E613,2)</f>
        <v>0</v>
      </c>
      <c r="H613" s="679">
        <f>ROUND('Balance N-1'!F613,2)</f>
        <v>0</v>
      </c>
      <c r="I613" s="2" t="str">
        <f t="shared" si="13"/>
        <v>0</v>
      </c>
    </row>
    <row r="614" spans="1:9" x14ac:dyDescent="0.2">
      <c r="A614" s="910" t="str">
        <f>FIXED('Balance N-1'!A614,0,1)</f>
        <v>0</v>
      </c>
      <c r="B614" s="572">
        <f>+'Balance N-1'!B614</f>
        <v>0</v>
      </c>
      <c r="C614" s="679" t="e">
        <f>ROUND('Balance N-1'!#REF!,2)</f>
        <v>#REF!</v>
      </c>
      <c r="D614" s="679" t="e">
        <f>ROUND('Balance N-1'!#REF!,2)</f>
        <v>#REF!</v>
      </c>
      <c r="E614" s="679">
        <f>ROUND('Balance N-1'!C614,2)</f>
        <v>0</v>
      </c>
      <c r="F614" s="679">
        <f>ROUND('Balance N-1'!D614,2)</f>
        <v>0</v>
      </c>
      <c r="G614" s="679">
        <f>ROUND('Balance N-1'!E614,2)</f>
        <v>0</v>
      </c>
      <c r="H614" s="679">
        <f>ROUND('Balance N-1'!F614,2)</f>
        <v>0</v>
      </c>
      <c r="I614" s="2" t="str">
        <f t="shared" si="13"/>
        <v>0</v>
      </c>
    </row>
    <row r="615" spans="1:9" x14ac:dyDescent="0.2">
      <c r="A615" s="910" t="str">
        <f>FIXED('Balance N-1'!A615,0,1)</f>
        <v>0</v>
      </c>
      <c r="B615" s="572">
        <f>+'Balance N-1'!B615</f>
        <v>0</v>
      </c>
      <c r="C615" s="679" t="e">
        <f>ROUND('Balance N-1'!#REF!,2)</f>
        <v>#REF!</v>
      </c>
      <c r="D615" s="679" t="e">
        <f>ROUND('Balance N-1'!#REF!,2)</f>
        <v>#REF!</v>
      </c>
      <c r="E615" s="679">
        <f>ROUND('Balance N-1'!C615,2)</f>
        <v>0</v>
      </c>
      <c r="F615" s="679">
        <f>ROUND('Balance N-1'!D615,2)</f>
        <v>0</v>
      </c>
      <c r="G615" s="679">
        <f>ROUND('Balance N-1'!E615,2)</f>
        <v>0</v>
      </c>
      <c r="H615" s="679">
        <f>ROUND('Balance N-1'!F615,2)</f>
        <v>0</v>
      </c>
      <c r="I615" s="2" t="str">
        <f t="shared" si="13"/>
        <v>0</v>
      </c>
    </row>
    <row r="616" spans="1:9" x14ac:dyDescent="0.2">
      <c r="A616" s="910" t="str">
        <f>FIXED('Balance N-1'!A616,0,1)</f>
        <v>0</v>
      </c>
      <c r="B616" s="572">
        <f>+'Balance N-1'!B616</f>
        <v>0</v>
      </c>
      <c r="C616" s="679" t="e">
        <f>ROUND('Balance N-1'!#REF!,2)</f>
        <v>#REF!</v>
      </c>
      <c r="D616" s="679" t="e">
        <f>ROUND('Balance N-1'!#REF!,2)</f>
        <v>#REF!</v>
      </c>
      <c r="E616" s="679">
        <f>ROUND('Balance N-1'!C616,2)</f>
        <v>0</v>
      </c>
      <c r="F616" s="679">
        <f>ROUND('Balance N-1'!D616,2)</f>
        <v>0</v>
      </c>
      <c r="G616" s="679">
        <f>ROUND('Balance N-1'!E616,2)</f>
        <v>0</v>
      </c>
      <c r="H616" s="679">
        <f>ROUND('Balance N-1'!F616,2)</f>
        <v>0</v>
      </c>
      <c r="I616" s="2" t="str">
        <f t="shared" si="13"/>
        <v>0</v>
      </c>
    </row>
    <row r="617" spans="1:9" x14ac:dyDescent="0.2">
      <c r="A617" s="572"/>
      <c r="B617" s="572"/>
      <c r="C617" s="679" t="e">
        <f>ROUND('Balance N-1'!#REF!,2)</f>
        <v>#REF!</v>
      </c>
      <c r="D617" s="679" t="e">
        <f>ROUND('Balance N-1'!#REF!,2)</f>
        <v>#REF!</v>
      </c>
      <c r="E617" s="679">
        <f>ROUND('Balance N-1'!C617,2)</f>
        <v>0</v>
      </c>
      <c r="F617" s="679">
        <f>ROUND('Balance N-1'!D617,2)</f>
        <v>0</v>
      </c>
      <c r="G617" s="679">
        <f>ROUND('Balance N-1'!E617,2)</f>
        <v>0</v>
      </c>
      <c r="H617" s="679">
        <f>ROUND('Balance N-1'!F617,2)</f>
        <v>0</v>
      </c>
    </row>
  </sheetData>
  <autoFilter ref="A1:H593"/>
  <phoneticPr fontId="0" type="noConversion"/>
  <pageMargins left="0.78740157499999996" right="0.78740157499999996" top="0.984251969" bottom="0.984251969" header="0.4921259845" footer="0.4921259845"/>
  <pageSetup paperSize="9" scale="10" orientation="portrait" horizontalDpi="300" verticalDpi="300" r:id="rId1"/>
  <headerFooter alignWithMargins="0"/>
  <ignoredErrors>
    <ignoredError sqref="N7"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N126"/>
  <sheetViews>
    <sheetView showGridLines="0" showZeros="0" topLeftCell="A36" workbookViewId="0">
      <selection activeCell="I47" sqref="I47"/>
    </sheetView>
  </sheetViews>
  <sheetFormatPr baseColWidth="10" defaultColWidth="12" defaultRowHeight="12" x14ac:dyDescent="0.2"/>
  <cols>
    <col min="1" max="1" width="4.6640625" style="22" customWidth="1"/>
    <col min="2" max="2" width="38.33203125" style="22" customWidth="1"/>
    <col min="3" max="3" width="17.5" style="59" customWidth="1"/>
    <col min="4" max="4" width="15.1640625" style="59" customWidth="1"/>
    <col min="5" max="5" width="17.6640625" style="59" customWidth="1"/>
    <col min="6" max="6" width="0.83203125" style="1" customWidth="1"/>
    <col min="7" max="7" width="17.6640625" style="59" bestFit="1" customWidth="1"/>
    <col min="8" max="8" width="14.33203125" style="22" bestFit="1" customWidth="1"/>
    <col min="9" max="9" width="16.33203125" style="22" bestFit="1" customWidth="1"/>
    <col min="10" max="11" width="16.33203125" style="22" customWidth="1"/>
    <col min="12" max="12" width="16.33203125" style="22" bestFit="1" customWidth="1"/>
    <col min="13" max="13" width="12" style="22"/>
    <col min="14" max="14" width="16.33203125" style="22" bestFit="1" customWidth="1"/>
    <col min="15" max="16384" width="12" style="22"/>
  </cols>
  <sheetData>
    <row r="1" spans="1:11" x14ac:dyDescent="0.2">
      <c r="A1" s="3" t="s">
        <v>307</v>
      </c>
    </row>
    <row r="2" spans="1:11" ht="15.75" x14ac:dyDescent="0.25">
      <c r="C2" s="20" t="s">
        <v>308</v>
      </c>
    </row>
    <row r="3" spans="1:11" ht="12.75" thickBot="1" x14ac:dyDescent="0.25">
      <c r="A3" s="494"/>
      <c r="B3" s="494"/>
      <c r="C3" s="495" t="s">
        <v>309</v>
      </c>
      <c r="D3" s="496"/>
      <c r="E3" s="497" t="s">
        <v>310</v>
      </c>
      <c r="G3" s="434" t="str">
        <f>Couverture!E15</f>
        <v>31/12/2022</v>
      </c>
    </row>
    <row r="4" spans="1:11" s="378" customFormat="1" x14ac:dyDescent="0.2">
      <c r="A4" s="381"/>
      <c r="B4" s="498" t="s">
        <v>311</v>
      </c>
      <c r="C4" s="499" t="s">
        <v>312</v>
      </c>
      <c r="D4" s="499" t="s">
        <v>313</v>
      </c>
      <c r="E4" s="500"/>
      <c r="F4" s="501"/>
      <c r="G4" s="502" t="s">
        <v>314</v>
      </c>
    </row>
    <row r="5" spans="1:11" x14ac:dyDescent="0.2">
      <c r="A5" s="383"/>
      <c r="B5" s="503" t="s">
        <v>315</v>
      </c>
      <c r="C5" s="504"/>
      <c r="D5" s="505" t="s">
        <v>316</v>
      </c>
      <c r="E5" s="504"/>
      <c r="G5" s="504"/>
    </row>
    <row r="6" spans="1:11" x14ac:dyDescent="0.2">
      <c r="A6" s="506"/>
      <c r="B6" s="389"/>
      <c r="C6" s="507" t="s">
        <v>317</v>
      </c>
      <c r="D6" s="508" t="s">
        <v>318</v>
      </c>
      <c r="E6" s="507" t="s">
        <v>319</v>
      </c>
      <c r="G6" s="507" t="s">
        <v>319</v>
      </c>
    </row>
    <row r="7" spans="1:11" ht="12.75" thickBot="1" x14ac:dyDescent="0.25">
      <c r="A7" s="509"/>
      <c r="B7" s="510"/>
      <c r="C7" s="511"/>
      <c r="D7" s="512" t="s">
        <v>320</v>
      </c>
      <c r="E7" s="511"/>
      <c r="G7" s="511"/>
    </row>
    <row r="8" spans="1:11" x14ac:dyDescent="0.2">
      <c r="A8" s="513"/>
      <c r="B8" s="514" t="s">
        <v>321</v>
      </c>
      <c r="C8" s="912">
        <f>SUM(C9:C11)</f>
        <v>5000</v>
      </c>
      <c r="D8" s="912">
        <f>SUM(D9:D11)</f>
        <v>2360.87</v>
      </c>
      <c r="E8" s="912">
        <f>SUM(E9:E11)</f>
        <v>2639.13</v>
      </c>
      <c r="F8" s="864"/>
      <c r="G8" s="912">
        <f>SUM(G9:G11)</f>
        <v>4305.63</v>
      </c>
      <c r="H8" s="337"/>
      <c r="I8" s="343"/>
      <c r="J8" s="343"/>
      <c r="K8" s="343"/>
    </row>
    <row r="9" spans="1:11" x14ac:dyDescent="0.2">
      <c r="A9" s="515"/>
      <c r="B9" s="516" t="s">
        <v>322</v>
      </c>
      <c r="C9" s="913">
        <f>SUMIF('Balance N Retraitée'!A:A,"211*",'Balance N Retraitée'!G:G)-SUMIF('Balance N Retraitée'!A:A,"211*",'Balance N Retraitée'!H:H)</f>
        <v>5000</v>
      </c>
      <c r="D9" s="525">
        <f>(SUMIF('Balance N Retraitée'!A:A,"2811*",'Balance N Retraitée'!H:H)-SUMIF('Balance N Retraitée'!A:A,"2811*",'Balance N Retraitée'!G:G))+(SUMIF('Balance N Retraitée'!A:A,"2911*",'Balance N Retraitée'!H:H)-SUMIF('Balance N Retraitée'!A:A,"2911*",'Balance N Retraitée'!G:G))</f>
        <v>2360.87</v>
      </c>
      <c r="E9" s="525">
        <f>+C9-D9</f>
        <v>2639.13</v>
      </c>
      <c r="F9" s="865"/>
      <c r="G9" s="525">
        <f>(SUMIF('Balance N-1 Retraitée'!A:A,"211*",'Balance N-1 Retraitée'!G:G)-SUMIF('Balance N-1 Retraitée'!A:A,"211*",'Balance N-1 Retraitée'!H:H))-(SUMIF('Balance N-1 Retraitée'!A:A,"2811*",'Balance N-1 Retraitée'!H:H)-SUMIF('Balance N-1 Retraitée'!A:A,"2811*",'Balance N-1 Retraitée'!G:G))-(SUMIF('Balance N-1 Retraitée'!A:A,"2911*",'Balance N-1 Retraitée'!H:H)-SUMIF('Balance N-1 Retraitée'!A:A,"2911*",'Balance N-1 Retraitée'!G:G))</f>
        <v>4305.63</v>
      </c>
      <c r="H9" s="337"/>
      <c r="I9" s="337"/>
      <c r="J9" s="337"/>
      <c r="K9" s="337"/>
    </row>
    <row r="10" spans="1:11" x14ac:dyDescent="0.2">
      <c r="A10" s="515"/>
      <c r="B10" s="518" t="s">
        <v>323</v>
      </c>
      <c r="C10" s="525">
        <f>SUMIF('Balance N Retraitée'!A:A,"212*",'Balance N Retraitée'!G:G)-SUMIF('Balance N Retraitée'!A:A,"212*",'Balance N Retraitée'!H:H)</f>
        <v>0</v>
      </c>
      <c r="D10" s="525">
        <f>(SUMIF('Balance N Retraitée'!A:A,"2812*",'Balance N Retraitée'!H:H)-SUMIF('Balance N Retraitée'!A:A,"2812*",'Balance N Retraitée'!G:G))+(SUMIF('Balance N Retraitée'!A:A,"2912*",'Balance N Retraitée'!H:H)-SUMIF('Balance N Retraitée'!A:A,"2912*",'Balance N Retraitée'!G:G))</f>
        <v>0</v>
      </c>
      <c r="E10" s="525">
        <f>+C10-D10</f>
        <v>0</v>
      </c>
      <c r="F10" s="865"/>
      <c r="G10" s="525">
        <f>(SUMIF('Balance N-1 Retraitée'!A:A,"212*",'Balance N-1 Retraitée'!G:G)-SUMIF('Balance N-1 Retraitée'!A:A,"212*",'Balance N-1 Retraitée'!H:H))-(SUMIF('Balance N-1 Retraitée'!A:A,"2812*",'Balance N-1 Retraitée'!H:H)-SUMIF('Balance N-1 Retraitée'!A:A,"2812*",'Balance N-1 Retraitée'!G:G))-(SUMIF('Balance N-1 Retraitée'!A:A,"2912*",'Balance N-1 Retraitée'!H:H)-SUMIF('Balance N-1 Retraitée'!A:A,"2912*",'Balance N-1 Retraitée'!G:G))</f>
        <v>0</v>
      </c>
      <c r="H10" s="337"/>
      <c r="I10" s="337"/>
      <c r="J10" s="337"/>
      <c r="K10" s="337"/>
    </row>
    <row r="11" spans="1:11" ht="12.75" thickBot="1" x14ac:dyDescent="0.25">
      <c r="A11" s="519" t="s">
        <v>324</v>
      </c>
      <c r="B11" s="520" t="s">
        <v>325</v>
      </c>
      <c r="C11" s="866">
        <f>SUMIF('Balance N Retraitée'!A:A,"213*",'Balance N Retraitée'!G:G)-SUMIF('Balance N Retraitée'!A:A,"213*",'Balance N Retraitée'!H:H)</f>
        <v>0</v>
      </c>
      <c r="D11" s="866">
        <f>(SUMIF('Balance N Retraitée'!A:A,"2813*",'Balance N Retraitée'!H:H)-SUMIF('Balance N Retraitée'!A:A,"2813*",'Balance N Retraitée'!G:G))+(SUMIF('Balance N Retraitée'!A:A,"2913*",'Balance N Retraitée'!H:H)-SUMIF('Balance N Retraitée'!A:A,"2913*",'Balance N Retraitée'!G:G))</f>
        <v>0</v>
      </c>
      <c r="E11" s="866">
        <f>+C13-D13</f>
        <v>0</v>
      </c>
      <c r="F11" s="865"/>
      <c r="G11" s="866">
        <f>(SUMIF('Balance N-1 Retraitée'!A:A,"213*",'Balance N-1 Retraitée'!G:G)-SUMIF('Balance N-1 Retraitée'!A:A,"213*",'Balance N-1 Retraitée'!H:H))-(SUMIF('Balance N-1 Retraitée'!A:A,"2813*",'Balance N-1 Retraitée'!H:H)-SUMIF('Balance N-1 Retraitée'!A:A,"2813*",'Balance N-1 Retraitée'!G:G))-(SUMIF('Balance N-1 Retraitée'!A:A,"2913*",'Balance N-1 Retraitée'!H:H)-SUMIF('Balance N-1 Retraitée'!A:A,"2913*",'Balance N-1 Retraitée'!G:G))</f>
        <v>0</v>
      </c>
      <c r="H11" s="337"/>
      <c r="I11" s="337"/>
      <c r="J11" s="337"/>
      <c r="K11" s="337"/>
    </row>
    <row r="12" spans="1:11" x14ac:dyDescent="0.2">
      <c r="A12" s="519" t="s">
        <v>326</v>
      </c>
      <c r="B12" s="521" t="s">
        <v>327</v>
      </c>
      <c r="C12" s="524">
        <f>SUM(C13:C16)</f>
        <v>0</v>
      </c>
      <c r="D12" s="524">
        <f>SUM(D13:D16)</f>
        <v>0</v>
      </c>
      <c r="E12" s="524">
        <f>SUM(E13:E16)</f>
        <v>0</v>
      </c>
      <c r="F12" s="864"/>
      <c r="G12" s="524">
        <f>SUM(G13:G16)</f>
        <v>0</v>
      </c>
      <c r="H12" s="337"/>
    </row>
    <row r="13" spans="1:11" x14ac:dyDescent="0.2">
      <c r="A13" s="519" t="s">
        <v>328</v>
      </c>
      <c r="B13" s="522" t="s">
        <v>329</v>
      </c>
      <c r="C13" s="525">
        <f>SUMIF('Balance N Retraitée'!A:A,"221*",'Balance N Retraitée'!G:G)-SUMIF('Balance N Retraitée'!A:A,"221*",'Balance N Retraitée'!H:H)</f>
        <v>0</v>
      </c>
      <c r="D13" s="525">
        <f>(SUMIF('Balance N Retraitée'!A:A,"2821*",'Balance N Retraitée'!H:H)-SUMIF('Balance N Retraitée'!A:A,"2821*",'Balance N Retraitée'!G:G))+(SUMIF('Balance N Retraitée'!A:A,"2921*",'Balance N Retraitée'!H:H)-SUMIF('Balance N Retraitée'!A:A,"2921*",'Balance N Retraitée'!G:G))</f>
        <v>0</v>
      </c>
      <c r="E13" s="525">
        <f>+C13-D13</f>
        <v>0</v>
      </c>
      <c r="F13" s="865"/>
      <c r="G13" s="525">
        <f>(SUMIF('Balance N-1 Retraitée'!A:A,"221*",'Balance N-1 Retraitée'!G:G)-SUMIF('Balance N-1 Retraitée'!A:A,"221*",'Balance N-1 Retraitée'!H:H))-(SUMIF('Balance N-1 Retraitée'!A:A,"2821*",'Balance N-1 Retraitée'!H:H)-SUMIF('Balance N-1 Retraitée'!A:A,"2821*",'Balance N-1 Retraitée'!G:G))-(SUMIF('Balance N-1 Retraitée'!A:A,"2921*",'Balance N-1 Retraitée'!H:H)-SUMIF('Balance N-1 Retraitée'!A:A,"2921*",'Balance N-1 Retraitée'!G:G))</f>
        <v>0</v>
      </c>
      <c r="H13" s="337"/>
      <c r="I13" s="337"/>
      <c r="J13" s="337"/>
      <c r="K13" s="337"/>
    </row>
    <row r="14" spans="1:11" x14ac:dyDescent="0.2">
      <c r="A14" s="519" t="s">
        <v>324</v>
      </c>
      <c r="B14" s="518" t="s">
        <v>330</v>
      </c>
      <c r="C14" s="525">
        <f>SUMIF('Balance N Retraitée'!A:A,"222*",'Balance N Retraitée'!G:G)-SUMIF('Balance N Retraitée'!A:A,"222*",'Balance N Retraitée'!H:H)</f>
        <v>0</v>
      </c>
      <c r="D14" s="525">
        <f>(SUMIF('Balance N Retraitée'!A:A,"2822*",'Balance N Retraitée'!H:H)-SUMIF('Balance N Retraitée'!A:A,"2822*",'Balance N Retraitée'!G:G))+(SUMIF('Balance N Retraitée'!A:A,"2922*",'Balance N Retraitée'!H:H)-SUMIF('Balance N Retraitée'!A:A,"2922*",'Balance N Retraitée'!G:G))</f>
        <v>0</v>
      </c>
      <c r="E14" s="525">
        <f>+C14-D14</f>
        <v>0</v>
      </c>
      <c r="F14" s="865"/>
      <c r="G14" s="525">
        <f>(SUMIF('Balance N-1 Retraitée'!A:A,"222*",'Balance N-1 Retraitée'!G:G)-SUMIF('Balance N-1 Retraitée'!A:A,"222*",'Balance N-1 Retraitée'!H:H))-(SUMIF('Balance N-1 Retraitée'!A:A,"2822*",'Balance N-1 Retraitée'!H:H)-SUMIF('Balance N-1 Retraitée'!A:A,"2822*",'Balance N-1 Retraitée'!G:G))-(SUMIF('Balance N-1 Retraitée'!A:A,"2922*",'Balance N-1 Retraitée'!H:H)-SUMIF('Balance N-1 Retraitée'!A:A,"2922*",'Balance N-1 Retraitée'!G:G))</f>
        <v>0</v>
      </c>
      <c r="H14" s="337"/>
      <c r="I14" s="337"/>
      <c r="J14" s="337"/>
      <c r="K14" s="337"/>
    </row>
    <row r="15" spans="1:11" x14ac:dyDescent="0.2">
      <c r="A15" s="519" t="s">
        <v>331</v>
      </c>
      <c r="B15" s="518" t="s">
        <v>332</v>
      </c>
      <c r="C15" s="525">
        <f>SUMIF('Balance N Retraitée'!A:A,"223*",'Balance N Retraitée'!G:G)-SUMIF('Balance N Retraitée'!A:A,"223*",'Balance N Retraitée'!H:H)</f>
        <v>0</v>
      </c>
      <c r="D15" s="525">
        <f>(SUMIF('Balance N Retraitée'!A:A,"2823*",'Balance N Retraitée'!H:H)-SUMIF('Balance N Retraitée'!A:A,"2823*",'Balance N Retraitée'!G:G))+(SUMIF('Balance N Retraitée'!A:A,"2923*",'Balance N Retraitée'!H:H)-SUMIF('Balance N Retraitée'!A:A,"2923*",'Balance N Retraitée'!G:G))</f>
        <v>0</v>
      </c>
      <c r="E15" s="525">
        <f>+C15-D15</f>
        <v>0</v>
      </c>
      <c r="F15" s="865"/>
      <c r="G15" s="525">
        <f>(SUMIF('Balance N-1 Retraitée'!A:A,"223*",'Balance N-1 Retraitée'!G:G)-SUMIF('Balance N-1 Retraitée'!A:A,"223*",'Balance N-1 Retraitée'!H:H))-(SUMIF('Balance N-1 Retraitée'!A:A,"2823*",'Balance N-1 Retraitée'!H:H)-SUMIF('Balance N-1 Retraitée'!A:A,"2823*",'Balance N-1 Retraitée'!G:G))-(SUMIF('Balance N-1 Retraitée'!A:A,"2923*",'Balance N-1 Retraitée'!H:H)-SUMIF('Balance N-1 Retraitée'!A:A,"2923*",'Balance N-1 Retraitée'!G:G))</f>
        <v>0</v>
      </c>
      <c r="H15" s="337"/>
      <c r="I15" s="337"/>
      <c r="J15" s="337"/>
      <c r="K15" s="337"/>
    </row>
    <row r="16" spans="1:11" ht="12.75" thickBot="1" x14ac:dyDescent="0.25">
      <c r="A16" s="519" t="s">
        <v>333</v>
      </c>
      <c r="B16" s="520" t="s">
        <v>334</v>
      </c>
      <c r="C16" s="866">
        <f>SUMIF('Balance N Retraitée'!A:A,"228*",'Balance N Retraitée'!G:G)-SUMIF('Balance N Retraitée'!A:A,"228*",'Balance N Retraitée'!H:H)</f>
        <v>0</v>
      </c>
      <c r="D16" s="866">
        <f>(SUMIF('Balance N Retraitée'!A:A,"2828*",'Balance N Retraitée'!H:H)-SUMIF('Balance N Retraitée'!A:A,"2828*",'Balance N Retraitée'!G:G))+(SUMIF('Balance N Retraitée'!A:A,"2928*",'Balance N Retraitée'!H:H)-SUMIF('Balance N Retraitée'!A:A,"2928*",'Balance N Retraitée'!G:G))</f>
        <v>0</v>
      </c>
      <c r="E16" s="866">
        <f>+C16-D16</f>
        <v>0</v>
      </c>
      <c r="F16" s="865"/>
      <c r="G16" s="866">
        <f>(SUMIF('Balance N-1 Retraitée'!A:A,"228*",'Balance N-1 Retraitée'!G:G)-SUMIF('Balance N-1 Retraitée'!A:A,"228*",'Balance N-1 Retraitée'!H:H))-(SUMIF('Balance N-1 Retraitée'!A:A,"2828*",'Balance N-1 Retraitée'!H:H)-SUMIF('Balance N-1 Retraitée'!A:A,"2828*",'Balance N-1 Retraitée'!G:G))-(SUMIF('Balance N-1 Retraitée'!A:A,"2928*",'Balance N-1 Retraitée'!H:H)-SUMIF('Balance N-1 Retraitée'!A:A,"2928*",'Balance N-1 Retraitée'!G:G))</f>
        <v>0</v>
      </c>
      <c r="H16" s="337"/>
      <c r="I16" s="337"/>
      <c r="J16" s="337"/>
      <c r="K16" s="337"/>
    </row>
    <row r="17" spans="1:11" x14ac:dyDescent="0.2">
      <c r="A17" s="519" t="s">
        <v>331</v>
      </c>
      <c r="B17" s="514" t="s">
        <v>335</v>
      </c>
      <c r="C17" s="524">
        <f>SUM(C18:C24)</f>
        <v>1588527.58</v>
      </c>
      <c r="D17" s="524">
        <f>SUM(D18:D24)</f>
        <v>171177.26</v>
      </c>
      <c r="E17" s="524">
        <f>SUM(E18:E24)</f>
        <v>1417350.32</v>
      </c>
      <c r="F17" s="864"/>
      <c r="G17" s="524">
        <f>SUM(G18:G24)</f>
        <v>0</v>
      </c>
      <c r="H17" s="337"/>
    </row>
    <row r="18" spans="1:11" ht="12.75" x14ac:dyDescent="0.2">
      <c r="A18" s="519" t="s">
        <v>336</v>
      </c>
      <c r="B18" s="516" t="s">
        <v>301</v>
      </c>
      <c r="C18" s="525">
        <f>SUMIF('Balance N Retraitée'!A:A,"231*",'Balance N Retraitée'!G:G)-SUMIF('Balance N Retraitée'!A:A,"231*",'Balance N Retraitée'!H:H)</f>
        <v>0</v>
      </c>
      <c r="D18" s="525">
        <f>(SUMIF('Balance N Retraitée'!A:A,"2831*",'Balance N Retraitée'!H:H)-SUMIF('Balance N Retraitée'!A:A,"2831*",'Balance N Retraitée'!G:G))+(SUMIF('Balance N Retraitée'!A:A,"2931*",'Balance N Retraitée'!H:H)-SUMIF('Balance N Retraitée'!A:A,"2931*",'Balance N Retraitée'!G:G))</f>
        <v>0</v>
      </c>
      <c r="E18" s="525">
        <f t="shared" ref="E18:E28" si="0">+C18-D18</f>
        <v>0</v>
      </c>
      <c r="F18" s="865"/>
      <c r="G18" s="525">
        <f>(SUMIF('Balance N-1 Retraitée'!A:A,"231*",'Balance N-1 Retraitée'!G:G)-SUMIF('Balance N-1 Retraitée'!A:A,"231*",'Balance N-1 Retraitée'!H:H))-(SUMIF('Balance N-1 Retraitée'!A:A,"2831*",'Balance N-1 Retraitée'!H:H)-SUMIF('Balance N-1 Retraitée'!A:A,"2831*",'Balance N-1 Retraitée'!G:G))-(SUMIF('Balance N-1 Retraitée'!A:A,"2931*",'Balance N-1 Retraitée'!H:H)-SUMIF('Balance N-1 Retraitée'!A:A,"2931*",'Balance N-1 Retraitée'!G:G))</f>
        <v>0</v>
      </c>
      <c r="H18" s="337"/>
      <c r="I18" s="337"/>
      <c r="J18" s="337"/>
      <c r="K18" s="337"/>
    </row>
    <row r="19" spans="1:11" ht="12.75" x14ac:dyDescent="0.2">
      <c r="A19" s="519" t="s">
        <v>337</v>
      </c>
      <c r="B19" s="518" t="s">
        <v>302</v>
      </c>
      <c r="C19" s="525">
        <f>SUMIF('Balance N Retraitée'!A:A,"232*",'Balance N Retraitée'!G:G)-SUMIF('Balance N Retraitée'!A:A,"232*",'Balance N Retraitée'!H:H)</f>
        <v>9700</v>
      </c>
      <c r="D19" s="525">
        <f>(SUMIF('Balance N Retraitée'!A:A,"2832*",'Balance N Retraitée'!H:H)-SUMIF('Balance N Retraitée'!A:A,"2832*",'Balance N Retraitée'!G:G))+(SUMIF('Balance N Retraitée'!A:A,"2932*",'Balance N Retraitée'!H:H)-SUMIF('Balance N Retraitée'!A:A,"2932*",'Balance N Retraitée'!G:G))</f>
        <v>1215</v>
      </c>
      <c r="E19" s="525">
        <f t="shared" si="0"/>
        <v>8485</v>
      </c>
      <c r="F19" s="865"/>
      <c r="G19" s="525">
        <f>(SUMIF('Balance N-1 Retraitée'!A:A,"232*",'Balance N-1 Retraitée'!G:G)-SUMIF('Balance N-1 Retraitée'!A:A,"232*",'Balance N-1 Retraitée'!H:H))-(SUMIF('Balance N-1 Retraitée'!A:A,"2832*",'Balance N-1 Retraitée'!H:H)-SUMIF('Balance N-1 Retraitée'!A:A,"2832*",'Balance N-1 Retraitée'!G:G))-(SUMIF('Balance N-1 Retraitée'!A:A,"2932*",'Balance N-1 Retraitée'!H:H)-SUMIF('Balance N-1 Retraitée'!A:A,"2932*",'Balance N-1 Retraitée'!G:G))</f>
        <v>0</v>
      </c>
      <c r="H19" s="337"/>
      <c r="I19" s="337"/>
      <c r="J19" s="337"/>
      <c r="K19" s="337"/>
    </row>
    <row r="20" spans="1:11" ht="15" x14ac:dyDescent="0.2">
      <c r="A20" s="519" t="s">
        <v>338</v>
      </c>
      <c r="B20" s="518" t="s">
        <v>303</v>
      </c>
      <c r="C20" s="525">
        <f>SUMIF('Balance N Retraitée'!A:A,"233*",'Balance N Retraitée'!G:G)-SUMIF('Balance N Retraitée'!A:A,"233*",'Balance N Retraitée'!H:H)</f>
        <v>0</v>
      </c>
      <c r="D20" s="525">
        <f>(SUMIF('Balance N Retraitée'!A:A,"2833*",'Balance N Retraitée'!H:H)-SUMIF('Balance N Retraitée'!A:A,"2833*",'Balance N Retraitée'!G:G))+(SUMIF('Balance N Retraitée'!A:A,"2933*",'Balance N Retraitée'!H:H)-SUMIF('Balance N Retraitée'!A:A,"2933*",'Balance N Retraitée'!G:G))</f>
        <v>0</v>
      </c>
      <c r="E20" s="525">
        <f t="shared" si="0"/>
        <v>0</v>
      </c>
      <c r="F20" s="865"/>
      <c r="G20" s="525">
        <f>(SUMIF('Balance N-1 Retraitée'!A:A,"233*",'Balance N-1 Retraitée'!G:G)-SUMIF('Balance N-1 Retraitée'!A:A,"233*",'Balance N-1 Retraitée'!H:H))-(SUMIF('Balance N-1 Retraitée'!A:A,"2833*",'Balance N-1 Retraitée'!H:H)-SUMIF('Balance N-1 Retraitée'!A:A,"2833*",'Balance N-1 Retraitée'!G:G))-(SUMIF('Balance N-1 Retraitée'!A:A,"2933*",'Balance N-1 Retraitée'!H:H)-SUMIF('Balance N-1 Retraitée'!A:A,"2933*",'Balance N-1 Retraitée'!G:G))</f>
        <v>0</v>
      </c>
      <c r="H20" s="337"/>
      <c r="I20" s="337"/>
      <c r="J20" s="337"/>
      <c r="K20" s="337"/>
    </row>
    <row r="21" spans="1:11" ht="15" x14ac:dyDescent="0.2">
      <c r="A21" s="519" t="s">
        <v>338</v>
      </c>
      <c r="B21" s="392" t="s">
        <v>304</v>
      </c>
      <c r="C21" s="525">
        <f>SUMIF('Balance N Retraitée'!A:A,"234*",'Balance N Retraitée'!G:G)-SUMIF('Balance N Retraitée'!A:A,"234*",'Balance N Retraitée'!H:H)</f>
        <v>1578827.58</v>
      </c>
      <c r="D21" s="525">
        <f>(SUMIF('Balance N Retraitée'!A:A,"2834*",'Balance N Retraitée'!H:H)-SUMIF('Balance N Retraitée'!A:A,"2834*",'Balance N Retraitée'!G:G))+(SUMIF('Balance N Retraitée'!A:A,"2934*",'Balance N Retraitée'!H:H)-SUMIF('Balance N Retraitée'!A:A,"2934*",'Balance N Retraitée'!G:G))</f>
        <v>169962.26</v>
      </c>
      <c r="E21" s="525">
        <f t="shared" si="0"/>
        <v>1408865.32</v>
      </c>
      <c r="F21" s="865"/>
      <c r="G21" s="525">
        <f>(SUMIF('Balance N-1 Retraitée'!A:A,"234*",'Balance N-1 Retraitée'!G:G)-SUMIF('Balance N-1 Retraitée'!A:A,"234*",'Balance N-1 Retraitée'!H:H))-(SUMIF('Balance N-1 Retraitée'!A:A,"2834*",'Balance N-1 Retraitée'!H:H)-SUMIF('Balance N-1 Retraitée'!A:A,"2834*",'Balance N-1 Retraitée'!G:G))-(SUMIF('Balance N-1 Retraitée'!A:A,"2934*",'Balance N-1 Retraitée'!H:H)-SUMIF('Balance N-1 Retraitée'!A:A,"2934*",'Balance N-1 Retraitée'!G:G))</f>
        <v>0</v>
      </c>
      <c r="H21" s="337"/>
      <c r="I21" s="337"/>
      <c r="J21" s="337"/>
      <c r="K21" s="337"/>
    </row>
    <row r="22" spans="1:11" x14ac:dyDescent="0.2">
      <c r="A22" s="519" t="s">
        <v>339</v>
      </c>
      <c r="B22" s="392" t="s">
        <v>305</v>
      </c>
      <c r="C22" s="525">
        <f>SUMIF('Balance N Retraitée'!A:A,"235*",'Balance N Retraitée'!G:G)-SUMIF('Balance N Retraitée'!A:A,"235*",'Balance N Retraitée'!H:H)</f>
        <v>0</v>
      </c>
      <c r="D22" s="525">
        <f>(SUMIF('Balance N Retraitée'!A:A,"2835*",'Balance N Retraitée'!H:H)-SUMIF('Balance N Retraitée'!A:A,"2835*",'Balance N Retraitée'!G:G))+(SUMIF('Balance N Retraitée'!A:A,"2935*",'Balance N Retraitée'!H:H)-SUMIF('Balance N Retraitée'!A:A,"2935*",'Balance N Retraitée'!G:G))</f>
        <v>0</v>
      </c>
      <c r="E22" s="525">
        <f t="shared" si="0"/>
        <v>0</v>
      </c>
      <c r="F22" s="865"/>
      <c r="G22" s="525">
        <f>(SUMIF('Balance N-1 Retraitée'!A:A,"235*",'Balance N-1 Retraitée'!G:G)-SUMIF('Balance N-1 Retraitée'!A:A,"235*",'Balance N-1 Retraitée'!H:H))-(SUMIF('Balance N-1 Retraitée'!A:A,"2835*",'Balance N-1 Retraitée'!H:H)-SUMIF('Balance N-1 Retraitée'!A:A,"2835*",'Balance N-1 Retraitée'!G:G))-(SUMIF('Balance N-1 Retraitée'!A:A,"2935*",'Balance N-1 Retraitée'!H:H)-SUMIF('Balance N-1 Retraitée'!A:A,"2935*",'Balance N-1 Retraitée'!G:G))</f>
        <v>0</v>
      </c>
      <c r="H22" s="337"/>
      <c r="I22" s="337"/>
      <c r="J22" s="337"/>
      <c r="K22" s="337"/>
    </row>
    <row r="23" spans="1:11" x14ac:dyDescent="0.2">
      <c r="A23" s="519"/>
      <c r="B23" s="385" t="s">
        <v>306</v>
      </c>
      <c r="C23" s="525">
        <f>SUMIF('Balance N Retraitée'!A:A,"236*",'Balance N Retraitée'!G:G)-SUMIF('Balance N Retraitée'!A:A,"236*",'Balance N Retraitée'!H:H)</f>
        <v>0</v>
      </c>
      <c r="D23" s="525">
        <f>(SUMIF('Balance N Retraitée'!A:A,"2836*",'Balance N Retraitée'!H:H)-SUMIF('Balance N Retraitée'!A:A,"2836*",'Balance N Retraitée'!G:G))+(SUMIF('Balance N Retraitée'!A:A,"2936*",'Balance N Retraitée'!H:H)-SUMIF('Balance N Retraitée'!A:A,"2936*",'Balance N Retraitée'!G:G))</f>
        <v>0</v>
      </c>
      <c r="E23" s="525">
        <f t="shared" si="0"/>
        <v>0</v>
      </c>
      <c r="F23" s="865"/>
      <c r="G23" s="525">
        <f>(SUMIF('Balance N-1 Retraitée'!A:A,"236*",'Balance N-1 Retraitée'!G:G)-SUMIF('Balance N-1 Retraitée'!A:A,"236*",'Balance N-1 Retraitée'!H:H))-(SUMIF('Balance N-1 Retraitée'!A:A,"2836*",'Balance N-1 Retraitée'!H:H)-SUMIF('Balance N-1 Retraitée'!A:A,"2836*",'Balance N-1 Retraitée'!G:G))-(SUMIF('Balance N-1 Retraitée'!A:A,"2936*",'Balance N-1 Retraitée'!H:H)-SUMIF('Balance N-1 Retraitée'!A:A,"2936*",'Balance N-1 Retraitée'!G:G))</f>
        <v>0</v>
      </c>
      <c r="H23" s="337"/>
      <c r="I23" s="337"/>
      <c r="J23" s="337"/>
      <c r="K23" s="337"/>
    </row>
    <row r="24" spans="1:11" ht="12.75" thickBot="1" x14ac:dyDescent="0.25">
      <c r="A24" s="519" t="s">
        <v>324</v>
      </c>
      <c r="B24" s="523" t="s">
        <v>340</v>
      </c>
      <c r="C24" s="866">
        <f>SUMIF('Balance N Retraitée'!A:A,"238*",'Balance N Retraitée'!G:G)-SUMIF('Balance N Retraitée'!A:A,"238*",'Balance N Retraitée'!H:H)</f>
        <v>0</v>
      </c>
      <c r="D24" s="866">
        <f>(SUMIF('Balance N Retraitée'!A:A,"2838*",'Balance N Retraitée'!H:H)-SUMIF('Balance N Retraitée'!A:A,"2838*",'Balance N Retraitée'!G:G))+(SUMIF('Balance N Retraitée'!A:A,"2938*",'Balance N Retraitée'!H:H)-SUMIF('Balance N Retraitée'!A:A,"2938*",'Balance N Retraitée'!G:G))</f>
        <v>0</v>
      </c>
      <c r="E24" s="866">
        <f>+C24-D24</f>
        <v>0</v>
      </c>
      <c r="F24" s="865"/>
      <c r="G24" s="866">
        <f>(SUMIF('Balance N-1 Retraitée'!A:A,"238*",'Balance N-1 Retraitée'!G:G)-SUMIF('Balance N-1 Retraitée'!A:A,"238*",'Balance N-1 Retraitée'!H:H))-(SUMIF('Balance N-1 Retraitée'!A:A,"2838*",'Balance N-1 Retraitée'!H:H)-SUMIF('Balance N-1 Retraitée'!A:A,"2838*",'Balance N-1 Retraitée'!G:G))-(SUMIF('Balance N-1 Retraitée'!A:A,"2938*",'Balance N-1 Retraitée'!H:H)-SUMIF('Balance N-1 Retraitée'!A:A,"2938*",'Balance N-1 Retraitée'!G:G))</f>
        <v>0</v>
      </c>
      <c r="H24" s="337"/>
    </row>
    <row r="25" spans="1:11" x14ac:dyDescent="0.2">
      <c r="A25" s="519" t="s">
        <v>341</v>
      </c>
      <c r="B25" s="396" t="s">
        <v>342</v>
      </c>
      <c r="C25" s="524">
        <f>SUM(C26:C29)</f>
        <v>0</v>
      </c>
      <c r="D25" s="524">
        <f>SUM(D26:D29)</f>
        <v>0</v>
      </c>
      <c r="E25" s="524">
        <f>SUM(E26:E29)</f>
        <v>0</v>
      </c>
      <c r="F25" s="864"/>
      <c r="G25" s="524">
        <f>SUM(G26:G29)</f>
        <v>0</v>
      </c>
      <c r="H25" s="337"/>
    </row>
    <row r="26" spans="1:11" ht="13.5" x14ac:dyDescent="0.2">
      <c r="A26" s="519" t="s">
        <v>343</v>
      </c>
      <c r="B26" s="400" t="s">
        <v>344</v>
      </c>
      <c r="C26" s="525">
        <f>SUMIF('Balance N Retraitée'!A:A,"241*",'Balance N Retraitée'!G:G)-SUMIF('Balance N Retraitée'!A:A,"241*",'Balance N Retraitée'!H:H)</f>
        <v>0</v>
      </c>
      <c r="D26" s="525">
        <f>(SUMIF('Balance N Retraitée'!A:A,"2941*",'Balance N Retraitée'!H:H)-SUMIF('Balance N Retraitée'!A:A,"2941*",'Balance N Retraitée'!G:G))</f>
        <v>0</v>
      </c>
      <c r="E26" s="525">
        <f>+C26-D26</f>
        <v>0</v>
      </c>
      <c r="F26" s="865"/>
      <c r="G26" s="525">
        <f>(SUMIF('Balance N-1 Retraitée'!A:A,"241*",'Balance N-1 Retraitée'!G:G)-SUMIF('Balance N-1 Retraitée'!A:A,"241*",'Balance N-1 Retraitée'!H:H))-(SUMIF('Balance N-1 Retraitée'!A:A,"2941*",'Balance N-1 Retraitée'!H:H)-SUMIF('Balance N-1 Retraitée'!A:A,"2941*",'Balance N-1 Retraitée'!G:G))</f>
        <v>0</v>
      </c>
      <c r="H26" s="337"/>
    </row>
    <row r="27" spans="1:11" x14ac:dyDescent="0.2">
      <c r="A27" s="519" t="s">
        <v>326</v>
      </c>
      <c r="B27" s="385" t="s">
        <v>345</v>
      </c>
      <c r="C27" s="525">
        <f>SUMIF('Balance N Retraitée'!A:A,"248*",'Balance N Retraitée'!G:G)-SUMIF('Balance N Retraitée'!A:A,"248*",'Balance N Retraitée'!H:H)</f>
        <v>0</v>
      </c>
      <c r="D27" s="525">
        <f>(SUMIF('Balance N Retraitée'!A:A,"2948*",'Balance N Retraitée'!H:H)-SUMIF('Balance N Retraitée'!A:A,"2948*",'Balance N Retraitée'!G:G))</f>
        <v>0</v>
      </c>
      <c r="E27" s="525">
        <f>+C27-D27</f>
        <v>0</v>
      </c>
      <c r="F27" s="865"/>
      <c r="G27" s="525">
        <f>(SUMIF('Balance N-1 Retraitée'!A:A,"248*",'Balance N-1 Retraitée'!G:G)-SUMIF('Balance N-1 Retraitée'!A:A,"248*",'Balance N-1 Retraitée'!H:H))-(SUMIF('Balance N-1 Retraitée'!A:A,"2948*",'Balance N-1 Retraitée'!H:H)-SUMIF('Balance N-1 Retraitée'!A:A,"2948*",'Balance N-1 Retraitée'!G:G))</f>
        <v>0</v>
      </c>
      <c r="H27" s="337"/>
      <c r="I27" s="337"/>
      <c r="J27" s="337"/>
      <c r="K27" s="337"/>
    </row>
    <row r="28" spans="1:11" x14ac:dyDescent="0.2">
      <c r="A28" s="519" t="s">
        <v>333</v>
      </c>
      <c r="B28" s="385" t="s">
        <v>346</v>
      </c>
      <c r="C28" s="992">
        <f>SUMIF('Balance N Retraitée'!A:A,"251*",'Balance N Retraitée'!G:G)-SUMIF('Balance N Retraitée'!A:A,"251*",'Balance N Retraitée'!H:H)</f>
        <v>0</v>
      </c>
      <c r="D28" s="992">
        <f>(SUMIF('Balance N Retraitée'!A:A,"2951*",'Balance N Retraitée'!H:H)-SUMIF('Balance N Retraitée'!A:A,"2951*",'Balance N Retraitée'!G:G))</f>
        <v>0</v>
      </c>
      <c r="E28" s="992">
        <f t="shared" si="0"/>
        <v>0</v>
      </c>
      <c r="F28" s="865"/>
      <c r="G28" s="525">
        <f>(SUMIF('Balance N-1 Retraitée'!A:A,"251*",'Balance N-1 Retraitée'!G:G)-SUMIF('Balance N-1 Retraitée'!A:A,"251*",'Balance N-1 Retraitée'!H:H))-(SUMIF('Balance N-1 Retraitée'!A:A,"2951*",'Balance N-1 Retraitée'!H:H)-SUMIF('Balance N-1 Retraitée'!A:A,"2951*",'Balance N-1 Retraitée'!G:G))</f>
        <v>0</v>
      </c>
      <c r="H28" s="337"/>
      <c r="I28" s="337"/>
      <c r="J28" s="337"/>
    </row>
    <row r="29" spans="1:11" ht="13.5" thickBot="1" x14ac:dyDescent="0.25">
      <c r="A29" s="519" t="s">
        <v>347</v>
      </c>
      <c r="B29" s="523" t="s">
        <v>348</v>
      </c>
      <c r="C29" s="866">
        <f>SUMIF('Balance N Retraitée'!A:A,"258*",'Balance N Retraitée'!G:G)-SUMIF('Balance N Retraitée'!A:A,"258*",'Balance N Retraitée'!H:H)</f>
        <v>0</v>
      </c>
      <c r="D29" s="866">
        <f>(SUMIF('Balance N Retraitée'!A:A,"2958*",'Balance N Retraitée'!H:H)-SUMIF('Balance N Retraitée'!A:A,"2958*",'Balance N Retraitée'!G:G))</f>
        <v>0</v>
      </c>
      <c r="E29" s="866">
        <f>+C29-D29</f>
        <v>0</v>
      </c>
      <c r="F29" s="865"/>
      <c r="G29" s="866">
        <f>(SUMIF('Balance N-1 Retraitée'!A:A,"258*",'Balance N-1 Retraitée'!G:G)-SUMIF('Balance N-1 Retraitée'!A:A,"258*",'Balance N-1 Retraitée'!H:H))-(SUMIF('Balance N-1 Retraitée'!A:A,"2958*",'Balance N-1 Retraitée'!H:H)-SUMIF('Balance N-1 Retraitée'!A:A,"2958*",'Balance N-1 Retraitée'!G:G))</f>
        <v>0</v>
      </c>
      <c r="H29" s="337"/>
    </row>
    <row r="30" spans="1:11" ht="13.5" x14ac:dyDescent="0.2">
      <c r="A30" s="519" t="s">
        <v>349</v>
      </c>
      <c r="B30" s="396" t="s">
        <v>350</v>
      </c>
      <c r="C30" s="524">
        <v>0</v>
      </c>
      <c r="D30" s="914"/>
      <c r="E30" s="524">
        <f>SUM(E31:E32)</f>
        <v>0</v>
      </c>
      <c r="F30" s="865"/>
      <c r="G30" s="524">
        <f>SUM(G31:G32)</f>
        <v>0</v>
      </c>
      <c r="H30" s="337"/>
      <c r="I30" s="771"/>
      <c r="J30" s="337"/>
      <c r="K30" s="337"/>
    </row>
    <row r="31" spans="1:11" x14ac:dyDescent="0.2">
      <c r="A31" s="513"/>
      <c r="B31" s="400" t="s">
        <v>351</v>
      </c>
      <c r="C31" s="525">
        <f>SUMIF('Balance N Retraitée'!A:A,"271*",'Balance N Retraitée'!G:G)-SUMIF('Balance N Retraitée'!A:A,"271*",'Balance N Retraitée'!H:H)</f>
        <v>0</v>
      </c>
      <c r="D31" s="915"/>
      <c r="E31" s="525">
        <f>C31</f>
        <v>0</v>
      </c>
      <c r="F31" s="865"/>
      <c r="G31" s="525">
        <f>SUMIF('Balance N-1 Retraitée'!A:A,"271*",'Balance N-1 Retraitée'!G:G)-SUMIF('Balance N-1 Retraitée'!A:A,"271*",'Balance N-1 Retraitée'!H:H)</f>
        <v>0</v>
      </c>
      <c r="H31" s="337"/>
      <c r="I31" s="771"/>
      <c r="J31" s="337"/>
      <c r="K31" s="337"/>
    </row>
    <row r="32" spans="1:11" ht="12.75" thickBot="1" x14ac:dyDescent="0.25">
      <c r="A32" s="513"/>
      <c r="B32" s="526" t="s">
        <v>352</v>
      </c>
      <c r="C32" s="866">
        <f>SUMIF('Balance N Retraitée'!A:A,"272*",'Balance N Retraitée'!G:G)-SUMIF('Balance N Retraitée'!A:A,"272*",'Balance N Retraitée'!H:H)</f>
        <v>0</v>
      </c>
      <c r="D32" s="916"/>
      <c r="E32" s="866">
        <f>C32</f>
        <v>0</v>
      </c>
      <c r="F32" s="865"/>
      <c r="G32" s="866">
        <f>SUMIF('Balance N-1 Retraitée'!A:A,"272*",'Balance N-1 Retraitée'!G:G)-SUMIF('Balance N-1 Retraitée'!A:A,"272*",'Balance N-1 Retraitée'!H:H)</f>
        <v>0</v>
      </c>
      <c r="H32" s="337"/>
    </row>
    <row r="33" spans="1:14" ht="13.5" thickBot="1" x14ac:dyDescent="0.25">
      <c r="A33" s="527"/>
      <c r="B33" s="528" t="s">
        <v>353</v>
      </c>
      <c r="C33" s="917">
        <f>+C8+C12+C17+C25+C30</f>
        <v>1593527.58</v>
      </c>
      <c r="D33" s="917">
        <f>+D8+D12+D17+D25+D30</f>
        <v>173538.13</v>
      </c>
      <c r="E33" s="917">
        <f>+E8+E12+E17+E25+E30</f>
        <v>1419989.45</v>
      </c>
      <c r="F33" s="865"/>
      <c r="G33" s="917">
        <f>+G8+G12+G17+G25+G30</f>
        <v>4305.63</v>
      </c>
      <c r="H33" s="337"/>
      <c r="I33" s="771"/>
      <c r="J33" s="771"/>
      <c r="K33" s="771"/>
      <c r="L33" s="814"/>
      <c r="M33" s="771"/>
      <c r="N33" s="829"/>
    </row>
    <row r="34" spans="1:14" s="21" customFormat="1" ht="3.95" customHeight="1" thickBot="1" x14ac:dyDescent="0.25">
      <c r="A34" s="494"/>
      <c r="B34" s="494"/>
      <c r="C34" s="529"/>
      <c r="D34" s="529"/>
      <c r="E34" s="529"/>
      <c r="F34" s="517"/>
      <c r="G34" s="529"/>
      <c r="H34" s="337"/>
    </row>
    <row r="35" spans="1:14" x14ac:dyDescent="0.2">
      <c r="A35" s="506"/>
      <c r="B35" s="530" t="s">
        <v>354</v>
      </c>
      <c r="C35" s="912">
        <f>SUM(C36:C40)</f>
        <v>0</v>
      </c>
      <c r="D35" s="912">
        <f>SUM(D36:D40)</f>
        <v>0</v>
      </c>
      <c r="E35" s="912">
        <f>SUM(E36:E40)</f>
        <v>0</v>
      </c>
      <c r="F35" s="864"/>
      <c r="G35" s="912">
        <f>SUM(G36:G40)</f>
        <v>0</v>
      </c>
      <c r="H35" s="337"/>
    </row>
    <row r="36" spans="1:14" x14ac:dyDescent="0.2">
      <c r="A36" s="506"/>
      <c r="B36" s="400" t="s">
        <v>296</v>
      </c>
      <c r="C36" s="525">
        <f>SUMIF('Balance N Retraitée'!A:A,"311*",'Balance N Retraitée'!G:G)-SUMIF('Balance N Retraitée'!A:A,"311*",'Balance N Retraitée'!H:H)</f>
        <v>0</v>
      </c>
      <c r="D36" s="525">
        <f>SUMIF('Balance N Retraitée'!A:A,"3911*",'Balance N Retraitée'!H:H)-SUMIF('Balance N Retraitée'!A:A,"3911*",'Balance N Retraitée'!G:G)</f>
        <v>0</v>
      </c>
      <c r="E36" s="525">
        <f>+C36-D36</f>
        <v>0</v>
      </c>
      <c r="F36" s="865"/>
      <c r="G36" s="525">
        <f>(SUMIF('Balance N-1 Retraitée'!A:A,"311*",'Balance N-1 Retraitée'!G:G)-SUMIF('Balance N-1 Retraitée'!A:A,"311*",'Balance N-1 Retraitée'!H:H))-(SUMIF('Balance N-1 Retraitée'!A:A,"3911*",'Balance N-1 Retraitée'!H:H)-SUMIF('Balance N-1 Retraitée'!A:A,"3911*",'Balance N-1 Retraitée'!G:G))</f>
        <v>0</v>
      </c>
      <c r="H36" s="337"/>
    </row>
    <row r="37" spans="1:14" x14ac:dyDescent="0.2">
      <c r="A37" s="506"/>
      <c r="B37" s="385" t="s">
        <v>297</v>
      </c>
      <c r="C37" s="525">
        <f>SUMIF('Balance N Retraitée'!A:A,"312*",'Balance N Retraitée'!G:G)-SUMIF('Balance N Retraitée'!A:A,"312*",'Balance N Retraitée'!H:H)</f>
        <v>0</v>
      </c>
      <c r="D37" s="525">
        <f>SUMIF('Balance N Retraitée'!A:A,"3912*",'Balance N Retraitée'!H:H)-SUMIF('Balance N Retraitée'!A:A,"3912*",'Balance N Retraitée'!G:G)</f>
        <v>0</v>
      </c>
      <c r="E37" s="525">
        <f>+C37-D37</f>
        <v>0</v>
      </c>
      <c r="F37" s="865"/>
      <c r="G37" s="525">
        <f>(SUMIF('Balance N-1 Retraitée'!A:A,"312*",'Balance N-1 Retraitée'!G:G)-SUMIF('Balance N-1 Retraitée'!A:A,"312*",'Balance N-1 Retraitée'!H:H))-(SUMIF('Balance N-1 Retraitée'!A:A,"3912*",'Balance N-1 Retraitée'!H:H)-SUMIF('Balance N-1 Retraitée'!A:A,"3912*",'Balance N-1 Retraitée'!G:G))</f>
        <v>0</v>
      </c>
      <c r="H37" s="337"/>
      <c r="I37" s="337"/>
      <c r="J37" s="337"/>
      <c r="K37" s="337"/>
    </row>
    <row r="38" spans="1:14" x14ac:dyDescent="0.2">
      <c r="A38" s="506"/>
      <c r="B38" s="385" t="s">
        <v>298</v>
      </c>
      <c r="C38" s="525">
        <f>SUMIF('Balance N Retraitée'!A:A,"313*",'Balance N Retraitée'!G:G)-SUMIF('Balance N Retraitée'!A:A,"313*",'Balance N Retraitée'!H:H)</f>
        <v>0</v>
      </c>
      <c r="D38" s="525">
        <f>SUMIF('Balance N Retraitée'!A:A,"3913*",'Balance N Retraitée'!H:H)-SUMIF('Balance N Retraitée'!A:A,"3913*",'Balance N Retraitée'!G:G)</f>
        <v>0</v>
      </c>
      <c r="E38" s="525">
        <f>+C38-D38</f>
        <v>0</v>
      </c>
      <c r="F38" s="865"/>
      <c r="G38" s="525">
        <f>(SUMIF('Balance N-1 Retraitée'!A:A,"313*",'Balance N-1 Retraitée'!G:G)-SUMIF('Balance N-1 Retraitée'!A:A,"313*",'Balance N-1 Retraitée'!H:H))-(SUMIF('Balance N-1 Retraitée'!A:A,"3913*",'Balance N-1 Retraitée'!H:H)-SUMIF('Balance N-1 Retraitée'!A:A,"3913*",'Balance N-1 Retraitée'!G:G))</f>
        <v>0</v>
      </c>
      <c r="H38" s="337"/>
    </row>
    <row r="39" spans="1:14" x14ac:dyDescent="0.2">
      <c r="A39" s="506"/>
      <c r="B39" s="392" t="s">
        <v>299</v>
      </c>
      <c r="C39" s="525">
        <f>SUMIF('Balance N Retraitée'!A:A,"314*",'Balance N Retraitée'!G:G)-SUMIF('Balance N Retraitée'!A:A,"314*",'Balance N Retraitée'!H:H)</f>
        <v>0</v>
      </c>
      <c r="D39" s="525">
        <f>SUMIF('Balance N Retraitée'!A:A,"3914*",'Balance N Retraitée'!H:H)-SUMIF('Balance N Retraitée'!A:A,"3914*",'Balance N Retraitée'!G:G)</f>
        <v>0</v>
      </c>
      <c r="E39" s="525">
        <f>+C39-D39</f>
        <v>0</v>
      </c>
      <c r="F39" s="865"/>
      <c r="G39" s="525">
        <f>(SUMIF('Balance N-1 Retraitée'!A:A,"314*",'Balance N-1 Retraitée'!G:G)-SUMIF('Balance N-1 Retraitée'!A:A,"314*",'Balance N-1 Retraitée'!H:H))-(SUMIF('Balance N-1 Retraitée'!A:A,"3914*",'Balance N-1 Retraitée'!H:H)-SUMIF('Balance N-1 Retraitée'!A:A,"3914*",'Balance N-1 Retraitée'!G:G))</f>
        <v>0</v>
      </c>
      <c r="H39" s="337"/>
    </row>
    <row r="40" spans="1:14" ht="12.75" thickBot="1" x14ac:dyDescent="0.25">
      <c r="A40" s="506"/>
      <c r="B40" s="523" t="s">
        <v>300</v>
      </c>
      <c r="C40" s="866">
        <f>SUMIF('Balance N Retraitée'!A:A,"315*",'Balance N Retraitée'!G:G)-SUMIF('Balance N Retraitée'!A:A,"315*",'Balance N Retraitée'!H:H)</f>
        <v>0</v>
      </c>
      <c r="D40" s="866">
        <f>SUMIF('Balance N Retraitée'!A:A,"3915*",'Balance N Retraitée'!H:H)-SUMIF('Balance N Retraitée'!A:A,"3915*",'Balance N Retraitée'!G:G)</f>
        <v>0</v>
      </c>
      <c r="E40" s="866">
        <f>+C40-D40</f>
        <v>0</v>
      </c>
      <c r="F40" s="865"/>
      <c r="G40" s="866">
        <f>(SUMIF('Balance N-1 Retraitée'!A:A,"315*",'Balance N-1 Retraitée'!G:G)-SUMIF('Balance N-1 Retraitée'!A:A,"315*",'Balance N-1 Retraitée'!H:H))-(SUMIF('Balance N-1 Retraitée'!A:A,"3915*",'Balance N-1 Retraitée'!H:H)-SUMIF('Balance N-1 Retraitée'!A:A,"3915*",'Balance N-1 Retraitée'!G:G))</f>
        <v>0</v>
      </c>
      <c r="H40" s="337"/>
    </row>
    <row r="41" spans="1:14" x14ac:dyDescent="0.2">
      <c r="A41" s="506"/>
      <c r="B41" s="531" t="s">
        <v>355</v>
      </c>
      <c r="C41" s="524">
        <f>SUM(C42:C48)</f>
        <v>308800.71999999997</v>
      </c>
      <c r="D41" s="524">
        <f>SUM(D42:D48)</f>
        <v>0</v>
      </c>
      <c r="E41" s="524">
        <f>SUM(E42:E48)</f>
        <v>308800.71999999997</v>
      </c>
      <c r="F41" s="864"/>
      <c r="G41" s="524">
        <f>SUM(G42:G48)</f>
        <v>34.53</v>
      </c>
      <c r="H41" s="337"/>
    </row>
    <row r="42" spans="1:14" x14ac:dyDescent="0.2">
      <c r="A42" s="506"/>
      <c r="B42" s="532" t="s">
        <v>356</v>
      </c>
      <c r="C42" s="525">
        <f>SUMIF('Balance N Retraitée'!A:A,"341*",'Balance N Retraitée'!G:G)-SUMIF('Balance N Retraitée'!A:A,"341*",'Balance N Retraitée'!H:H)</f>
        <v>0</v>
      </c>
      <c r="D42" s="525">
        <f>SUMIF('Balance N Retraitée'!A:A,"3941*",'Balance N Retraitée'!H:H)-SUMIF('Balance N Retraitée'!A:A,"3941*",'Balance N Retraitée'!G:G)</f>
        <v>0</v>
      </c>
      <c r="E42" s="525">
        <f t="shared" ref="E42:E48" si="1">+C42-D42</f>
        <v>0</v>
      </c>
      <c r="F42" s="865"/>
      <c r="G42" s="525">
        <f>(SUMIF('Balance N-1 Retraitée'!A:A,"341*",'Balance N-1 Retraitée'!G:G)-SUMIF('Balance N-1 Retraitée'!A:A,"341*",'Balance N-1 Retraitée'!H:H))-(SUMIF('Balance N-1 Retraitée'!A:A,"3941*",'Balance N-1 Retraitée'!H:H)-SUMIF('Balance N-1 Retraitée'!A:A,"3941*",'Balance N-1 Retraitée'!G:G))</f>
        <v>0</v>
      </c>
      <c r="H42" s="337"/>
    </row>
    <row r="43" spans="1:14" x14ac:dyDescent="0.2">
      <c r="A43" s="506"/>
      <c r="B43" s="385" t="s">
        <v>357</v>
      </c>
      <c r="C43" s="525">
        <f>SUMIF('Balance N Retraitée'!A:A,"342*",'Balance N Retraitée'!G:G)-SUMIF('Balance N Retraitée'!A:A,"342*",'Balance N Retraitée'!H:H)</f>
        <v>288000</v>
      </c>
      <c r="D43" s="525">
        <f>SUMIF('Balance N Retraitée'!A:A,"3942*",'Balance N Retraitée'!H:H)-SUMIF('Balance N Retraitée'!A:A,"3942*",'Balance N Retraitée'!G:G)</f>
        <v>0</v>
      </c>
      <c r="E43" s="525">
        <f t="shared" si="1"/>
        <v>288000</v>
      </c>
      <c r="F43" s="865"/>
      <c r="G43" s="525">
        <f>(SUMIF('Balance N-1 Retraitée'!A:A,"342*",'Balance N-1 Retraitée'!G:G)-SUMIF('Balance N-1 Retraitée'!A:A,"342*",'Balance N-1 Retraitée'!H:H))-(SUMIF('Balance N-1 Retraitée'!A:A,"3942*",'Balance N-1 Retraitée'!H:H)-SUMIF('Balance N-1 Retraitée'!A:A,"3942*",'Balance N-1 Retraitée'!G:G))</f>
        <v>0</v>
      </c>
      <c r="H43" s="337"/>
      <c r="I43" s="337"/>
      <c r="J43" s="337"/>
      <c r="K43" s="337"/>
    </row>
    <row r="44" spans="1:14" x14ac:dyDescent="0.2">
      <c r="A44" s="506"/>
      <c r="B44" s="385" t="s">
        <v>358</v>
      </c>
      <c r="C44" s="525">
        <f>SUMIF('Balance N Retraitée'!A:A,"343*",'Balance N Retraitée'!G:G)-SUMIF('Balance N Retraitée'!A:A,"343*",'Balance N Retraitée'!H:H)</f>
        <v>0</v>
      </c>
      <c r="D44" s="525">
        <f>SUMIF('Balance N Retraitée'!A:A,"3943*",'Balance N Retraitée'!H:H)-SUMIF('Balance N Retraitée'!A:A,"3943*",'Balance N Retraitée'!G:G)</f>
        <v>0</v>
      </c>
      <c r="E44" s="525">
        <f t="shared" si="1"/>
        <v>0</v>
      </c>
      <c r="F44" s="865"/>
      <c r="G44" s="525">
        <f>(SUMIF('Balance N-1 Retraitée'!A:A,"343*",'Balance N-1 Retraitée'!G:G)-SUMIF('Balance N-1 Retraitée'!A:A,"343*",'Balance N-1 Retraitée'!H:H))-(SUMIF('Balance N-1 Retraitée'!A:A,"3943*",'Balance N-1 Retraitée'!H:H)-SUMIF('Balance N-1 Retraitée'!A:A,"3943*",'Balance N-1 Retraitée'!G:G))</f>
        <v>0</v>
      </c>
      <c r="H44" s="337"/>
    </row>
    <row r="45" spans="1:14" x14ac:dyDescent="0.2">
      <c r="A45" s="506"/>
      <c r="B45" s="385" t="s">
        <v>359</v>
      </c>
      <c r="C45" s="525">
        <f>SUMIF('Balance N Retraitée'!A:A,"345*",'Balance N Retraitée'!G:G)-SUMIF('Balance N Retraitée'!A:A,"345*",'Balance N Retraitée'!H:H)</f>
        <v>20800.719999999998</v>
      </c>
      <c r="D45" s="525">
        <f>SUMIF('Balance N Retraitée'!A:A,"3945*",'Balance N Retraitée'!H:H)-SUMIF('Balance N Retraitée'!A:A,"3945*",'Balance N Retraitée'!G:G)</f>
        <v>0</v>
      </c>
      <c r="E45" s="525">
        <f t="shared" si="1"/>
        <v>20800.719999999998</v>
      </c>
      <c r="F45" s="865"/>
      <c r="G45" s="525">
        <f>(SUMIF('Balance N-1 Retraitée'!A:A,"345*",'Balance N-1 Retraitée'!G:G)-SUMIF('Balance N-1 Retraitée'!A:A,"345*",'Balance N-1 Retraitée'!H:H))-(SUMIF('Balance N-1 Retraitée'!A:A,"3945*",'Balance N-1 Retraitée'!H:H)-SUMIF('Balance N-1 Retraitée'!A:A,"3945*",'Balance N-1 Retraitée'!G:G))</f>
        <v>34.53</v>
      </c>
      <c r="H45" s="337"/>
      <c r="I45" s="337"/>
    </row>
    <row r="46" spans="1:14" x14ac:dyDescent="0.2">
      <c r="A46" s="506"/>
      <c r="B46" s="385" t="s">
        <v>360</v>
      </c>
      <c r="C46" s="525">
        <f>SUMIF('Balance N Retraitée'!A:A,"346*",'Balance N Retraitée'!G:G)-SUMIF('Balance N Retraitée'!A:A,"346*",'Balance N Retraitée'!H:H)</f>
        <v>0</v>
      </c>
      <c r="D46" s="525">
        <f>SUMIF('Balance N Retraitée'!A:A,"3946*",'Balance N Retraitée'!H:H)-SUMIF('Balance N Retraitée'!A:A,"3946*",'Balance N Retraitée'!G:G)</f>
        <v>0</v>
      </c>
      <c r="E46" s="525">
        <f t="shared" si="1"/>
        <v>0</v>
      </c>
      <c r="F46" s="865"/>
      <c r="G46" s="525">
        <f>(SUMIF('Balance N-1 Retraitée'!A:A,"346*",'Balance N-1 Retraitée'!G:G)-SUMIF('Balance N-1 Retraitée'!A:A,"346*",'Balance N-1 Retraitée'!H:H))-(SUMIF('Balance N-1 Retraitée'!A:A,"3946*",'Balance N-1 Retraitée'!H:H)-SUMIF('Balance N-1 Retraitée'!A:A,"3946*",'Balance N-1 Retraitée'!G:G))</f>
        <v>0</v>
      </c>
      <c r="H46" s="337"/>
    </row>
    <row r="47" spans="1:14" x14ac:dyDescent="0.2">
      <c r="A47" s="506"/>
      <c r="B47" s="385" t="s">
        <v>363</v>
      </c>
      <c r="C47" s="525">
        <f>SUMIF('Balance N Retraitée'!A:A,"348*",'Balance N Retraitée'!G:G)-SUMIF('Balance N Retraitée'!A:A,"348*",'Balance N Retraitée'!H:H)</f>
        <v>0</v>
      </c>
      <c r="D47" s="525">
        <f>SUMIF('Balance N Retraitée'!A:A,"3948*",'Balance N Retraitée'!H:H)-SUMIF('Balance N Retraitée'!A:A,"3948*",'Balance N Retraitée'!G:G)</f>
        <v>0</v>
      </c>
      <c r="E47" s="525">
        <f t="shared" si="1"/>
        <v>0</v>
      </c>
      <c r="F47" s="865"/>
      <c r="G47" s="525">
        <f>(SUMIF('Balance N-1 Retraitée'!A:A,"348*",'Balance N-1 Retraitée'!G:G)-SUMIF('Balance N-1 Retraitée'!A:A,"348*",'Balance N-1 Retraitée'!H:H))-(SUMIF('Balance N-1 Retraitée'!A:A,"3948*",'Balance N-1 Retraitée'!H:H)-SUMIF('Balance N-1 Retraitée'!A:A,"3948*",'Balance N-1 Retraitée'!G:G))</f>
        <v>0</v>
      </c>
      <c r="H47" s="337"/>
    </row>
    <row r="48" spans="1:14" ht="12.75" thickBot="1" x14ac:dyDescent="0.25">
      <c r="A48" s="506"/>
      <c r="B48" s="523" t="s">
        <v>364</v>
      </c>
      <c r="C48" s="866">
        <f>SUMIF('Balance N Retraitée'!A:A,"349*",'Balance N Retraitée'!G:G)-SUMIF('Balance N Retraitée'!A:A,"349*",'Balance N Retraitée'!H:H)</f>
        <v>0</v>
      </c>
      <c r="D48" s="866">
        <f>SUMIF('Balance N Retraitée'!A:A,"3949*",'Balance N Retraitée'!H:H)-SUMIF('Balance N Retraitée'!A:A,"3949*",'Balance N Retraitée'!G:G)</f>
        <v>0</v>
      </c>
      <c r="E48" s="866">
        <f t="shared" si="1"/>
        <v>0</v>
      </c>
      <c r="F48" s="865"/>
      <c r="G48" s="866">
        <f>(SUMIF('Balance N-1 Retraitée'!A:A,"349*",'Balance N-1 Retraitée'!G:G)-SUMIF('Balance N-1 Retraitée'!A:A,"349*",'Balance N-1 Retraitée'!H:H))-(SUMIF('Balance N-1 Retraitée'!A:A,"3949*",'Balance N-1 Retraitée'!H:H)-SUMIF('Balance N-1 Retraitée'!A:A,"3949*",'Balance N-1 Retraitée'!G:G))</f>
        <v>0</v>
      </c>
      <c r="H48" s="337"/>
    </row>
    <row r="49" spans="1:8" ht="12.75" thickBot="1" x14ac:dyDescent="0.25">
      <c r="A49" s="506"/>
      <c r="B49" s="533" t="s">
        <v>365</v>
      </c>
      <c r="C49" s="918">
        <f>SUMIF('Balance N Retraitée'!A:A,"35*",'Balance N Retraitée'!G:G)-SUMIF('Balance N Retraitée'!A:A,"35*",'Balance N Retraitée'!H:H)</f>
        <v>0</v>
      </c>
      <c r="D49" s="919">
        <f>SUMIF('Balance N Retraitée'!A:A,"3912*",'Balance N Retraitée'!H:H)-SUMIF('Balance N Retraitée'!A:A,"3912*",'Balance N Retraitée'!G:G)</f>
        <v>0</v>
      </c>
      <c r="E49" s="918">
        <f>C49-D49</f>
        <v>0</v>
      </c>
      <c r="F49" s="864"/>
      <c r="G49" s="918">
        <f>(SUMIF('Balance N-1 Retraitée'!A:A,"35*",'Balance N-1 Retraitée'!G:G)-SUMIF('Balance N-1 Retraitée'!A:A,"35*",'Balance N-1 Retraitée'!H:H))-(SUMIF('Balance N-1 Retraitée'!A:A,"395*",'Balance N-1 Retraitée'!H:H)-SUMIF('Balance N-1 Retraitée'!A:A,"395*",'Balance N-1 Retraitée'!G:G))</f>
        <v>0</v>
      </c>
      <c r="H49" s="337"/>
    </row>
    <row r="50" spans="1:8" ht="12.75" thickTop="1" x14ac:dyDescent="0.2">
      <c r="A50" s="506"/>
      <c r="B50" s="534" t="s">
        <v>366</v>
      </c>
      <c r="C50" s="912">
        <f>C51</f>
        <v>0</v>
      </c>
      <c r="D50" s="920"/>
      <c r="E50" s="525">
        <f>E51</f>
        <v>0</v>
      </c>
      <c r="F50" s="864"/>
      <c r="G50" s="525">
        <f>G51</f>
        <v>0</v>
      </c>
      <c r="H50" s="337"/>
    </row>
    <row r="51" spans="1:8" ht="14.25" customHeight="1" thickBot="1" x14ac:dyDescent="0.25">
      <c r="A51" s="506"/>
      <c r="B51" s="535" t="s">
        <v>367</v>
      </c>
      <c r="C51" s="921">
        <f>SUMIF('Balance N Retraitée'!A:A,"37*",'Balance N Retraitée'!G:G)-SUMIF('Balance N Retraitée'!A:A,"37*",'Balance N Retraitée'!H:H)</f>
        <v>0</v>
      </c>
      <c r="D51" s="922"/>
      <c r="E51" s="525">
        <f>+C51-D51</f>
        <v>0</v>
      </c>
      <c r="F51" s="865"/>
      <c r="G51" s="921">
        <f>(SUMIF('Balance N-1 Retraitée'!A:A,"37*",'Balance N-1 Retraitée'!G:G)-SUMIF('Balance N-1 Retraitée'!A:A,"37*",'Balance N-1 Retraitée'!H:H))</f>
        <v>0</v>
      </c>
      <c r="H51" s="337"/>
    </row>
    <row r="52" spans="1:8" ht="12.75" thickBot="1" x14ac:dyDescent="0.25">
      <c r="A52" s="536"/>
      <c r="B52" s="537" t="s">
        <v>369</v>
      </c>
      <c r="C52" s="923">
        <f>C35+C41+C49+C50</f>
        <v>308800.71999999997</v>
      </c>
      <c r="D52" s="923">
        <f>D35+D41+D49+D50</f>
        <v>0</v>
      </c>
      <c r="E52" s="923">
        <f>E35+E41+E49+E50</f>
        <v>308800.71999999997</v>
      </c>
      <c r="F52" s="864"/>
      <c r="G52" s="923">
        <f>G35+G41+G49+G50</f>
        <v>34.53</v>
      </c>
      <c r="H52" s="337"/>
    </row>
    <row r="53" spans="1:8" s="21" customFormat="1" ht="4.1500000000000004" customHeight="1" thickBot="1" x14ac:dyDescent="0.25">
      <c r="A53" s="538"/>
      <c r="B53" s="539"/>
      <c r="C53" s="924">
        <f>SUMIF('Balance N Retraitée'!A:A,"311*",'Balance N Retraitée'!G:G)-SUMIF('Balance N Retraitée'!A:A,"311*",'Balance N Retraitée'!H:H)</f>
        <v>0</v>
      </c>
      <c r="D53" s="924"/>
      <c r="E53" s="924"/>
      <c r="F53" s="864"/>
      <c r="G53" s="924">
        <f>(SUMIF('Balance N-1 Retraitée'!A:A,"311*",'Balance N-1 Retraitée'!G:G)-SUMIF('Balance N-1 Retraitée'!A:A,"311*",'Balance N-1 Retraitée'!H:H))-(SUMIF('Balance N-1 Retraitée'!A:A,"3911*",'Balance N-1 Retraitée'!G:G)-SUMIF('Balance N-1 Retraitée'!A:A,"3911*",'Balance N-1 Retraitée'!H:H))</f>
        <v>0</v>
      </c>
      <c r="H53" s="337"/>
    </row>
    <row r="54" spans="1:8" x14ac:dyDescent="0.2">
      <c r="A54" s="506"/>
      <c r="B54" s="540" t="s">
        <v>370</v>
      </c>
      <c r="C54" s="925">
        <f>SUM(C55:C57)</f>
        <v>492.54</v>
      </c>
      <c r="D54" s="925">
        <f>SUM(D55:D57)</f>
        <v>0</v>
      </c>
      <c r="E54" s="925">
        <f>SUM(E55:E57)</f>
        <v>492.54</v>
      </c>
      <c r="F54" s="865"/>
      <c r="G54" s="925">
        <f>SUM(G55:G57)</f>
        <v>311745.67000000004</v>
      </c>
      <c r="H54" s="337"/>
    </row>
    <row r="55" spans="1:8" x14ac:dyDescent="0.2">
      <c r="A55" s="506"/>
      <c r="B55" s="541" t="s">
        <v>371</v>
      </c>
      <c r="C55" s="525">
        <f>SUMIF('Balance N Retraitée'!A:A,"511*",'Balance N Retraitée'!G:G)-SUMIF('Balance N Retraitée'!A:A,"511*",'Balance N Retraitée'!H:H)</f>
        <v>0</v>
      </c>
      <c r="D55" s="525">
        <f>SUMIF('Balance N Retraitée'!A:A,"5911*",'Balance N Retraitée'!H:H)-SUMIF('Balance N Retraitée'!A:A,"5911*",'Balance N Retraitée'!G:G)</f>
        <v>0</v>
      </c>
      <c r="E55" s="525">
        <f>+C55-D55</f>
        <v>0</v>
      </c>
      <c r="F55" s="865"/>
      <c r="G55" s="525">
        <f>(SUMIF('Balance N-1 Retraitée'!A:A,"511*",'Balance N-1 Retraitée'!G:G)-SUMIF('Balance N-1 Retraitée'!A:A,"511*",'Balance N-1 Retraitée'!H:H))-(SUMIF('Balance N-1 Retraitée'!A:A,"5911*",'Balance N-1 Retraitée'!H:H)-SUMIF('Balance N-1 Retraitée'!A:A,"5911*",'Balance N-1 Retraitée'!G:G))</f>
        <v>0</v>
      </c>
      <c r="H55" s="337"/>
    </row>
    <row r="56" spans="1:8" x14ac:dyDescent="0.2">
      <c r="A56" s="506"/>
      <c r="B56" s="541" t="s">
        <v>372</v>
      </c>
      <c r="C56" s="525">
        <f>SUMIF('Balance N Retraitée'!A:A,"514*",'Balance N Retraitée'!G:G)+SUMIF('Balance N Retraitée'!A:A,"554*",'Balance N Retraitée'!G:G)</f>
        <v>323.11</v>
      </c>
      <c r="D56" s="525">
        <f>SUMIF('Balance N Retraitée'!A:A,"5914*",'Balance N Retraitée'!H:H)-SUMIF('Balance N Retraitée'!A:A,"5914*",'Balance N Retraitée'!G:G)</f>
        <v>0</v>
      </c>
      <c r="E56" s="525">
        <f>+C56-D56</f>
        <v>323.11</v>
      </c>
      <c r="F56" s="865"/>
      <c r="G56" s="525">
        <f>(SUMIF('Balance N-1 Retraitée'!A:A,"514*",'Balance N-1 Retraitée'!G:G)+SUMIF('Balance N-1 Retraitée'!A:A,"554*",'Balance N-1 Retraitée'!G:G))-(SUMIF('Balance N-1 Retraitée'!A:A,"5914*",'Balance N-1 Retraitée'!H:H)-SUMIF('Balance N-1 Retraitée'!A:A,"5914*",'Balance N-1 Retraitée'!G:G))</f>
        <v>222845.67</v>
      </c>
      <c r="H56" s="337"/>
    </row>
    <row r="57" spans="1:8" ht="12.75" thickBot="1" x14ac:dyDescent="0.25">
      <c r="A57" s="506"/>
      <c r="B57" s="542" t="s">
        <v>373</v>
      </c>
      <c r="C57" s="926">
        <f>SUMIF('Balance N Retraitée'!A:A,"516*",'Balance N Retraitée'!G:G)-SUMIF('Balance N Retraitée'!A:A,"516*",'Balance N Retraitée'!H:H)</f>
        <v>169.43</v>
      </c>
      <c r="D57" s="926">
        <f>SUMIF('Balance N Retraitée'!A:A,"5911*",'Balance N Retraitée'!H:H)-SUMIF('Balance N Retraitée'!A:A,"5911*",'Balance N Retraitée'!G:G)</f>
        <v>0</v>
      </c>
      <c r="E57" s="926">
        <f>+C57-D57</f>
        <v>169.43</v>
      </c>
      <c r="F57" s="865"/>
      <c r="G57" s="866">
        <f>(SUMIF('Balance N-1 Retraitée'!A:A,"516*",'Balance N-1 Retraitée'!G:G)-SUMIF('Balance N-1 Retraitée'!A:A,"516*",'Balance N-1 Retraitée'!H:H))-(SUMIF('Balance N-1 Retraitée'!A:A,"5916*",'Balance N-1 Retraitée'!H:H)-SUMIF('Balance N-1 Retraitée'!A:A,"5916*",'Balance N-1 Retraitée'!G:G))</f>
        <v>88900</v>
      </c>
      <c r="H57" s="337"/>
    </row>
    <row r="58" spans="1:8" ht="12.75" thickBot="1" x14ac:dyDescent="0.25">
      <c r="A58" s="509"/>
      <c r="B58" s="543" t="s">
        <v>374</v>
      </c>
      <c r="C58" s="927">
        <f>C54</f>
        <v>492.54</v>
      </c>
      <c r="D58" s="927">
        <f>D54</f>
        <v>0</v>
      </c>
      <c r="E58" s="927">
        <f>E54</f>
        <v>492.54</v>
      </c>
      <c r="F58" s="865"/>
      <c r="G58" s="927">
        <f>G54</f>
        <v>311745.67000000004</v>
      </c>
      <c r="H58" s="337"/>
    </row>
    <row r="59" spans="1:8" s="21" customFormat="1" ht="3.6" customHeight="1" thickBot="1" x14ac:dyDescent="0.25">
      <c r="A59" s="494"/>
      <c r="B59" s="538"/>
      <c r="C59" s="924"/>
      <c r="D59" s="924"/>
      <c r="E59" s="928"/>
      <c r="F59" s="865"/>
      <c r="G59" s="928"/>
      <c r="H59" s="337"/>
    </row>
    <row r="60" spans="1:8" ht="12.75" thickBot="1" x14ac:dyDescent="0.25">
      <c r="A60" s="509"/>
      <c r="B60" s="543" t="s">
        <v>375</v>
      </c>
      <c r="C60" s="927">
        <f>C33+C52+C58</f>
        <v>1902820.84</v>
      </c>
      <c r="D60" s="927">
        <f>D33+D52+D58</f>
        <v>173538.13</v>
      </c>
      <c r="E60" s="927">
        <f>E33+E52+E58</f>
        <v>1729282.71</v>
      </c>
      <c r="F60" s="865"/>
      <c r="G60" s="927">
        <f>G33+G52+G58</f>
        <v>316085.83</v>
      </c>
      <c r="H60" s="337"/>
    </row>
    <row r="61" spans="1:8" x14ac:dyDescent="0.2">
      <c r="A61" s="21"/>
      <c r="B61" s="21"/>
      <c r="C61" s="1"/>
      <c r="D61" s="1"/>
      <c r="E61" s="1">
        <f>+E60-E122</f>
        <v>0</v>
      </c>
      <c r="G61" s="1">
        <f>+G60-G122</f>
        <v>0</v>
      </c>
      <c r="H61" s="337"/>
    </row>
    <row r="62" spans="1:8" x14ac:dyDescent="0.2">
      <c r="A62" s="21"/>
      <c r="B62" s="21"/>
      <c r="C62" s="1"/>
      <c r="D62" s="1"/>
      <c r="E62" s="1"/>
      <c r="G62" s="1"/>
      <c r="H62" s="337"/>
    </row>
    <row r="63" spans="1:8" x14ac:dyDescent="0.2">
      <c r="A63" s="3" t="s">
        <v>307</v>
      </c>
      <c r="H63" s="337"/>
    </row>
    <row r="64" spans="1:8" ht="15.75" x14ac:dyDescent="0.25">
      <c r="C64" s="20" t="s">
        <v>376</v>
      </c>
      <c r="H64" s="337"/>
    </row>
    <row r="65" spans="1:10" ht="12.75" thickBot="1" x14ac:dyDescent="0.25">
      <c r="A65" s="494"/>
      <c r="B65" s="494"/>
      <c r="C65" s="495" t="s">
        <v>309</v>
      </c>
      <c r="D65" s="496"/>
      <c r="E65" s="497" t="s">
        <v>310</v>
      </c>
      <c r="G65" s="434" t="str">
        <f>G3</f>
        <v>31/12/2022</v>
      </c>
      <c r="H65" s="337"/>
    </row>
    <row r="66" spans="1:10" x14ac:dyDescent="0.2">
      <c r="A66" s="381"/>
      <c r="B66" s="544" t="s">
        <v>377</v>
      </c>
      <c r="C66" s="545"/>
      <c r="D66" s="546"/>
      <c r="E66" s="499" t="s">
        <v>313</v>
      </c>
      <c r="F66" s="501"/>
      <c r="G66" s="502" t="s">
        <v>313</v>
      </c>
      <c r="H66" s="337"/>
    </row>
    <row r="67" spans="1:10" x14ac:dyDescent="0.2">
      <c r="A67" s="513"/>
      <c r="B67" s="547" t="s">
        <v>378</v>
      </c>
      <c r="C67" s="548">
        <f>SUM(C68:C70)</f>
        <v>0</v>
      </c>
      <c r="D67" s="549"/>
      <c r="E67" s="550"/>
      <c r="F67" s="403"/>
      <c r="G67" s="550"/>
      <c r="H67" s="337"/>
    </row>
    <row r="68" spans="1:10" x14ac:dyDescent="0.2">
      <c r="A68" s="515"/>
      <c r="B68" s="551" t="s">
        <v>379</v>
      </c>
      <c r="C68" s="552"/>
      <c r="D68" s="553"/>
      <c r="E68" s="775">
        <f>SUMIF('Balance N Retraitée'!$A:$A,"111*",'Balance N Retraitée'!$H:$H)-SUMIF('Balance N Retraitée'!$A:$A,"111*",'Balance N Retraitée'!$G:$G)-E69</f>
        <v>100000</v>
      </c>
      <c r="F68" s="865"/>
      <c r="G68" s="775">
        <f>SUMIF('Balance N-1 Retraitée'!$A:$A,"111*",'Balance N-1 Retraitée'!$H:$H)-SUMIF('Balance N-1 Retraitée'!$A:$A,"111*",'Balance N-1 Retraitée'!$G:$G)-G69</f>
        <v>100000</v>
      </c>
      <c r="H68" s="337"/>
    </row>
    <row r="69" spans="1:10" x14ac:dyDescent="0.2">
      <c r="A69" s="515"/>
      <c r="B69" s="554" t="s">
        <v>380</v>
      </c>
      <c r="C69" s="555"/>
      <c r="D69" s="556"/>
      <c r="E69" s="775">
        <f>SUMIF('Balance N Retraitée'!$A:$A,"1119*",'Balance N Retraitée'!$H:$H)-SUMIF('Balance N Retraitée'!$A:$A,"1119*",'Balance N Retraitée'!$G:$G)</f>
        <v>0</v>
      </c>
      <c r="F69" s="865"/>
      <c r="G69" s="775">
        <f>SUMIF('Balance N-1 Retraitée'!$A:$A,"1119*",'Balance N-1 Retraitée'!$H:$H)-SUMIF('Balance N-1 Retraitée'!$A:$A,"1119*",'Balance N-1 Retraitée'!$G:$G)</f>
        <v>0</v>
      </c>
      <c r="H69" s="337"/>
    </row>
    <row r="70" spans="1:10" x14ac:dyDescent="0.2">
      <c r="A70" s="519"/>
      <c r="B70" s="554" t="s">
        <v>381</v>
      </c>
      <c r="C70" s="555"/>
      <c r="D70" s="556"/>
      <c r="E70" s="525"/>
      <c r="F70" s="865"/>
      <c r="G70" s="525"/>
      <c r="H70" s="337"/>
    </row>
    <row r="71" spans="1:10" x14ac:dyDescent="0.2">
      <c r="A71" s="519"/>
      <c r="B71" s="554" t="s">
        <v>382</v>
      </c>
      <c r="C71" s="555"/>
      <c r="D71" s="556"/>
      <c r="E71" s="775">
        <f>SUMIF('Balance N Retraitée'!$A:$A,"112*",'Balance N Retraitée'!$H:$H)-SUMIF('Balance N Retraitée'!$A:$A,"112*",'Balance N Retraitée'!$G:$G)</f>
        <v>0</v>
      </c>
      <c r="F71" s="865"/>
      <c r="G71" s="775">
        <f>SUMIF('Balance N-1 Retraitée'!$A:$A,"112*",'Balance N-1 Retraitée'!$H:$H)-SUMIF('Balance N-1 Retraitée'!$A:$A,"112*",'Balance N-1 Retraitée'!$G:$G)</f>
        <v>0</v>
      </c>
      <c r="H71" s="337"/>
    </row>
    <row r="72" spans="1:10" x14ac:dyDescent="0.2">
      <c r="A72" s="519"/>
      <c r="B72" s="554" t="s">
        <v>383</v>
      </c>
      <c r="C72" s="555"/>
      <c r="D72" s="556"/>
      <c r="E72" s="775">
        <f>SUMIF('Balance N Retraitée'!$A:$A,"113*",'Balance N Retraitée'!$H:$H)-SUMIF('Balance N Retraitée'!$A:$A,"113*",'Balance N Retraitée'!$G:$G)</f>
        <v>0</v>
      </c>
      <c r="F72" s="865"/>
      <c r="G72" s="775">
        <f>SUMIF('Balance N-1 Retraitée'!$A:$A,"113*",'Balance N-1 Retraitée'!$H:$H)-SUMIF('Balance N-1 Retraitée'!$A:$A,"113*",'Balance N-1 Retraitée'!$G:$G)</f>
        <v>0</v>
      </c>
      <c r="H72" s="337"/>
    </row>
    <row r="73" spans="1:10" x14ac:dyDescent="0.2">
      <c r="A73" s="519"/>
      <c r="B73" s="554" t="s">
        <v>384</v>
      </c>
      <c r="C73" s="555"/>
      <c r="D73" s="556"/>
      <c r="E73" s="775">
        <f>SUMIF('Balance N Retraitée'!$A:$A,"114*",'Balance N Retraitée'!$H:$H)-SUMIF('Balance N Retraitée'!$A:$A,"114*",'Balance N Retraitée'!$G:$G)</f>
        <v>0</v>
      </c>
      <c r="F73" s="865"/>
      <c r="G73" s="775">
        <f>SUMIF('Balance N-1 Retraitée'!$A:$A,"114*",'Balance N-1 Retraitée'!$H:$H)-SUMIF('Balance N-1 Retraitée'!$A:$A,"114*",'Balance N-1 Retraitée'!$G:$G)</f>
        <v>0</v>
      </c>
      <c r="H73" s="337"/>
    </row>
    <row r="74" spans="1:10" x14ac:dyDescent="0.2">
      <c r="A74" s="519"/>
      <c r="B74" s="554" t="s">
        <v>385</v>
      </c>
      <c r="C74" s="555"/>
      <c r="D74" s="556"/>
      <c r="E74" s="775">
        <f>SUMIF('Balance N Retraitée'!$A:$A,"115*",'Balance N Retraitée'!$H:$H)-SUMIF('Balance N Retraitée'!$A:$A,"115*",'Balance N Retraitée'!$G:$G)</f>
        <v>0</v>
      </c>
      <c r="F74" s="865"/>
      <c r="G74" s="775">
        <f>SUMIF('Balance N-1 Retraitée'!$A:$A,"115*",'Balance N-1 Retraitée'!$H:$H)-SUMIF('Balance N-1 Retraitée'!$A:$A,"115*",'Balance N-1 Retraitée'!$G:$G)</f>
        <v>0</v>
      </c>
      <c r="H74" s="337"/>
    </row>
    <row r="75" spans="1:10" x14ac:dyDescent="0.2">
      <c r="A75" s="519"/>
      <c r="B75" s="554" t="s">
        <v>386</v>
      </c>
      <c r="C75" s="555"/>
      <c r="D75" s="556"/>
      <c r="E75" s="775">
        <f>SUMIF('Balance N Retraitée'!$A:$A,"116*",'Balance N Retraitée'!$H:$H)-SUMIF('Balance N Retraitée'!$A:$A,"116*",'Balance N Retraitée'!$G:$G)</f>
        <v>-18918.669999999998</v>
      </c>
      <c r="F75" s="865"/>
      <c r="G75" s="775">
        <f>SUMIF('Balance N-1 Retraitée'!$A:$A,"116*",'Balance N-1 Retraitée'!$H:$H)-SUMIF('Balance N-1 Retraitée'!$A:$A,"116*",'Balance N-1 Retraitée'!$G:$G)</f>
        <v>0</v>
      </c>
      <c r="H75" s="337"/>
    </row>
    <row r="76" spans="1:10" x14ac:dyDescent="0.2">
      <c r="A76" s="519"/>
      <c r="B76" s="554" t="s">
        <v>387</v>
      </c>
      <c r="C76" s="555"/>
      <c r="D76" s="556"/>
      <c r="E76" s="775">
        <f>SUMIF('Balance N Retraitée'!$A:$A,"118*",'Balance N Retraitée'!$H:$H)-SUMIF('Balance N Retraitée'!$A:$A,"118*",'Balance N Retraitée'!$G:$G)</f>
        <v>0</v>
      </c>
      <c r="F76" s="865"/>
      <c r="G76" s="775">
        <f>SUMIF('Balance N-1 Retraitée'!$A:$A,"118*",'Balance N-1 Retraitée'!$H:$H)-SUMIF('Balance N-1 Retraitée'!$A:$A,"118*",'Balance N-1 Retraitée'!$G:$G)</f>
        <v>0</v>
      </c>
      <c r="H76" s="337"/>
    </row>
    <row r="77" spans="1:10" ht="12.75" thickBot="1" x14ac:dyDescent="0.25">
      <c r="A77" s="519"/>
      <c r="B77" s="554" t="s">
        <v>388</v>
      </c>
      <c r="C77" s="555"/>
      <c r="D77" s="556"/>
      <c r="E77" s="775">
        <f>+'T2 CPC'!F72</f>
        <v>21452.440000000002</v>
      </c>
      <c r="F77" s="865"/>
      <c r="G77" s="775">
        <f>+'T2 CPC'!G72</f>
        <v>-18918.669999999998</v>
      </c>
      <c r="H77" s="337"/>
      <c r="I77" s="337"/>
      <c r="J77" s="337"/>
    </row>
    <row r="78" spans="1:10" ht="12.75" thickBot="1" x14ac:dyDescent="0.25">
      <c r="A78" s="519"/>
      <c r="B78" s="557"/>
      <c r="C78" s="558"/>
      <c r="D78" s="559" t="s">
        <v>389</v>
      </c>
      <c r="E78" s="929">
        <f>SUM(E68:E77)</f>
        <v>102533.77</v>
      </c>
      <c r="F78" s="930"/>
      <c r="G78" s="929">
        <f>SUM(G68:G77)</f>
        <v>81081.33</v>
      </c>
      <c r="H78" s="337"/>
    </row>
    <row r="79" spans="1:10" x14ac:dyDescent="0.2">
      <c r="A79" s="519"/>
      <c r="B79" s="547" t="s">
        <v>390</v>
      </c>
      <c r="C79" s="548">
        <f>SUM(C80:C82)</f>
        <v>0</v>
      </c>
      <c r="D79" s="560" t="s">
        <v>391</v>
      </c>
      <c r="E79" s="931">
        <f>SUM(E80:E85)</f>
        <v>0</v>
      </c>
      <c r="F79" s="932"/>
      <c r="G79" s="931">
        <f>SUM(G80:G85)</f>
        <v>0</v>
      </c>
      <c r="H79" s="337"/>
    </row>
    <row r="80" spans="1:10" x14ac:dyDescent="0.2">
      <c r="A80" s="519"/>
      <c r="B80" s="551" t="s">
        <v>392</v>
      </c>
      <c r="C80" s="552"/>
      <c r="D80" s="553"/>
      <c r="E80" s="775">
        <f>SUMIF('Balance N Retraitée'!$A:$A,"131*",'Balance N Retraitée'!$H:$H)-SUMIF('Balance N Retraitée'!$A:$A,"131*",'Balance N Retraitée'!$G:$G)</f>
        <v>0</v>
      </c>
      <c r="F80" s="865"/>
      <c r="G80" s="775">
        <f>SUMIF('Balance N-1 Retraitée'!$A:$A,"131*",'Balance N-1 Retraitée'!$H:$H)-SUMIF('Balance N-1 Retraitée'!$A:$A,"131*",'Balance N-1 Retraitée'!$G:$G)</f>
        <v>0</v>
      </c>
      <c r="H80" s="337"/>
    </row>
    <row r="81" spans="1:8" x14ac:dyDescent="0.2">
      <c r="A81" s="519"/>
      <c r="B81" s="554" t="s">
        <v>393</v>
      </c>
      <c r="C81" s="555"/>
      <c r="D81" s="556"/>
      <c r="E81" s="775">
        <f>SUMIF('Balance N Retraitée'!$A:$A,"135*",'Balance N Retraitée'!$H:$H)-SUMIF('Balance N Retraitée'!$A:$A,"135*",'Balance N Retraitée'!$G:$G)</f>
        <v>0</v>
      </c>
      <c r="F81" s="865"/>
      <c r="G81" s="775">
        <f>SUMIF('Balance N-1 Retraitée'!$A:$A,"135*",'Balance N-1 Retraitée'!$H:$H)-SUMIF('Balance N-1 Retraitée'!$A:$A,"135*",'Balance N-1 Retraitée'!$G:$G)</f>
        <v>0</v>
      </c>
      <c r="H81" s="337"/>
    </row>
    <row r="82" spans="1:8" x14ac:dyDescent="0.2">
      <c r="A82" s="519"/>
      <c r="B82" s="554"/>
      <c r="C82" s="555"/>
      <c r="D82" s="556"/>
      <c r="E82" s="525"/>
      <c r="F82" s="865"/>
      <c r="G82" s="525"/>
      <c r="H82" s="337"/>
    </row>
    <row r="83" spans="1:8" x14ac:dyDescent="0.2">
      <c r="A83" s="519"/>
      <c r="B83" s="554"/>
      <c r="C83" s="555"/>
      <c r="D83" s="556"/>
      <c r="E83" s="525"/>
      <c r="F83" s="865"/>
      <c r="G83" s="525"/>
      <c r="H83" s="337"/>
    </row>
    <row r="84" spans="1:8" x14ac:dyDescent="0.2">
      <c r="A84" s="519"/>
      <c r="B84" s="554"/>
      <c r="C84" s="555"/>
      <c r="D84" s="556"/>
      <c r="E84" s="525"/>
      <c r="F84" s="865"/>
      <c r="G84" s="525"/>
      <c r="H84" s="337"/>
    </row>
    <row r="85" spans="1:8" ht="12.75" thickBot="1" x14ac:dyDescent="0.25">
      <c r="A85" s="519"/>
      <c r="B85" s="562"/>
      <c r="C85" s="563"/>
      <c r="D85" s="564"/>
      <c r="E85" s="866"/>
      <c r="F85" s="928"/>
      <c r="G85" s="866"/>
      <c r="H85" s="337"/>
    </row>
    <row r="86" spans="1:8" x14ac:dyDescent="0.2">
      <c r="A86" s="519"/>
      <c r="B86" s="547" t="s">
        <v>394</v>
      </c>
      <c r="C86" s="548">
        <f>SUM(C87:C89)</f>
        <v>0</v>
      </c>
      <c r="D86" s="560" t="s">
        <v>395</v>
      </c>
      <c r="E86" s="931">
        <f>SUM(E87:E92)</f>
        <v>1005415.61</v>
      </c>
      <c r="F86" s="932"/>
      <c r="G86" s="931">
        <f>SUM(G87:G92)</f>
        <v>0</v>
      </c>
      <c r="H86" s="337"/>
    </row>
    <row r="87" spans="1:8" x14ac:dyDescent="0.2">
      <c r="A87" s="519"/>
      <c r="B87" s="551" t="s">
        <v>396</v>
      </c>
      <c r="C87" s="552"/>
      <c r="D87" s="553"/>
      <c r="E87" s="775">
        <f>SUMIF('Balance N Retraitée'!$A:$A,"141*",'Balance N Retraitée'!$H:$H)-SUMIF('Balance N Retraitée'!$A:$A,"141*",'Balance N Retraitée'!$G:$G)</f>
        <v>0</v>
      </c>
      <c r="F87" s="865"/>
      <c r="G87" s="775">
        <f>SUMIF('Balance N-1 Retraitée'!$A:$A,"141*",'Balance N-1 Retraitée'!$H:$H)-SUMIF('Balance N-1 Retraitée'!$A:$A,"141*",'Balance N-1 Retraitée'!$G:$G)</f>
        <v>0</v>
      </c>
      <c r="H87" s="337"/>
    </row>
    <row r="88" spans="1:8" x14ac:dyDescent="0.2">
      <c r="A88" s="519"/>
      <c r="B88" s="554" t="s">
        <v>397</v>
      </c>
      <c r="C88" s="555"/>
      <c r="D88" s="556"/>
      <c r="E88" s="775">
        <f>SUMIF('Balance N Retraitée'!$A:$A,"148*",'Balance N Retraitée'!$H:$H)-SUMIF('Balance N Retraitée'!$A:$A,"148*",'Balance N Retraitée'!$G:$G)</f>
        <v>1005415.61</v>
      </c>
      <c r="F88" s="865"/>
      <c r="G88" s="775">
        <f>SUMIF('Balance N-1 Retraitée'!$A:$A,"148*",'Balance N-1 Retraitée'!$H:$H)-SUMIF('Balance N-1 Retraitée'!$A:$A,"148*",'Balance N-1 Retraitée'!$G:$G)</f>
        <v>0</v>
      </c>
      <c r="H88" s="337"/>
    </row>
    <row r="89" spans="1:8" x14ac:dyDescent="0.2">
      <c r="A89" s="519"/>
      <c r="B89" s="554"/>
      <c r="C89" s="555"/>
      <c r="D89" s="556"/>
      <c r="E89" s="525"/>
      <c r="F89" s="865"/>
      <c r="G89" s="525"/>
      <c r="H89" s="337"/>
    </row>
    <row r="90" spans="1:8" x14ac:dyDescent="0.2">
      <c r="A90" s="519"/>
      <c r="B90" s="554"/>
      <c r="C90" s="555"/>
      <c r="D90" s="556"/>
      <c r="E90" s="525"/>
      <c r="F90" s="865"/>
      <c r="G90" s="525"/>
      <c r="H90" s="337"/>
    </row>
    <row r="91" spans="1:8" x14ac:dyDescent="0.2">
      <c r="A91" s="519"/>
      <c r="B91" s="554"/>
      <c r="C91" s="555"/>
      <c r="D91" s="556"/>
      <c r="E91" s="525"/>
      <c r="F91" s="865"/>
      <c r="G91" s="525"/>
      <c r="H91" s="337"/>
    </row>
    <row r="92" spans="1:8" ht="12.75" thickBot="1" x14ac:dyDescent="0.25">
      <c r="A92" s="519"/>
      <c r="B92" s="562"/>
      <c r="C92" s="563"/>
      <c r="D92" s="564"/>
      <c r="E92" s="866"/>
      <c r="F92" s="928"/>
      <c r="G92" s="866"/>
      <c r="H92" s="337"/>
    </row>
    <row r="93" spans="1:8" x14ac:dyDescent="0.2">
      <c r="A93" s="519"/>
      <c r="B93" s="547" t="s">
        <v>398</v>
      </c>
      <c r="C93" s="548">
        <f>SUM(C94:C96)</f>
        <v>0</v>
      </c>
      <c r="D93" s="560" t="s">
        <v>399</v>
      </c>
      <c r="E93" s="931">
        <f>SUM(E94:E96)</f>
        <v>0</v>
      </c>
      <c r="F93" s="932"/>
      <c r="G93" s="931">
        <f>SUM(G94:G96)</f>
        <v>0</v>
      </c>
      <c r="H93" s="337"/>
    </row>
    <row r="94" spans="1:8" x14ac:dyDescent="0.2">
      <c r="A94" s="519"/>
      <c r="B94" s="551" t="s">
        <v>400</v>
      </c>
      <c r="C94" s="552"/>
      <c r="D94" s="553"/>
      <c r="E94" s="775">
        <f>SUMIF('Balance N Retraitée'!$A:$A,"151*",'Balance N Retraitée'!$H:$H)-SUMIF('Balance N Retraitée'!$A:$A,"151*",'Balance N Retraitée'!$G:$G)</f>
        <v>0</v>
      </c>
      <c r="F94" s="865"/>
      <c r="G94" s="775">
        <f>SUMIF('Balance N-1 Retraitée'!$A:$A,"151*",'Balance N-1 Retraitée'!$H:$H)-SUMIF('Balance N-1 Retraitée'!$A:$A,"151*",'Balance N-1 Retraitée'!$G:$G)</f>
        <v>0</v>
      </c>
      <c r="H94" s="337"/>
    </row>
    <row r="95" spans="1:8" x14ac:dyDescent="0.2">
      <c r="A95" s="519"/>
      <c r="B95" s="551" t="s">
        <v>401</v>
      </c>
      <c r="C95" s="555"/>
      <c r="D95" s="556"/>
      <c r="E95" s="775">
        <f>SUMIF('Balance N Retraitée'!$A:$A,"155*",'Balance N Retraitée'!$H:$H)-SUMIF('Balance N Retraitée'!$A:$A,"155*",'Balance N Retraitée'!$G:$G)</f>
        <v>0</v>
      </c>
      <c r="F95" s="865"/>
      <c r="G95" s="775">
        <f>SUMIF('Balance N-1 Retraitée'!$A:$A,"155*",'Balance N-1 Retraitée'!$H:$H)-SUMIF('Balance N-1 Retraitée'!$A:$A,"155*",'Balance N-1 Retraitée'!$G:$G)</f>
        <v>0</v>
      </c>
      <c r="H95" s="337"/>
    </row>
    <row r="96" spans="1:8" ht="12.75" thickBot="1" x14ac:dyDescent="0.25">
      <c r="A96" s="519"/>
      <c r="B96" s="562"/>
      <c r="C96" s="563"/>
      <c r="D96" s="564"/>
      <c r="E96" s="866"/>
      <c r="F96" s="928"/>
      <c r="G96" s="866"/>
      <c r="H96" s="337"/>
    </row>
    <row r="97" spans="1:9" x14ac:dyDescent="0.2">
      <c r="A97" s="519"/>
      <c r="B97" s="547" t="s">
        <v>402</v>
      </c>
      <c r="C97" s="548">
        <f>SUM(C98:C100)</f>
        <v>0</v>
      </c>
      <c r="D97" s="560" t="s">
        <v>403</v>
      </c>
      <c r="E97" s="931">
        <f>SUM(E98:E100)</f>
        <v>0</v>
      </c>
      <c r="F97" s="932"/>
      <c r="G97" s="931">
        <f>SUM(G98:G100)</f>
        <v>0</v>
      </c>
      <c r="H97" s="337"/>
    </row>
    <row r="98" spans="1:9" x14ac:dyDescent="0.2">
      <c r="A98" s="519"/>
      <c r="B98" s="551" t="s">
        <v>404</v>
      </c>
      <c r="C98" s="552"/>
      <c r="D98" s="553"/>
      <c r="E98" s="775">
        <f>SUMIF('Balance N Retraitée'!$A:$A,"171*",'Balance N Retraitée'!$H:$H)-SUMIF('Balance N Retraitée'!$A:$A,"171*",'Balance N Retraitée'!$G:$G)</f>
        <v>0</v>
      </c>
      <c r="F98" s="865"/>
      <c r="G98" s="775">
        <f>SUMIF('Balance N-1 Retraitée'!$A:$A,"171*",'Balance N-1 Retraitée'!$H:$H)-SUMIF('Balance N-1 Retraitée'!$A:$A,"171*",'Balance N-1 Retraitée'!$G:$G)</f>
        <v>0</v>
      </c>
      <c r="H98" s="337"/>
    </row>
    <row r="99" spans="1:9" x14ac:dyDescent="0.2">
      <c r="A99" s="519"/>
      <c r="B99" s="551" t="s">
        <v>405</v>
      </c>
      <c r="C99" s="555"/>
      <c r="D99" s="556"/>
      <c r="E99" s="775">
        <f>SUMIF('Balance N Retraitée'!$A:$A,"172*",'Balance N Retraitée'!$H:$H)-SUMIF('Balance N Retraitée'!$A:$A,"172*",'Balance N Retraitée'!$G:$G)</f>
        <v>0</v>
      </c>
      <c r="F99" s="865"/>
      <c r="G99" s="775">
        <f>SUMIF('Balance N-1 Retraitée'!$A:$A,"172*",'Balance N-1 Retraitée'!$H:$H)-SUMIF('Balance N-1 Retraitée'!$A:$A,"172*",'Balance N-1 Retraitée'!$G:$G)</f>
        <v>0</v>
      </c>
      <c r="H99" s="337"/>
    </row>
    <row r="100" spans="1:9" ht="12.75" thickBot="1" x14ac:dyDescent="0.25">
      <c r="A100" s="519"/>
      <c r="B100" s="554"/>
      <c r="C100" s="555"/>
      <c r="D100" s="556"/>
      <c r="E100" s="525"/>
      <c r="F100" s="865"/>
      <c r="G100" s="525"/>
      <c r="H100" s="337"/>
    </row>
    <row r="101" spans="1:9" ht="12.75" thickBot="1" x14ac:dyDescent="0.25">
      <c r="A101" s="565"/>
      <c r="B101" s="557"/>
      <c r="C101" s="558"/>
      <c r="D101" s="559" t="s">
        <v>406</v>
      </c>
      <c r="E101" s="929">
        <f>+E78+E79+E86+E93+E97</f>
        <v>1107949.3799999999</v>
      </c>
      <c r="F101" s="930"/>
      <c r="G101" s="929">
        <f>+G78+G79+G86+G93+G97</f>
        <v>81081.33</v>
      </c>
      <c r="H101" s="337"/>
    </row>
    <row r="102" spans="1:9" ht="5.45" customHeight="1" thickBot="1" x14ac:dyDescent="0.25">
      <c r="A102" s="565"/>
      <c r="B102" s="494"/>
      <c r="C102" s="494"/>
      <c r="D102" s="566"/>
      <c r="E102" s="921"/>
      <c r="F102" s="928"/>
      <c r="G102" s="921"/>
      <c r="H102" s="337"/>
    </row>
    <row r="103" spans="1:9" x14ac:dyDescent="0.2">
      <c r="A103" s="519"/>
      <c r="B103" s="547" t="s">
        <v>407</v>
      </c>
      <c r="C103" s="548">
        <f>SUM(C104:C106)</f>
        <v>0</v>
      </c>
      <c r="D103" s="560" t="s">
        <v>408</v>
      </c>
      <c r="E103" s="931">
        <f>SUM(E104:E111)</f>
        <v>621333.33000000007</v>
      </c>
      <c r="F103" s="932"/>
      <c r="G103" s="931">
        <f>SUM(G104:G111)</f>
        <v>235004.5</v>
      </c>
      <c r="H103" s="337"/>
    </row>
    <row r="104" spans="1:9" x14ac:dyDescent="0.2">
      <c r="A104" s="519"/>
      <c r="B104" s="551" t="s">
        <v>409</v>
      </c>
      <c r="C104" s="552"/>
      <c r="D104" s="553"/>
      <c r="E104" s="775">
        <f>SUMIF('Balance N Retraitée'!$A:$A,"441*",'Balance N Retraitée'!$H:$H)-SUMIF('Balance N Retraitée'!$A:$A,"441*",'Balance N Retraitée'!$G:$G)</f>
        <v>7573.2</v>
      </c>
      <c r="F104" s="865"/>
      <c r="G104" s="775">
        <f>SUMIF('Balance N-1 Retraitée'!$A:$A,"441*",'Balance N-1 Retraitée'!$H:$H)-SUMIF('Balance N-1 Retraitée'!$A:$A,"441*",'Balance N-1 Retraitée'!$G:$G)</f>
        <v>0</v>
      </c>
      <c r="H104" s="337"/>
    </row>
    <row r="105" spans="1:9" x14ac:dyDescent="0.2">
      <c r="A105" s="519"/>
      <c r="B105" s="551" t="s">
        <v>410</v>
      </c>
      <c r="C105" s="555"/>
      <c r="D105" s="556"/>
      <c r="E105" s="775">
        <f>SUMIF('Balance N Retraitée'!$A:$A,"442*",'Balance N Retraitée'!$H:$H)-SUMIF('Balance N Retraitée'!$A:$A,"442*",'Balance N Retraitée'!$G:$G)</f>
        <v>0</v>
      </c>
      <c r="F105" s="865"/>
      <c r="G105" s="775">
        <f>SUMIF('Balance N-1 Retraitée'!$A:$A,"442*",'Balance N-1 Retraitée'!$H:$H)-SUMIF('Balance N-1 Retraitée'!$A:$A,"442*",'Balance N-1 Retraitée'!$G:$G)</f>
        <v>0</v>
      </c>
      <c r="H105" s="337"/>
    </row>
    <row r="106" spans="1:9" x14ac:dyDescent="0.2">
      <c r="A106" s="519"/>
      <c r="B106" s="554" t="s">
        <v>411</v>
      </c>
      <c r="C106" s="555"/>
      <c r="D106" s="556"/>
      <c r="E106" s="775">
        <f>SUMIF('Balance N Retraitée'!$A:$A,"443*",'Balance N Retraitée'!$H:$H)-SUMIF('Balance N Retraitée'!$A:$A,"443*",'Balance N Retraitée'!$G:$G)</f>
        <v>0</v>
      </c>
      <c r="F106" s="865"/>
      <c r="G106" s="775">
        <f>SUMIF('Balance N-1 Retraitée'!$A:$A,"443*",'Balance N-1 Retraitée'!$H:$H)-SUMIF('Balance N-1 Retraitée'!$A:$A,"443*",'Balance N-1 Retraitée'!$G:$G)</f>
        <v>0</v>
      </c>
      <c r="H106" s="337"/>
    </row>
    <row r="107" spans="1:9" x14ac:dyDescent="0.2">
      <c r="A107" s="519"/>
      <c r="B107" s="554" t="s">
        <v>412</v>
      </c>
      <c r="C107" s="555"/>
      <c r="D107" s="556"/>
      <c r="E107" s="775">
        <f>SUMIF('Balance N Retraitée'!$A:$A,"444*",'Balance N Retraitée'!$H:$H)-SUMIF('Balance N Retraitée'!$A:$A,"444*",'Balance N Retraitée'!$G:$G)</f>
        <v>796.02</v>
      </c>
      <c r="F107" s="865"/>
      <c r="G107" s="775">
        <f>SUMIF('Balance N-1 Retraitée'!$A:$A,"444*",'Balance N-1 Retraitée'!$H:$H)-SUMIF('Balance N-1 Retraitée'!$A:$A,"444*",'Balance N-1 Retraitée'!$G:$G)</f>
        <v>1391.5</v>
      </c>
      <c r="H107" s="337"/>
    </row>
    <row r="108" spans="1:9" x14ac:dyDescent="0.2">
      <c r="A108" s="519"/>
      <c r="B108" s="554" t="s">
        <v>413</v>
      </c>
      <c r="C108" s="555"/>
      <c r="D108" s="556"/>
      <c r="E108" s="775">
        <f>SUMIF('Balance N Retraitée'!$A:$A,"445*",'Balance N Retraitée'!$H:$H)-SUMIF('Balance N Retraitée'!$A:$A,"445*",'Balance N Retraitée'!$G:$G)</f>
        <v>53001.82</v>
      </c>
      <c r="F108" s="865"/>
      <c r="G108" s="775">
        <f>SUMIF('Balance N-1 Retraitée'!$A:$A,"445*",'Balance N-1 Retraitée'!$H:$H)-SUMIF('Balance N-1 Retraitée'!$A:$A,"445*",'Balance N-1 Retraitée'!$G:$G)</f>
        <v>88</v>
      </c>
      <c r="H108" s="337"/>
      <c r="I108" s="337"/>
    </row>
    <row r="109" spans="1:9" x14ac:dyDescent="0.2">
      <c r="A109" s="519"/>
      <c r="B109" s="554" t="s">
        <v>414</v>
      </c>
      <c r="C109" s="555"/>
      <c r="D109" s="556"/>
      <c r="E109" s="775">
        <f>SUMIF('Balance N Retraitée'!$A:$A,"446*",'Balance N Retraitée'!$H:$H)-SUMIF('Balance N Retraitée'!$A:$A,"446*",'Balance N Retraitée'!$G:$G)</f>
        <v>559962.29</v>
      </c>
      <c r="F109" s="865"/>
      <c r="G109" s="775">
        <f>SUMIF('Balance N-1 Retraitée'!$A:$A,"446*",'Balance N-1 Retraitée'!$H:$H)-SUMIF('Balance N-1 Retraitée'!$A:$A,"446*",'Balance N-1 Retraitée'!$G:$G)</f>
        <v>233525</v>
      </c>
      <c r="H109" s="337"/>
    </row>
    <row r="110" spans="1:9" x14ac:dyDescent="0.2">
      <c r="A110" s="519"/>
      <c r="B110" s="554" t="s">
        <v>415</v>
      </c>
      <c r="C110" s="555"/>
      <c r="D110" s="556"/>
      <c r="E110" s="775">
        <f>SUMIF('Balance N Retraitée'!$A:$A,"448*",'Balance N Retraitée'!$H:$H)-SUMIF('Balance N Retraitée'!$A:$A,"448*",'Balance N Retraitée'!$G:$G)</f>
        <v>0</v>
      </c>
      <c r="F110" s="865"/>
      <c r="G110" s="775">
        <f>SUMIF('Balance N-1 Retraitée'!$A:$A,"448*",'Balance N-1 Retraitée'!$H:$H)-SUMIF('Balance N-1 Retraitée'!$A:$A,"448*",'Balance N-1 Retraitée'!$G:$G)</f>
        <v>0</v>
      </c>
      <c r="H110" s="337"/>
    </row>
    <row r="111" spans="1:9" ht="12.75" thickBot="1" x14ac:dyDescent="0.25">
      <c r="A111" s="519"/>
      <c r="B111" s="554" t="s">
        <v>416</v>
      </c>
      <c r="C111" s="555"/>
      <c r="D111" s="556"/>
      <c r="E111" s="921">
        <f>SUMIF('Balance N Retraitée'!$A:$A,"449*",'Balance N Retraitée'!$H:$H)-SUMIF('Balance N Retraitée'!$A:$A,"449*",'Balance N Retraitée'!$G:$G)</f>
        <v>0</v>
      </c>
      <c r="F111" s="865"/>
      <c r="G111" s="921">
        <f>SUMIF('Balance N-1 Retraitée'!$A:$A,"449*",'Balance N-1 Retraitée'!$H:$H)-SUMIF('Balance N-1 Retraitée'!$A:$A,"449*",'Balance N-1 Retraitée'!$G:$G)</f>
        <v>0</v>
      </c>
      <c r="H111" s="337"/>
    </row>
    <row r="112" spans="1:9" ht="12.75" thickBot="1" x14ac:dyDescent="0.25">
      <c r="A112" s="519"/>
      <c r="B112" s="567" t="s">
        <v>417</v>
      </c>
      <c r="C112" s="558"/>
      <c r="D112" s="568" t="s">
        <v>418</v>
      </c>
      <c r="E112" s="933">
        <f>SUMIF('Balance N Retraitée'!$A:$A,"45*",'Balance N Retraitée'!$H:$H)-SUMIF('Balance N Retraitée'!$A:$A,"45*",'Balance N Retraitée'!$G:$G)</f>
        <v>0</v>
      </c>
      <c r="F112" s="930"/>
      <c r="G112" s="933">
        <f>SUMIF('Balance N-1 Retraitée'!$A:$A,"45*",'Balance N-1 Retraitée'!$H:$H)-SUMIF('Balance N-1 Retraitée'!$A:$A,"45*",'Balance N-1 Retraitée'!$G:$G)</f>
        <v>0</v>
      </c>
      <c r="H112" s="337"/>
    </row>
    <row r="113" spans="1:8" ht="12.75" thickBot="1" x14ac:dyDescent="0.25">
      <c r="A113" s="519"/>
      <c r="B113" s="567" t="s">
        <v>419</v>
      </c>
      <c r="C113" s="558"/>
      <c r="D113" s="568" t="s">
        <v>420</v>
      </c>
      <c r="E113" s="933">
        <f>SUMIF('Balance N Retraitée'!$A:$A,"47*",'Balance N Retraitée'!$H:$H)-SUMIF('Balance N Retraitée'!$A:$A,"47*",'Balance N Retraitée'!$G:$G)</f>
        <v>0</v>
      </c>
      <c r="F113" s="930"/>
      <c r="G113" s="933">
        <f>SUMIF('Balance N-1 Retraitée'!$A:$A,"47*",'Balance N-1 Retraitée'!$H:$H)-SUMIF('Balance N-1 Retraitée'!$A:$A,"47*",'Balance N-1 Retraitée'!$G:$G)</f>
        <v>0</v>
      </c>
      <c r="H113" s="337"/>
    </row>
    <row r="114" spans="1:8" ht="12.75" thickBot="1" x14ac:dyDescent="0.25">
      <c r="A114" s="565"/>
      <c r="B114" s="557"/>
      <c r="C114" s="558"/>
      <c r="D114" s="559" t="s">
        <v>421</v>
      </c>
      <c r="E114" s="929">
        <f>+E103+E112+E113</f>
        <v>621333.33000000007</v>
      </c>
      <c r="F114" s="930"/>
      <c r="G114" s="929">
        <f>+G103+G112+G113</f>
        <v>235004.5</v>
      </c>
      <c r="H114" s="337"/>
    </row>
    <row r="115" spans="1:8" ht="4.9000000000000004" customHeight="1" thickBot="1" x14ac:dyDescent="0.25">
      <c r="A115" s="565"/>
      <c r="B115" s="494"/>
      <c r="C115" s="494"/>
      <c r="D115" s="566"/>
      <c r="E115" s="921"/>
      <c r="F115" s="928"/>
      <c r="G115" s="921"/>
      <c r="H115" s="337"/>
    </row>
    <row r="116" spans="1:8" x14ac:dyDescent="0.2">
      <c r="A116" s="519"/>
      <c r="B116" s="547" t="s">
        <v>422</v>
      </c>
      <c r="C116" s="548">
        <f>SUM(C117:C119)</f>
        <v>0</v>
      </c>
      <c r="D116" s="560" t="s">
        <v>423</v>
      </c>
      <c r="E116" s="931">
        <f>SUM(E117:E119)</f>
        <v>0</v>
      </c>
      <c r="F116" s="932"/>
      <c r="G116" s="931">
        <f>SUM(G117:G119)</f>
        <v>0</v>
      </c>
      <c r="H116" s="337"/>
    </row>
    <row r="117" spans="1:8" x14ac:dyDescent="0.2">
      <c r="A117" s="519"/>
      <c r="B117" s="551" t="s">
        <v>424</v>
      </c>
      <c r="C117" s="552"/>
      <c r="D117" s="553"/>
      <c r="E117" s="775">
        <f>SUMIF('Balance N Retraitée'!$A:$A,"552*",'Balance N Retraitée'!$H:$H)-SUMIF('Balance N Retraitée'!$A:$A,"552*",'Balance N Retraitée'!$G:$G)</f>
        <v>0</v>
      </c>
      <c r="F117" s="865"/>
      <c r="G117" s="775">
        <f>SUMIF('Balance N-1 Retraitée'!$A:$A,"552*",'Balance N-1 Retraitée'!$H:$H)-SUMIF('Balance N-1 Retraitée'!$A:$A,"552*",'Balance N-1 Retraitée'!$G:$G)</f>
        <v>0</v>
      </c>
      <c r="H117" s="337"/>
    </row>
    <row r="118" spans="1:8" x14ac:dyDescent="0.2">
      <c r="A118" s="519"/>
      <c r="B118" s="551" t="s">
        <v>425</v>
      </c>
      <c r="C118" s="555"/>
      <c r="D118" s="556"/>
      <c r="E118" s="775">
        <f>SUMIF('Balance N Retraitée'!$A:$A,"553*",'Balance N Retraitée'!$H:$H)-SUMIF('Balance N Retraitée'!$A:$A,"553*",'Balance N Retraitée'!$G:$G)</f>
        <v>0</v>
      </c>
      <c r="F118" s="865"/>
      <c r="G118" s="775">
        <f>SUMIF('Balance N-1 Retraitée'!$A:$A,"553*",'Balance N-1 Retraitée'!$H:$H)-SUMIF('Balance N-1 Retraitée'!$A:$A,"553*",'Balance N-1 Retraitée'!$G:$G)</f>
        <v>0</v>
      </c>
      <c r="H118" s="337"/>
    </row>
    <row r="119" spans="1:8" ht="12.75" thickBot="1" x14ac:dyDescent="0.25">
      <c r="A119" s="519"/>
      <c r="B119" s="562" t="s">
        <v>426</v>
      </c>
      <c r="C119" s="563"/>
      <c r="D119" s="564"/>
      <c r="E119" s="921">
        <f>SUMIF('Balance N Retraitée'!$A:$A,"514*",'Balance N Retraitée'!$H:$H)+SUMIF('Balance N Retraitée'!$A:$A,"554*",'Balance N Retraitée'!$H:$H)</f>
        <v>0</v>
      </c>
      <c r="F119" s="928"/>
      <c r="G119" s="921">
        <f>SUMIF('Balance N-1 Retraitée'!$A:$A,"514*",'Balance N-1 Retraitée'!$H:$H)+SUMIF('Balance N-1 Retraitée'!$A:$A,"554*",'Balance N-1 Retraitée'!$H:$H)</f>
        <v>0</v>
      </c>
      <c r="H119" s="337"/>
    </row>
    <row r="120" spans="1:8" ht="12.75" thickBot="1" x14ac:dyDescent="0.25">
      <c r="A120" s="565"/>
      <c r="B120" s="494"/>
      <c r="C120" s="494"/>
      <c r="D120" s="559" t="s">
        <v>427</v>
      </c>
      <c r="E120" s="917">
        <f>+E116</f>
        <v>0</v>
      </c>
      <c r="F120" s="934"/>
      <c r="G120" s="917">
        <f>+G116</f>
        <v>0</v>
      </c>
      <c r="H120" s="337"/>
    </row>
    <row r="121" spans="1:8" ht="4.9000000000000004" customHeight="1" thickBot="1" x14ac:dyDescent="0.25">
      <c r="A121" s="565"/>
      <c r="B121" s="494"/>
      <c r="C121" s="494"/>
      <c r="D121" s="566"/>
      <c r="E121" s="921"/>
      <c r="F121" s="928"/>
      <c r="G121" s="921"/>
      <c r="H121" s="337"/>
    </row>
    <row r="122" spans="1:8" ht="12.75" thickBot="1" x14ac:dyDescent="0.25">
      <c r="A122" s="565"/>
      <c r="B122" s="562"/>
      <c r="C122" s="563"/>
      <c r="D122" s="559" t="s">
        <v>428</v>
      </c>
      <c r="E122" s="935">
        <f>+E101+E114+E120</f>
        <v>1729282.71</v>
      </c>
      <c r="F122" s="934"/>
      <c r="G122" s="935">
        <f>+G101+G114+G120</f>
        <v>316085.83</v>
      </c>
      <c r="H122" s="337"/>
    </row>
    <row r="123" spans="1:8" x14ac:dyDescent="0.2">
      <c r="A123" s="22" t="s">
        <v>429</v>
      </c>
      <c r="E123" s="936">
        <f>SUM(E68:E76)+E79+E86+E93+E97+E103+E112+E113+E116</f>
        <v>1707830.27</v>
      </c>
      <c r="F123" s="937"/>
      <c r="G123" s="577"/>
    </row>
    <row r="124" spans="1:8" x14ac:dyDescent="0.2">
      <c r="E124" s="577">
        <f>+E122-E60</f>
        <v>0</v>
      </c>
      <c r="F124" s="937"/>
      <c r="G124" s="577">
        <f>+G122-G60</f>
        <v>0</v>
      </c>
    </row>
    <row r="125" spans="1:8" x14ac:dyDescent="0.2">
      <c r="E125" s="577"/>
      <c r="F125" s="937"/>
      <c r="G125" s="577"/>
    </row>
    <row r="126" spans="1:8" ht="12.75" x14ac:dyDescent="0.2">
      <c r="C126" s="2"/>
    </row>
  </sheetData>
  <phoneticPr fontId="0" type="noConversion"/>
  <pageMargins left="0.78740157480314965" right="0.78740157480314965" top="0.98425196850393704" bottom="0.98425196850393704" header="0.51181102362204722" footer="0.51181102362204722"/>
  <pageSetup paperSize="9" scale="70" orientation="portrait" horizontalDpi="300" verticalDpi="300" r:id="rId1"/>
  <headerFooter alignWithMargins="0">
    <oddHeader>&amp;L&amp;"Times New Roman,Gras italique"&amp;12Sté : ...............................</oddHeader>
  </headerFooter>
  <rowBreaks count="1" manualBreakCount="1">
    <brk id="62" max="6" man="1"/>
  </rowBreaks>
  <ignoredErrors>
    <ignoredError sqref="E17 E25 E41 C56:D56" formula="1"/>
  </ignoredError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
  <dimension ref="A1:K84"/>
  <sheetViews>
    <sheetView showGridLines="0" showZeros="0" topLeftCell="A53" workbookViewId="0">
      <selection sqref="A1:G78"/>
    </sheetView>
  </sheetViews>
  <sheetFormatPr baseColWidth="10" defaultColWidth="12" defaultRowHeight="11.25" x14ac:dyDescent="0.2"/>
  <cols>
    <col min="1" max="1" width="2.6640625" style="424" customWidth="1"/>
    <col min="2" max="2" width="5" style="424" bestFit="1" customWidth="1"/>
    <col min="3" max="3" width="40.33203125" style="424" customWidth="1"/>
    <col min="4" max="4" width="18.1640625" style="492" bestFit="1" customWidth="1"/>
    <col min="5" max="5" width="20.5" style="492" bestFit="1" customWidth="1"/>
    <col min="6" max="6" width="23.6640625" style="424" bestFit="1" customWidth="1"/>
    <col min="7" max="7" width="16.5" style="424" customWidth="1"/>
    <col min="8" max="8" width="15.33203125" style="424" bestFit="1" customWidth="1"/>
    <col min="9" max="9" width="16.6640625" style="424" bestFit="1" customWidth="1"/>
    <col min="10" max="10" width="13" style="424" bestFit="1" customWidth="1"/>
    <col min="11" max="16384" width="12" style="424"/>
  </cols>
  <sheetData>
    <row r="1" spans="1:11" s="408" customFormat="1" x14ac:dyDescent="0.2">
      <c r="A1" s="14" t="s">
        <v>430</v>
      </c>
      <c r="B1" s="424"/>
      <c r="C1" s="424"/>
      <c r="D1" s="425"/>
      <c r="E1" s="425"/>
    </row>
    <row r="2" spans="1:11" s="408" customFormat="1" ht="15.75" x14ac:dyDescent="0.25">
      <c r="A2" s="426" t="s">
        <v>431</v>
      </c>
      <c r="B2" s="427"/>
      <c r="C2" s="427"/>
      <c r="D2" s="428"/>
      <c r="E2" s="428"/>
      <c r="F2" s="429"/>
      <c r="G2" s="429"/>
    </row>
    <row r="3" spans="1:11" s="408" customFormat="1" ht="12.75" customHeight="1" x14ac:dyDescent="0.2">
      <c r="A3" s="430" t="s">
        <v>432</v>
      </c>
      <c r="B3" s="427"/>
      <c r="C3" s="427"/>
      <c r="D3" s="429"/>
      <c r="E3" s="429"/>
      <c r="F3" s="431"/>
      <c r="G3" s="429"/>
    </row>
    <row r="4" spans="1:11" s="408" customFormat="1" ht="20.25" customHeight="1" thickBot="1" x14ac:dyDescent="0.25">
      <c r="C4" s="432"/>
      <c r="D4" s="433" t="s">
        <v>995</v>
      </c>
      <c r="E4" s="434">
        <f>+Couverture!C15</f>
        <v>44562</v>
      </c>
      <c r="F4" s="435" t="str">
        <f>+Couverture!E15</f>
        <v>31/12/2022</v>
      </c>
    </row>
    <row r="5" spans="1:11" s="408" customFormat="1" ht="14.25" customHeight="1" x14ac:dyDescent="0.2">
      <c r="A5" s="436"/>
      <c r="B5" s="437"/>
      <c r="C5" s="1015"/>
      <c r="D5" s="1028" t="s">
        <v>433</v>
      </c>
      <c r="E5" s="438"/>
      <c r="F5" s="1029" t="s">
        <v>315</v>
      </c>
      <c r="G5" s="1019" t="s">
        <v>315</v>
      </c>
    </row>
    <row r="6" spans="1:11" s="445" customFormat="1" x14ac:dyDescent="0.2">
      <c r="A6" s="440"/>
      <c r="B6" s="441"/>
      <c r="C6" s="1016"/>
      <c r="D6" s="1030" t="s">
        <v>434</v>
      </c>
      <c r="E6" s="443" t="s">
        <v>435</v>
      </c>
      <c r="F6" s="444" t="s">
        <v>436</v>
      </c>
      <c r="G6" s="1020" t="s">
        <v>436</v>
      </c>
    </row>
    <row r="7" spans="1:11" s="445" customFormat="1" x14ac:dyDescent="0.2">
      <c r="A7" s="440"/>
      <c r="B7" s="441"/>
      <c r="C7" s="1016" t="s">
        <v>437</v>
      </c>
      <c r="D7" s="1031"/>
      <c r="E7" s="446" t="s">
        <v>438</v>
      </c>
      <c r="F7" s="447" t="s">
        <v>439</v>
      </c>
      <c r="G7" s="1021" t="s">
        <v>439</v>
      </c>
    </row>
    <row r="8" spans="1:11" s="445" customFormat="1" x14ac:dyDescent="0.2">
      <c r="A8" s="440"/>
      <c r="B8" s="448"/>
      <c r="C8" s="1017"/>
      <c r="D8" s="1032"/>
      <c r="E8" s="449"/>
      <c r="F8" s="444"/>
      <c r="G8" s="1021" t="s">
        <v>490</v>
      </c>
    </row>
    <row r="9" spans="1:11" s="445" customFormat="1" x14ac:dyDescent="0.2">
      <c r="A9" s="440"/>
      <c r="B9" s="448"/>
      <c r="C9" s="1016"/>
      <c r="D9" s="1031"/>
      <c r="E9" s="446"/>
      <c r="F9" s="444"/>
      <c r="G9" s="1020"/>
    </row>
    <row r="10" spans="1:11" s="408" customFormat="1" ht="11.1" customHeight="1" x14ac:dyDescent="0.2">
      <c r="A10" s="450"/>
      <c r="B10" s="451"/>
      <c r="C10" s="1018"/>
      <c r="D10" s="1033">
        <v>1</v>
      </c>
      <c r="E10" s="452">
        <v>2</v>
      </c>
      <c r="F10" s="1034" t="s">
        <v>440</v>
      </c>
      <c r="G10" s="1022"/>
    </row>
    <row r="11" spans="1:11" s="408" customFormat="1" x14ac:dyDescent="0.2">
      <c r="A11" s="453" t="s">
        <v>441</v>
      </c>
      <c r="B11" s="454" t="s">
        <v>339</v>
      </c>
      <c r="C11" s="14" t="s">
        <v>442</v>
      </c>
      <c r="D11" s="1035">
        <f>SUM(D12:D18)</f>
        <v>381666.67</v>
      </c>
      <c r="E11" s="1003">
        <f>SUM(E12:E18)</f>
        <v>0</v>
      </c>
      <c r="F11" s="1005">
        <f>SUM(F12:F18)</f>
        <v>381666.67</v>
      </c>
      <c r="G11" s="1023">
        <f>SUM(G12:G18)</f>
        <v>0</v>
      </c>
    </row>
    <row r="12" spans="1:11" s="408" customFormat="1" x14ac:dyDescent="0.2">
      <c r="A12" s="453" t="s">
        <v>443</v>
      </c>
      <c r="B12" s="451"/>
      <c r="C12" s="455" t="s">
        <v>444</v>
      </c>
      <c r="D12" s="1036">
        <f>SUMIF('Balance N Retraitée'!A:A,"711*",'Balance N Retraitée'!H:H)-SUMIF('Balance N Retraitée'!A:A,"711*",'Balance N Retraitée'!G:G)-E12</f>
        <v>0</v>
      </c>
      <c r="E12" s="939">
        <f>SUMIF('Balance N Retraitée'!A:A,"7118*",'Balance N Retraitée'!H:H)-SUMIF('Balance N Retraitée'!A:A,"7118*",'Balance N Retraitée'!G:G)</f>
        <v>0</v>
      </c>
      <c r="F12" s="940">
        <f t="shared" ref="F12:F18" si="0">+D12+E12</f>
        <v>0</v>
      </c>
      <c r="G12" s="1024">
        <f>SUMIF('Balance N-1 Retraitée'!A:A,"711*",'Balance N-1 Retraitée'!H:H)-SUMIF('Balance N-1 Retraitée'!A:A,"711*",'Balance N-1 Retraitée'!G:G)</f>
        <v>0</v>
      </c>
      <c r="H12" s="457"/>
      <c r="I12" s="457"/>
      <c r="K12" s="457"/>
    </row>
    <row r="13" spans="1:11" s="408" customFormat="1" x14ac:dyDescent="0.2">
      <c r="A13" s="453" t="s">
        <v>445</v>
      </c>
      <c r="B13" s="451"/>
      <c r="C13" s="458" t="s">
        <v>446</v>
      </c>
      <c r="D13" s="1036">
        <f>SUMIF('Balance N Retraitée'!A:A,"712*",'Balance N Retraitée'!H:H)-SUMIF('Balance N Retraitée'!A:A,"712*",'Balance N Retraitée'!G:G)</f>
        <v>381666.67</v>
      </c>
      <c r="E13" s="939">
        <f>(SUMIF('Balance N Retraitée'!A:A,"7128*",'Balance N Retraitée'!H:H)-SUMIF('Balance N Retraitée'!A:A,"7128*",'Balance N Retraitée'!G:G))+(SUMIF('Balance N Retraitée'!A:A,"71298*",'Balance N Retraitée'!H:H)-SUMIF('Balance N Retraitée'!A:A,"71298*",'Balance N Retraitée'!G:G))</f>
        <v>0</v>
      </c>
      <c r="F13" s="940">
        <f t="shared" si="0"/>
        <v>381666.67</v>
      </c>
      <c r="G13" s="1024">
        <f>SUMIF('Balance N-1 Retraitée'!A:A,"712*",'Balance N-1 Retraitée'!H:H)-SUMIF('Balance N-1 Retraitée'!A:A,"712*",'Balance N-1 Retraitée'!G:G)</f>
        <v>0</v>
      </c>
      <c r="H13" s="457"/>
      <c r="K13" s="457"/>
    </row>
    <row r="14" spans="1:11" s="408" customFormat="1" x14ac:dyDescent="0.2">
      <c r="A14" s="453" t="s">
        <v>1032</v>
      </c>
      <c r="B14" s="451"/>
      <c r="C14" s="459" t="s">
        <v>448</v>
      </c>
      <c r="D14" s="1037">
        <f>SUMIF('Balance N Retraitée'!A:A,"713*",'Balance N Retraitée'!H:H)-SUMIF('Balance N Retraitée'!A:A,"713*",'Balance N Retraitée'!G:G)-E14</f>
        <v>0</v>
      </c>
      <c r="E14" s="963"/>
      <c r="F14" s="940">
        <f t="shared" si="0"/>
        <v>0</v>
      </c>
      <c r="G14" s="1024">
        <f>SUMIF('Balance N-1 Retraitée'!A:A,"713*",'Balance N-1 Retraitée'!H:H)-SUMIF('Balance N-1 Retraitée'!A:A,"713*",'Balance N-1 Retraitée'!G:G)</f>
        <v>0</v>
      </c>
      <c r="H14" s="457"/>
      <c r="K14" s="457"/>
    </row>
    <row r="15" spans="1:11" s="408" customFormat="1" x14ac:dyDescent="0.2">
      <c r="A15" s="453" t="s">
        <v>447</v>
      </c>
      <c r="B15" s="451"/>
      <c r="C15" s="458" t="s">
        <v>449</v>
      </c>
      <c r="D15" s="1037">
        <f>SUMIF('Balance N Retraitée'!A:A,"714*",'Balance N Retraitée'!H:H)-SUMIF('Balance N Retraitée'!A:A,"714*",'Balance N Retraitée'!G:G)-E15</f>
        <v>0</v>
      </c>
      <c r="E15" s="963">
        <f>SUMIF('Balance N Retraitée'!A:A,"7148*",'Balance N Retraitée'!H:H)-SUMIF('Balance N Retraitée'!A:A,"7148*",'Balance N Retraitée'!G:G)</f>
        <v>0</v>
      </c>
      <c r="F15" s="940">
        <f t="shared" si="0"/>
        <v>0</v>
      </c>
      <c r="G15" s="1024">
        <f>SUMIF('Balance N-1 Retraitée'!A:A,"714*",'Balance N-1 Retraitée'!H:H)-SUMIF('Balance N-1 Retraitée'!A:A,"714*",'Balance N-1 Retraitée'!G:G)</f>
        <v>0</v>
      </c>
      <c r="H15" s="652"/>
      <c r="K15" s="457"/>
    </row>
    <row r="16" spans="1:11" s="408" customFormat="1" x14ac:dyDescent="0.2">
      <c r="A16" s="453" t="s">
        <v>339</v>
      </c>
      <c r="B16" s="451"/>
      <c r="C16" s="459" t="s">
        <v>451</v>
      </c>
      <c r="D16" s="1037">
        <f>SUMIF('Balance N Retraitée'!A:A,"716*",'Balance N Retraitée'!H:H)-SUMIF('Balance N Retraitée'!A:A,"716*",'Balance N Retraitée'!G:G)-E16</f>
        <v>0</v>
      </c>
      <c r="E16" s="963">
        <f>SUMIF('Balance N Retraitée'!A:A,"7168*",'Balance N Retraitée'!H:H)-SUMIF('Balance N Retraitée'!A:A,"7168*",'Balance N Retraitée'!G:G)</f>
        <v>0</v>
      </c>
      <c r="F16" s="940">
        <f t="shared" si="0"/>
        <v>0</v>
      </c>
      <c r="G16" s="1024">
        <f>SUMIF('Balance N-1 Retraitée'!A:A,"716*",'Balance N-1 Retraitée'!H:H)-SUMIF('Balance N-1 Retraitée'!A:A,"716*",'Balance N-1 Retraitée'!G:G)</f>
        <v>0</v>
      </c>
      <c r="K16" s="457"/>
    </row>
    <row r="17" spans="1:11" s="408" customFormat="1" x14ac:dyDescent="0.2">
      <c r="A17" s="453" t="s">
        <v>452</v>
      </c>
      <c r="B17" s="451"/>
      <c r="C17" s="459" t="s">
        <v>453</v>
      </c>
      <c r="D17" s="1037">
        <f>SUMIF('Balance N Retraitée'!A:A,"718*",'Balance N Retraitée'!H:H)-SUMIF('Balance N Retraitée'!A:A,"718*",'Balance N Retraitée'!G:G)-E17</f>
        <v>0</v>
      </c>
      <c r="E17" s="963">
        <f>SUMIF('Balance N Retraitée'!A:A,"7188*",'Balance N Retraitée'!H:H)-SUMIF('Balance N Retraitée'!A:A,"7188*",'Balance N Retraitée'!G:G)</f>
        <v>0</v>
      </c>
      <c r="F17" s="940">
        <f t="shared" si="0"/>
        <v>0</v>
      </c>
      <c r="G17" s="1024">
        <f>SUMIF('Balance N-1 Retraitée'!A:A,"718*",'Balance N-1 Retraitée'!H:H)-SUMIF('Balance N-1 Retraitée'!A:A,"718*",'Balance N-1 Retraitée'!G:G)</f>
        <v>0</v>
      </c>
      <c r="K17" s="457"/>
    </row>
    <row r="18" spans="1:11" s="408" customFormat="1" ht="12" thickBot="1" x14ac:dyDescent="0.25">
      <c r="A18" s="453" t="s">
        <v>450</v>
      </c>
      <c r="B18" s="451"/>
      <c r="C18" s="458" t="s">
        <v>454</v>
      </c>
      <c r="D18" s="1037">
        <f>SUMIF('Balance N Retraitée'!A:A,"719*",'Balance N Retraitée'!H:H)-SUMIF('Balance N Retraitée'!A:A,"719*",'Balance N Retraitée'!G:G)-E18</f>
        <v>0</v>
      </c>
      <c r="E18" s="963">
        <f>SUMIF('Balance N Retraitée'!A:A,"7198*",'Balance N Retraitée'!H:H)-SUMIF('Balance N Retraitée'!A:A,"7198*",'Balance N Retraitée'!G:G)</f>
        <v>0</v>
      </c>
      <c r="F18" s="940">
        <f t="shared" si="0"/>
        <v>0</v>
      </c>
      <c r="G18" s="1024">
        <f>SUMIF('Balance N-1 Retraitée'!A:A,"719*",'Balance N-1 Retraitée'!H:H)-SUMIF('Balance N-1 Retraitée'!A:A,"719*",'Balance N-1 Retraitée'!G:G)</f>
        <v>0</v>
      </c>
      <c r="K18" s="457"/>
    </row>
    <row r="19" spans="1:11" s="408" customFormat="1" ht="12" thickBot="1" x14ac:dyDescent="0.25">
      <c r="A19" s="453" t="s">
        <v>452</v>
      </c>
      <c r="B19" s="451"/>
      <c r="C19" s="460" t="s">
        <v>455</v>
      </c>
      <c r="D19" s="1038">
        <f>ROUND(SUM(D12:D18),2)</f>
        <v>381666.67</v>
      </c>
      <c r="E19" s="1038">
        <f>ROUND(SUM(E12:E18),2)</f>
        <v>0</v>
      </c>
      <c r="F19" s="1038">
        <f>ROUND(SUM(F12:F18),2)</f>
        <v>381666.67</v>
      </c>
      <c r="G19" s="1038">
        <f>ROUND(SUM(G12:G18),2)</f>
        <v>0</v>
      </c>
      <c r="H19" s="457"/>
      <c r="I19" s="457"/>
      <c r="K19" s="457"/>
    </row>
    <row r="20" spans="1:11" s="408" customFormat="1" x14ac:dyDescent="0.2">
      <c r="A20" s="453" t="s">
        <v>339</v>
      </c>
      <c r="B20" s="461" t="s">
        <v>457</v>
      </c>
      <c r="C20" s="14" t="s">
        <v>458</v>
      </c>
      <c r="D20" s="1039">
        <f>SUM(D21:D27)</f>
        <v>313873.12</v>
      </c>
      <c r="E20" s="1004">
        <f>SUM(E21:E27)</f>
        <v>0</v>
      </c>
      <c r="F20" s="1006">
        <f>SUM(F21:F27)</f>
        <v>313873.12</v>
      </c>
      <c r="G20" s="1025">
        <f>SUM(G21:G27)</f>
        <v>18918.669999999998</v>
      </c>
      <c r="H20" s="457"/>
      <c r="J20" s="457"/>
      <c r="K20" s="457"/>
    </row>
    <row r="21" spans="1:11" s="408" customFormat="1" x14ac:dyDescent="0.2">
      <c r="A21" s="453" t="s">
        <v>447</v>
      </c>
      <c r="B21" s="462"/>
      <c r="C21" s="424" t="s">
        <v>459</v>
      </c>
      <c r="D21" s="1036">
        <f>SUMIF('Balance N Retraitée'!A:A,"611*",'Balance N Retraitée'!G:G)-SUMIF('Balance N Retraitée'!A:A,"611*",'Balance N Retraitée'!H:H)-E21</f>
        <v>0</v>
      </c>
      <c r="E21" s="939">
        <f>SUMIF('Balance N Retraitée'!A:A,"6118*",'Balance N Retraitée'!G:G)-SUMIF('Balance N Retraitée'!A:A,"6118*",'Balance N Retraitée'!H:H)</f>
        <v>0</v>
      </c>
      <c r="F21" s="940">
        <f t="shared" ref="F21:F26" si="1">+D21+E21</f>
        <v>0</v>
      </c>
      <c r="G21" s="1024">
        <f>SUMIF('Balance N-1 Retraitée'!A:A,"611*",'Balance N-1 Retraitée'!G:G)-SUMIF('Balance N-1 Retraitée'!A:A,"611*",'Balance N-1 Retraitée'!H:H)</f>
        <v>0</v>
      </c>
      <c r="H21" s="821"/>
      <c r="K21" s="457"/>
    </row>
    <row r="22" spans="1:11" s="408" customFormat="1" x14ac:dyDescent="0.2">
      <c r="A22" s="453" t="s">
        <v>456</v>
      </c>
      <c r="B22" s="462"/>
      <c r="C22" s="458" t="s">
        <v>460</v>
      </c>
      <c r="D22" s="1036">
        <f>SUMIF('Balance N Retraitée'!A:A,"612*",'Balance N Retraitée'!G:G)-SUMIF('Balance N Retraitée'!A:A,"612*",'Balance N Retraitée'!H:H)-E22</f>
        <v>0</v>
      </c>
      <c r="E22" s="939">
        <f>(SUMIF('Balance N Retraitée'!A:A,"6128*",'Balance N Retraitée'!G:G)-SUMIF('Balance N Retraitée'!A:A,"6128*",'Balance N Retraitée'!H:H))+(SUMIF('Balance N Retraitée'!A:A,"61298*",'Balance N Retraitée'!G:G)-SUMIF('Balance N Retraitée'!A:A,"61298*",'Balance N Retraitée'!H:H))</f>
        <v>0</v>
      </c>
      <c r="F22" s="940">
        <f>+D22+E22</f>
        <v>0</v>
      </c>
      <c r="G22" s="1024">
        <f>SUMIF('Balance N-1 Retraitée'!A:A,"612*",'Balance N-1 Retraitée'!G:G)-SUMIF('Balance N-1 Retraitée'!A:A,"612*",'Balance N-1 Retraitée'!H:H)</f>
        <v>0</v>
      </c>
      <c r="H22" s="457"/>
      <c r="K22" s="457"/>
    </row>
    <row r="23" spans="1:11" s="408" customFormat="1" x14ac:dyDescent="0.2">
      <c r="A23" s="450"/>
      <c r="B23" s="462"/>
      <c r="C23" s="459" t="s">
        <v>461</v>
      </c>
      <c r="D23" s="1036">
        <f>SUMIF('Balance N Retraitée'!A:A,"613*",'Balance N Retraitée'!G:G)-SUMIF('Balance N Retraitée'!A:A,"613*",'Balance N Retraitée'!H:H)+SUMIF('Balance N Retraitée'!A:A,"614*",'Balance N Retraitée'!G:G)-SUMIF('Balance N Retraitée'!A:A,"614*",'Balance N Retraitée'!H:H)-E23</f>
        <v>78665.810000000012</v>
      </c>
      <c r="E23" s="939">
        <f>SUMIF('Balance N Retraitée'!A:A,"6148*",'Balance N Retraitée'!G:G)-SUMIF('Balance N Retraitée'!A:A,"6148*",'Balance N Retraitée'!H:H)</f>
        <v>0</v>
      </c>
      <c r="F23" s="940">
        <f t="shared" si="1"/>
        <v>78665.810000000012</v>
      </c>
      <c r="G23" s="1024">
        <f>SUMIF('Balance N-1 Retraitée'!A:A,"613*",'Balance N-1 Retraitée'!G:G)-SUMIF('Balance N-1 Retraitée'!A:A,"613*",'Balance N-1 Retraitée'!H:H)+SUMIF('Balance N-1 Retraitée'!A:A,"614*",'Balance N-1 Retraitée'!G:G)-SUMIF('Balance N-1 Retraitée'!A:A,"614*",'Balance N-1 Retraitée'!H:H)</f>
        <v>5353.3</v>
      </c>
      <c r="H23" s="457"/>
      <c r="K23" s="457"/>
    </row>
    <row r="24" spans="1:11" s="408" customFormat="1" x14ac:dyDescent="0.2">
      <c r="A24" s="450"/>
      <c r="B24" s="462"/>
      <c r="C24" s="459" t="s">
        <v>462</v>
      </c>
      <c r="D24" s="1036">
        <f>SUMIF('Balance N Retraitée'!A:A,"616*",'Balance N Retraitée'!G:G)-SUMIF('Balance N Retraitée'!A:A,"616*",'Balance N Retraitée'!H:H)-E24</f>
        <v>28187</v>
      </c>
      <c r="E24" s="939">
        <f>SUMIF('Balance N Retraitée'!A:A,"6168*",'Balance N Retraitée'!G:G)-SUMIF('Balance N Retraitée'!A:A,"6168*",'Balance N Retraitée'!H:H)</f>
        <v>0</v>
      </c>
      <c r="F24" s="940">
        <f t="shared" si="1"/>
        <v>28187</v>
      </c>
      <c r="G24" s="1024">
        <f>SUMIF('Balance N-1 Retraitée'!A:A,"616*",'Balance N-1 Retraitée'!G:G)-SUMIF('Balance N-1 Retraitée'!A:A,"616*",'Balance N-1 Retraitée'!H:H)</f>
        <v>0</v>
      </c>
      <c r="H24" s="457"/>
      <c r="K24" s="457"/>
    </row>
    <row r="25" spans="1:11" s="408" customFormat="1" x14ac:dyDescent="0.2">
      <c r="A25" s="450"/>
      <c r="B25" s="462"/>
      <c r="C25" s="463" t="s">
        <v>463</v>
      </c>
      <c r="D25" s="1036">
        <f>SUMIF('Balance N Retraitée'!A:A,"617*",'Balance N Retraitée'!G:G)-SUMIF('Balance N Retraitée'!A:A,"617*",'Balance N Retraitée'!H:H)-E25</f>
        <v>34176.550000000003</v>
      </c>
      <c r="E25" s="939">
        <f>SUMIF('Balance N Retraitée'!A:A,"6178*",'Balance N Retraitée'!G:G)-SUMIF('Balance N Retraitée'!A:A,"6178*",'Balance N Retraitée'!H:H)</f>
        <v>0</v>
      </c>
      <c r="F25" s="940">
        <f t="shared" si="1"/>
        <v>34176.550000000003</v>
      </c>
      <c r="G25" s="1024">
        <f>SUMIF('Balance N-1 Retraitée'!A:A,"617*",'Balance N-1 Retraitée'!G:G)-SUMIF('Balance N-1 Retraitée'!A:A,"617*",'Balance N-1 Retraitée'!H:H)</f>
        <v>12871</v>
      </c>
      <c r="K25" s="457"/>
    </row>
    <row r="26" spans="1:11" s="408" customFormat="1" x14ac:dyDescent="0.2">
      <c r="A26" s="450"/>
      <c r="B26" s="462"/>
      <c r="C26" s="463" t="s">
        <v>464</v>
      </c>
      <c r="D26" s="1036">
        <f>SUMIF('Balance N Retraitée'!A:A,"618*",'Balance N Retraitée'!G:G)-SUMIF('Balance N Retraitée'!A:A,"618*",'Balance N Retraitée'!H:H)-E26</f>
        <v>0</v>
      </c>
      <c r="E26" s="939">
        <f>SUMIF('Balance N Retraitée'!A:A,"6188*",'Balance N Retraitée'!G:G)-SUMIF('Balance N Retraitée'!A:A,"6188*",'Balance N Retraitée'!H:H)</f>
        <v>0</v>
      </c>
      <c r="F26" s="940">
        <f t="shared" si="1"/>
        <v>0</v>
      </c>
      <c r="G26" s="1024">
        <f>SUMIF('Balance N-1 Retraitée'!A:A,"618*",'Balance N-1 Retraitée'!G:G)-SUMIF('Balance N-1 Retraitée'!A:A,"618*",'Balance N-1 Retraitée'!H:H)</f>
        <v>0</v>
      </c>
      <c r="K26" s="457"/>
    </row>
    <row r="27" spans="1:11" s="408" customFormat="1" ht="12" thickBot="1" x14ac:dyDescent="0.25">
      <c r="A27" s="450"/>
      <c r="B27" s="462"/>
      <c r="C27" s="459" t="s">
        <v>465</v>
      </c>
      <c r="D27" s="1036">
        <f>SUMIF('Balance N Retraitée'!A:A,"619*",'Balance N Retraitée'!G:G)-SUMIF('Balance N Retraitée'!A:A,"619*",'Balance N Retraitée'!H:H)-E27</f>
        <v>172843.76</v>
      </c>
      <c r="E27" s="939">
        <f>SUMIF('Balance N Retraitée'!A:A,"6198*",'Balance N Retraitée'!G:G)-SUMIF('Balance N Retraitée'!A:A,"6198*",'Balance N Retraitée'!H:H)</f>
        <v>0</v>
      </c>
      <c r="F27" s="940">
        <f>+D27+E27</f>
        <v>172843.76</v>
      </c>
      <c r="G27" s="1024">
        <f>SUMIF('Balance N-1 Retraitée'!A:A,"619*",'Balance N-1 Retraitée'!G:G)-SUMIF('Balance N-1 Retraitée'!A:A,"619*",'Balance N-1 Retraitée'!H:H)</f>
        <v>694.37</v>
      </c>
      <c r="K27" s="457"/>
    </row>
    <row r="28" spans="1:11" s="408" customFormat="1" ht="12" thickBot="1" x14ac:dyDescent="0.25">
      <c r="A28" s="464"/>
      <c r="B28" s="462"/>
      <c r="C28" s="460" t="s">
        <v>466</v>
      </c>
      <c r="D28" s="1040">
        <f>SUM(D21:D27)</f>
        <v>313873.12</v>
      </c>
      <c r="E28" s="1040">
        <f>SUM(E21:E27)</f>
        <v>0</v>
      </c>
      <c r="F28" s="1040">
        <f>SUM(F21:F27)</f>
        <v>313873.12</v>
      </c>
      <c r="G28" s="1040">
        <f>SUM(G21:G27)</f>
        <v>18918.669999999998</v>
      </c>
      <c r="K28" s="457"/>
    </row>
    <row r="29" spans="1:11" s="408" customFormat="1" ht="12.75" thickTop="1" thickBot="1" x14ac:dyDescent="0.25">
      <c r="A29" s="450"/>
      <c r="B29" s="465" t="s">
        <v>467</v>
      </c>
      <c r="C29" s="466" t="s">
        <v>468</v>
      </c>
      <c r="D29" s="1040">
        <f>ROUND(D19-D28,2)</f>
        <v>67793.55</v>
      </c>
      <c r="E29" s="1040">
        <f>ROUND(E19-E28,2)</f>
        <v>0</v>
      </c>
      <c r="F29" s="1040">
        <f>ROUND(F19-F28,2)</f>
        <v>67793.55</v>
      </c>
      <c r="G29" s="1040">
        <f>ROUND(G19-G28,2)</f>
        <v>-18918.669999999998</v>
      </c>
      <c r="K29" s="457"/>
    </row>
    <row r="30" spans="1:11" s="408" customFormat="1" x14ac:dyDescent="0.2">
      <c r="A30" s="450"/>
      <c r="B30" s="465" t="s">
        <v>469</v>
      </c>
      <c r="C30" s="14" t="s">
        <v>470</v>
      </c>
      <c r="D30" s="1039">
        <f>SUM(D31:D34)</f>
        <v>0</v>
      </c>
      <c r="E30" s="1004">
        <f t="shared" ref="E30:G30" si="2">SUM(E31:E34)</f>
        <v>0</v>
      </c>
      <c r="F30" s="1006">
        <f t="shared" si="2"/>
        <v>0</v>
      </c>
      <c r="G30" s="1025">
        <f t="shared" si="2"/>
        <v>0</v>
      </c>
      <c r="K30" s="457"/>
    </row>
    <row r="31" spans="1:11" s="408" customFormat="1" x14ac:dyDescent="0.2">
      <c r="A31" s="453" t="s">
        <v>471</v>
      </c>
      <c r="B31" s="462"/>
      <c r="C31" s="424" t="s">
        <v>472</v>
      </c>
      <c r="D31" s="1036">
        <f>SUMIF('Balance N Retraitée'!A:A,"732*",'Balance N Retraitée'!H:H)-SUMIF('Balance N Retraitée'!A:A,"732*",'Balance N Retraitée'!G:G)-E31</f>
        <v>0</v>
      </c>
      <c r="E31" s="939">
        <f>SUMIF('Balance N Retraitée'!A:A,"7328*",'Balance N Retraitée'!H:H)-SUMIF('Balance N Retraitée'!A:A,"7328*",'Balance N Retraitée'!G:G)</f>
        <v>0</v>
      </c>
      <c r="F31" s="940">
        <f>+D31+E31</f>
        <v>0</v>
      </c>
      <c r="G31" s="1024">
        <f>SUMIF('Balance N-1 Retraitée'!A:A,"732*",'Balance N-1 Retraitée'!H:H)-SUMIF('Balance N-1 Retraitée'!A:A,"732*",'Balance N-1 Retraitée'!G:G)</f>
        <v>0</v>
      </c>
      <c r="K31" s="457"/>
    </row>
    <row r="32" spans="1:11" s="408" customFormat="1" x14ac:dyDescent="0.2">
      <c r="A32" s="453" t="s">
        <v>339</v>
      </c>
      <c r="B32" s="462"/>
      <c r="C32" s="459" t="s">
        <v>473</v>
      </c>
      <c r="D32" s="1036">
        <f>SUMIF('Balance N Retraitée'!A:A,"733*",'Balance N Retraitée'!H:H)-SUMIF('Balance N Retraitée'!A:A,"733*",'Balance N Retraitée'!G:G)-E32</f>
        <v>0</v>
      </c>
      <c r="E32" s="939">
        <f>SUMIF('Balance N Retraitée'!A:A,"7338*",'Balance N Retraitée'!H:H)-SUMIF('Balance N Retraitée'!A:A,"7338*",'Balance N Retraitée'!G:G)</f>
        <v>0</v>
      </c>
      <c r="F32" s="940">
        <f>+D32+E32</f>
        <v>0</v>
      </c>
      <c r="G32" s="1024">
        <f>SUMIF('Balance N-1 Retraitée'!A:A,"733*",'Balance N-1 Retraitée'!H:H)-SUMIF('Balance N-1 Retraitée'!A:A,"733*",'Balance N-1 Retraitée'!G:G)</f>
        <v>0</v>
      </c>
      <c r="K32" s="457"/>
    </row>
    <row r="33" spans="1:11" s="408" customFormat="1" x14ac:dyDescent="0.2">
      <c r="A33" s="453" t="s">
        <v>456</v>
      </c>
      <c r="B33" s="462"/>
      <c r="C33" s="459" t="s">
        <v>474</v>
      </c>
      <c r="D33" s="1036">
        <f>SUMIF('Balance N Retraitée'!A:A,"738*",'Balance N Retraitée'!H:H)-SUMIF('Balance N Retraitée'!A:A,"738*",'Balance N Retraitée'!G:G)-E33</f>
        <v>0</v>
      </c>
      <c r="E33" s="939">
        <f>SUMIF('Balance N Retraitée'!A:A,"7388*",'Balance N Retraitée'!H:H)-SUMIF('Balance N Retraitée'!A:A,"7388*",'Balance N Retraitée'!G:G)</f>
        <v>0</v>
      </c>
      <c r="F33" s="940">
        <f>+D33+E33</f>
        <v>0</v>
      </c>
      <c r="G33" s="1024">
        <f>SUMIF('Balance N-1 Retraitée'!A:A,"738*",'Balance N-1 Retraitée'!H:H)-SUMIF('Balance N-1 Retraitée'!A:A,"738*",'Balance N-1 Retraitée'!G:G)</f>
        <v>0</v>
      </c>
      <c r="K33" s="457"/>
    </row>
    <row r="34" spans="1:11" s="408" customFormat="1" ht="12" thickBot="1" x14ac:dyDescent="0.25">
      <c r="A34" s="453" t="s">
        <v>450</v>
      </c>
      <c r="B34" s="462"/>
      <c r="C34" s="467" t="s">
        <v>475</v>
      </c>
      <c r="D34" s="1036">
        <f>SUMIF('Balance N Retraitée'!A:A,"739*",'Balance N Retraitée'!H:H)-SUMIF('Balance N Retraitée'!A:A,"739*",'Balance N Retraitée'!G:G)-E34</f>
        <v>0</v>
      </c>
      <c r="E34" s="939">
        <f>SUMIF('Balance N Retraitée'!A:A,"7398*",'Balance N Retraitée'!H:H)-SUMIF('Balance N Retraitée'!A:A,"7398*",'Balance N Retraitée'!G:G)</f>
        <v>0</v>
      </c>
      <c r="F34" s="940">
        <f>+D34+E34</f>
        <v>0</v>
      </c>
      <c r="G34" s="1024">
        <f>SUMIF('Balance N-1 Retraitée'!A:A,"739*",'Balance N-1 Retraitée'!H:H)-SUMIF('Balance N-1 Retraitée'!A:A,"739*",'Balance N-1 Retraitée'!G:G)</f>
        <v>0</v>
      </c>
      <c r="K34" s="457"/>
    </row>
    <row r="35" spans="1:11" s="408" customFormat="1" ht="12" thickBot="1" x14ac:dyDescent="0.25">
      <c r="A35" s="453" t="s">
        <v>456</v>
      </c>
      <c r="B35" s="462"/>
      <c r="C35" s="460" t="s">
        <v>477</v>
      </c>
      <c r="D35" s="1040">
        <f>SUM(D31:D34)</f>
        <v>0</v>
      </c>
      <c r="E35" s="938">
        <f>SUM(E31:E34)</f>
        <v>0</v>
      </c>
      <c r="F35" s="941">
        <f>SUM(F31:F34)</f>
        <v>0</v>
      </c>
      <c r="G35" s="1026">
        <f>SUM(G31:G34)</f>
        <v>0</v>
      </c>
      <c r="K35" s="457"/>
    </row>
    <row r="36" spans="1:11" s="408" customFormat="1" x14ac:dyDescent="0.2">
      <c r="A36" s="453" t="s">
        <v>476</v>
      </c>
      <c r="B36" s="468" t="s">
        <v>349</v>
      </c>
      <c r="C36" s="14" t="s">
        <v>478</v>
      </c>
      <c r="D36" s="1041">
        <f>SUM(D37:D40)</f>
        <v>43957.11</v>
      </c>
      <c r="E36" s="942">
        <f t="shared" ref="E36:G36" si="3">SUM(E37:E40)</f>
        <v>0</v>
      </c>
      <c r="F36" s="1007">
        <f t="shared" si="3"/>
        <v>43957.11</v>
      </c>
      <c r="G36" s="1027">
        <f t="shared" si="3"/>
        <v>0</v>
      </c>
      <c r="K36" s="457"/>
    </row>
    <row r="37" spans="1:11" s="408" customFormat="1" x14ac:dyDescent="0.2">
      <c r="A37" s="453" t="s">
        <v>339</v>
      </c>
      <c r="B37" s="462"/>
      <c r="C37" s="424" t="s">
        <v>479</v>
      </c>
      <c r="D37" s="1036">
        <f>SUMIF('Balance N Retraitée'!A:A,"631*",'Balance N Retraitée'!G:G)-SUMIF('Balance N Retraitée'!A:A,"631*",'Balance N Retraitée'!H:H)-E37</f>
        <v>43957.11</v>
      </c>
      <c r="E37" s="939">
        <f>SUMIF('Balance N Retraitée'!A:A,"6318*",'Balance N Retraitée'!G:G)-SUMIF('Balance N Retraitée'!A:A,"6318*",'Balance N Retraitée'!H:H)</f>
        <v>0</v>
      </c>
      <c r="F37" s="940">
        <f>+D37+E37</f>
        <v>43957.11</v>
      </c>
      <c r="G37" s="1024">
        <f>SUMIF('Balance N-1 Retraitée'!A:A,"631*",'Balance N-1 Retraitée'!G:G)-SUMIF('Balance N-1 Retraitée'!A:A,"631*",'Balance N-1 Retraitée'!H:H)</f>
        <v>0</v>
      </c>
      <c r="H37" s="651"/>
      <c r="K37" s="457"/>
    </row>
    <row r="38" spans="1:11" s="408" customFormat="1" x14ac:dyDescent="0.2">
      <c r="A38" s="453" t="s">
        <v>441</v>
      </c>
      <c r="B38" s="462"/>
      <c r="C38" s="459" t="s">
        <v>481</v>
      </c>
      <c r="D38" s="1036">
        <f>SUMIF('Balance N Retraitée'!A:A,"633*",'Balance N Retraitée'!G:G)-SUMIF('Balance N Retraitée'!A:A,"633*",'Balance N Retraitée'!H:H)-E38</f>
        <v>0</v>
      </c>
      <c r="E38" s="939">
        <f>SUMIF('Balance N Retraitée'!A:A,"6338*",'Balance N Retraitée'!G:G)-SUMIF('Balance N Retraitée'!A:A,"6338*",'Balance N Retraitée'!H:H)</f>
        <v>0</v>
      </c>
      <c r="F38" s="940">
        <f>+D38+E38</f>
        <v>0</v>
      </c>
      <c r="G38" s="1024">
        <f>SUMIF('Balance N-1 Retraitée'!A:A,"633*",'Balance N-1 Retraitée'!G:G)-SUMIF('Balance N-1 Retraitée'!A:A,"633*",'Balance N-1 Retraitée'!H:H)</f>
        <v>0</v>
      </c>
      <c r="H38" s="651"/>
      <c r="I38" s="651"/>
      <c r="K38" s="457"/>
    </row>
    <row r="39" spans="1:11" s="408" customFormat="1" x14ac:dyDescent="0.2">
      <c r="A39" s="453" t="s">
        <v>480</v>
      </c>
      <c r="B39" s="462"/>
      <c r="C39" s="459" t="s">
        <v>482</v>
      </c>
      <c r="D39" s="1036">
        <f>SUMIF('Balance N Retraitée'!A:A,"638*",'Balance N Retraitée'!G:G)-SUMIF('Balance N Retraitée'!A:A,"638*",'Balance N Retraitée'!H:H)-E39</f>
        <v>0</v>
      </c>
      <c r="E39" s="939">
        <f>SUMIF('Balance N Retraitée'!A:A,"6388*",'Balance N Retraitée'!G:G)-SUMIF('Balance N Retraitée'!A:A,"6388*",'Balance N Retraitée'!H:H)</f>
        <v>0</v>
      </c>
      <c r="F39" s="940">
        <f>+D39+E39</f>
        <v>0</v>
      </c>
      <c r="G39" s="1024">
        <f>SUMIF('Balance N-1 Retraitée'!A:A,"638*",'Balance N-1 Retraitée'!G:G)-SUMIF('Balance N-1 Retraitée'!A:A,"638*",'Balance N-1 Retraitée'!H:H)</f>
        <v>0</v>
      </c>
      <c r="K39" s="457"/>
    </row>
    <row r="40" spans="1:11" s="408" customFormat="1" ht="12" thickBot="1" x14ac:dyDescent="0.25">
      <c r="A40" s="453"/>
      <c r="B40" s="462"/>
      <c r="C40" s="459" t="s">
        <v>483</v>
      </c>
      <c r="D40" s="1036">
        <f>SUMIF('Balance N Retraitée'!A:A,"639*",'Balance N Retraitée'!G:G)-SUMIF('Balance N Retraitée'!A:A,"639*",'Balance N Retraitée'!H:H)-E40</f>
        <v>0</v>
      </c>
      <c r="E40" s="939">
        <f>SUMIF('Balance N Retraitée'!A:A,"6398*",'Balance N Retraitée'!G:G)-SUMIF('Balance N Retraitée'!A:A,"6398*",'Balance N Retraitée'!H:H)</f>
        <v>0</v>
      </c>
      <c r="F40" s="940">
        <f>+D40+E40</f>
        <v>0</v>
      </c>
      <c r="G40" s="1024">
        <f>SUMIF('Balance N-1 Retraitée'!A:A,"639*",'Balance N-1 Retraitée'!G:G)-SUMIF('Balance N-1 Retraitée'!A:A,"639*",'Balance N-1 Retraitée'!H:H)</f>
        <v>0</v>
      </c>
      <c r="K40" s="457"/>
    </row>
    <row r="41" spans="1:11" s="408" customFormat="1" ht="12" thickBot="1" x14ac:dyDescent="0.25">
      <c r="A41" s="450"/>
      <c r="B41" s="462"/>
      <c r="C41" s="460" t="s">
        <v>484</v>
      </c>
      <c r="D41" s="1040">
        <f>SUM(D37:D40)</f>
        <v>43957.11</v>
      </c>
      <c r="E41" s="938">
        <f>SUM(E37:E40)</f>
        <v>0</v>
      </c>
      <c r="F41" s="941">
        <f>SUM(F37:F40)</f>
        <v>43957.11</v>
      </c>
      <c r="G41" s="1026">
        <f>SUM(G37:G40)</f>
        <v>0</v>
      </c>
      <c r="H41" s="651"/>
      <c r="K41" s="457"/>
    </row>
    <row r="42" spans="1:11" s="408" customFormat="1" ht="12" thickBot="1" x14ac:dyDescent="0.25">
      <c r="A42" s="464"/>
      <c r="B42" s="465" t="s">
        <v>485</v>
      </c>
      <c r="C42" s="460" t="s">
        <v>486</v>
      </c>
      <c r="D42" s="1040">
        <f>ROUND((D35-D41),2)</f>
        <v>-43957.11</v>
      </c>
      <c r="E42" s="1040">
        <f>ROUND((E35-E41),2)</f>
        <v>0</v>
      </c>
      <c r="F42" s="1040">
        <f>ROUND((F35-F41),2)</f>
        <v>-43957.11</v>
      </c>
      <c r="G42" s="1040">
        <f>ROUND((G35-G41),2)</f>
        <v>0</v>
      </c>
      <c r="H42" s="651"/>
      <c r="K42" s="457"/>
    </row>
    <row r="43" spans="1:11" s="408" customFormat="1" ht="12.75" thickTop="1" thickBot="1" x14ac:dyDescent="0.25">
      <c r="A43" s="469"/>
      <c r="B43" s="470" t="s">
        <v>487</v>
      </c>
      <c r="C43" s="460" t="s">
        <v>488</v>
      </c>
      <c r="D43" s="1040">
        <f>+D29+D42</f>
        <v>23836.440000000002</v>
      </c>
      <c r="E43" s="938">
        <f>+E29+E42</f>
        <v>0</v>
      </c>
      <c r="F43" s="941">
        <f>+F29+F42</f>
        <v>23836.440000000002</v>
      </c>
      <c r="G43" s="1026">
        <f>+G29+G42</f>
        <v>-18918.669999999998</v>
      </c>
      <c r="K43" s="457"/>
    </row>
    <row r="44" spans="1:11" s="408" customFormat="1" ht="18.75" customHeight="1" x14ac:dyDescent="0.2">
      <c r="A44" s="424"/>
      <c r="C44" s="471" t="s">
        <v>489</v>
      </c>
      <c r="D44" s="472"/>
      <c r="E44" s="472"/>
      <c r="F44" s="473"/>
      <c r="G44" s="473"/>
      <c r="K44" s="457"/>
    </row>
    <row r="45" spans="1:11" s="408" customFormat="1" x14ac:dyDescent="0.2">
      <c r="A45" s="424"/>
      <c r="C45" s="474" t="s">
        <v>491</v>
      </c>
      <c r="D45" s="472"/>
      <c r="E45" s="472"/>
      <c r="F45" s="473"/>
      <c r="G45" s="473"/>
      <c r="K45" s="457"/>
    </row>
    <row r="46" spans="1:11" s="408" customFormat="1" x14ac:dyDescent="0.2">
      <c r="A46" s="424"/>
      <c r="B46" s="424"/>
      <c r="C46" s="475"/>
      <c r="D46" s="476"/>
      <c r="E46" s="476"/>
      <c r="F46" s="456"/>
      <c r="G46" s="456"/>
      <c r="K46" s="457"/>
    </row>
    <row r="47" spans="1:11" s="408" customFormat="1" x14ac:dyDescent="0.2">
      <c r="A47" s="14" t="s">
        <v>430</v>
      </c>
      <c r="B47" s="477"/>
      <c r="C47" s="477"/>
      <c r="D47" s="472"/>
      <c r="E47" s="472"/>
      <c r="F47" s="473"/>
      <c r="G47" s="473"/>
      <c r="K47" s="457"/>
    </row>
    <row r="48" spans="1:11" s="408" customFormat="1" x14ac:dyDescent="0.2">
      <c r="A48" s="424"/>
      <c r="D48" s="472"/>
      <c r="E48" s="472"/>
      <c r="F48" s="473"/>
      <c r="G48" s="473"/>
      <c r="K48" s="457"/>
    </row>
    <row r="49" spans="1:11" s="408" customFormat="1" ht="15.75" x14ac:dyDescent="0.25">
      <c r="A49" s="478" t="s">
        <v>492</v>
      </c>
      <c r="B49" s="429"/>
      <c r="C49" s="429"/>
      <c r="D49" s="479"/>
      <c r="E49" s="479"/>
      <c r="F49" s="479"/>
      <c r="G49" s="479"/>
      <c r="K49" s="457"/>
    </row>
    <row r="50" spans="1:11" s="408" customFormat="1" x14ac:dyDescent="0.2">
      <c r="A50" s="480" t="s">
        <v>432</v>
      </c>
      <c r="B50" s="429"/>
      <c r="C50" s="429"/>
      <c r="D50" s="481"/>
      <c r="E50" s="481"/>
      <c r="F50" s="479"/>
      <c r="G50" s="479"/>
      <c r="K50" s="457"/>
    </row>
    <row r="51" spans="1:11" s="408" customFormat="1" ht="12.75" thickBot="1" x14ac:dyDescent="0.25">
      <c r="A51" s="424"/>
      <c r="D51" s="482" t="str">
        <f>+D4</f>
        <v xml:space="preserve">    Exercice du :</v>
      </c>
      <c r="E51" s="1008">
        <f>E4</f>
        <v>44562</v>
      </c>
      <c r="F51" s="1008" t="str">
        <f>F4</f>
        <v>31/12/2022</v>
      </c>
      <c r="K51" s="457"/>
    </row>
    <row r="52" spans="1:11" s="408" customFormat="1" ht="25.5" customHeight="1" x14ac:dyDescent="0.2">
      <c r="A52" s="436"/>
      <c r="B52" s="439"/>
      <c r="C52" s="1042"/>
      <c r="D52" s="1053" t="s">
        <v>433</v>
      </c>
      <c r="E52" s="1009"/>
      <c r="F52" s="1029" t="s">
        <v>315</v>
      </c>
      <c r="G52" s="1019" t="s">
        <v>315</v>
      </c>
      <c r="K52" s="457"/>
    </row>
    <row r="53" spans="1:11" s="484" customFormat="1" ht="25.5" customHeight="1" x14ac:dyDescent="0.2">
      <c r="A53" s="1010"/>
      <c r="B53" s="442"/>
      <c r="C53" s="1016" t="s">
        <v>437</v>
      </c>
      <c r="D53" s="1054" t="s">
        <v>493</v>
      </c>
      <c r="E53" s="483" t="s">
        <v>494</v>
      </c>
      <c r="F53" s="1011" t="s">
        <v>495</v>
      </c>
      <c r="G53" s="1051" t="s">
        <v>495</v>
      </c>
      <c r="K53" s="457"/>
    </row>
    <row r="54" spans="1:11" s="408" customFormat="1" ht="12" thickBot="1" x14ac:dyDescent="0.25">
      <c r="A54" s="450"/>
      <c r="B54" s="485"/>
      <c r="C54" s="1018"/>
      <c r="D54" s="1033">
        <v>1</v>
      </c>
      <c r="E54" s="452">
        <v>2</v>
      </c>
      <c r="F54" s="1055" t="s">
        <v>496</v>
      </c>
      <c r="G54" s="1021" t="s">
        <v>490</v>
      </c>
      <c r="K54" s="457"/>
    </row>
    <row r="55" spans="1:11" s="408" customFormat="1" ht="12" thickBot="1" x14ac:dyDescent="0.25">
      <c r="A55" s="1012"/>
      <c r="B55" s="486" t="s">
        <v>497</v>
      </c>
      <c r="C55" s="1043" t="s">
        <v>498</v>
      </c>
      <c r="D55" s="1056">
        <f>D43</f>
        <v>23836.440000000002</v>
      </c>
      <c r="E55" s="804">
        <f>E43</f>
        <v>0</v>
      </c>
      <c r="F55" s="941">
        <f>+F43</f>
        <v>23836.440000000002</v>
      </c>
      <c r="G55" s="1026">
        <f>+G43</f>
        <v>-18918.669999999998</v>
      </c>
      <c r="K55" s="457"/>
    </row>
    <row r="56" spans="1:11" s="408" customFormat="1" ht="12" thickTop="1" x14ac:dyDescent="0.2">
      <c r="A56" s="450"/>
      <c r="B56" s="487" t="s">
        <v>499</v>
      </c>
      <c r="C56" s="1044" t="s">
        <v>500</v>
      </c>
      <c r="D56" s="1035">
        <f>SUM(D57:D61)</f>
        <v>0</v>
      </c>
      <c r="E56" s="1003">
        <f t="shared" ref="E56:G56" si="4">SUM(E57:E61)</f>
        <v>0</v>
      </c>
      <c r="F56" s="1005">
        <f t="shared" si="4"/>
        <v>0</v>
      </c>
      <c r="G56" s="1023">
        <f t="shared" si="4"/>
        <v>0</v>
      </c>
      <c r="K56" s="457"/>
    </row>
    <row r="57" spans="1:11" s="408" customFormat="1" x14ac:dyDescent="0.2">
      <c r="A57" s="453" t="s">
        <v>456</v>
      </c>
      <c r="B57" s="485"/>
      <c r="C57" s="1018" t="s">
        <v>501</v>
      </c>
      <c r="D57" s="1036">
        <f>SUMIF('Balance N Retraitée'!A:A,"751*",'Balance N Retraitée'!H:H)-SUMIF('Balance N Retraitée'!A:A,"751*",'Balance N Retraitée'!G:G)-E57</f>
        <v>0</v>
      </c>
      <c r="E57" s="939">
        <f>SUMIF('Balance N Retraitée'!A:A,"7518*",'Balance N Retraitée'!H:H)-SUMIF('Balance N Retraitée'!A:A,"7518*",'Balance N Retraitée'!G:G)</f>
        <v>0</v>
      </c>
      <c r="F57" s="940">
        <f>+D57+E57</f>
        <v>0</v>
      </c>
      <c r="G57" s="1024">
        <f>SUMIF('Balance N-1 Retraitée'!A:A,"751*",'Balance N-1 Retraitée'!H:H)-SUMIF('Balance N-1 Retraitée'!A:A,"751*",'Balance N-1 Retraitée'!G:G)</f>
        <v>0</v>
      </c>
      <c r="K57" s="457"/>
    </row>
    <row r="58" spans="1:11" s="408" customFormat="1" x14ac:dyDescent="0.2">
      <c r="A58" s="453" t="s">
        <v>447</v>
      </c>
      <c r="B58" s="485"/>
      <c r="C58" s="1045" t="s">
        <v>502</v>
      </c>
      <c r="D58" s="1036">
        <f>SUMIF('Balance N Retraitée'!A:A,"756*",'Balance N Retraitée'!H:H)-SUMIF('Balance N Retraitée'!A:A,"756*",'Balance N Retraitée'!G:G)-E58</f>
        <v>0</v>
      </c>
      <c r="E58" s="939">
        <f>SUMIF('Balance N Retraitée'!A:A,"7568*",'Balance N Retraitée'!H:H)-SUMIF('Balance N Retraitée'!A:A,"7568*",'Balance N Retraitée'!G:G)</f>
        <v>0</v>
      </c>
      <c r="F58" s="940">
        <f>+D58+E58</f>
        <v>0</v>
      </c>
      <c r="G58" s="1024">
        <f>SUMIF('Balance N-1 Retraitée'!A:A,"756*",'Balance N-1 Retraitée'!H:H)-SUMIF('Balance N-1 Retraitée'!A:A,"756*",'Balance N-1 Retraitée'!G:G)</f>
        <v>0</v>
      </c>
      <c r="K58" s="457"/>
    </row>
    <row r="59" spans="1:11" s="408" customFormat="1" x14ac:dyDescent="0.2">
      <c r="A59" s="453" t="s">
        <v>456</v>
      </c>
      <c r="B59" s="485"/>
      <c r="C59" s="1046" t="s">
        <v>503</v>
      </c>
      <c r="D59" s="1036">
        <f>SUMIF('Balance N Retraitée'!A:A,"757*",'Balance N Retraitée'!H:H)-SUMIF('Balance N Retraitée'!A:A,"757*",'Balance N Retraitée'!G:G)-E59</f>
        <v>0</v>
      </c>
      <c r="E59" s="939">
        <f>SUMIF('Balance N Retraitée'!A:A,"7578*",'Balance N Retraitée'!H:H)-SUMIF('Balance N Retraitée'!A:A,"7578*",'Balance N Retraitée'!G:G)</f>
        <v>0</v>
      </c>
      <c r="F59" s="940">
        <f>+D59+E59</f>
        <v>0</v>
      </c>
      <c r="G59" s="1024">
        <f>SUMIF('Balance N-1 Retraitée'!A:A,"757*",'Balance N-1 Retraitée'!H:H)-SUMIF('Balance N-1 Retraitée'!A:A,"757*",'Balance N-1 Retraitée'!G:G)</f>
        <v>0</v>
      </c>
      <c r="H59" s="457"/>
      <c r="K59" s="457"/>
    </row>
    <row r="60" spans="1:11" s="408" customFormat="1" x14ac:dyDescent="0.2">
      <c r="A60" s="453" t="s">
        <v>605</v>
      </c>
      <c r="B60" s="485"/>
      <c r="C60" s="1045" t="s">
        <v>504</v>
      </c>
      <c r="D60" s="1036">
        <f>SUMIF('Balance N Retraitée'!A:A,"758*",'Balance N Retraitée'!H:H)-SUMIF('Balance N Retraitée'!A:A,"758*",'Balance N Retraitée'!G:G)-E60</f>
        <v>0</v>
      </c>
      <c r="E60" s="939">
        <f>SUMIF('Balance N Retraitée'!A:A,"7588*",'Balance N Retraitée'!H:H)-SUMIF('Balance N Retraitée'!A:A,"7588*",'Balance N Retraitée'!G:G)</f>
        <v>0</v>
      </c>
      <c r="F60" s="940">
        <f>+D60+E60</f>
        <v>0</v>
      </c>
      <c r="G60" s="1024">
        <f>SUMIF('Balance N-1 Retraitée'!A:A,"758*",'Balance N-1 Retraitée'!H:H)-SUMIF('Balance N-1 Retraitée'!A:A,"758*",'Balance N-1 Retraitée'!G:G)</f>
        <v>0</v>
      </c>
      <c r="K60" s="457"/>
    </row>
    <row r="61" spans="1:11" s="408" customFormat="1" ht="12" thickBot="1" x14ac:dyDescent="0.25">
      <c r="A61" s="453" t="s">
        <v>476</v>
      </c>
      <c r="B61" s="485"/>
      <c r="C61" s="1047" t="s">
        <v>505</v>
      </c>
      <c r="D61" s="1036">
        <f>SUMIF('Balance N Retraitée'!A:A,"759*",'Balance N Retraitée'!H:H)-SUMIF('Balance N Retraitée'!A:A,"759*",'Balance N Retraitée'!G:G)-E61</f>
        <v>0</v>
      </c>
      <c r="E61" s="939">
        <f>SUMIF('Balance N Retraitée'!A:A,"7598*",'Balance N Retraitée'!H:H)-SUMIF('Balance N Retraitée'!A:A,"7598*",'Balance N Retraitée'!G:G)</f>
        <v>0</v>
      </c>
      <c r="F61" s="940">
        <f>+D61+E61</f>
        <v>0</v>
      </c>
      <c r="G61" s="1024">
        <f>SUMIF('Balance N-1 Retraitée'!A:A,"759*",'Balance N-1 Retraitée'!H:H)-SUMIF('Balance N-1 Retraitée'!A:A,"759*",'Balance N-1 Retraitée'!G:G)</f>
        <v>0</v>
      </c>
      <c r="K61" s="457"/>
    </row>
    <row r="62" spans="1:11" s="408" customFormat="1" ht="12.75" thickTop="1" thickBot="1" x14ac:dyDescent="0.25">
      <c r="A62" s="453" t="s">
        <v>447</v>
      </c>
      <c r="B62" s="485"/>
      <c r="C62" s="1048" t="s">
        <v>506</v>
      </c>
      <c r="D62" s="1040">
        <f>ROUND(SUM(D57:D61),2)</f>
        <v>0</v>
      </c>
      <c r="E62" s="1040">
        <f>ROUND(SUM(E57:E61),2)</f>
        <v>0</v>
      </c>
      <c r="F62" s="1040">
        <f>ROUND(SUM(F57:F61),2)</f>
        <v>0</v>
      </c>
      <c r="G62" s="1040">
        <f>ROUND(SUM(G57:G61),2)</f>
        <v>0</v>
      </c>
      <c r="K62" s="457"/>
    </row>
    <row r="63" spans="1:11" s="408" customFormat="1" ht="12" thickTop="1" x14ac:dyDescent="0.2">
      <c r="A63" s="453" t="s">
        <v>1033</v>
      </c>
      <c r="B63" s="488" t="s">
        <v>507</v>
      </c>
      <c r="C63" s="14" t="s">
        <v>508</v>
      </c>
      <c r="D63" s="1041">
        <f>SUM(D64:D67)</f>
        <v>0</v>
      </c>
      <c r="E63" s="942">
        <f t="shared" ref="E63:G63" si="5">SUM(E64:E67)</f>
        <v>0</v>
      </c>
      <c r="F63" s="1007">
        <f t="shared" si="5"/>
        <v>0</v>
      </c>
      <c r="G63" s="1027">
        <f t="shared" si="5"/>
        <v>0</v>
      </c>
      <c r="K63" s="457"/>
    </row>
    <row r="64" spans="1:11" s="408" customFormat="1" x14ac:dyDescent="0.2">
      <c r="A64" s="453" t="s">
        <v>480</v>
      </c>
      <c r="B64" s="485"/>
      <c r="C64" s="424" t="s">
        <v>509</v>
      </c>
      <c r="D64" s="1036">
        <f>SUMIF('Balance N Retraitée'!A:A,"651*",'Balance N Retraitée'!G:G)-SUMIF('Balance N Retraitée'!A:A,"651*",'Balance N Retraitée'!H:H)-E64</f>
        <v>0</v>
      </c>
      <c r="E64" s="939">
        <f>SUMIF('Balance N Retraitée'!A:A,"6518*",'Balance N Retraitée'!G:G)-SUMIF('Balance N Retraitée'!A:A,"6518*",'Balance N Retraitée'!H:H)</f>
        <v>0</v>
      </c>
      <c r="F64" s="940">
        <f>+D64+E64</f>
        <v>0</v>
      </c>
      <c r="G64" s="1024">
        <f>SUMIF('Balance N-1 Retraitée'!A:A,"651*",'Balance N-1 Retraitée'!G:G)-SUMIF('Balance N-1 Retraitée'!A:A,"651*",'Balance N-1 Retraitée'!H:H)</f>
        <v>0</v>
      </c>
      <c r="K64" s="457"/>
    </row>
    <row r="65" spans="1:11" s="408" customFormat="1" x14ac:dyDescent="0.2">
      <c r="A65" s="450" t="s">
        <v>450</v>
      </c>
      <c r="B65" s="485"/>
      <c r="C65" s="459" t="s">
        <v>510</v>
      </c>
      <c r="D65" s="1036">
        <f>SUMIF('Balance N Retraitée'!A:A,"656*",'Balance N Retraitée'!G:G)-SUMIF('Balance N Retraitée'!A:A,"656*",'Balance N Retraitée'!H:H)-E65</f>
        <v>0</v>
      </c>
      <c r="E65" s="939">
        <f>SUMIF('Balance N Retraitée'!A:A,"6568*",'Balance N Retraitée'!G:G)-SUMIF('Balance N Retraitée'!A:A,"6568*",'Balance N Retraitée'!H:H)</f>
        <v>0</v>
      </c>
      <c r="F65" s="940">
        <f>+D65+E65</f>
        <v>0</v>
      </c>
      <c r="G65" s="1052">
        <f>SUMIF('Balance N-1 Retraitée'!A:A,"656*",'Balance N-1 Retraitée'!G:G)-SUMIF('Balance N-1 Retraitée'!A:A,"656*",'Balance N-1 Retraitée'!H:H)</f>
        <v>0</v>
      </c>
      <c r="K65" s="457"/>
    </row>
    <row r="66" spans="1:11" s="408" customFormat="1" x14ac:dyDescent="0.2">
      <c r="A66" s="450" t="s">
        <v>456</v>
      </c>
      <c r="B66" s="485"/>
      <c r="C66" s="459" t="s">
        <v>511</v>
      </c>
      <c r="D66" s="1036">
        <f>SUMIF('Balance N Retraitée'!A:A,"658*",'Balance N Retraitée'!G:G)-SUMIF('Balance N Retraitée'!A:A,"658*",'Balance N Retraitée'!H:H)-E66</f>
        <v>0</v>
      </c>
      <c r="E66" s="939">
        <f>+SUMIF('Balance N Retraitée'!A:A,"6588*",'Balance N Retraitée'!G:G)-SUMIF('Balance N Retraitée'!A:A,"6588*",'Balance N Retraitée'!H:H)</f>
        <v>0</v>
      </c>
      <c r="F66" s="940">
        <f>+D66+E66</f>
        <v>0</v>
      </c>
      <c r="G66" s="1024">
        <f>SUMIF('Balance N-1 Retraitée'!A:A,"658*",'Balance N-1 Retraitée'!G:G)-SUMIF('Balance N-1 Retraitée'!A:A,"658*",'Balance N-1 Retraitée'!H:H)</f>
        <v>0</v>
      </c>
      <c r="K66" s="457"/>
    </row>
    <row r="67" spans="1:11" s="408" customFormat="1" ht="12" thickBot="1" x14ac:dyDescent="0.25">
      <c r="A67" s="450" t="s">
        <v>452</v>
      </c>
      <c r="B67" s="485"/>
      <c r="C67" s="1046" t="s">
        <v>512</v>
      </c>
      <c r="D67" s="1036">
        <f>SUMIF('Balance N Retraitée'!A:A,"659*",'Balance N Retraitée'!G:G)-SUMIF('Balance N Retraitée'!A:A,"659*",'Balance N Retraitée'!H:H)-E67</f>
        <v>0</v>
      </c>
      <c r="E67" s="939">
        <f>SUMIF('Balance N Retraitée'!A:A,"6598*",'Balance N Retraitée'!G:G)-SUMIF('Balance N Retraitée'!A:A,"6598*",'Balance N Retraitée'!H:H)</f>
        <v>0</v>
      </c>
      <c r="F67" s="940">
        <f>+D67+E67</f>
        <v>0</v>
      </c>
      <c r="G67" s="1024">
        <f>SUMIF('Balance N-1 Retraitée'!A:A,"659*",'Balance N-1 Retraitée'!G:G)-SUMIF('Balance N-1 Retraitée'!A:A,"659*",'Balance N-1 Retraitée'!H:H)</f>
        <v>0</v>
      </c>
      <c r="K67" s="457"/>
    </row>
    <row r="68" spans="1:11" s="408" customFormat="1" ht="12.75" thickTop="1" thickBot="1" x14ac:dyDescent="0.25">
      <c r="A68" s="450"/>
      <c r="B68" s="488" t="s">
        <v>315</v>
      </c>
      <c r="C68" s="1048" t="s">
        <v>513</v>
      </c>
      <c r="D68" s="1040">
        <f>ROUND(SUM(D64:D67),2)</f>
        <v>0</v>
      </c>
      <c r="E68" s="1040">
        <f>ROUND(SUM(E64:E67),2)</f>
        <v>0</v>
      </c>
      <c r="F68" s="1040">
        <f>ROUND(SUM(F64:F67),2)</f>
        <v>0</v>
      </c>
      <c r="G68" s="1040">
        <f>ROUND(SUM(G64:G67),2)</f>
        <v>0</v>
      </c>
      <c r="K68" s="457"/>
    </row>
    <row r="69" spans="1:11" s="408" customFormat="1" ht="12.75" thickTop="1" thickBot="1" x14ac:dyDescent="0.25">
      <c r="A69" s="464"/>
      <c r="B69" s="488" t="s">
        <v>443</v>
      </c>
      <c r="C69" s="1049" t="s">
        <v>514</v>
      </c>
      <c r="D69" s="1040">
        <f>+D62-D68</f>
        <v>0</v>
      </c>
      <c r="E69" s="938">
        <f>+E62-E68</f>
        <v>0</v>
      </c>
      <c r="F69" s="941">
        <f>+F62-F68</f>
        <v>0</v>
      </c>
      <c r="G69" s="1026">
        <f>+G62-G68</f>
        <v>0</v>
      </c>
      <c r="K69" s="457"/>
    </row>
    <row r="70" spans="1:11" s="408" customFormat="1" ht="12.75" thickTop="1" thickBot="1" x14ac:dyDescent="0.25">
      <c r="A70" s="1013"/>
      <c r="B70" s="488" t="s">
        <v>515</v>
      </c>
      <c r="C70" s="1049" t="s">
        <v>516</v>
      </c>
      <c r="D70" s="1040">
        <f>+D55+D69</f>
        <v>23836.440000000002</v>
      </c>
      <c r="E70" s="938">
        <f>+E55+E69</f>
        <v>0</v>
      </c>
      <c r="F70" s="941">
        <f>+F55+F69</f>
        <v>23836.440000000002</v>
      </c>
      <c r="G70" s="1026">
        <f>+G55+G69</f>
        <v>-18918.669999999998</v>
      </c>
      <c r="K70" s="457"/>
    </row>
    <row r="71" spans="1:11" s="408" customFormat="1" ht="12.75" thickTop="1" thickBot="1" x14ac:dyDescent="0.25">
      <c r="A71" s="450"/>
      <c r="B71" s="488" t="s">
        <v>538</v>
      </c>
      <c r="C71" s="1049" t="s">
        <v>539</v>
      </c>
      <c r="D71" s="1056">
        <f>SUMIF('Balance N Retraitée'!A:A,"670*",'Balance N Retraitée'!G:G)-SUMIF('Balance N Retraitée'!A:A,"670*",'Balance N Retraitée'!H:H)-E71</f>
        <v>2384</v>
      </c>
      <c r="E71" s="804">
        <f>SUMIF('Balance N Retraitée'!A:A,"6708*",'Balance N Retraitée'!G:G)-SUMIF('Balance N Retraitée'!A:A,"6708*",'Balance N Retraitée'!H:H)</f>
        <v>0</v>
      </c>
      <c r="F71" s="940">
        <f>+D71+E71</f>
        <v>2384</v>
      </c>
      <c r="G71" s="1026">
        <f>SUMIF('Balance N-1 Retraitée'!A:A,"670*",'Balance N-1 Retraitée'!G:G)-SUMIF('Balance N-1 Retraitée'!A:A,"670*",'Balance N-1 Retraitée'!H:H)</f>
        <v>0</v>
      </c>
      <c r="H71" s="457"/>
      <c r="K71" s="457"/>
    </row>
    <row r="72" spans="1:11" s="408" customFormat="1" ht="12.75" thickTop="1" thickBot="1" x14ac:dyDescent="0.25">
      <c r="A72" s="469"/>
      <c r="B72" s="1014" t="s">
        <v>540</v>
      </c>
      <c r="C72" s="1050" t="s">
        <v>541</v>
      </c>
      <c r="D72" s="1057">
        <f>D70-D71</f>
        <v>21452.440000000002</v>
      </c>
      <c r="E72" s="943">
        <f>E70-E71</f>
        <v>0</v>
      </c>
      <c r="F72" s="941">
        <f>+F70-F71</f>
        <v>21452.440000000002</v>
      </c>
      <c r="G72" s="1026">
        <f>+G70-G71</f>
        <v>-18918.669999999998</v>
      </c>
      <c r="K72" s="457"/>
    </row>
    <row r="73" spans="1:11" x14ac:dyDescent="0.2">
      <c r="D73" s="476"/>
      <c r="E73" s="476"/>
      <c r="F73" s="456"/>
      <c r="G73" s="456"/>
      <c r="H73" s="493"/>
      <c r="K73" s="457"/>
    </row>
    <row r="74" spans="1:11" ht="12" thickBot="1" x14ac:dyDescent="0.25">
      <c r="C74" s="14"/>
      <c r="D74" s="476"/>
      <c r="E74" s="476"/>
      <c r="F74" s="456"/>
      <c r="G74" s="456"/>
      <c r="K74" s="457"/>
    </row>
    <row r="75" spans="1:11" s="408" customFormat="1" ht="12" thickBot="1" x14ac:dyDescent="0.25">
      <c r="A75" s="489"/>
      <c r="B75" s="490" t="s">
        <v>542</v>
      </c>
      <c r="C75" s="1058" t="s">
        <v>543</v>
      </c>
      <c r="D75" s="1060">
        <f>ROUND(D19+D35+D62,2)</f>
        <v>381666.67</v>
      </c>
      <c r="E75" s="1060">
        <f>ROUND(E19+E35+E62,2)</f>
        <v>0</v>
      </c>
      <c r="F75" s="1060">
        <f>ROUND(F19+F35+F62,2)</f>
        <v>381666.67</v>
      </c>
      <c r="G75" s="1060">
        <f>ROUND(G19+G35+G62,2)</f>
        <v>0</v>
      </c>
      <c r="H75" s="576"/>
      <c r="K75" s="457"/>
    </row>
    <row r="76" spans="1:11" s="408" customFormat="1" ht="12" thickBot="1" x14ac:dyDescent="0.25">
      <c r="A76" s="469"/>
      <c r="B76" s="491" t="s">
        <v>544</v>
      </c>
      <c r="C76" s="1050" t="s">
        <v>545</v>
      </c>
      <c r="D76" s="1057">
        <f>ROUND(D28+D41+D68+D71,2)</f>
        <v>360214.23</v>
      </c>
      <c r="E76" s="1057">
        <f>ROUND(E28+E41+E68+E71,2)</f>
        <v>0</v>
      </c>
      <c r="F76" s="1057">
        <f>ROUND(F28+F41+F68+F71,2)</f>
        <v>360214.23</v>
      </c>
      <c r="G76" s="1057">
        <f>ROUND(G28+G41+G68+G71,2)</f>
        <v>18918.669999999998</v>
      </c>
      <c r="H76" s="576"/>
      <c r="K76" s="457"/>
    </row>
    <row r="77" spans="1:11" s="408" customFormat="1" ht="12" thickBot="1" x14ac:dyDescent="0.25">
      <c r="A77" s="469"/>
      <c r="B77" s="491" t="s">
        <v>546</v>
      </c>
      <c r="C77" s="1059" t="s">
        <v>548</v>
      </c>
      <c r="D77" s="1057">
        <f>ROUND(D75-D76,2)</f>
        <v>21452.44</v>
      </c>
      <c r="E77" s="1057">
        <f>ROUND(E75-E76,2)</f>
        <v>0</v>
      </c>
      <c r="F77" s="1057">
        <f>ROUND(F75-F76,2)</f>
        <v>21452.44</v>
      </c>
      <c r="G77" s="1057">
        <f>ROUND(G75-G76,2)</f>
        <v>-18918.669999999998</v>
      </c>
      <c r="H77" s="576"/>
      <c r="K77" s="457"/>
    </row>
    <row r="78" spans="1:11" x14ac:dyDescent="0.2">
      <c r="F78" s="493"/>
    </row>
    <row r="80" spans="1:11" x14ac:dyDescent="0.2">
      <c r="F80" s="493"/>
      <c r="G80" s="493"/>
    </row>
    <row r="83" spans="6:6" x14ac:dyDescent="0.2">
      <c r="F83" s="493"/>
    </row>
    <row r="84" spans="6:6" x14ac:dyDescent="0.2">
      <c r="F84" s="493"/>
    </row>
  </sheetData>
  <phoneticPr fontId="0" type="noConversion"/>
  <pageMargins left="0.78740157480314965" right="0.78740157480314965" top="0.98425196850393704" bottom="0.98425196850393704" header="0.51181102362204722" footer="0.51181102362204722"/>
  <pageSetup paperSize="9" scale="65" orientation="portrait" horizontalDpi="300" verticalDpi="300" r:id="rId1"/>
  <headerFooter alignWithMargins="0">
    <oddHeader>&amp;L&amp;"Times New Roman,Gras italique"&amp;12Sté : ...............................</oddHeader>
  </headerFooter>
  <rowBreaks count="1" manualBreakCount="1">
    <brk id="46" max="6"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5"/>
  <dimension ref="A1:H60"/>
  <sheetViews>
    <sheetView workbookViewId="0">
      <selection activeCell="F45" sqref="F45"/>
    </sheetView>
  </sheetViews>
  <sheetFormatPr baseColWidth="10" defaultColWidth="13.33203125" defaultRowHeight="12" x14ac:dyDescent="0.2"/>
  <cols>
    <col min="1" max="1" width="59.5" style="241" customWidth="1"/>
    <col min="2" max="2" width="18.5" style="241" customWidth="1"/>
    <col min="3" max="3" width="22.33203125" style="241" customWidth="1"/>
    <col min="4" max="4" width="16.1640625" style="241" customWidth="1"/>
    <col min="5" max="5" width="16.33203125" style="241" bestFit="1" customWidth="1"/>
    <col min="6" max="6" width="17.33203125" style="241" customWidth="1"/>
    <col min="7" max="7" width="19.1640625" style="241" bestFit="1" customWidth="1"/>
    <col min="8" max="8" width="14.5" style="241" bestFit="1" customWidth="1"/>
    <col min="9" max="16384" width="13.33203125" style="241"/>
  </cols>
  <sheetData>
    <row r="1" spans="1:4" ht="13.5" x14ac:dyDescent="0.25">
      <c r="A1" s="696" t="s">
        <v>1042</v>
      </c>
      <c r="C1" s="973" t="s">
        <v>1055</v>
      </c>
    </row>
    <row r="2" spans="1:4" ht="12.75" x14ac:dyDescent="0.2">
      <c r="A2" s="76"/>
      <c r="B2" s="242"/>
      <c r="C2" s="242"/>
      <c r="D2" s="242"/>
    </row>
    <row r="3" spans="1:4" s="245" customFormat="1" ht="15" x14ac:dyDescent="0.25">
      <c r="A3" s="243" t="s">
        <v>549</v>
      </c>
      <c r="B3" s="244"/>
      <c r="C3" s="244"/>
      <c r="D3" s="244"/>
    </row>
    <row r="4" spans="1:4" s="245" customFormat="1" ht="15" x14ac:dyDescent="0.25">
      <c r="A4" s="243"/>
      <c r="B4" s="244"/>
      <c r="C4" s="244"/>
      <c r="D4" s="244"/>
    </row>
    <row r="5" spans="1:4" x14ac:dyDescent="0.2">
      <c r="A5" s="246" t="s">
        <v>570</v>
      </c>
      <c r="B5" s="247" t="str">
        <f>'T2 CPC'!F4</f>
        <v>31/12/2022</v>
      </c>
    </row>
    <row r="6" spans="1:4" x14ac:dyDescent="0.2">
      <c r="A6" s="248" t="s">
        <v>550</v>
      </c>
      <c r="B6" s="249" t="s">
        <v>551</v>
      </c>
      <c r="C6" s="249" t="s">
        <v>551</v>
      </c>
    </row>
    <row r="7" spans="1:4" ht="12.75" x14ac:dyDescent="0.2">
      <c r="A7" s="199" t="s">
        <v>552</v>
      </c>
      <c r="B7" s="838"/>
      <c r="C7" s="839"/>
    </row>
    <row r="8" spans="1:4" x14ac:dyDescent="0.2">
      <c r="A8" s="250" t="s">
        <v>146</v>
      </c>
      <c r="B8" s="251">
        <f>IF('T2 CPC'!F72&gt;0,'T2 CPC'!F72,0)</f>
        <v>21452.440000000002</v>
      </c>
      <c r="C8" s="660"/>
      <c r="D8" s="252"/>
    </row>
    <row r="9" spans="1:4" x14ac:dyDescent="0.2">
      <c r="A9" s="250" t="s">
        <v>147</v>
      </c>
      <c r="B9" s="253"/>
      <c r="C9" s="759">
        <f>IF('T2 CPC'!F72&lt;0,-'T2 CPC'!F72,0)</f>
        <v>0</v>
      </c>
    </row>
    <row r="10" spans="1:4" ht="12.75" x14ac:dyDescent="0.2">
      <c r="A10" s="199" t="s">
        <v>553</v>
      </c>
      <c r="B10" s="254"/>
      <c r="C10" s="840"/>
    </row>
    <row r="11" spans="1:4" ht="12.75" x14ac:dyDescent="0.2">
      <c r="A11" s="250" t="s">
        <v>554</v>
      </c>
      <c r="B11" s="1092">
        <f>SUM(B12:B13)</f>
        <v>0</v>
      </c>
      <c r="C11" s="841"/>
    </row>
    <row r="12" spans="1:4" x14ac:dyDescent="0.2">
      <c r="A12" s="255" t="s">
        <v>2741</v>
      </c>
      <c r="B12" s="758">
        <v>0</v>
      </c>
      <c r="C12" s="259">
        <v>0</v>
      </c>
    </row>
    <row r="13" spans="1:4" x14ac:dyDescent="0.2">
      <c r="A13" s="256" t="s">
        <v>2748</v>
      </c>
      <c r="B13" s="1093">
        <v>0</v>
      </c>
      <c r="C13" s="259">
        <v>0</v>
      </c>
    </row>
    <row r="14" spans="1:4" x14ac:dyDescent="0.2">
      <c r="A14" s="256" t="s">
        <v>2748</v>
      </c>
      <c r="B14" s="1093">
        <v>0</v>
      </c>
      <c r="C14" s="259">
        <v>0</v>
      </c>
    </row>
    <row r="15" spans="1:4" x14ac:dyDescent="0.2">
      <c r="A15" s="256" t="s">
        <v>2748</v>
      </c>
      <c r="B15" s="1093">
        <v>0</v>
      </c>
      <c r="C15" s="259">
        <v>0</v>
      </c>
    </row>
    <row r="16" spans="1:4" x14ac:dyDescent="0.2">
      <c r="A16" s="256" t="s">
        <v>2748</v>
      </c>
      <c r="B16" s="1093">
        <v>0</v>
      </c>
      <c r="C16" s="259">
        <v>0</v>
      </c>
    </row>
    <row r="17" spans="1:3" ht="12.75" x14ac:dyDescent="0.2">
      <c r="A17" s="256" t="s">
        <v>2748</v>
      </c>
      <c r="B17" s="1094">
        <v>0</v>
      </c>
      <c r="C17" s="259">
        <v>0</v>
      </c>
    </row>
    <row r="18" spans="1:3" ht="12.75" x14ac:dyDescent="0.2">
      <c r="A18" s="256" t="s">
        <v>556</v>
      </c>
      <c r="B18" s="1092">
        <f>SUM(B19:B24)</f>
        <v>2384</v>
      </c>
      <c r="C18" s="841"/>
    </row>
    <row r="19" spans="1:3" x14ac:dyDescent="0.2">
      <c r="A19" s="256" t="s">
        <v>2742</v>
      </c>
      <c r="B19" s="253">
        <f>+Cellule_11416</f>
        <v>2384</v>
      </c>
      <c r="C19" s="840">
        <v>0</v>
      </c>
    </row>
    <row r="20" spans="1:3" x14ac:dyDescent="0.2">
      <c r="A20" s="256" t="s">
        <v>2743</v>
      </c>
      <c r="B20" s="758">
        <v>0</v>
      </c>
      <c r="C20" s="840">
        <v>0</v>
      </c>
    </row>
    <row r="21" spans="1:3" x14ac:dyDescent="0.2">
      <c r="A21" s="256" t="s">
        <v>2744</v>
      </c>
      <c r="B21" s="758">
        <v>0</v>
      </c>
      <c r="C21" s="840">
        <v>0</v>
      </c>
    </row>
    <row r="22" spans="1:3" x14ac:dyDescent="0.2">
      <c r="A22" s="256" t="s">
        <v>2748</v>
      </c>
      <c r="B22" s="1093">
        <v>0</v>
      </c>
      <c r="C22" s="840">
        <v>0</v>
      </c>
    </row>
    <row r="23" spans="1:3" x14ac:dyDescent="0.2">
      <c r="A23" s="256" t="s">
        <v>2748</v>
      </c>
      <c r="B23" s="1093">
        <v>0</v>
      </c>
      <c r="C23" s="840">
        <v>0</v>
      </c>
    </row>
    <row r="24" spans="1:3" x14ac:dyDescent="0.2">
      <c r="A24" s="256" t="s">
        <v>2748</v>
      </c>
      <c r="B24" s="758">
        <v>0</v>
      </c>
      <c r="C24" s="840">
        <v>0</v>
      </c>
    </row>
    <row r="25" spans="1:3" x14ac:dyDescent="0.2">
      <c r="A25" s="257" t="s">
        <v>557</v>
      </c>
      <c r="B25" s="253"/>
      <c r="C25" s="842"/>
    </row>
    <row r="26" spans="1:3" x14ac:dyDescent="0.2">
      <c r="A26" s="250" t="s">
        <v>554</v>
      </c>
      <c r="B26" s="258"/>
      <c r="C26" s="251">
        <f>SUM(C27:C28)</f>
        <v>0</v>
      </c>
    </row>
    <row r="27" spans="1:3" x14ac:dyDescent="0.2">
      <c r="A27" s="255" t="s">
        <v>2745</v>
      </c>
      <c r="B27" s="258">
        <v>0</v>
      </c>
      <c r="C27" s="259">
        <v>0</v>
      </c>
    </row>
    <row r="28" spans="1:3" x14ac:dyDescent="0.2">
      <c r="A28" s="256" t="s">
        <v>2746</v>
      </c>
      <c r="B28" s="258">
        <v>0</v>
      </c>
      <c r="C28" s="259">
        <v>0</v>
      </c>
    </row>
    <row r="29" spans="1:3" x14ac:dyDescent="0.2">
      <c r="A29" s="256" t="s">
        <v>2748</v>
      </c>
      <c r="B29" s="258">
        <v>0</v>
      </c>
      <c r="C29" s="259">
        <v>0</v>
      </c>
    </row>
    <row r="30" spans="1:3" x14ac:dyDescent="0.2">
      <c r="A30" s="256" t="s">
        <v>2748</v>
      </c>
      <c r="B30" s="258">
        <v>0</v>
      </c>
      <c r="C30" s="259">
        <v>0</v>
      </c>
    </row>
    <row r="31" spans="1:3" x14ac:dyDescent="0.2">
      <c r="A31" s="256" t="s">
        <v>2748</v>
      </c>
      <c r="B31" s="258">
        <v>0</v>
      </c>
      <c r="C31" s="259">
        <v>0</v>
      </c>
    </row>
    <row r="32" spans="1:3" x14ac:dyDescent="0.2">
      <c r="A32" s="256" t="s">
        <v>2748</v>
      </c>
      <c r="B32" s="258">
        <v>0</v>
      </c>
      <c r="C32" s="259">
        <v>0</v>
      </c>
    </row>
    <row r="33" spans="1:8" x14ac:dyDescent="0.2">
      <c r="A33" s="250" t="s">
        <v>556</v>
      </c>
      <c r="B33" s="258"/>
      <c r="C33" s="251"/>
      <c r="D33" s="260"/>
    </row>
    <row r="34" spans="1:8" x14ac:dyDescent="0.2">
      <c r="A34" s="256" t="s">
        <v>2747</v>
      </c>
      <c r="B34" s="253">
        <v>0</v>
      </c>
      <c r="C34" s="259">
        <v>0</v>
      </c>
      <c r="D34" s="260"/>
    </row>
    <row r="35" spans="1:8" x14ac:dyDescent="0.2">
      <c r="A35" s="256" t="s">
        <v>2748</v>
      </c>
      <c r="B35" s="253">
        <v>0</v>
      </c>
      <c r="C35" s="259">
        <v>0</v>
      </c>
      <c r="D35" s="260"/>
    </row>
    <row r="36" spans="1:8" x14ac:dyDescent="0.2">
      <c r="A36" s="256" t="s">
        <v>2748</v>
      </c>
      <c r="B36" s="253">
        <v>0</v>
      </c>
      <c r="C36" s="259">
        <v>0</v>
      </c>
      <c r="D36" s="260"/>
    </row>
    <row r="37" spans="1:8" x14ac:dyDescent="0.2">
      <c r="A37" s="256" t="s">
        <v>2748</v>
      </c>
      <c r="B37" s="253">
        <v>0</v>
      </c>
      <c r="C37" s="259">
        <v>0</v>
      </c>
      <c r="D37" s="260"/>
    </row>
    <row r="38" spans="1:8" x14ac:dyDescent="0.2">
      <c r="A38" s="256" t="s">
        <v>2748</v>
      </c>
      <c r="B38" s="253">
        <v>0</v>
      </c>
      <c r="C38" s="259">
        <v>0</v>
      </c>
      <c r="D38" s="260"/>
    </row>
    <row r="39" spans="1:8" x14ac:dyDescent="0.2">
      <c r="A39" s="256" t="s">
        <v>2748</v>
      </c>
      <c r="B39" s="253">
        <v>0</v>
      </c>
      <c r="C39" s="259">
        <v>0</v>
      </c>
      <c r="D39" s="260"/>
    </row>
    <row r="40" spans="1:8" x14ac:dyDescent="0.2">
      <c r="A40" s="261" t="s">
        <v>558</v>
      </c>
      <c r="B40" s="1092">
        <f>+B18+B11+B8</f>
        <v>23836.440000000002</v>
      </c>
      <c r="C40" s="251">
        <f>+C33+C26+C9</f>
        <v>0</v>
      </c>
      <c r="D40" s="260"/>
    </row>
    <row r="41" spans="1:8" x14ac:dyDescent="0.2">
      <c r="A41" s="199" t="s">
        <v>559</v>
      </c>
      <c r="B41" s="259"/>
      <c r="C41" s="843" t="s">
        <v>560</v>
      </c>
      <c r="D41" s="260"/>
    </row>
    <row r="42" spans="1:8" ht="12.75" thickBot="1" x14ac:dyDescent="0.25">
      <c r="A42" s="250" t="s">
        <v>561</v>
      </c>
      <c r="B42" s="836">
        <f>IF(B40-C40&gt;=0,B40-C40,0)</f>
        <v>23836.440000000002</v>
      </c>
      <c r="C42" s="836"/>
      <c r="D42" s="260"/>
    </row>
    <row r="43" spans="1:8" ht="12.75" thickBot="1" x14ac:dyDescent="0.25">
      <c r="A43" s="250" t="s">
        <v>562</v>
      </c>
      <c r="B43" s="259"/>
      <c r="C43" s="836">
        <f>IF(B40-C40&lt;=0,C40-B40,0)</f>
        <v>0</v>
      </c>
      <c r="E43" s="650" t="s">
        <v>580</v>
      </c>
      <c r="F43" s="654">
        <f>IF(C50*0.35&lt;0,0,C50*0.3)</f>
        <v>0</v>
      </c>
      <c r="H43" s="655"/>
    </row>
    <row r="44" spans="1:8" ht="12.75" thickBot="1" x14ac:dyDescent="0.25">
      <c r="A44" s="257" t="s">
        <v>563</v>
      </c>
      <c r="B44" s="259">
        <f>SUM(B45:B48)</f>
        <v>0</v>
      </c>
      <c r="C44" s="259"/>
    </row>
    <row r="45" spans="1:8" ht="12.75" thickBot="1" x14ac:dyDescent="0.25">
      <c r="A45" s="250" t="s">
        <v>564</v>
      </c>
      <c r="B45" s="262"/>
      <c r="C45" s="839"/>
      <c r="D45" s="260"/>
      <c r="E45" s="650" t="s">
        <v>581</v>
      </c>
      <c r="F45" s="654">
        <f>+ROUNDDOWN(('T2 CPC'!F12+'T2 CPC'!F13+'T2 CPC'!F32+'T2 CPC'!F33+'T2 CPC'!F58+'T2 CPC'!F59+'T2 CPC'!F60),-1)*0.5%</f>
        <v>1908.3</v>
      </c>
      <c r="G45" s="260"/>
      <c r="H45" s="260"/>
    </row>
    <row r="46" spans="1:8" ht="12.75" thickBot="1" x14ac:dyDescent="0.25">
      <c r="A46" s="250" t="s">
        <v>148</v>
      </c>
      <c r="B46" s="263"/>
      <c r="C46" s="259"/>
      <c r="D46" s="260"/>
    </row>
    <row r="47" spans="1:8" ht="12.75" thickBot="1" x14ac:dyDescent="0.25">
      <c r="A47" s="250" t="s">
        <v>149</v>
      </c>
      <c r="B47" s="264"/>
      <c r="C47" s="259"/>
      <c r="D47" s="252"/>
      <c r="E47" s="806" t="s">
        <v>533</v>
      </c>
      <c r="F47" s="807">
        <f>MAX(F43,F45)</f>
        <v>1908.3</v>
      </c>
    </row>
    <row r="48" spans="1:8" x14ac:dyDescent="0.2">
      <c r="A48" s="250" t="s">
        <v>150</v>
      </c>
      <c r="B48" s="265"/>
      <c r="C48" s="259"/>
      <c r="D48" s="260"/>
    </row>
    <row r="49" spans="1:6" x14ac:dyDescent="0.2">
      <c r="A49" s="199" t="s">
        <v>565</v>
      </c>
      <c r="B49" s="259"/>
      <c r="C49" s="259"/>
    </row>
    <row r="50" spans="1:6" x14ac:dyDescent="0.2">
      <c r="A50" s="250" t="s">
        <v>566</v>
      </c>
      <c r="B50" s="259">
        <f>IF(B42=0,0,B42-B44)</f>
        <v>23836.440000000002</v>
      </c>
      <c r="C50" s="1091"/>
      <c r="E50" s="655"/>
      <c r="F50" s="868"/>
    </row>
    <row r="51" spans="1:6" x14ac:dyDescent="0.2">
      <c r="A51" s="266" t="s">
        <v>567</v>
      </c>
      <c r="B51" s="660"/>
      <c r="C51" s="837"/>
    </row>
    <row r="52" spans="1:6" x14ac:dyDescent="0.2">
      <c r="A52" s="257" t="s">
        <v>568</v>
      </c>
      <c r="B52" s="259"/>
      <c r="C52" s="843" t="s">
        <v>560</v>
      </c>
    </row>
    <row r="53" spans="1:6" x14ac:dyDescent="0.2">
      <c r="A53" s="250"/>
      <c r="B53" s="1074"/>
      <c r="C53" s="264"/>
    </row>
    <row r="54" spans="1:6" x14ac:dyDescent="0.2">
      <c r="A54" s="199" t="s">
        <v>571</v>
      </c>
      <c r="B54" s="259"/>
      <c r="C54" s="263"/>
    </row>
    <row r="55" spans="1:6" x14ac:dyDescent="0.2">
      <c r="A55" s="250" t="s">
        <v>564</v>
      </c>
      <c r="B55" s="262">
        <v>0</v>
      </c>
      <c r="C55" s="259"/>
    </row>
    <row r="56" spans="1:6" x14ac:dyDescent="0.2">
      <c r="A56" s="250" t="s">
        <v>148</v>
      </c>
      <c r="B56" s="263">
        <v>0</v>
      </c>
      <c r="C56" s="259"/>
    </row>
    <row r="57" spans="1:6" x14ac:dyDescent="0.2">
      <c r="A57" s="250" t="s">
        <v>149</v>
      </c>
      <c r="B57" s="267">
        <f>+Cellule_11434</f>
        <v>18918.669999999998</v>
      </c>
      <c r="C57" s="259"/>
    </row>
    <row r="58" spans="1:6" x14ac:dyDescent="0.2">
      <c r="A58" s="250" t="s">
        <v>150</v>
      </c>
      <c r="C58" s="259"/>
    </row>
    <row r="59" spans="1:6" x14ac:dyDescent="0.2">
      <c r="A59" s="268"/>
      <c r="B59" s="660"/>
      <c r="C59" s="660"/>
    </row>
    <row r="60" spans="1:6" x14ac:dyDescent="0.2">
      <c r="A60" s="241" t="s">
        <v>572</v>
      </c>
    </row>
  </sheetData>
  <phoneticPr fontId="23" type="noConversion"/>
  <pageMargins left="0.78740157499999996" right="0.78740157499999996" top="0.984251969" bottom="0.984251969" header="0.4921259845" footer="0.4921259845"/>
  <pageSetup paperSize="9" scale="95" orientation="portrait" horizontalDpi="300" verticalDpi="300" r:id="rId1"/>
  <headerFooter alignWithMargins="0">
    <oddHeader>&amp;L&amp;"Times New Roman,Gras italique"&amp;12Sté : ...............................</odd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6"/>
  <dimension ref="A1:K40"/>
  <sheetViews>
    <sheetView workbookViewId="0">
      <selection activeCell="C11" sqref="C11"/>
    </sheetView>
  </sheetViews>
  <sheetFormatPr baseColWidth="10" defaultColWidth="13.33203125" defaultRowHeight="12" x14ac:dyDescent="0.2"/>
  <cols>
    <col min="1" max="1" width="45.6640625" style="241" customWidth="1"/>
    <col min="2" max="2" width="18" style="241" customWidth="1"/>
    <col min="3" max="3" width="18.6640625" style="241" bestFit="1" customWidth="1"/>
    <col min="4" max="4" width="18.6640625" style="241" customWidth="1"/>
    <col min="5" max="5" width="17.6640625" style="241" bestFit="1" customWidth="1"/>
    <col min="6" max="6" width="17.5" style="241" customWidth="1"/>
    <col min="7" max="7" width="15.33203125" style="241" customWidth="1"/>
    <col min="8" max="8" width="17" style="241" customWidth="1"/>
    <col min="9" max="9" width="18.83203125" style="241" bestFit="1" customWidth="1"/>
    <col min="10" max="10" width="19" style="241" customWidth="1"/>
    <col min="11" max="11" width="17.33203125" style="241" bestFit="1" customWidth="1"/>
    <col min="12" max="16384" width="13.33203125" style="241"/>
  </cols>
  <sheetData>
    <row r="1" spans="1:11" ht="13.5" x14ac:dyDescent="0.25">
      <c r="A1" s="696" t="s">
        <v>1043</v>
      </c>
      <c r="I1" s="973" t="s">
        <v>1056</v>
      </c>
    </row>
    <row r="3" spans="1:11" s="4" customFormat="1" ht="15" customHeight="1" x14ac:dyDescent="0.2">
      <c r="A3" s="74"/>
      <c r="B3" s="9" t="s">
        <v>573</v>
      </c>
      <c r="C3" s="9"/>
      <c r="D3" s="9"/>
      <c r="E3" s="9"/>
      <c r="F3" s="9"/>
      <c r="G3" s="9"/>
      <c r="H3" s="9"/>
      <c r="I3" s="9"/>
    </row>
    <row r="4" spans="1:11" x14ac:dyDescent="0.2">
      <c r="A4" s="196"/>
      <c r="B4" s="196"/>
      <c r="C4" s="196"/>
      <c r="D4" s="196"/>
      <c r="E4" s="196"/>
      <c r="F4" s="196"/>
      <c r="G4" s="196"/>
      <c r="H4" s="196"/>
      <c r="I4" s="196"/>
    </row>
    <row r="5" spans="1:11" x14ac:dyDescent="0.2">
      <c r="F5" s="320"/>
      <c r="G5" s="80" t="s">
        <v>63</v>
      </c>
      <c r="H5" s="321"/>
      <c r="I5" s="342" t="str">
        <f>Couverture!E15</f>
        <v>31/12/2022</v>
      </c>
    </row>
    <row r="6" spans="1:11" s="327" customFormat="1" ht="11.25" x14ac:dyDescent="0.2">
      <c r="A6" s="322"/>
      <c r="B6" s="323" t="s">
        <v>574</v>
      </c>
      <c r="C6" s="324" t="s">
        <v>575</v>
      </c>
      <c r="D6" s="324"/>
      <c r="E6" s="325"/>
      <c r="F6" s="326" t="s">
        <v>576</v>
      </c>
      <c r="G6" s="324"/>
      <c r="H6" s="325"/>
      <c r="I6" s="322" t="s">
        <v>577</v>
      </c>
      <c r="J6" s="662" t="s">
        <v>51</v>
      </c>
      <c r="K6" s="662"/>
    </row>
    <row r="7" spans="1:11" s="327" customFormat="1" ht="11.25" x14ac:dyDescent="0.2">
      <c r="A7" s="328" t="s">
        <v>437</v>
      </c>
      <c r="B7" s="329"/>
      <c r="C7" s="330"/>
      <c r="D7" s="331" t="s">
        <v>578</v>
      </c>
      <c r="E7" s="329"/>
      <c r="F7" s="329"/>
      <c r="G7" s="329"/>
      <c r="H7" s="329"/>
      <c r="I7" s="328" t="s">
        <v>579</v>
      </c>
    </row>
    <row r="8" spans="1:11" s="327" customFormat="1" ht="11.25" x14ac:dyDescent="0.2">
      <c r="A8" s="328"/>
      <c r="B8" s="329" t="s">
        <v>582</v>
      </c>
      <c r="C8" s="329" t="s">
        <v>583</v>
      </c>
      <c r="D8" s="332" t="s">
        <v>584</v>
      </c>
      <c r="E8" s="333" t="s">
        <v>585</v>
      </c>
      <c r="F8" s="333" t="s">
        <v>586</v>
      </c>
      <c r="G8" s="333" t="s">
        <v>587</v>
      </c>
      <c r="H8" s="333" t="s">
        <v>585</v>
      </c>
      <c r="I8" s="334" t="s">
        <v>588</v>
      </c>
    </row>
    <row r="9" spans="1:11" s="335" customFormat="1" x14ac:dyDescent="0.2">
      <c r="A9" s="808" t="s">
        <v>589</v>
      </c>
      <c r="B9" s="776">
        <f t="shared" ref="B9:J9" si="0">SUM(B10:B12)</f>
        <v>5000</v>
      </c>
      <c r="C9" s="776">
        <f t="shared" si="0"/>
        <v>0</v>
      </c>
      <c r="D9" s="776">
        <f t="shared" si="0"/>
        <v>0</v>
      </c>
      <c r="E9" s="776">
        <f t="shared" si="0"/>
        <v>0</v>
      </c>
      <c r="F9" s="776">
        <f t="shared" si="0"/>
        <v>0</v>
      </c>
      <c r="G9" s="776">
        <f t="shared" si="0"/>
        <v>0</v>
      </c>
      <c r="H9" s="776">
        <f t="shared" si="0"/>
        <v>0</v>
      </c>
      <c r="I9" s="776">
        <f t="shared" si="0"/>
        <v>5000</v>
      </c>
      <c r="J9" s="657">
        <f t="shared" si="0"/>
        <v>0</v>
      </c>
      <c r="K9" s="661"/>
    </row>
    <row r="10" spans="1:11" x14ac:dyDescent="0.2">
      <c r="A10" s="250" t="s">
        <v>872</v>
      </c>
      <c r="B10" s="253">
        <f>SUMIF('Balance N-1 Retraitée'!A:A,"211*",'Balance N-1 Retraitée'!G:G)-SUMIF('Balance N-1 Retraitée'!A:A,"211*",'Balance N-1 Retraitée'!H:H)</f>
        <v>5000</v>
      </c>
      <c r="C10" s="259">
        <v>0</v>
      </c>
      <c r="D10" s="734">
        <v>0</v>
      </c>
      <c r="E10" s="735">
        <v>0</v>
      </c>
      <c r="F10" s="259">
        <f>+SUMIF('Balance N Retraitée'!A:A,"211*",'Balance N Retraitée'!F:F)-G10-H10</f>
        <v>0</v>
      </c>
      <c r="G10" s="734">
        <v>0</v>
      </c>
      <c r="H10" s="735">
        <v>0</v>
      </c>
      <c r="I10" s="259">
        <f>B10+SUM(C10:E10)-SUM(F10:H10)</f>
        <v>5000</v>
      </c>
      <c r="J10" s="658">
        <f>SUMIF('Balance N Retraitée'!A:A,"211*",'Balance N Retraitée'!G:G)-SUMIF('Balance N Retraitée'!A:A,"211*",'Balance N Retraitée'!H:H)-I10</f>
        <v>0</v>
      </c>
      <c r="K10" s="661"/>
    </row>
    <row r="11" spans="1:11" x14ac:dyDescent="0.2">
      <c r="A11" s="256" t="s">
        <v>875</v>
      </c>
      <c r="B11" s="253">
        <f>SUMIF('Balance N-1 Retraitée'!A:A,"212*",'Balance N-1 Retraitée'!G:G)-SUMIF('Balance N-1 Retraitée'!A:A,"212*",'Balance N-1 Retraitée'!H:H)</f>
        <v>0</v>
      </c>
      <c r="C11" s="259">
        <f>SUMIF('Balance N Retraitée'!A:A,"212*",'Balance N Retraitée'!E:E)-D11-E11</f>
        <v>0</v>
      </c>
      <c r="D11" s="734">
        <v>0</v>
      </c>
      <c r="E11" s="735">
        <v>0</v>
      </c>
      <c r="F11" s="259">
        <f>+SUMIF('Balance N Retraitée'!A:A,"212*",'Balance N Retraitée'!F:F)-G11-H11</f>
        <v>0</v>
      </c>
      <c r="G11" s="734">
        <v>0</v>
      </c>
      <c r="H11" s="735">
        <v>0</v>
      </c>
      <c r="I11" s="259">
        <f>B11+SUM(C11:E11)-SUM(F11:H11)</f>
        <v>0</v>
      </c>
      <c r="J11" s="658">
        <f>SUMIF('Balance N Retraitée'!A:A,"212*",'Balance N Retraitée'!G:G)-SUMIF('Balance N Retraitée'!A:A,"212*",'Balance N Retraitée'!H:H)-I11</f>
        <v>0</v>
      </c>
      <c r="K11" s="661"/>
    </row>
    <row r="12" spans="1:11" x14ac:dyDescent="0.2">
      <c r="A12" s="256" t="s">
        <v>69</v>
      </c>
      <c r="B12" s="253">
        <f>SUMIF('Balance N-1 Retraitée'!A:A,"213*",'Balance N-1 Retraitée'!G:G)-SUMIF('Balance N-1 Retraitée'!A:A,"213*",'Balance N-1 Retraitée'!H:H)</f>
        <v>0</v>
      </c>
      <c r="C12" s="259">
        <f>SUMIF('Balance N Retraitée'!A:A,"213*",'Balance N Retraitée'!E:E)-D12-E12</f>
        <v>0</v>
      </c>
      <c r="D12" s="734">
        <v>0</v>
      </c>
      <c r="E12" s="735">
        <v>0</v>
      </c>
      <c r="F12" s="259">
        <f>+SUMIF('Balance N Retraitée'!A:A,"213*",'Balance N Retraitée'!F:F)-G12-H12</f>
        <v>0</v>
      </c>
      <c r="G12" s="734">
        <v>0</v>
      </c>
      <c r="H12" s="735">
        <v>0</v>
      </c>
      <c r="I12" s="259">
        <f>B12+SUM(C12:E12)-SUM(F12:H12)</f>
        <v>0</v>
      </c>
      <c r="J12" s="658">
        <f>SUMIF('Balance N Retraitée'!A:A,"213*",'Balance N Retraitée'!G:G)-SUMIF('Balance N Retraitée'!A:A,"213*",'Balance N Retraitée'!H:H)-I12</f>
        <v>0</v>
      </c>
      <c r="K12" s="661"/>
    </row>
    <row r="13" spans="1:11" x14ac:dyDescent="0.2">
      <c r="A13" s="256"/>
      <c r="B13" s="253">
        <v>0</v>
      </c>
      <c r="C13" s="259">
        <f>SUMIF('Balance N Retraitée'!A:A,"213*",'Balance N Retraitée'!E:E)-D13-E13</f>
        <v>0</v>
      </c>
      <c r="D13" s="734">
        <v>0</v>
      </c>
      <c r="E13" s="734">
        <v>0</v>
      </c>
      <c r="F13" s="259">
        <f>+SUMIF('Balance N Retraitée'!A:A,"213*",'Balance N Retraitée'!F:F)-G13-H13</f>
        <v>0</v>
      </c>
      <c r="G13" s="734">
        <v>0</v>
      </c>
      <c r="H13" s="735">
        <v>0</v>
      </c>
      <c r="I13" s="259">
        <f>B13+SUM(C13:E13)-SUM(F13:H13)</f>
        <v>0</v>
      </c>
      <c r="J13" s="658"/>
      <c r="K13" s="661"/>
    </row>
    <row r="14" spans="1:11" s="335" customFormat="1" x14ac:dyDescent="0.2">
      <c r="A14" s="808" t="s">
        <v>590</v>
      </c>
      <c r="B14" s="776">
        <f>SUM(B15:B18)</f>
        <v>0</v>
      </c>
      <c r="C14" s="776">
        <f>SUM(C15:C18)</f>
        <v>0</v>
      </c>
      <c r="D14" s="776">
        <f>SUMIF('Balance N Retraitée'!A:A,"713*",'Balance N Retraitée'!H:H)-SUMIF('Balance N Retraitée'!A:A,"713*",'Balance N Retraitée'!G:G)-E14</f>
        <v>0</v>
      </c>
      <c r="E14" s="776">
        <f>SUMIF('Balance N Retraitée'!A:A,"7138*",'Balance N Retraitée'!H:H)-SUMIF('Balance N Retraitée'!A:A,"7138*",'Balance N Retraitée'!G:G)</f>
        <v>0</v>
      </c>
      <c r="F14" s="776">
        <f>SUM(F15:F18)</f>
        <v>0</v>
      </c>
      <c r="G14" s="776">
        <f>SUM(G15:G18)</f>
        <v>0</v>
      </c>
      <c r="H14" s="776">
        <f>SUMIF('Balance N-1 Retraitée'!A:A,"713*",'Balance N-1 Retraitée'!H:H)-SUMIF('Balance N-1 Retraitée'!A:A,"713*",'Balance N-1 Retraitée'!G:G)</f>
        <v>0</v>
      </c>
      <c r="I14" s="776">
        <f>SUM(I15:I18)</f>
        <v>0</v>
      </c>
      <c r="J14" s="657">
        <f>SUM(J15:J18)</f>
        <v>0</v>
      </c>
      <c r="K14" s="661"/>
    </row>
    <row r="15" spans="1:11" x14ac:dyDescent="0.2">
      <c r="A15" s="256" t="s">
        <v>591</v>
      </c>
      <c r="B15" s="253">
        <f>SUMIF('Balance N-1 Retraitée'!A:A,"221*",'Balance N-1 Retraitée'!G:G)-SUMIF('Balance N-1 Retraitée'!A:A,"221*",'Balance N-1 Retraitée'!H:H)</f>
        <v>0</v>
      </c>
      <c r="C15" s="259">
        <f>SUMIF('Balance N Retraitée'!A:A,"221*",'Balance N Retraitée'!E:E)-D15-E15</f>
        <v>0</v>
      </c>
      <c r="D15" s="734">
        <v>0</v>
      </c>
      <c r="E15" s="735">
        <v>0</v>
      </c>
      <c r="F15" s="259">
        <f>+SUMIF('Balance N Retraitée'!A:A,"221*",'Balance N Retraitée'!F:F)-G15-H15</f>
        <v>0</v>
      </c>
      <c r="G15" s="734">
        <v>0</v>
      </c>
      <c r="H15" s="735">
        <v>0</v>
      </c>
      <c r="I15" s="259">
        <f t="shared" ref="I15:I27" si="1">B15+SUM(C15:E15)-SUM(F15:H15)</f>
        <v>0</v>
      </c>
      <c r="J15" s="658">
        <f>SUMIF('Balance N Retraitée'!A:A,"221*",'Balance N Retraitée'!G:G)-SUMIF('Balance N Retraitée'!A:A,"221*",'Balance N Retraitée'!H:H)-I15</f>
        <v>0</v>
      </c>
      <c r="K15" s="661"/>
    </row>
    <row r="16" spans="1:11" x14ac:dyDescent="0.2">
      <c r="A16" s="256" t="s">
        <v>592</v>
      </c>
      <c r="B16" s="253">
        <f>SUMIF('Balance N-1 Retraitée'!A:A,"222*",'Balance N-1 Retraitée'!G:G)-SUMIF('Balance N-1 Retraitée'!A:A,"222*",'Balance N-1 Retraitée'!H:H)</f>
        <v>0</v>
      </c>
      <c r="C16" s="259">
        <f>SUMIF('Balance N Retraitée'!A:A,"222*",'Balance N Retraitée'!E:E)-D16-E16</f>
        <v>0</v>
      </c>
      <c r="D16" s="734">
        <v>0</v>
      </c>
      <c r="E16" s="735">
        <v>0</v>
      </c>
      <c r="F16" s="259">
        <f>+SUMIF('Balance N Retraitée'!A:A,"222*",'Balance N Retraitée'!F:F)-G16-H16</f>
        <v>0</v>
      </c>
      <c r="G16" s="734">
        <v>0</v>
      </c>
      <c r="H16" s="735">
        <v>0</v>
      </c>
      <c r="I16" s="259">
        <f t="shared" si="1"/>
        <v>0</v>
      </c>
      <c r="J16" s="658">
        <f>SUMIF('Balance N Retraitée'!A:A,"222*",'Balance N Retraitée'!G:G)-SUMIF('Balance N Retraitée'!A:A,"222*",'Balance N Retraitée'!H:H)-I16</f>
        <v>0</v>
      </c>
      <c r="K16" s="661"/>
    </row>
    <row r="17" spans="1:11" x14ac:dyDescent="0.2">
      <c r="A17" s="250" t="s">
        <v>593</v>
      </c>
      <c r="B17" s="253">
        <f>SUMIF('Balance N-1 Retraitée'!A:A,"223*",'Balance N-1 Retraitée'!G:G)-SUMIF('Balance N-1 Retraitée'!A:A,"223*",'Balance N-1 Retraitée'!H:H)</f>
        <v>0</v>
      </c>
      <c r="C17" s="259">
        <f>SUMIF('Balance N Retraitée'!A:A,"223*",'Balance N Retraitée'!E:E)-D17-E17</f>
        <v>0</v>
      </c>
      <c r="D17" s="734">
        <v>0</v>
      </c>
      <c r="E17" s="735">
        <v>0</v>
      </c>
      <c r="F17" s="259">
        <f>+SUMIF('Balance N Retraitée'!A:A,"223*",'Balance N Retraitée'!F:F)-G17-H17</f>
        <v>0</v>
      </c>
      <c r="G17" s="734">
        <v>0</v>
      </c>
      <c r="H17" s="735">
        <v>0</v>
      </c>
      <c r="I17" s="259">
        <f t="shared" si="1"/>
        <v>0</v>
      </c>
      <c r="J17" s="658">
        <f>SUMIF('Balance N Retraitée'!A:A,"223*",'Balance N Retraitée'!G:G)-SUMIF('Balance N Retraitée'!A:A,"223*",'Balance N Retraitée'!H:H)-I17</f>
        <v>0</v>
      </c>
      <c r="K17" s="661"/>
    </row>
    <row r="18" spans="1:11" x14ac:dyDescent="0.2">
      <c r="A18" s="256" t="s">
        <v>594</v>
      </c>
      <c r="B18" s="259">
        <f>SUMIF('Balance N-1 Retraitée'!A:A,"228*",'Balance N-1 Retraitée'!G:G)-SUMIF('Balance N-1 Retraitée'!A:A,"228*",'Balance N-1 Retraitée'!H:H)</f>
        <v>0</v>
      </c>
      <c r="C18" s="259">
        <f>SUMIF('Balance N Retraitée'!A:A,"228*",'Balance N Retraitée'!E:E)-D18-E18</f>
        <v>0</v>
      </c>
      <c r="D18" s="734">
        <v>0</v>
      </c>
      <c r="E18" s="735">
        <v>0</v>
      </c>
      <c r="F18" s="259">
        <f>+SUMIF('Balance N Retraitée'!A:A,"228*",'Balance N Retraitée'!F:F)-G18-H18</f>
        <v>0</v>
      </c>
      <c r="G18" s="734">
        <v>0</v>
      </c>
      <c r="H18" s="735">
        <v>0</v>
      </c>
      <c r="I18" s="259">
        <f t="shared" si="1"/>
        <v>0</v>
      </c>
      <c r="J18" s="658">
        <f>SUMIF('Balance N Retraitée'!A:A,"228*",'Balance N Retraitée'!G:G)-SUMIF('Balance N Retraitée'!A:A,"228*",'Balance N Retraitée'!H:H)-I18</f>
        <v>0</v>
      </c>
      <c r="K18" s="661"/>
    </row>
    <row r="19" spans="1:11" x14ac:dyDescent="0.2">
      <c r="A19" s="250"/>
      <c r="B19" s="253"/>
      <c r="C19" s="259"/>
      <c r="D19" s="734"/>
      <c r="E19" s="735"/>
      <c r="F19" s="259"/>
      <c r="G19" s="734"/>
      <c r="H19" s="735"/>
      <c r="I19" s="259"/>
      <c r="J19" s="658"/>
      <c r="K19" s="661"/>
    </row>
    <row r="20" spans="1:11" s="335" customFormat="1" x14ac:dyDescent="0.2">
      <c r="A20" s="808" t="s">
        <v>595</v>
      </c>
      <c r="B20" s="776">
        <f>SUM(B21:B28)</f>
        <v>0</v>
      </c>
      <c r="C20" s="776">
        <f t="shared" ref="C20:I20" si="2">SUM(C21:C28)</f>
        <v>1588527.58</v>
      </c>
      <c r="D20" s="776">
        <f t="shared" si="2"/>
        <v>0</v>
      </c>
      <c r="E20" s="776">
        <f t="shared" si="2"/>
        <v>0</v>
      </c>
      <c r="F20" s="776">
        <f t="shared" si="2"/>
        <v>0</v>
      </c>
      <c r="G20" s="776">
        <f t="shared" si="2"/>
        <v>0</v>
      </c>
      <c r="H20" s="776">
        <f t="shared" si="2"/>
        <v>0</v>
      </c>
      <c r="I20" s="776">
        <f t="shared" si="2"/>
        <v>1588527.58</v>
      </c>
      <c r="J20" s="657">
        <f>SUM(J21:J28)</f>
        <v>0</v>
      </c>
      <c r="K20" s="661"/>
    </row>
    <row r="21" spans="1:11" x14ac:dyDescent="0.2">
      <c r="A21" s="250" t="s">
        <v>596</v>
      </c>
      <c r="B21" s="253">
        <f>SUMIF('Balance N-1 Retraitée'!A:A,"231*",'Balance N-1 Retraitée'!G:G)-SUMIF('Balance N-1 Retraitée'!A:A,"231*",'Balance N-1 Retraitée'!H:H)</f>
        <v>0</v>
      </c>
      <c r="C21" s="259">
        <f>SUMIF('Balance N Retraitée'!A:A,"231*",'Balance N Retraitée'!E:E)-D21-E21</f>
        <v>0</v>
      </c>
      <c r="D21" s="734">
        <v>0</v>
      </c>
      <c r="E21" s="735">
        <v>0</v>
      </c>
      <c r="F21" s="259">
        <f>+SUMIF('Balance N Retraitée'!A:A,"231*",'Balance N Retraitée'!F:F)-G21-H21</f>
        <v>0</v>
      </c>
      <c r="G21" s="734">
        <v>0</v>
      </c>
      <c r="H21" s="734">
        <v>0</v>
      </c>
      <c r="I21" s="253">
        <f t="shared" si="1"/>
        <v>0</v>
      </c>
      <c r="J21" s="658">
        <f>SUMIF('Balance N Retraitée'!A:A,"231*",'Balance N Retraitée'!G:G)-SUMIF('Balance N Retraitée'!A:A,"231*",'Balance N Retraitée'!H:H)-I21</f>
        <v>0</v>
      </c>
      <c r="K21" s="661"/>
    </row>
    <row r="22" spans="1:11" x14ac:dyDescent="0.2">
      <c r="A22" s="250" t="s">
        <v>881</v>
      </c>
      <c r="B22" s="259">
        <f>SUMIF('Balance N-1 Retraitée'!A:A,"232*",'Balance N-1 Retraitée'!G:G)-SUMIF('Balance N-1 Retraitée'!A:A,"232*",'Balance N-1 Retraitée'!H:H)</f>
        <v>0</v>
      </c>
      <c r="C22" s="259">
        <f>SUMIF('Balance N Retraitée'!A:A,"232*",'Balance N Retraitée'!E:E)-D22-E22</f>
        <v>9700</v>
      </c>
      <c r="D22" s="734">
        <v>0</v>
      </c>
      <c r="E22" s="735">
        <v>0</v>
      </c>
      <c r="F22" s="259">
        <f>+SUMIF('Balance N Retraitée'!A:A,"232*",'Balance N Retraitée'!F:F)-G22-H22</f>
        <v>0</v>
      </c>
      <c r="G22" s="734">
        <v>0</v>
      </c>
      <c r="H22" s="734">
        <v>0</v>
      </c>
      <c r="I22" s="253">
        <f t="shared" si="1"/>
        <v>9700</v>
      </c>
      <c r="J22" s="658">
        <f>SUMIF('Balance N Retraitée'!A:A,"232*",'Balance N Retraitée'!G:G)-SUMIF('Balance N Retraitée'!A:A,"232*",'Balance N Retraitée'!H:H)-I22</f>
        <v>0</v>
      </c>
      <c r="K22" s="661"/>
    </row>
    <row r="23" spans="1:11" x14ac:dyDescent="0.2">
      <c r="A23" s="256" t="s">
        <v>70</v>
      </c>
      <c r="B23" s="259">
        <f>SUMIF('Balance N-1 Retraitée'!A:A,"233*",'Balance N-1 Retraitée'!G:G)-SUMIF('Balance N-1 Retraitée'!A:A,"233*",'Balance N-1 Retraitée'!H:H)</f>
        <v>0</v>
      </c>
      <c r="C23" s="259">
        <f>SUMIF('Balance N Retraitée'!A:A,"233*",'Balance N Retraitée'!E:E)-D23-E23</f>
        <v>0</v>
      </c>
      <c r="D23" s="734">
        <v>0</v>
      </c>
      <c r="E23" s="735">
        <v>0</v>
      </c>
      <c r="F23" s="259">
        <f>+SUMIF('Balance N Retraitée'!A:A,"233*",'Balance N Retraitée'!F:F)-G23-H23</f>
        <v>0</v>
      </c>
      <c r="G23" s="734">
        <v>0</v>
      </c>
      <c r="H23" s="734">
        <v>0</v>
      </c>
      <c r="I23" s="253">
        <f t="shared" si="1"/>
        <v>0</v>
      </c>
      <c r="J23" s="658">
        <f>SUMIF('Balance N Retraitée'!A:A,"233*",'Balance N Retraitée'!G:G)-SUMIF('Balance N Retraitée'!A:A,"233*",'Balance N Retraitée'!H:H)-I23</f>
        <v>0</v>
      </c>
      <c r="K23" s="661"/>
    </row>
    <row r="24" spans="1:11" x14ac:dyDescent="0.2">
      <c r="A24" s="256" t="s">
        <v>597</v>
      </c>
      <c r="B24" s="259">
        <f>SUMIF('Balance N-1 Retraitée'!A:A,"234*",'Balance N-1 Retraitée'!G:G)-SUMIF('Balance N-1 Retraitée'!A:A,"234*",'Balance N-1 Retraitée'!H:H)</f>
        <v>0</v>
      </c>
      <c r="C24" s="259">
        <f>SUMIF('Balance N Retraitée'!A:A,"234*",'Balance N Retraitée'!E:E)-D24-E24</f>
        <v>1578827.58</v>
      </c>
      <c r="D24" s="734">
        <v>0</v>
      </c>
      <c r="E24" s="735">
        <v>0</v>
      </c>
      <c r="F24" s="259">
        <f>SUMIF('Balance N Retraitée'!A:A,"234*",'Balance N Retraitée'!F:F)-G24-H24</f>
        <v>0</v>
      </c>
      <c r="G24" s="734">
        <v>0</v>
      </c>
      <c r="H24" s="734">
        <v>0</v>
      </c>
      <c r="I24" s="253">
        <f t="shared" si="1"/>
        <v>1578827.58</v>
      </c>
      <c r="J24" s="658">
        <f>SUMIF('Balance N Retraitée'!A:A,"234*",'Balance N Retraitée'!G:G)-SUMIF('Balance N Retraitée'!A:A,"234*",'Balance N Retraitée'!H:H)-I24</f>
        <v>0</v>
      </c>
      <c r="K24" s="661"/>
    </row>
    <row r="25" spans="1:11" x14ac:dyDescent="0.2">
      <c r="A25" s="256" t="s">
        <v>598</v>
      </c>
      <c r="B25" s="259">
        <f>SUMIF('Balance N-1 Retraitée'!A:A,"235*",'Balance N-1 Retraitée'!G:G)-SUMIF('Balance N-1 Retraitée'!A:A,"235*",'Balance N-1 Retraitée'!H:H)</f>
        <v>0</v>
      </c>
      <c r="C25" s="259">
        <f>SUMIF('Balance N Retraitée'!A:A,"235*",'Balance N Retraitée'!E:E)-D25-E25</f>
        <v>0</v>
      </c>
      <c r="D25" s="734">
        <v>0</v>
      </c>
      <c r="E25" s="735">
        <v>0</v>
      </c>
      <c r="F25" s="259">
        <f>SUMIF('Balance N Retraitée'!A:A,"235*",'Balance N Retraitée'!F:F)-G25-H25</f>
        <v>0</v>
      </c>
      <c r="G25" s="734">
        <v>0</v>
      </c>
      <c r="H25" s="734">
        <v>0</v>
      </c>
      <c r="I25" s="253">
        <f t="shared" si="1"/>
        <v>0</v>
      </c>
      <c r="J25" s="658">
        <f>SUMIF('Balance N Retraitée'!A:A,"235*",'Balance N Retraitée'!G:G)-SUMIF('Balance N Retraitée'!A:A,"235*",'Balance N Retraitée'!H:H)-I25</f>
        <v>0</v>
      </c>
      <c r="K25" s="661"/>
    </row>
    <row r="26" spans="1:11" x14ac:dyDescent="0.2">
      <c r="A26" s="256" t="s">
        <v>71</v>
      </c>
      <c r="B26" s="259">
        <f>SUMIF('Balance N-1 Retraitée'!A:A,"238*",'Balance N-1 Retraitée'!G:G)-SUMIF('Balance N-1 Retraitée'!A:A,"238*",'Balance N-1 Retraitée'!H:H)</f>
        <v>0</v>
      </c>
      <c r="C26" s="259">
        <f>SUMIF('Balance N Retraitée'!A:A,"238*",'Balance N Retraitée'!E:E)-D26-E26</f>
        <v>0</v>
      </c>
      <c r="D26" s="734">
        <v>0</v>
      </c>
      <c r="E26" s="735">
        <v>0</v>
      </c>
      <c r="F26" s="259">
        <f>SUMIF('Balance N Retraitée'!A:A,"238*",'Balance N Retraitée'!F:F)-G26-H26</f>
        <v>0</v>
      </c>
      <c r="G26" s="734">
        <v>0</v>
      </c>
      <c r="H26" s="734">
        <v>0</v>
      </c>
      <c r="I26" s="253">
        <f t="shared" si="1"/>
        <v>0</v>
      </c>
      <c r="J26" s="658">
        <f>SUMIF('Balance N Retraitée'!A:A,"238*",'Balance N Retraitée'!G:G)-SUMIF('Balance N Retraitée'!A:A,"238*",'Balance N Retraitée'!H:H)-I26</f>
        <v>0</v>
      </c>
      <c r="K26" s="661"/>
    </row>
    <row r="27" spans="1:11" x14ac:dyDescent="0.2">
      <c r="A27" s="256" t="s">
        <v>884</v>
      </c>
      <c r="B27" s="259">
        <f>SUMIF('Balance N-1 Retraitée'!A:A,"239*",'Balance N-1 Retraitée'!G:G)-SUMIF('Balance N-1 Retraitée'!A:A,"239*",'Balance N-1 Retraitée'!H:H)</f>
        <v>0</v>
      </c>
      <c r="C27" s="259">
        <f>SUMIF('Balance N Retraitée'!A:A,"239*",'Balance N Retraitée'!E:E)-D27-E27</f>
        <v>0</v>
      </c>
      <c r="D27" s="734">
        <v>0</v>
      </c>
      <c r="E27" s="735">
        <v>0</v>
      </c>
      <c r="F27" s="259">
        <v>0</v>
      </c>
      <c r="G27" s="734">
        <v>0</v>
      </c>
      <c r="H27" s="734">
        <v>0</v>
      </c>
      <c r="I27" s="253">
        <f t="shared" si="1"/>
        <v>0</v>
      </c>
      <c r="J27" s="658">
        <f>SUMIF('Balance N Retraitée'!A:A,"239*",'Balance N Retraitée'!G:G)-SUMIF('Balance N Retraitée'!A:A,"239*",'Balance N Retraitée'!H:H)-I27</f>
        <v>0</v>
      </c>
      <c r="K27" s="661"/>
    </row>
    <row r="28" spans="1:11" ht="12.75" x14ac:dyDescent="0.2">
      <c r="A28" s="266" t="s">
        <v>2697</v>
      </c>
      <c r="B28" s="659"/>
      <c r="C28" s="660"/>
      <c r="D28" s="736">
        <v>0</v>
      </c>
      <c r="E28" s="736">
        <v>0</v>
      </c>
      <c r="F28" s="737">
        <v>0</v>
      </c>
      <c r="G28" s="736">
        <v>0</v>
      </c>
      <c r="H28" s="660">
        <v>0</v>
      </c>
      <c r="I28" s="659"/>
      <c r="J28" s="658">
        <f>SUMIF('Balance N Retraitée'!A:A,"239*",'Balance N Retraitée'!G:G)-SUMIF('Balance N Retraitée'!A:A,"239*",'Balance N Retraitée'!H:H)-I28</f>
        <v>0</v>
      </c>
      <c r="K28" s="661"/>
    </row>
    <row r="29" spans="1:11" x14ac:dyDescent="0.2">
      <c r="I29" s="658"/>
    </row>
    <row r="30" spans="1:11" x14ac:dyDescent="0.2">
      <c r="A30" s="976" t="s">
        <v>558</v>
      </c>
      <c r="B30" s="658">
        <f t="shared" ref="B30:J30" si="3">B9+B14+B20</f>
        <v>5000</v>
      </c>
      <c r="C30" s="658">
        <f t="shared" si="3"/>
        <v>1588527.58</v>
      </c>
      <c r="D30" s="658">
        <f t="shared" si="3"/>
        <v>0</v>
      </c>
      <c r="E30" s="658">
        <f t="shared" si="3"/>
        <v>0</v>
      </c>
      <c r="F30" s="658">
        <f t="shared" si="3"/>
        <v>0</v>
      </c>
      <c r="G30" s="658">
        <f t="shared" si="3"/>
        <v>0</v>
      </c>
      <c r="H30" s="658">
        <f t="shared" si="3"/>
        <v>0</v>
      </c>
      <c r="I30" s="658">
        <f t="shared" si="3"/>
        <v>1593527.58</v>
      </c>
      <c r="J30" s="658">
        <f t="shared" si="3"/>
        <v>0</v>
      </c>
    </row>
    <row r="31" spans="1:11" x14ac:dyDescent="0.2">
      <c r="C31" s="260"/>
      <c r="F31" s="655"/>
      <c r="I31" s="658"/>
    </row>
    <row r="32" spans="1:11" x14ac:dyDescent="0.2">
      <c r="I32" s="658"/>
    </row>
    <row r="33" spans="9:9" x14ac:dyDescent="0.2">
      <c r="I33" s="658"/>
    </row>
    <row r="34" spans="9:9" x14ac:dyDescent="0.2">
      <c r="I34" s="658"/>
    </row>
    <row r="35" spans="9:9" x14ac:dyDescent="0.2">
      <c r="I35" s="658"/>
    </row>
    <row r="36" spans="9:9" x14ac:dyDescent="0.2">
      <c r="I36" s="658"/>
    </row>
    <row r="37" spans="9:9" x14ac:dyDescent="0.2">
      <c r="I37" s="658"/>
    </row>
    <row r="38" spans="9:9" x14ac:dyDescent="0.2">
      <c r="I38" s="658"/>
    </row>
    <row r="39" spans="9:9" x14ac:dyDescent="0.2">
      <c r="I39" s="658"/>
    </row>
    <row r="40" spans="9:9" x14ac:dyDescent="0.2">
      <c r="I40" s="658"/>
    </row>
  </sheetData>
  <phoneticPr fontId="23" type="noConversion"/>
  <pageMargins left="0.78740157499999996" right="0.78740157499999996" top="0.984251969" bottom="0.984251969" header="0.4921259845" footer="0.4921259845"/>
  <pageSetup paperSize="9" scale="77" orientation="landscape" horizontalDpi="300" verticalDpi="300" r:id="rId1"/>
  <headerFooter alignWithMargins="0">
    <oddHeader>&amp;L&amp;"Times New Roman,Gras italique"&amp;12Sté : ...............................</oddHeader>
  </headerFooter>
  <ignoredErrors>
    <ignoredError sqref="I14" formula="1"/>
  </ignoredError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
  <dimension ref="A1:K52"/>
  <sheetViews>
    <sheetView showGridLines="0" showZeros="0" topLeftCell="A26" workbookViewId="0">
      <selection sqref="A1:G52"/>
    </sheetView>
  </sheetViews>
  <sheetFormatPr baseColWidth="10" defaultColWidth="12" defaultRowHeight="11.25" x14ac:dyDescent="0.2"/>
  <cols>
    <col min="1" max="1" width="4" style="406" customWidth="1"/>
    <col min="2" max="2" width="4" style="407" customWidth="1"/>
    <col min="3" max="3" width="3.1640625" style="407" customWidth="1"/>
    <col min="4" max="4" width="48.6640625" style="408" customWidth="1"/>
    <col min="5" max="5" width="16.5" style="409" customWidth="1"/>
    <col min="6" max="6" width="1.1640625" style="409" customWidth="1"/>
    <col min="7" max="7" width="17.1640625" style="409" customWidth="1"/>
    <col min="8" max="8" width="14.1640625" style="408" bestFit="1" customWidth="1"/>
    <col min="9" max="11" width="12.83203125" style="408" bestFit="1" customWidth="1"/>
    <col min="12" max="12" width="12.1640625" style="408" bestFit="1" customWidth="1"/>
    <col min="13" max="16384" width="12" style="408"/>
  </cols>
  <sheetData>
    <row r="1" spans="1:11" s="22" customFormat="1" ht="12" x14ac:dyDescent="0.2">
      <c r="A1" s="13"/>
      <c r="B1" s="369" t="s">
        <v>599</v>
      </c>
      <c r="E1" s="370"/>
      <c r="F1" s="370"/>
      <c r="G1" s="370"/>
    </row>
    <row r="2" spans="1:11" s="22" customFormat="1" ht="15.75" x14ac:dyDescent="0.25">
      <c r="A2" s="371" t="s">
        <v>600</v>
      </c>
      <c r="B2" s="372"/>
      <c r="C2" s="372"/>
      <c r="D2" s="372"/>
      <c r="E2" s="373"/>
      <c r="F2" s="373"/>
      <c r="G2" s="373"/>
    </row>
    <row r="3" spans="1:11" s="22" customFormat="1" ht="14.25" customHeight="1" x14ac:dyDescent="0.2">
      <c r="A3" s="374" t="s">
        <v>601</v>
      </c>
      <c r="B3" s="347"/>
      <c r="C3" s="347"/>
      <c r="E3" s="341" t="s">
        <v>62</v>
      </c>
      <c r="F3" s="370"/>
      <c r="G3" s="342" t="str">
        <f>Couverture!E15</f>
        <v>31/12/2022</v>
      </c>
    </row>
    <row r="4" spans="1:11" s="378" customFormat="1" ht="12" x14ac:dyDescent="0.2">
      <c r="A4" s="375"/>
      <c r="B4" s="376"/>
      <c r="C4" s="376"/>
      <c r="D4" s="377"/>
      <c r="E4" s="951" t="s">
        <v>313</v>
      </c>
      <c r="F4" s="952"/>
      <c r="G4" s="953" t="s">
        <v>313</v>
      </c>
    </row>
    <row r="5" spans="1:11" s="378" customFormat="1" ht="12" x14ac:dyDescent="0.2">
      <c r="A5" s="379"/>
      <c r="B5" s="380"/>
      <c r="C5" s="380"/>
      <c r="D5" s="381"/>
      <c r="E5" s="500"/>
      <c r="F5" s="952"/>
      <c r="G5" s="954" t="s">
        <v>602</v>
      </c>
    </row>
    <row r="6" spans="1:11" s="22" customFormat="1" ht="14.25" customHeight="1" x14ac:dyDescent="0.2">
      <c r="A6" s="153"/>
      <c r="B6" s="382">
        <v>1</v>
      </c>
      <c r="C6" s="382" t="s">
        <v>603</v>
      </c>
      <c r="D6" s="383" t="s">
        <v>604</v>
      </c>
      <c r="E6" s="944">
        <f>+'T2 CPC'!F12</f>
        <v>0</v>
      </c>
      <c r="F6" s="763"/>
      <c r="G6" s="944">
        <f>+'T2 CPC'!G12</f>
        <v>0</v>
      </c>
      <c r="H6" s="337">
        <f>E6-G6</f>
        <v>0</v>
      </c>
      <c r="I6" s="862"/>
    </row>
    <row r="7" spans="1:11" s="22" customFormat="1" ht="14.25" customHeight="1" x14ac:dyDescent="0.2">
      <c r="A7" s="158"/>
      <c r="B7" s="384">
        <v>2</v>
      </c>
      <c r="C7" s="384" t="s">
        <v>605</v>
      </c>
      <c r="D7" s="385" t="s">
        <v>606</v>
      </c>
      <c r="E7" s="775">
        <f>+'T2 CPC'!F21</f>
        <v>0</v>
      </c>
      <c r="F7" s="763"/>
      <c r="G7" s="775">
        <f>+'T2 CPC'!G21</f>
        <v>0</v>
      </c>
    </row>
    <row r="8" spans="1:11" s="3" customFormat="1" ht="14.25" customHeight="1" x14ac:dyDescent="0.2">
      <c r="A8" s="386" t="s">
        <v>339</v>
      </c>
      <c r="B8" s="344"/>
      <c r="C8" s="387" t="s">
        <v>607</v>
      </c>
      <c r="D8" s="388" t="s">
        <v>608</v>
      </c>
      <c r="E8" s="912">
        <f>+E6-E7</f>
        <v>0</v>
      </c>
      <c r="F8" s="945"/>
      <c r="G8" s="912">
        <f>+G6-G7</f>
        <v>0</v>
      </c>
      <c r="H8" s="337">
        <f>E8-G8</f>
        <v>0</v>
      </c>
      <c r="I8" s="862"/>
      <c r="J8" s="862"/>
      <c r="K8" s="862"/>
    </row>
    <row r="9" spans="1:11" s="3" customFormat="1" ht="14.25" customHeight="1" x14ac:dyDescent="0.2">
      <c r="A9" s="156" t="s">
        <v>457</v>
      </c>
      <c r="B9" s="389"/>
      <c r="C9" s="390" t="s">
        <v>603</v>
      </c>
      <c r="D9" s="391" t="s">
        <v>609</v>
      </c>
      <c r="E9" s="945">
        <f>+E10+E11+E12</f>
        <v>381666.67</v>
      </c>
      <c r="F9" s="945"/>
      <c r="G9" s="945">
        <f>+G10+G11+G12</f>
        <v>0</v>
      </c>
    </row>
    <row r="10" spans="1:11" s="22" customFormat="1" ht="14.25" customHeight="1" x14ac:dyDescent="0.2">
      <c r="A10" s="156"/>
      <c r="B10" s="384">
        <v>3</v>
      </c>
      <c r="C10" s="384"/>
      <c r="D10" s="385" t="s">
        <v>610</v>
      </c>
      <c r="E10" s="763">
        <f>+'T2 CPC'!F13</f>
        <v>381666.67</v>
      </c>
      <c r="F10" s="763"/>
      <c r="G10" s="763">
        <f>+'T2 CPC'!G13</f>
        <v>0</v>
      </c>
    </row>
    <row r="11" spans="1:11" s="22" customFormat="1" ht="14.25" customHeight="1" x14ac:dyDescent="0.2">
      <c r="A11" s="156"/>
      <c r="B11" s="384">
        <v>4</v>
      </c>
      <c r="C11" s="384"/>
      <c r="D11" s="385" t="s">
        <v>611</v>
      </c>
      <c r="E11" s="763">
        <f>+'T2 CPC'!F14</f>
        <v>0</v>
      </c>
      <c r="F11" s="763"/>
      <c r="G11" s="763">
        <f>+'T2 CPC'!G14</f>
        <v>0</v>
      </c>
    </row>
    <row r="12" spans="1:11" s="22" customFormat="1" ht="14.25" customHeight="1" x14ac:dyDescent="0.2">
      <c r="A12" s="158"/>
      <c r="B12" s="384">
        <v>5</v>
      </c>
      <c r="C12" s="384"/>
      <c r="D12" s="392" t="s">
        <v>612</v>
      </c>
      <c r="E12" s="775">
        <f>+'T2 CPC'!F15</f>
        <v>0</v>
      </c>
      <c r="F12" s="763"/>
      <c r="G12" s="775">
        <f>+'T2 CPC'!G15</f>
        <v>0</v>
      </c>
    </row>
    <row r="13" spans="1:11" s="22" customFormat="1" ht="14.25" customHeight="1" x14ac:dyDescent="0.2">
      <c r="A13" s="156" t="s">
        <v>467</v>
      </c>
      <c r="B13" s="393"/>
      <c r="C13" s="394" t="s">
        <v>605</v>
      </c>
      <c r="D13" s="391" t="s">
        <v>613</v>
      </c>
      <c r="E13" s="945">
        <f>(E14+E15)</f>
        <v>78665.810000000012</v>
      </c>
      <c r="F13" s="763"/>
      <c r="G13" s="945">
        <f>(G14+G15)</f>
        <v>5353.3</v>
      </c>
    </row>
    <row r="14" spans="1:11" s="22" customFormat="1" ht="14.25" customHeight="1" x14ac:dyDescent="0.2">
      <c r="A14" s="156"/>
      <c r="B14" s="393">
        <v>6</v>
      </c>
      <c r="C14" s="393"/>
      <c r="D14" s="911" t="s">
        <v>614</v>
      </c>
      <c r="E14" s="763">
        <f>Cellule_11258</f>
        <v>0</v>
      </c>
      <c r="F14" s="763"/>
      <c r="G14" s="763">
        <f>+'T2 CPC'!G22</f>
        <v>0</v>
      </c>
      <c r="H14" s="22">
        <f>SUMIF('Balance N-1 Retraitée'!A:A,"713*",'Balance N-1 Retraitée'!H:H)-SUMIF('Balance N-1 Retraitée'!A:A,"713*",'Balance N-1 Retraitée'!G:G)</f>
        <v>0</v>
      </c>
    </row>
    <row r="15" spans="1:11" s="22" customFormat="1" ht="14.25" customHeight="1" x14ac:dyDescent="0.2">
      <c r="A15" s="156"/>
      <c r="B15" s="393">
        <v>7</v>
      </c>
      <c r="C15" s="393"/>
      <c r="D15" s="392" t="s">
        <v>615</v>
      </c>
      <c r="E15" s="763">
        <f>+'T2 CPC'!F23</f>
        <v>78665.810000000012</v>
      </c>
      <c r="F15" s="763"/>
      <c r="G15" s="763">
        <f>+'T2 CPC'!G23</f>
        <v>5353.3</v>
      </c>
      <c r="H15" s="337"/>
      <c r="I15" s="862"/>
    </row>
    <row r="16" spans="1:11" s="22" customFormat="1" ht="14.25" customHeight="1" x14ac:dyDescent="0.2">
      <c r="A16" s="386" t="s">
        <v>469</v>
      </c>
      <c r="B16" s="384"/>
      <c r="C16" s="384" t="s">
        <v>607</v>
      </c>
      <c r="D16" s="388" t="s">
        <v>616</v>
      </c>
      <c r="E16" s="912">
        <f>E8+E9-E13</f>
        <v>303000.86</v>
      </c>
      <c r="F16" s="763"/>
      <c r="G16" s="912">
        <f>G8+G9-G13</f>
        <v>-5353.3</v>
      </c>
      <c r="H16" s="337"/>
      <c r="I16" s="862"/>
      <c r="J16" s="862"/>
      <c r="K16" s="862"/>
    </row>
    <row r="17" spans="1:11" s="22" customFormat="1" ht="14.25" customHeight="1" x14ac:dyDescent="0.2">
      <c r="A17" s="156"/>
      <c r="B17" s="393">
        <v>8</v>
      </c>
      <c r="C17" s="393" t="s">
        <v>603</v>
      </c>
      <c r="D17" s="385" t="s">
        <v>617</v>
      </c>
      <c r="E17" s="763">
        <f>+'T2 CPC'!F16</f>
        <v>0</v>
      </c>
      <c r="F17" s="763"/>
      <c r="G17" s="763">
        <f>+'T2 CPC'!G16</f>
        <v>0</v>
      </c>
    </row>
    <row r="18" spans="1:11" s="22" customFormat="1" ht="14.25" customHeight="1" x14ac:dyDescent="0.2">
      <c r="A18" s="156"/>
      <c r="B18" s="393">
        <v>9</v>
      </c>
      <c r="C18" s="393" t="s">
        <v>605</v>
      </c>
      <c r="D18" s="385" t="s">
        <v>618</v>
      </c>
      <c r="E18" s="763">
        <f>+'T2 CPC'!F24</f>
        <v>28187</v>
      </c>
      <c r="F18" s="763"/>
      <c r="G18" s="763">
        <f>+'T2 CPC'!G24</f>
        <v>0</v>
      </c>
    </row>
    <row r="19" spans="1:11" s="22" customFormat="1" ht="14.25" customHeight="1" x14ac:dyDescent="0.2">
      <c r="A19" s="158"/>
      <c r="B19" s="395">
        <v>10</v>
      </c>
      <c r="C19" s="395" t="s">
        <v>605</v>
      </c>
      <c r="D19" s="385" t="s">
        <v>619</v>
      </c>
      <c r="E19" s="775">
        <f>+'T2 CPC'!F25</f>
        <v>34176.550000000003</v>
      </c>
      <c r="F19" s="763"/>
      <c r="G19" s="775">
        <f>+'T2 CPC'!G25</f>
        <v>12871</v>
      </c>
      <c r="H19" s="337"/>
      <c r="I19" s="862"/>
      <c r="J19" s="862"/>
      <c r="K19" s="862"/>
    </row>
    <row r="20" spans="1:11" s="22" customFormat="1" ht="14.25" customHeight="1" x14ac:dyDescent="0.2">
      <c r="A20" s="156" t="s">
        <v>349</v>
      </c>
      <c r="B20" s="393"/>
      <c r="C20" s="393" t="s">
        <v>607</v>
      </c>
      <c r="D20" s="396" t="s">
        <v>620</v>
      </c>
      <c r="E20" s="945">
        <f>ROUND(E16+E17-E18-E19,2)</f>
        <v>240637.31</v>
      </c>
      <c r="F20" s="763"/>
      <c r="G20" s="945">
        <f>ROUND(G16+G17-G18-G19,2)</f>
        <v>-18224.3</v>
      </c>
      <c r="H20" s="337"/>
      <c r="I20" s="862"/>
      <c r="J20" s="862"/>
      <c r="K20" s="862"/>
    </row>
    <row r="21" spans="1:11" s="22" customFormat="1" ht="14.25" customHeight="1" x14ac:dyDescent="0.2">
      <c r="A21" s="158"/>
      <c r="B21" s="395"/>
      <c r="C21" s="395"/>
      <c r="D21" s="397" t="s">
        <v>621</v>
      </c>
      <c r="E21" s="524"/>
      <c r="F21" s="763"/>
      <c r="G21" s="524"/>
    </row>
    <row r="22" spans="1:11" s="22" customFormat="1" ht="14.25" customHeight="1" x14ac:dyDescent="0.2">
      <c r="A22" s="156"/>
      <c r="B22" s="393">
        <v>11</v>
      </c>
      <c r="C22" s="393" t="s">
        <v>603</v>
      </c>
      <c r="D22" s="385" t="s">
        <v>622</v>
      </c>
      <c r="E22" s="763">
        <f>+'T2 CPC'!F17</f>
        <v>0</v>
      </c>
      <c r="F22" s="763"/>
      <c r="G22" s="763">
        <f>+'T2 CPC'!G17</f>
        <v>0</v>
      </c>
    </row>
    <row r="23" spans="1:11" s="22" customFormat="1" ht="14.25" customHeight="1" x14ac:dyDescent="0.2">
      <c r="A23" s="156"/>
      <c r="B23" s="393">
        <v>12</v>
      </c>
      <c r="C23" s="393" t="s">
        <v>605</v>
      </c>
      <c r="D23" s="385" t="s">
        <v>623</v>
      </c>
      <c r="E23" s="763">
        <f>+'T2 CPC'!F26</f>
        <v>0</v>
      </c>
      <c r="F23" s="763"/>
      <c r="G23" s="763">
        <f>+'T2 CPC'!G26</f>
        <v>0</v>
      </c>
    </row>
    <row r="24" spans="1:11" s="22" customFormat="1" ht="14.25" customHeight="1" x14ac:dyDescent="0.2">
      <c r="A24" s="156"/>
      <c r="B24" s="393">
        <v>13</v>
      </c>
      <c r="C24" s="393" t="s">
        <v>603</v>
      </c>
      <c r="D24" s="385" t="s">
        <v>624</v>
      </c>
      <c r="E24" s="763">
        <f>+'T2 CPC'!F18</f>
        <v>0</v>
      </c>
      <c r="F24" s="763"/>
      <c r="G24" s="763">
        <f>+'T2 CPC'!G18</f>
        <v>0</v>
      </c>
    </row>
    <row r="25" spans="1:11" s="22" customFormat="1" ht="14.25" customHeight="1" x14ac:dyDescent="0.2">
      <c r="A25" s="158"/>
      <c r="B25" s="395">
        <v>14</v>
      </c>
      <c r="C25" s="395" t="s">
        <v>605</v>
      </c>
      <c r="D25" s="385" t="s">
        <v>625</v>
      </c>
      <c r="E25" s="775">
        <f>+'T2 CPC'!F27</f>
        <v>172843.76</v>
      </c>
      <c r="F25" s="763"/>
      <c r="G25" s="775">
        <f>+'T2 CPC'!G27</f>
        <v>694.37</v>
      </c>
    </row>
    <row r="26" spans="1:11" s="3" customFormat="1" ht="14.25" customHeight="1" x14ac:dyDescent="0.2">
      <c r="A26" s="158" t="s">
        <v>485</v>
      </c>
      <c r="B26" s="398"/>
      <c r="C26" s="398" t="s">
        <v>607</v>
      </c>
      <c r="D26" s="397" t="s">
        <v>626</v>
      </c>
      <c r="E26" s="524">
        <f>+E20+E22-E23+E24-E25</f>
        <v>67793.549999999988</v>
      </c>
      <c r="F26" s="945"/>
      <c r="G26" s="524">
        <f>+G20+G22-G23+G24-G25</f>
        <v>-18918.669999999998</v>
      </c>
      <c r="H26" s="337"/>
      <c r="I26" s="862"/>
      <c r="J26" s="862"/>
      <c r="K26" s="862"/>
    </row>
    <row r="27" spans="1:11" s="3" customFormat="1" ht="14.25" customHeight="1" x14ac:dyDescent="0.2">
      <c r="A27" s="158" t="s">
        <v>487</v>
      </c>
      <c r="B27" s="398"/>
      <c r="C27" s="399" t="s">
        <v>627</v>
      </c>
      <c r="D27" s="357" t="s">
        <v>628</v>
      </c>
      <c r="E27" s="524">
        <f>+'T2 CPC'!F42</f>
        <v>-43957.11</v>
      </c>
      <c r="F27" s="945"/>
      <c r="G27" s="524">
        <f>+'T2 CPC'!G42</f>
        <v>0</v>
      </c>
    </row>
    <row r="28" spans="1:11" s="3" customFormat="1" ht="14.25" customHeight="1" x14ac:dyDescent="0.2">
      <c r="A28" s="158" t="s">
        <v>499</v>
      </c>
      <c r="B28" s="398"/>
      <c r="C28" s="398" t="s">
        <v>607</v>
      </c>
      <c r="D28" s="357" t="s">
        <v>629</v>
      </c>
      <c r="E28" s="524">
        <f>+E26+E27</f>
        <v>23836.439999999988</v>
      </c>
      <c r="F28" s="945"/>
      <c r="G28" s="524">
        <f>+G26+G27</f>
        <v>-18918.669999999998</v>
      </c>
      <c r="H28" s="337"/>
      <c r="I28" s="862"/>
      <c r="J28" s="862"/>
      <c r="K28" s="862"/>
    </row>
    <row r="29" spans="1:11" s="3" customFormat="1" ht="14.25" customHeight="1" x14ac:dyDescent="0.2">
      <c r="A29" s="158" t="s">
        <v>507</v>
      </c>
      <c r="B29" s="398"/>
      <c r="C29" s="399" t="s">
        <v>627</v>
      </c>
      <c r="D29" s="397" t="s">
        <v>630</v>
      </c>
      <c r="E29" s="524">
        <f>+'T2 CPC'!F69</f>
        <v>0</v>
      </c>
      <c r="F29" s="945"/>
      <c r="G29" s="524">
        <f>+'T2 CPC'!G69</f>
        <v>0</v>
      </c>
    </row>
    <row r="30" spans="1:11" s="22" customFormat="1" ht="14.25" customHeight="1" x14ac:dyDescent="0.2">
      <c r="A30" s="158"/>
      <c r="B30" s="395">
        <v>15</v>
      </c>
      <c r="C30" s="395" t="s">
        <v>605</v>
      </c>
      <c r="D30" s="400" t="s">
        <v>631</v>
      </c>
      <c r="E30" s="524">
        <f>+'T2 CPC'!F71</f>
        <v>2384</v>
      </c>
      <c r="F30" s="763"/>
      <c r="G30" s="524">
        <f>+'T2 CPC'!G71</f>
        <v>0</v>
      </c>
      <c r="H30" s="771"/>
      <c r="I30" s="771"/>
      <c r="J30" s="771"/>
      <c r="K30" s="771"/>
    </row>
    <row r="31" spans="1:11" s="401" customFormat="1" ht="13.5" x14ac:dyDescent="0.25">
      <c r="A31" s="6"/>
      <c r="E31" s="946"/>
      <c r="F31" s="946"/>
      <c r="G31" s="946"/>
    </row>
    <row r="32" spans="1:11" s="3" customFormat="1" ht="12" x14ac:dyDescent="0.2">
      <c r="A32" s="386" t="s">
        <v>443</v>
      </c>
      <c r="B32" s="344"/>
      <c r="C32" s="344" t="s">
        <v>607</v>
      </c>
      <c r="D32" s="388" t="s">
        <v>632</v>
      </c>
      <c r="E32" s="912">
        <f>(+E28+E29-E30)</f>
        <v>21452.439999999988</v>
      </c>
      <c r="F32" s="945"/>
      <c r="G32" s="912">
        <f>(+G28+G29-G30)</f>
        <v>-18918.669999999998</v>
      </c>
      <c r="H32" s="337"/>
      <c r="I32" s="862"/>
      <c r="J32" s="862"/>
      <c r="K32" s="862"/>
    </row>
    <row r="33" spans="1:9" s="3" customFormat="1" ht="12" x14ac:dyDescent="0.2">
      <c r="A33" s="134"/>
      <c r="B33" s="402"/>
      <c r="C33" s="402"/>
      <c r="D33" s="360"/>
      <c r="E33" s="947"/>
      <c r="F33" s="864"/>
      <c r="G33" s="948"/>
    </row>
    <row r="34" spans="1:9" s="22" customFormat="1" ht="12" x14ac:dyDescent="0.2">
      <c r="A34" s="5" t="s">
        <v>633</v>
      </c>
      <c r="B34" s="347"/>
      <c r="C34" s="347"/>
      <c r="E34" s="949"/>
      <c r="F34" s="949"/>
      <c r="G34" s="949"/>
    </row>
    <row r="35" spans="1:9" s="22" customFormat="1" ht="12.75" customHeight="1" x14ac:dyDescent="0.2">
      <c r="A35" s="386"/>
      <c r="B35" s="384">
        <v>1</v>
      </c>
      <c r="C35" s="384"/>
      <c r="D35" s="385" t="s">
        <v>634</v>
      </c>
      <c r="E35" s="525"/>
      <c r="F35" s="945"/>
      <c r="G35" s="525"/>
    </row>
    <row r="36" spans="1:9" s="22" customFormat="1" ht="12.75" customHeight="1" x14ac:dyDescent="0.2">
      <c r="A36" s="386"/>
      <c r="B36" s="384"/>
      <c r="C36" s="384"/>
      <c r="D36" s="392" t="s">
        <v>635</v>
      </c>
      <c r="E36" s="525">
        <f>IF(E32&gt;0,E32,0)</f>
        <v>21452.439999999988</v>
      </c>
      <c r="F36" s="945"/>
      <c r="G36" s="525">
        <f>IF(G32&gt;0,G32,0)</f>
        <v>0</v>
      </c>
    </row>
    <row r="37" spans="1:9" s="22" customFormat="1" ht="12.75" customHeight="1" x14ac:dyDescent="0.2">
      <c r="A37" s="386"/>
      <c r="B37" s="384"/>
      <c r="C37" s="384"/>
      <c r="D37" s="392" t="s">
        <v>636</v>
      </c>
      <c r="E37" s="525">
        <f>IF(E32&lt;0,E32,0)</f>
        <v>0</v>
      </c>
      <c r="F37" s="945"/>
      <c r="G37" s="525">
        <f>IF(G32&lt;0,G32,0)</f>
        <v>-18918.669999999998</v>
      </c>
    </row>
    <row r="38" spans="1:9" s="22" customFormat="1" ht="12.75" customHeight="1" x14ac:dyDescent="0.2">
      <c r="A38" s="386"/>
      <c r="B38" s="384">
        <v>2</v>
      </c>
      <c r="C38" s="384" t="s">
        <v>637</v>
      </c>
      <c r="D38" s="392" t="s">
        <v>638</v>
      </c>
      <c r="E38" s="525">
        <f>(SUMIF('Balance N Retraitée'!A:A,"619*",'Balance N Retraitée'!G:G)-SUMIF('Balance N Retraitée'!A:A,"619*",'Balance N Retraitée'!H:H))-((SUMIF('Balance N Retraitée'!A:A,"61957*",'Balance N Retraitée'!G:G)-SUMIF('Balance N Retraitée'!A:A,"61957*",'Balance N Retraitée'!H:H)))-((SUMIF('Balance N Retraitée'!A:A,"6196*",'Balance N Retraitée'!G:G)-SUMIF('Balance N Retraitée'!A:A,"6196*",'Balance N Retraitée'!H:H)))</f>
        <v>172843.76</v>
      </c>
      <c r="F38" s="945"/>
      <c r="G38" s="525">
        <f>(SUMIF('Balance N-1 Retraitée'!A:A,"619*",'Balance N-1 Retraitée'!G:G)-SUMIF('Balance N-1 Retraitée'!A:A,"619*",'Balance N-1 Retraitée'!H:H))-((SUMIF('Balance N-1 Retraitée'!A:A,"61957*",'Balance N-1 Retraitée'!G:G)-SUMIF('Balance N-1 Retraitée'!A:A,"61957*",'Balance N-1 Retraitée'!H:H)))-((SUMIF('Balance N-1 Retraitée'!A:A,"6196*",'Balance N-1 Retraitée'!G:G)-SUMIF('Balance N-1 Retraitée'!A:A,"6196*",'Balance N-1 Retraitée'!H:H)))</f>
        <v>694.37</v>
      </c>
      <c r="I38" s="956"/>
    </row>
    <row r="39" spans="1:9" s="22" customFormat="1" ht="12.75" customHeight="1" x14ac:dyDescent="0.2">
      <c r="A39" s="386"/>
      <c r="B39" s="384">
        <v>3</v>
      </c>
      <c r="C39" s="384" t="s">
        <v>637</v>
      </c>
      <c r="D39" s="392" t="s">
        <v>639</v>
      </c>
      <c r="E39" s="525">
        <f>(SUMIF('Balance N Retraitée'!A:A,"6391*",'Balance N Retraitée'!G:G)-SUMIF('Balance N Retraitée'!A:A,"6391*",'Balance N Retraitée'!H:H))+(SUMIF('Balance N Retraitée'!A:A,"6392*",'Balance N Retraitée'!G:G)-SUMIF('Balance N Retraitée'!A:A,"6392*",'Balance N Retraitée'!H:H))+(SUMIF('Balance N Retraitée'!A:A,"63935*",'Balance N Retraitée'!G:G)-SUMIF('Balance N Retraitée'!A:A,"63935*",'Balance N Retraitée'!H:H))</f>
        <v>0</v>
      </c>
      <c r="F39" s="945"/>
      <c r="G39" s="525">
        <f>(SUMIF('Balance N-1 Retraitée'!A:A,"6391*",'Balance N-1 Retraitée'!G:G)-SUMIF('Balance N-1 Retraitée'!A:A,"6391*",'Balance N-1 Retraitée'!H:H))+(SUMIF('Balance N-1 Retraitée'!A:A,"6392*",'Balance N-1 Retraitée'!G:G)-SUMIF('Balance N-1 Retraitée'!A:A,"6392*",'Balance N-1 Retraitée'!H:H))+(SUMIF('Balance N-1 Retraitée'!A:A,"63935*",'Balance N-1 Retraitée'!G:G)-SUMIF('Balance N-1 Retraitée'!A:A,"63935*",'Balance N-1 Retraitée'!H:H))</f>
        <v>0</v>
      </c>
    </row>
    <row r="40" spans="1:9" s="22" customFormat="1" ht="12.75" customHeight="1" x14ac:dyDescent="0.2">
      <c r="A40" s="386"/>
      <c r="B40" s="384">
        <v>4</v>
      </c>
      <c r="C40" s="384" t="s">
        <v>637</v>
      </c>
      <c r="D40" s="392" t="s">
        <v>640</v>
      </c>
      <c r="E40" s="525">
        <f>(SUMIF('Balance N Retraitée'!A:A,"659*",'Balance N Retraitée'!G:G)-SUMIF('Balance N Retraitée'!A:A,"659*",'Balance N Retraitée'!H:H))-(SUMIF('Balance N Retraitée'!A:A,"65957*",'Balance N Retraitée'!G:G)-SUMIF('Balance N Retraitée'!A:A,"65957*",'Balance N Retraitée'!H:H))-(SUMIF('Balance N Retraitée'!A:A,"65963*",'Balance N Retraitée'!G:G)-SUMIF('Balance N Retraitée'!A:A,"65963*",'Balance N Retraitée'!H:H))</f>
        <v>0</v>
      </c>
      <c r="F40" s="945"/>
      <c r="G40" s="525">
        <f>(SUMIF('Balance N-1 Retraitée'!A:A,"659*",'Balance N-1 Retraitée'!G:G)-SUMIF('Balance N-1 Retraitée'!A:A,"659*",'Balance N-1 Retraitée'!H:H))-(SUMIF('Balance N-1 Retraitée'!A:A,"65957*",'Balance N-1 Retraitée'!G:G)-SUMIF('Balance N-1 Retraitée'!A:A,"65957*",'Balance N-1 Retraitée'!H:H))-(SUMIF('Balance N-1 Retraitée'!A:A,"65963*",'Balance N-1 Retraitée'!G:G)-SUMIF('Balance N-1 Retraitée'!A:A,"65963*",'Balance N-1 Retraitée'!H:H))</f>
        <v>0</v>
      </c>
    </row>
    <row r="41" spans="1:9" s="22" customFormat="1" ht="12.75" customHeight="1" x14ac:dyDescent="0.2">
      <c r="A41" s="386"/>
      <c r="B41" s="384">
        <v>5</v>
      </c>
      <c r="C41" s="384" t="s">
        <v>555</v>
      </c>
      <c r="D41" s="392" t="s">
        <v>641</v>
      </c>
      <c r="E41" s="525">
        <f>(SUMIF('Balance N Retraitée'!A:A,"719*",'Balance N Retraitée'!G:G)-SUMIF('Balance N Retraitée'!A:A,"719*",'Balance N Retraitée'!H:H))-(SUMIF('Balance N Retraitée'!A:A,"71957*",'Balance N Retraitée'!G:G)-SUMIF('Balance N Retraitée'!A:A,"71957*",'Balance N Retraitée'!H:H))-(SUMIF('Balance N Retraitée'!A:A,"7196*",'Balance N Retraitée'!G:G)-SUMIF('Balance N Retraitée'!A:A,"7196*",'Balance N Retraitée'!H:H))-(SUMIF('Balance N Retraitée'!A:A,"7197*",'Balance N Retraitée'!G:G)-SUMIF('Balance N Retraitée'!A:A,"7197*",'Balance N Retraitée'!H:H))</f>
        <v>0</v>
      </c>
      <c r="F41" s="945"/>
      <c r="G41" s="525">
        <f>(SUMIF('Balance N-1 Retraitée'!A:A,"719*",'Balance N-1 Retraitée'!G:G)-SUMIF('Balance N-1 Retraitée'!A:A,"719*",'Balance N-1 Retraitée'!H:H))-(SUMIF('Balance N-1 Retraitée'!A:A,"71957*",'Balance N-1 Retraitée'!G:G)-SUMIF('Balance N-1 Retraitée'!A:A,"71957*",'Balance N-1 Retraitée'!H:H))-(SUMIF('Balance N-1 Retraitée'!A:A,"7196*",'Balance N-1 Retraitée'!G:G)-SUMIF('Balance N-1 Retraitée'!A:A,"7196*",'Balance N-1 Retraitée'!H:H))-(SUMIF('Balance N-1 Retraitée'!A:A,"7197*",'Balance N-1 Retraitée'!G:G)-SUMIF('Balance N-1 Retraitée'!A:A,"7197*",'Balance N-1 Retraitée'!H:H))</f>
        <v>0</v>
      </c>
    </row>
    <row r="42" spans="1:9" s="22" customFormat="1" ht="12.75" customHeight="1" x14ac:dyDescent="0.2">
      <c r="A42" s="386"/>
      <c r="B42" s="384">
        <v>6</v>
      </c>
      <c r="C42" s="384" t="s">
        <v>555</v>
      </c>
      <c r="D42" s="392" t="s">
        <v>642</v>
      </c>
      <c r="E42" s="525">
        <f>(SUMIF('Balance N Retraitée'!A:A,"7391*",'Balance N Retraitée'!G:G)-SUMIF('Balance N Retraitée'!A:A,"7391*",'Balance N Retraitée'!H:H))+(SUMIF('Balance N Retraitée'!A:A,"7392*",'Balance N Retraitée'!G:G)-SUMIF('Balance N Retraitée'!A:A,"7392*",'Balance N Retraitée'!H:H))+(SUMIF('Balance N Retraitée'!A:A,"73935*",'Balance N Retraitée'!G:G)-SUMIF('Balance N Retraitée'!A:A,"73935*",'Balance N Retraitée'!H:H))</f>
        <v>0</v>
      </c>
      <c r="F42" s="945"/>
      <c r="G42" s="525">
        <f>(SUMIF('Balance N-1 Retraitée'!A:A,"7391*",'Balance N-1 Retraitée'!G:G)-SUMIF('Balance N-1 Retraitée'!A:A,"7391*",'Balance N-1 Retraitée'!H:H))+(SUMIF('Balance N-1 Retraitée'!A:A,"7392*",'Balance N-1 Retraitée'!G:G)-SUMIF('Balance N-1 Retraitée'!A:A,"7392*",'Balance N-1 Retraitée'!H:H))+(SUMIF('Balance N-1 Retraitée'!A:A,"73935*",'Balance N-1 Retraitée'!G:G)-SUMIF('Balance N-1 Retraitée'!A:A,"73935*",'Balance N-1 Retraitée'!H:H))</f>
        <v>0</v>
      </c>
    </row>
    <row r="43" spans="1:9" s="22" customFormat="1" ht="12.75" customHeight="1" x14ac:dyDescent="0.2">
      <c r="A43" s="386"/>
      <c r="B43" s="384">
        <v>7</v>
      </c>
      <c r="C43" s="384" t="s">
        <v>555</v>
      </c>
      <c r="D43" s="392" t="s">
        <v>643</v>
      </c>
      <c r="E43" s="525">
        <f>(SUMIF('Balance N Retraitée'!A:A,"759*",'Balance N Retraitée'!G:G)-SUMIF('Balance N Retraitée'!A:A,"759*",'Balance N Retraitée'!H:H))-(SUMIF('Balance N Retraitée'!A:A,"75957*",'Balance N Retraitée'!G:G)-SUMIF('Balance N Retraitée'!A:A,"75957*",'Balance N Retraitée'!H:H))-(SUMIF('Balance N Retraitée'!A:A,"75963*",'Balance N Retraitée'!G:G)-SUMIF('Balance N Retraitée'!A:A,"75963*",'Balance N Retraitée'!H:H))-(SUMIF('Balance N Retraitée'!A:A,"7597*",'Balance N Retraitée'!G:G)-SUMIF('Balance N Retraitée'!A:A,"7597*",'Balance N Retraitée'!H:H))</f>
        <v>0</v>
      </c>
      <c r="F43" s="945"/>
      <c r="G43" s="525">
        <f>(SUMIF('Balance N-1 Retraitée'!A:A,"759*",'Balance N-1 Retraitée'!G:G)-SUMIF('Balance N-1 Retraitée'!A:A,"759*",'Balance N-1 Retraitée'!H:H))-(SUMIF('Balance N-1 Retraitée'!A:A,"75957*",'Balance N-1 Retraitée'!G:G)-SUMIF('Balance N-1 Retraitée'!A:A,"75957*",'Balance N-1 Retraitée'!H:H))-(SUMIF('Balance N-1 Retraitée'!A:A,"75963*",'Balance N-1 Retraitée'!G:G)-SUMIF('Balance N-1 Retraitée'!A:A,"75963*",'Balance N-1 Retraitée'!H:H))-(SUMIF('Balance N-1 Retraitée'!A:A,"7597*",'Balance N-1 Retraitée'!G:G)-SUMIF('Balance N-1 Retraitée'!A:A,"7597*",'Balance N-1 Retraitée'!H:H))</f>
        <v>0</v>
      </c>
    </row>
    <row r="44" spans="1:9" s="22" customFormat="1" ht="12.75" customHeight="1" x14ac:dyDescent="0.2">
      <c r="A44" s="386"/>
      <c r="B44" s="384">
        <v>8</v>
      </c>
      <c r="C44" s="384" t="s">
        <v>555</v>
      </c>
      <c r="D44" s="385" t="s">
        <v>644</v>
      </c>
      <c r="E44" s="525">
        <f>SUMIF('Balance N Retraitée'!A:A,"751*",'Balance N Retraitée'!H:H)-(SUMIF('Balance N Retraitée'!A:A,"751*",'Balance N Retraitée'!G:G))</f>
        <v>0</v>
      </c>
      <c r="F44" s="945"/>
      <c r="G44" s="525">
        <f>SUMIF('Balance N-1 Retraitée'!A:A,"751*",'Balance N-1 Retraitée'!H:H)-(SUMIF('Balance N-1 Retraitée'!A:A,"751*",'Balance N-1 Retraitée'!G:G))</f>
        <v>0</v>
      </c>
    </row>
    <row r="45" spans="1:9" s="22" customFormat="1" ht="12.75" customHeight="1" x14ac:dyDescent="0.2">
      <c r="A45" s="386"/>
      <c r="B45" s="384">
        <v>9</v>
      </c>
      <c r="C45" s="384" t="s">
        <v>603</v>
      </c>
      <c r="D45" s="385" t="s">
        <v>645</v>
      </c>
      <c r="E45" s="525">
        <f>(SUMIF('Balance N Retraitée'!A:A,"651*",'Balance N Retraitée'!G:G))-SUMIF('Balance N Retraitée'!A:A,"651*",'Balance N Retraitée'!H:H)</f>
        <v>0</v>
      </c>
      <c r="F45" s="945"/>
      <c r="G45" s="525">
        <f>(SUMIF('Balance N-1 Retraitée'!A:A,"651*",'Balance N-1 Retraitée'!G:G))-SUMIF('Balance N-1 Retraitée'!A:A,"651*",'Balance N-1 Retraitée'!H:H)</f>
        <v>0</v>
      </c>
    </row>
    <row r="46" spans="1:9" s="3" customFormat="1" ht="12.75" customHeight="1" x14ac:dyDescent="0.2">
      <c r="A46" s="386" t="s">
        <v>339</v>
      </c>
      <c r="B46" s="344"/>
      <c r="C46" s="344"/>
      <c r="D46" s="404" t="s">
        <v>646</v>
      </c>
      <c r="E46" s="912">
        <f>SUM(E36:E40)-SUM(E41:E44)+E45</f>
        <v>194296.2</v>
      </c>
      <c r="F46" s="945"/>
      <c r="G46" s="912">
        <f>SUM(G36:G40)-SUM(G41:G44)+G45</f>
        <v>-18224.3</v>
      </c>
    </row>
    <row r="47" spans="1:9" s="22" customFormat="1" ht="12.75" customHeight="1" x14ac:dyDescent="0.2">
      <c r="A47" s="386"/>
      <c r="B47" s="384">
        <v>10</v>
      </c>
      <c r="C47" s="384"/>
      <c r="D47" s="385" t="s">
        <v>647</v>
      </c>
      <c r="E47" s="955">
        <f>'T14 C2-affec resu'!D13</f>
        <v>0</v>
      </c>
      <c r="F47" s="945"/>
      <c r="G47" s="950">
        <v>0</v>
      </c>
    </row>
    <row r="48" spans="1:9" s="3" customFormat="1" ht="12.75" customHeight="1" x14ac:dyDescent="0.2">
      <c r="A48" s="158" t="s">
        <v>457</v>
      </c>
      <c r="B48" s="398"/>
      <c r="C48" s="398"/>
      <c r="D48" s="357" t="s">
        <v>648</v>
      </c>
      <c r="E48" s="524">
        <f>+E46-E47</f>
        <v>194296.2</v>
      </c>
      <c r="F48" s="945"/>
      <c r="G48" s="524">
        <f>+G46-G47</f>
        <v>-18224.3</v>
      </c>
    </row>
    <row r="49" spans="1:7" s="22" customFormat="1" ht="12" hidden="1" x14ac:dyDescent="0.2">
      <c r="A49" s="158"/>
      <c r="B49" s="395"/>
      <c r="C49" s="395"/>
      <c r="D49" s="400"/>
      <c r="E49" s="366"/>
      <c r="F49" s="351"/>
      <c r="G49" s="366"/>
    </row>
    <row r="50" spans="1:7" s="22" customFormat="1" ht="12" x14ac:dyDescent="0.2">
      <c r="A50" s="405" t="s">
        <v>649</v>
      </c>
      <c r="E50" s="370"/>
      <c r="F50" s="370"/>
      <c r="G50" s="370"/>
    </row>
    <row r="51" spans="1:7" s="22" customFormat="1" ht="12" x14ac:dyDescent="0.2">
      <c r="A51" s="132" t="s">
        <v>650</v>
      </c>
      <c r="B51" s="347"/>
      <c r="C51" s="347"/>
      <c r="E51" s="370"/>
      <c r="F51" s="370"/>
      <c r="G51" s="370"/>
    </row>
    <row r="52" spans="1:7" s="22" customFormat="1" ht="12" x14ac:dyDescent="0.2">
      <c r="A52" s="132" t="s">
        <v>651</v>
      </c>
      <c r="B52" s="347"/>
      <c r="C52" s="347"/>
      <c r="E52" s="370"/>
      <c r="F52" s="370"/>
      <c r="G52" s="370"/>
    </row>
  </sheetData>
  <phoneticPr fontId="0" type="noConversion"/>
  <pageMargins left="0.78740157480314965" right="0.78740157480314965" top="0.98425196850393704" bottom="0.98425196850393704" header="0.51181102362204722" footer="0.51181102362204722"/>
  <pageSetup paperSize="9" scale="80" orientation="portrait" horizontalDpi="300" verticalDpi="300" r:id="rId1"/>
  <headerFooter alignWithMargins="0">
    <oddHeader>&amp;L&amp;"Times New Roman,Gras italique"&amp;12Sté : ...............................</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
  <dimension ref="A1:H115"/>
  <sheetViews>
    <sheetView showZeros="0" workbookViewId="0">
      <selection activeCell="H6" sqref="H6"/>
    </sheetView>
  </sheetViews>
  <sheetFormatPr baseColWidth="10" defaultColWidth="12" defaultRowHeight="12" x14ac:dyDescent="0.2"/>
  <cols>
    <col min="1" max="1" width="6.6640625" style="3" customWidth="1"/>
    <col min="2" max="2" width="51.1640625" style="22" customWidth="1"/>
    <col min="3" max="3" width="19.5" style="337" customWidth="1"/>
    <col min="4" max="4" width="22.6640625" style="337" bestFit="1" customWidth="1"/>
    <col min="5" max="5" width="13.33203125" style="22" bestFit="1" customWidth="1"/>
    <col min="6" max="6" width="12.1640625" style="22" bestFit="1" customWidth="1"/>
    <col min="7" max="16384" width="12" style="22"/>
  </cols>
  <sheetData>
    <row r="1" spans="1:7" ht="12.75" x14ac:dyDescent="0.2">
      <c r="A1" s="3" t="s">
        <v>652</v>
      </c>
      <c r="D1" s="973" t="s">
        <v>1054</v>
      </c>
    </row>
    <row r="2" spans="1:7" ht="15.75" x14ac:dyDescent="0.25">
      <c r="A2" s="338" t="s">
        <v>653</v>
      </c>
      <c r="B2" s="339"/>
      <c r="C2" s="340"/>
      <c r="D2" s="340"/>
    </row>
    <row r="3" spans="1:7" x14ac:dyDescent="0.2">
      <c r="C3" s="341" t="s">
        <v>62</v>
      </c>
      <c r="D3" s="342" t="str">
        <f>'T5 ESG'!$G$3</f>
        <v>31/12/2022</v>
      </c>
      <c r="G3" s="343"/>
    </row>
    <row r="4" spans="1:7" s="347" customFormat="1" x14ac:dyDescent="0.2">
      <c r="A4" s="344" t="s">
        <v>654</v>
      </c>
      <c r="B4" s="345"/>
      <c r="C4" s="346" t="s">
        <v>313</v>
      </c>
      <c r="D4" s="346" t="s">
        <v>314</v>
      </c>
    </row>
    <row r="5" spans="1:7" x14ac:dyDescent="0.2">
      <c r="A5" s="348"/>
      <c r="B5" s="349" t="s">
        <v>655</v>
      </c>
      <c r="C5" s="760"/>
      <c r="D5" s="761"/>
    </row>
    <row r="6" spans="1:7" x14ac:dyDescent="0.2">
      <c r="A6" s="348">
        <v>611</v>
      </c>
      <c r="B6" s="349" t="s">
        <v>606</v>
      </c>
      <c r="C6" s="762"/>
      <c r="D6" s="761"/>
    </row>
    <row r="7" spans="1:7" x14ac:dyDescent="0.2">
      <c r="A7" s="348"/>
      <c r="B7" s="350" t="s">
        <v>656</v>
      </c>
      <c r="C7" s="763">
        <f>SUMIF('Balance N Retraitée'!A:A,"611*",'Balance N Retraitée'!G:G)-SUMIF('Balance N Retraitée'!A:A,"611*",'Balance N Retraitée'!H:H)-C8</f>
        <v>0</v>
      </c>
      <c r="D7" s="761">
        <f>SUMIF('Balance N-1 Retraitée'!A:A,"611*",'Balance N-1 Retraitée'!G:G)-SUMIF('Balance N-1 Retraitée'!A:A,"611*",'Balance N-1 Retraitée'!H:H)-D8</f>
        <v>0</v>
      </c>
    </row>
    <row r="8" spans="1:7" x14ac:dyDescent="0.2">
      <c r="A8" s="348"/>
      <c r="B8" s="352" t="s">
        <v>657</v>
      </c>
      <c r="C8" s="763">
        <f>SUMIF('Balance N Retraitée'!A:A,"6114*",'Balance N Retraitée'!G:G)-SUMIF('Balance N Retraitée'!A:A,"6114*",'Balance N Retraitée'!H:H)</f>
        <v>0</v>
      </c>
      <c r="D8" s="761">
        <f>SUMIF('Balance N-1 Retraitée'!A:A,"6114*",'Balance N-1 Retraitée'!G:G)-SUMIF('Balance N-1 Retraitée'!A:A,"6114*",'Balance N-1 Retraitée'!H:H)</f>
        <v>0</v>
      </c>
    </row>
    <row r="9" spans="1:7" x14ac:dyDescent="0.2">
      <c r="A9" s="348"/>
      <c r="B9" s="353" t="s">
        <v>658</v>
      </c>
      <c r="C9" s="764">
        <f>SUM(C7:C8)</f>
        <v>0</v>
      </c>
      <c r="D9" s="764">
        <f>SUM(D7:D8)</f>
        <v>0</v>
      </c>
    </row>
    <row r="10" spans="1:7" x14ac:dyDescent="0.2">
      <c r="A10" s="348"/>
      <c r="B10" s="353"/>
      <c r="C10" s="761"/>
      <c r="D10" s="761"/>
    </row>
    <row r="11" spans="1:7" x14ac:dyDescent="0.2">
      <c r="A11" s="348">
        <v>612</v>
      </c>
      <c r="B11" s="354" t="s">
        <v>614</v>
      </c>
      <c r="C11" s="761"/>
      <c r="D11" s="761"/>
    </row>
    <row r="12" spans="1:7" x14ac:dyDescent="0.2">
      <c r="A12" s="348"/>
      <c r="B12" s="355" t="s">
        <v>659</v>
      </c>
      <c r="C12" s="763">
        <f>SUMIF('Balance N Retraitée'!A:A,"6121*",'Balance N Retraitée'!G:G)-SUMIF('Balance N Retraitée'!A:A,"6121*",'Balance N Retraitée'!H:H)</f>
        <v>0</v>
      </c>
      <c r="D12" s="761">
        <f>SUMIF('Balance N-1 Retraitée'!A:A,"6121*",'Balance N-1 Retraitée'!G:G)-SUMIF('Balance N-1 Retraitée'!A:A,"6121*",'Balance N-1 Retraitée'!H:H)</f>
        <v>0</v>
      </c>
    </row>
    <row r="13" spans="1:7" x14ac:dyDescent="0.2">
      <c r="A13" s="348"/>
      <c r="B13" s="1065" t="s">
        <v>2698</v>
      </c>
      <c r="C13" s="1066">
        <f>SUMIF('Balance N Retraitée'!A:A,"61241*",'Balance N Retraitée'!G:G)-SUMIF('Balance N Retraitée'!A:A,"61241*",'Balance N Retraitée'!H:H)</f>
        <v>0</v>
      </c>
      <c r="D13" s="1067">
        <f>SUMIF('Balance N-1 Retraitée'!A:A,"61241*",'Balance N-1 Retraitée'!G:G)-SUMIF('Balance N-1 Retraitée'!A:A,"61241*",'Balance N-1 Retraitée'!H:H)</f>
        <v>0</v>
      </c>
    </row>
    <row r="14" spans="1:7" x14ac:dyDescent="0.2">
      <c r="A14" s="348"/>
      <c r="B14" s="350" t="s">
        <v>2699</v>
      </c>
      <c r="C14" s="763">
        <f>SUMIF('Balance N Retraitée'!A:A,"6122*",'Balance N Retraitée'!G:G)-SUMIF('Balance N Retraitée'!A:A,"6122*",'Balance N Retraitée'!H:H)+SUMIF('Balance N Retraitée'!A:A,"6123*",'Balance N Retraitée'!G:G)-SUMIF('Balance N Retraitée'!A:A,"6123*",'Balance N Retraitée'!H:H)</f>
        <v>0</v>
      </c>
      <c r="D14" s="761">
        <f>SUMIF('Balance N-1 Retraitée'!A:A,"6122*",'Balance N-1 Retraitée'!G:G)-SUMIF('Balance N-1 Retraitée'!A:A,"6122*",'Balance N-1 Retraitée'!H:H)+SUMIF('Balance N-1 Retraitée'!A:A,"6123*",'Balance N-1 Retraitée'!G:G)-SUMIF('Balance N-1 Retraitée'!A:A,"6123*",'Balance N-1 Retraitée'!H:H)</f>
        <v>0</v>
      </c>
    </row>
    <row r="15" spans="1:7" x14ac:dyDescent="0.2">
      <c r="A15" s="348"/>
      <c r="B15" s="352" t="s">
        <v>660</v>
      </c>
      <c r="C15" s="763">
        <f>SUMIF('Balance N Retraitée'!A:A,"61242*",'Balance N Retraitée'!G:G)-SUMIF('Balance N Retraitée'!A:A,"61242*",'Balance N Retraitée'!H:H)</f>
        <v>0</v>
      </c>
      <c r="D15" s="761">
        <f>SUMIF('Balance N-1 Retraitée'!A:A,"61242*",'Balance N-1 Retraitée'!G:G)-SUMIF('Balance N-1 Retraitée'!A:A,"61242*",'Balance N-1 Retraitée'!H:H)</f>
        <v>0</v>
      </c>
    </row>
    <row r="16" spans="1:7" x14ac:dyDescent="0.2">
      <c r="A16" s="348"/>
      <c r="B16" s="355" t="s">
        <v>661</v>
      </c>
      <c r="C16" s="763">
        <f>SUMIF('Balance N Retraitée'!A:A,"6125*",'Balance N Retraitée'!G:G)-SUMIF('Balance N Retraitée'!A:A,"6125*",'Balance N Retraitée'!H:H)</f>
        <v>0</v>
      </c>
      <c r="D16" s="761">
        <f>SUMIF('Balance N-1 Retraitée'!A:A,"6125*",'Balance N-1 Retraitée'!G:G)-SUMIF('Balance N-1 Retraitée'!A:A,"6125*",'Balance N-1 Retraitée'!H:H)</f>
        <v>0</v>
      </c>
    </row>
    <row r="17" spans="1:8" x14ac:dyDescent="0.2">
      <c r="A17" s="348"/>
      <c r="B17" s="355" t="s">
        <v>662</v>
      </c>
      <c r="C17" s="763">
        <f>SUMIF('Balance N Retraitée'!A:A,"6126*",'Balance N Retraitée'!G:G)-SUMIF('Balance N Retraitée'!A:A,"6126*",'Balance N Retraitée'!H:H)</f>
        <v>0</v>
      </c>
      <c r="D17" s="761">
        <f>SUMIF('Balance N-1 Retraitée'!A:A,"6126*",'Balance N-1 Retraitée'!G:G)-SUMIF('Balance N-1 Retraitée'!A:A,"6126*",'Balance N-1 Retraitée'!H:H)</f>
        <v>0</v>
      </c>
    </row>
    <row r="18" spans="1:8" x14ac:dyDescent="0.2">
      <c r="A18" s="348"/>
      <c r="B18" s="1068" t="s">
        <v>663</v>
      </c>
      <c r="C18" s="1063">
        <f>SUMIF('Balance N Retraitée'!A:A,"6128*",'Balance N Retraitée'!G:G)-SUMIF('Balance N Retraitée'!A:A,"6128*",'Balance N Retraitée'!H:H)</f>
        <v>0</v>
      </c>
      <c r="D18" s="1064">
        <f>SUMIF('Balance N-1 Retraitée'!A:A,"6128*",'Balance N-1 Retraitée'!G:G)-SUMIF('Balance N-1 Retraitée'!A:A,"6128*",'Balance N-1 Retraitée'!H:H)</f>
        <v>0</v>
      </c>
    </row>
    <row r="19" spans="1:8" x14ac:dyDescent="0.2">
      <c r="A19" s="348"/>
      <c r="B19" s="1068" t="s">
        <v>664</v>
      </c>
      <c r="C19" s="1063">
        <f>SUMIF('Balance N Retraitée'!A:A,"6129*",'Balance N Retraitée'!G:G)-SUMIF('Balance N Retraitée'!A:A,"6129*",'Balance N Retraitée'!H:H)</f>
        <v>0</v>
      </c>
      <c r="D19" s="1069">
        <f>SUMIF('Balance N-1 Retraitée'!A:A,"6129*",'Balance N-1 Retraitée'!G:G)-SUMIF('Balance N-1 Retraitée'!A:A,"6129*",'Balance N-1 Retraitée'!H:H)</f>
        <v>0</v>
      </c>
      <c r="E19" s="337"/>
    </row>
    <row r="20" spans="1:8" x14ac:dyDescent="0.2">
      <c r="A20" s="348"/>
      <c r="B20" s="353" t="s">
        <v>558</v>
      </c>
      <c r="C20" s="766">
        <f>SUM(C12:C19)</f>
        <v>0</v>
      </c>
      <c r="D20" s="767">
        <f>SUM(D12:D19)</f>
        <v>0</v>
      </c>
    </row>
    <row r="21" spans="1:8" x14ac:dyDescent="0.2">
      <c r="A21" s="348"/>
      <c r="B21" s="353"/>
      <c r="C21" s="768"/>
      <c r="D21" s="768"/>
    </row>
    <row r="22" spans="1:8" x14ac:dyDescent="0.2">
      <c r="A22" s="348" t="s">
        <v>665</v>
      </c>
      <c r="B22" s="354" t="s">
        <v>666</v>
      </c>
      <c r="C22" s="761"/>
      <c r="D22" s="761"/>
    </row>
    <row r="23" spans="1:8" x14ac:dyDescent="0.2">
      <c r="A23" s="348"/>
      <c r="B23" s="355" t="s">
        <v>667</v>
      </c>
      <c r="C23" s="763">
        <f>SUMIF('Balance N Retraitée'!A:A,"6131*",'Balance N Retraitée'!G:G)-SUMIF('Balance N Retraitée'!A:A,"6131*",'Balance N Retraitée'!H:H)</f>
        <v>12000</v>
      </c>
      <c r="D23" s="761">
        <f>SUMIF('Balance N-1 Retraitée'!A:A,"6131*",'Balance N-1 Retraitée'!G:G)-SUMIF('Balance N-1 Retraitée'!A:A,"6131*",'Balance N-1 Retraitée'!H:H)</f>
        <v>5000</v>
      </c>
    </row>
    <row r="24" spans="1:8" x14ac:dyDescent="0.2">
      <c r="A24" s="348"/>
      <c r="B24" s="355" t="s">
        <v>668</v>
      </c>
      <c r="C24" s="763">
        <f>SUMIF('Balance N Retraitée'!A:A,"6132*",'Balance N Retraitée'!G:G)-SUMIF('Balance N Retraitée'!A:A,"6132*",'Balance N Retraitée'!H:H)</f>
        <v>0</v>
      </c>
      <c r="D24" s="761">
        <f>SUMIF('Balance N-1 Retraitée'!A:A,"6132*",'Balance N-1 Retraitée'!G:G)-SUMIF('Balance N-1 Retraitée'!A:A,"6132*",'Balance N-1 Retraitée'!H:H)</f>
        <v>0</v>
      </c>
    </row>
    <row r="25" spans="1:8" x14ac:dyDescent="0.2">
      <c r="A25" s="348"/>
      <c r="B25" s="355" t="s">
        <v>669</v>
      </c>
      <c r="C25" s="763">
        <f>SUMIF('Balance N Retraitée'!A:A,"6133*",'Balance N Retraitée'!G:G)-SUMIF('Balance N Retraitée'!A:A,"6133*",'Balance N Retraitée'!H:H)</f>
        <v>6438.04</v>
      </c>
      <c r="D25" s="761">
        <f>SUMIF('Balance N-1 Retraitée'!A:A,"6133*",'Balance N-1 Retraitée'!G:G)-SUMIF('Balance N-1 Retraitée'!A:A,"6133*",'Balance N-1 Retraitée'!H:H)</f>
        <v>0</v>
      </c>
    </row>
    <row r="26" spans="1:8" x14ac:dyDescent="0.2">
      <c r="A26" s="348"/>
      <c r="B26" s="355" t="s">
        <v>670</v>
      </c>
      <c r="C26" s="763">
        <f>SUMIF('Balance N Retraitée'!A:A,"6134*",'Balance N Retraitée'!G:G)-SUMIF('Balance N Retraitée'!A:A,"6134*",'Balance N Retraitée'!H:H)</f>
        <v>49315.47</v>
      </c>
      <c r="D26" s="761">
        <f>SUMIF('Balance N-1 Retraitée'!A:A,"6134*",'Balance N-1 Retraitée'!G:G)-SUMIF('Balance N-1 Retraitée'!A:A,"6134*",'Balance N-1 Retraitée'!H:H)</f>
        <v>0</v>
      </c>
    </row>
    <row r="27" spans="1:8" x14ac:dyDescent="0.2">
      <c r="A27" s="348"/>
      <c r="B27" s="355" t="s">
        <v>671</v>
      </c>
      <c r="C27" s="763">
        <f>SUMIF('Balance N Retraitée'!A:A,"6135*",'Balance N Retraitée'!G:G)-SUMIF('Balance N Retraitée'!A:A,"6135*",'Balance N Retraitée'!H:H)</f>
        <v>0</v>
      </c>
      <c r="D27" s="761">
        <f>SUMIF('Balance N-1 Retraitée'!A:A,"6135*",'Balance N-1 Retraitée'!G:G)-SUMIF('Balance N-1 Retraitée'!A:A,"6135*",'Balance N-1 Retraitée'!H:H)</f>
        <v>0</v>
      </c>
    </row>
    <row r="28" spans="1:8" x14ac:dyDescent="0.2">
      <c r="A28" s="348"/>
      <c r="B28" s="355" t="s">
        <v>672</v>
      </c>
      <c r="C28" s="763">
        <f>SUMIF('Balance N Retraitée'!A:A,"6136*",'Balance N Retraitée'!G:G)-SUMIF('Balance N Retraitée'!A:A,"6136*",'Balance N Retraitée'!H:H)</f>
        <v>0</v>
      </c>
      <c r="D28" s="761">
        <f>SUMIF('Balance N-1 Retraitée'!A:A,"6136*",'Balance N-1 Retraitée'!G:G)-SUMIF('Balance N-1 Retraitée'!A:A,"6136*",'Balance N-1 Retraitée'!H:H)</f>
        <v>0</v>
      </c>
    </row>
    <row r="29" spans="1:8" x14ac:dyDescent="0.2">
      <c r="A29" s="348"/>
      <c r="B29" s="355" t="s">
        <v>673</v>
      </c>
      <c r="C29" s="763">
        <f>SUMIF('Balance N Retraitée'!A:A,"6137*",'Balance N Retraitée'!G:G)-SUMIF('Balance N Retraitée'!A:A,"6137*",'Balance N Retraitée'!H:H)</f>
        <v>0</v>
      </c>
      <c r="D29" s="761">
        <f>SUMIF('Balance N-1 Retraitée'!A:A,"6137*",'Balance N-1 Retraitée'!G:G)-SUMIF('Balance N-1 Retraitée'!A:A,"6137*",'Balance N-1 Retraitée'!H:H)</f>
        <v>0</v>
      </c>
    </row>
    <row r="30" spans="1:8" x14ac:dyDescent="0.2">
      <c r="A30" s="348"/>
      <c r="B30" s="355" t="s">
        <v>674</v>
      </c>
      <c r="C30" s="763">
        <f>SUMIF('Balance N Retraitée'!A:A,"6142*",'Balance N Retraitée'!G:G)-SUMIF('Balance N Retraitée'!A:A,"6142*",'Balance N Retraitée'!H:H)</f>
        <v>0</v>
      </c>
      <c r="D30" s="761">
        <f>SUMIF('Balance N-1 Retraitée'!A:A,"6142*",'Balance N-1 Retraitée'!G:G)-SUMIF('Balance N-1 Retraitée'!A:A,"6142*",'Balance N-1 Retraitée'!H:H)</f>
        <v>0</v>
      </c>
    </row>
    <row r="31" spans="1:8" x14ac:dyDescent="0.2">
      <c r="A31" s="348"/>
      <c r="B31" s="355" t="s">
        <v>675</v>
      </c>
      <c r="C31" s="763">
        <f>SUMIF('Balance N Retraitée'!A:A,"6143*",'Balance N Retraitée'!G:G)-SUMIF('Balance N Retraitée'!A:A,"6143*",'Balance N Retraitée'!H:H)</f>
        <v>0</v>
      </c>
      <c r="D31" s="761">
        <f>SUMIF('Balance N-1 Retraitée'!A:A,"6143*",'Balance N-1 Retraitée'!G:G)-SUMIF('Balance N-1 Retraitée'!A:A,"6143*",'Balance N-1 Retraitée'!H:H)</f>
        <v>0</v>
      </c>
    </row>
    <row r="32" spans="1:8" x14ac:dyDescent="0.2">
      <c r="A32" s="348"/>
      <c r="B32" s="355" t="s">
        <v>676</v>
      </c>
      <c r="C32" s="763">
        <f>(SUMIF('Balance N Retraitée'!A:A,"613*",'Balance N Retraitée'!G:G)-SUMIF('Balance N Retraitée'!A:A,"613*",'Balance N Retraitée'!H:H))+(SUMIF('Balance N Retraitée'!A:A,"614*",'Balance N Retraitée'!G:G)-SUMIF('Balance N Retraitée'!A:A,"614*",'Balance N Retraitée'!H:H))-SUM(C23:C31)</f>
        <v>10912.300000000003</v>
      </c>
      <c r="D32" s="761">
        <f>(SUMIF('Balance N-1 Retraitée'!A:A,"613*",'Balance N-1 Retraitée'!G:G)-SUMIF('Balance N-1 Retraitée'!A:A,"613*",'Balance N-1 Retraitée'!H:H))+(SUMIF('Balance N-1 Retraitée'!A:A,"614*",'Balance N-1 Retraitée'!G:G)-SUMIF('Balance N-1 Retraitée'!A:A,"614*",'Balance N-1 Retraitée'!H:H))-SUM(D23:D31)</f>
        <v>353.30000000000018</v>
      </c>
      <c r="H32" s="337"/>
    </row>
    <row r="33" spans="1:7" x14ac:dyDescent="0.2">
      <c r="A33" s="348"/>
      <c r="B33" s="353" t="s">
        <v>558</v>
      </c>
      <c r="C33" s="769">
        <f>SUM(C23:C32)</f>
        <v>78665.810000000012</v>
      </c>
      <c r="D33" s="769">
        <f>SUM(D23:D32)</f>
        <v>5353.3</v>
      </c>
      <c r="G33" s="356"/>
    </row>
    <row r="34" spans="1:7" x14ac:dyDescent="0.2">
      <c r="A34" s="348"/>
      <c r="B34" s="353"/>
      <c r="C34" s="768"/>
      <c r="D34" s="768"/>
    </row>
    <row r="35" spans="1:7" x14ac:dyDescent="0.2">
      <c r="A35" s="348">
        <v>617</v>
      </c>
      <c r="B35" s="354" t="s">
        <v>619</v>
      </c>
      <c r="C35" s="761"/>
      <c r="D35" s="761"/>
    </row>
    <row r="36" spans="1:7" x14ac:dyDescent="0.2">
      <c r="A36" s="348"/>
      <c r="B36" s="350" t="s">
        <v>677</v>
      </c>
      <c r="C36" s="763">
        <f>SUMIF('Balance N Retraitée'!A:A,"617*",'Balance N Retraitée'!G:G)-SUMIF('Balance N Retraitée'!A:A,"617*",'Balance N Retraitée'!H:H)-C37</f>
        <v>28731.000000000004</v>
      </c>
      <c r="D36" s="761">
        <f>SUMIF('Balance N-1 Retraitée'!A:A,"617*",'Balance N-1 Retraitée'!G:G)-SUMIF('Balance N-1 Retraitée'!A:A,"617*",'Balance N-1 Retraitée'!H:H)-D37</f>
        <v>10762</v>
      </c>
    </row>
    <row r="37" spans="1:7" x14ac:dyDescent="0.2">
      <c r="A37" s="348"/>
      <c r="B37" s="355" t="s">
        <v>678</v>
      </c>
      <c r="C37" s="763">
        <f>SUMIF('Balance N Retraitée'!A:A,"6174*",'Balance N Retraitée'!G:G)-SUMIF('Balance N Retraitée'!A:A,"6174*",'Balance N Retraitée'!H:H)</f>
        <v>5445.55</v>
      </c>
      <c r="D37" s="761">
        <f>SUMIF('Balance N-1 Retraitée'!A:A,"6174*",'Balance N-1 Retraitée'!G:G)-SUMIF('Balance N-1 Retraitée'!A:A,"6174*",'Balance N-1 Retraitée'!H:H)</f>
        <v>2109</v>
      </c>
    </row>
    <row r="38" spans="1:7" x14ac:dyDescent="0.2">
      <c r="A38" s="348"/>
      <c r="B38" s="355" t="s">
        <v>679</v>
      </c>
      <c r="C38" s="763">
        <f>(SUMIF('Balance N Retraitée'!A:A,"617*",'Balance N Retraitée'!G:G)-SUMIF('Balance N Retraitée'!A:A,"617*",'Balance N Retraitée'!H:H))-SUM(C36:C37)</f>
        <v>0</v>
      </c>
      <c r="D38" s="761">
        <f>(SUMIF('Balance N-1 Retraitée'!A:A,"617*",'Balance N-1 Retraitée'!G:G)-SUMIF('Balance N-1 Retraitée'!A:A,"617*",'Balance N-1 Retraitée'!H:H))-SUM(D36:D37)</f>
        <v>0</v>
      </c>
    </row>
    <row r="39" spans="1:7" x14ac:dyDescent="0.2">
      <c r="A39" s="348"/>
      <c r="B39" s="353" t="s">
        <v>558</v>
      </c>
      <c r="C39" s="769">
        <f>SUM(C36:C38)</f>
        <v>34176.550000000003</v>
      </c>
      <c r="D39" s="769">
        <f>SUM(D36:D38)</f>
        <v>12871</v>
      </c>
    </row>
    <row r="40" spans="1:7" x14ac:dyDescent="0.2">
      <c r="A40" s="348"/>
      <c r="B40" s="353"/>
      <c r="C40" s="768"/>
      <c r="D40" s="768"/>
    </row>
    <row r="41" spans="1:7" x14ac:dyDescent="0.2">
      <c r="A41" s="348">
        <v>618</v>
      </c>
      <c r="B41" s="354" t="s">
        <v>623</v>
      </c>
      <c r="C41" s="761"/>
      <c r="D41" s="761"/>
    </row>
    <row r="42" spans="1:7" x14ac:dyDescent="0.2">
      <c r="A42" s="348"/>
      <c r="B42" s="355" t="s">
        <v>680</v>
      </c>
      <c r="C42" s="763">
        <f>SUMIF('Balance N Retraitée'!A:A,"6181*",'Balance N Retraitée'!G:G)-SUMIF('Balance N Retraitée'!A:A,"6181*",'Balance N Retraitée'!H:H)</f>
        <v>0</v>
      </c>
      <c r="D42" s="761">
        <f>SUMIF('Balance N-1 Retraitée'!A:A,"6181*",'Balance N-1 Retraitée'!G:G)-SUMIF('Balance N-1 Retraitée'!A:A,"6181*",'Balance N-1 Retraitée'!H:H)</f>
        <v>0</v>
      </c>
    </row>
    <row r="43" spans="1:7" x14ac:dyDescent="0.2">
      <c r="A43" s="348"/>
      <c r="B43" s="355" t="s">
        <v>681</v>
      </c>
      <c r="C43" s="763">
        <f>SUMIF('Balance N Retraitée'!A:A,"6182*",'Balance N Retraitée'!G:G)-SUMIF('Balance N Retraitée'!A:A,"6182*",'Balance N Retraitée'!H:H)</f>
        <v>0</v>
      </c>
      <c r="D43" s="761">
        <f>SUMIF('Balance N-1 Retraitée'!A:A,"6182*",'Balance N-1 Retraitée'!G:G)-SUMIF('Balance N-1 Retraitée'!A:A,"6182*",'Balance N-1 Retraitée'!H:H)</f>
        <v>0</v>
      </c>
    </row>
    <row r="44" spans="1:7" x14ac:dyDescent="0.2">
      <c r="A44" s="348"/>
      <c r="B44" s="355" t="s">
        <v>682</v>
      </c>
      <c r="C44" s="763">
        <f>SUMIF('Balance N Retraitée'!A:A,"618*",'Balance N Retraitée'!G:G)-SUMIF('Balance N Retraitée'!A:A,"618*",'Balance N Retraitée'!H:H)-C42-C43</f>
        <v>0</v>
      </c>
      <c r="D44" s="761">
        <f>SUMIF('Balance N-1 Retraitée'!A:A,"618*",'Balance N-1 Retraitée'!G:G)-SUMIF('Balance N-1 Retraitée'!A:A,"618*",'Balance N-1 Retraitée'!H:H)-D42-D43</f>
        <v>0</v>
      </c>
    </row>
    <row r="45" spans="1:7" x14ac:dyDescent="0.2">
      <c r="A45" s="348"/>
      <c r="B45" s="353" t="s">
        <v>558</v>
      </c>
      <c r="C45" s="769">
        <f>SUM(C42:C44)</f>
        <v>0</v>
      </c>
      <c r="D45" s="769">
        <f>SUM(D42:D44)</f>
        <v>0</v>
      </c>
    </row>
    <row r="46" spans="1:7" x14ac:dyDescent="0.2">
      <c r="A46" s="348"/>
      <c r="B46" s="353"/>
      <c r="C46" s="768"/>
      <c r="D46" s="768"/>
    </row>
    <row r="47" spans="1:7" x14ac:dyDescent="0.2">
      <c r="A47" s="348"/>
      <c r="B47" s="354" t="s">
        <v>718</v>
      </c>
      <c r="C47" s="761"/>
      <c r="D47" s="761"/>
    </row>
    <row r="48" spans="1:7" x14ac:dyDescent="0.2">
      <c r="A48" s="348">
        <v>638</v>
      </c>
      <c r="B48" s="354" t="s">
        <v>719</v>
      </c>
      <c r="C48" s="761"/>
      <c r="D48" s="761"/>
    </row>
    <row r="49" spans="1:4" x14ac:dyDescent="0.2">
      <c r="A49" s="348"/>
      <c r="B49" s="355" t="s">
        <v>720</v>
      </c>
      <c r="C49" s="763">
        <f>SUMIF('Balance N Retraitée'!A:A,"6385*",'Balance N Retraitée'!G:G)-SUMIF('Balance N Retraitée'!A:A,"6385*",'Balance N Retraitée'!H:H)</f>
        <v>0</v>
      </c>
      <c r="D49" s="761">
        <f>SUMIF('Balance N-1 Retraitée'!A:A,"6385*",'Balance N-1 Retraitée'!G:G)-SUMIF('Balance N-1 Retraitée'!A:A,"6385*",'Balance N-1 Retraitée'!H:H)</f>
        <v>0</v>
      </c>
    </row>
    <row r="50" spans="1:4" x14ac:dyDescent="0.2">
      <c r="A50" s="348"/>
      <c r="B50" s="355" t="s">
        <v>721</v>
      </c>
      <c r="C50" s="763">
        <f>SUMIF('Balance N Retraitée'!A:A,"638*",'Balance N Retraitée'!G:G)-SUMIF('Balance N Retraitée'!A:A,"638*",'Balance N Retraitée'!H:H)-C49</f>
        <v>0</v>
      </c>
      <c r="D50" s="761">
        <f>SUMIF('Balance N-1 Retraitée'!A:A,"638*",'Balance N-1 Retraitée'!G:G)-SUMIF('Balance N-1 Retraitée'!A:A,"638*",'Balance N-1 Retraitée'!H:H)-D49</f>
        <v>0</v>
      </c>
    </row>
    <row r="51" spans="1:4" x14ac:dyDescent="0.2">
      <c r="A51" s="348"/>
      <c r="B51" s="353" t="s">
        <v>558</v>
      </c>
      <c r="C51" s="769">
        <f>SUM(C49:C50)</f>
        <v>0</v>
      </c>
      <c r="D51" s="769">
        <f>SUM(D49:D50)</f>
        <v>0</v>
      </c>
    </row>
    <row r="52" spans="1:4" x14ac:dyDescent="0.2">
      <c r="A52" s="348"/>
      <c r="B52" s="353"/>
      <c r="C52" s="768"/>
      <c r="D52" s="768"/>
    </row>
    <row r="53" spans="1:4" x14ac:dyDescent="0.2">
      <c r="A53" s="348"/>
      <c r="B53" s="354" t="s">
        <v>722</v>
      </c>
      <c r="C53" s="761"/>
      <c r="D53" s="761"/>
    </row>
    <row r="54" spans="1:4" x14ac:dyDescent="0.2">
      <c r="A54" s="348">
        <v>658</v>
      </c>
      <c r="B54" s="354" t="s">
        <v>569</v>
      </c>
      <c r="C54" s="763"/>
      <c r="D54" s="761"/>
    </row>
    <row r="55" spans="1:4" x14ac:dyDescent="0.2">
      <c r="A55" s="348"/>
      <c r="B55" s="355" t="s">
        <v>723</v>
      </c>
      <c r="C55" s="763">
        <f>SUMIF('Balance N Retraitée'!A:A,"6581*",'Balance N Retraitée'!G:G)-SUMIF('Balance N Retraitée'!A:A,"6581*",'Balance N Retraitée'!H:H)</f>
        <v>0</v>
      </c>
      <c r="D55" s="761">
        <f>SUMIF('Balance N-1 Retraitée'!A:A,"6581*",'Balance N-1 Retraitée'!G:G)-SUMIF('Balance N-1 Retraitée'!A:A,"6581*",'Balance N-1 Retraitée'!H:H)</f>
        <v>0</v>
      </c>
    </row>
    <row r="56" spans="1:4" x14ac:dyDescent="0.2">
      <c r="A56" s="348"/>
      <c r="B56" s="355" t="s">
        <v>724</v>
      </c>
      <c r="C56" s="763">
        <f>SUMIF('Balance N Retraitée'!A:A,"6582*",'Balance N Retraitée'!G:G)-SUMIF('Balance N Retraitée'!A:A,"6582*",'Balance N Retraitée'!H:H)</f>
        <v>0</v>
      </c>
      <c r="D56" s="761">
        <f>SUMIF('Balance N-1 Retraitée'!A:A,"6582*",'Balance N-1 Retraitée'!G:G)-SUMIF('Balance N-1 Retraitée'!A:A,"6582*",'Balance N-1 Retraitée'!H:H)</f>
        <v>0</v>
      </c>
    </row>
    <row r="57" spans="1:4" x14ac:dyDescent="0.2">
      <c r="A57" s="348"/>
      <c r="B57" s="350" t="s">
        <v>725</v>
      </c>
      <c r="C57" s="763">
        <f>SUMIF('Balance N Retraitée'!A:A,"6583*",'Balance N Retraitée'!G:G)-SUMIF('Balance N Retraitée'!A:A,"6583*",'Balance N Retraitée'!H:H)</f>
        <v>0</v>
      </c>
      <c r="D57" s="761">
        <f>SUMIF('Balance N-1 Retraitée'!A:A,"6583*",'Balance N-1 Retraitée'!G:G)-SUMIF('Balance N-1 Retraitée'!A:A,"6583*",'Balance N-1 Retraitée'!H:H)</f>
        <v>0</v>
      </c>
    </row>
    <row r="58" spans="1:4" x14ac:dyDescent="0.2">
      <c r="A58" s="348"/>
      <c r="B58" s="355" t="s">
        <v>726</v>
      </c>
      <c r="C58" s="763">
        <f>SUMIF('Balance N Retraitée'!A:A,"6585*",'Balance N Retraitée'!G:G)-SUMIF('Balance N Retraitée'!A:A,"6585*",'Balance N Retraitée'!H:H)</f>
        <v>0</v>
      </c>
      <c r="D58" s="761">
        <f>SUMIF('Balance N-1 Retraitée'!A:A,"6585*",'Balance N-1 Retraitée'!G:G)-SUMIF('Balance N-1 Retraitée'!A:A,"6585*",'Balance N-1 Retraitée'!H:H)</f>
        <v>0</v>
      </c>
    </row>
    <row r="59" spans="1:4" x14ac:dyDescent="0.2">
      <c r="A59" s="348"/>
      <c r="B59" s="355" t="s">
        <v>727</v>
      </c>
      <c r="C59" s="763">
        <f>ROUND(SUMIF('Balance N Retraitée'!A:A,"658*",'Balance N Retraitée'!G:G)-SUMIF('Balance N Retraitée'!A:A,"658*",'Balance N Retraitée'!H:H)-SUM(C55:C58),2)</f>
        <v>0</v>
      </c>
      <c r="D59" s="761">
        <f>SUMIF('Balance N-1 Retraitée'!A:A,"658*",'Balance N-1 Retraitée'!G:G)-SUMIF('Balance N-1 Retraitée'!A:A,"658*",'Balance N-1 Retraitée'!H:H)-SUM(D55:D58)</f>
        <v>0</v>
      </c>
    </row>
    <row r="60" spans="1:4" x14ac:dyDescent="0.2">
      <c r="A60" s="357"/>
      <c r="B60" s="358" t="s">
        <v>558</v>
      </c>
      <c r="C60" s="769">
        <f>SUM(C55:C59)</f>
        <v>0</v>
      </c>
      <c r="D60" s="769">
        <f>SUM(D55:D59)</f>
        <v>0</v>
      </c>
    </row>
    <row r="61" spans="1:4" x14ac:dyDescent="0.2">
      <c r="C61" s="770"/>
      <c r="D61" s="771"/>
    </row>
    <row r="62" spans="1:4" x14ac:dyDescent="0.2">
      <c r="C62" s="770"/>
      <c r="D62" s="771"/>
    </row>
    <row r="63" spans="1:4" x14ac:dyDescent="0.2">
      <c r="A63" s="360" t="s">
        <v>728</v>
      </c>
      <c r="C63" s="771"/>
      <c r="D63" s="771"/>
    </row>
    <row r="64" spans="1:4" s="362" customFormat="1" ht="15.75" x14ac:dyDescent="0.25">
      <c r="A64" s="338" t="s">
        <v>653</v>
      </c>
      <c r="B64" s="361"/>
      <c r="C64" s="772"/>
      <c r="D64" s="772"/>
    </row>
    <row r="65" spans="1:4" ht="12.75" x14ac:dyDescent="0.2">
      <c r="C65" s="773"/>
      <c r="D65" s="16"/>
    </row>
    <row r="66" spans="1:4" s="365" customFormat="1" ht="24" x14ac:dyDescent="0.2">
      <c r="A66" s="363" t="s">
        <v>654</v>
      </c>
      <c r="B66" s="364"/>
      <c r="C66" s="774" t="s">
        <v>313</v>
      </c>
      <c r="D66" s="774" t="s">
        <v>314</v>
      </c>
    </row>
    <row r="67" spans="1:4" x14ac:dyDescent="0.2">
      <c r="A67" s="348"/>
      <c r="B67" s="354" t="s">
        <v>731</v>
      </c>
      <c r="C67" s="761"/>
      <c r="D67" s="761"/>
    </row>
    <row r="68" spans="1:4" x14ac:dyDescent="0.2">
      <c r="A68" s="348">
        <v>711</v>
      </c>
      <c r="B68" s="354" t="s">
        <v>732</v>
      </c>
      <c r="C68" s="761"/>
      <c r="D68" s="761"/>
    </row>
    <row r="69" spans="1:4" x14ac:dyDescent="0.2">
      <c r="A69" s="348"/>
      <c r="B69" s="355" t="s">
        <v>733</v>
      </c>
      <c r="C69" s="763">
        <f>SUMIF('Balance N Retraitée'!A:A,"7111*",'Balance N Retraitée'!H:H)-SUMIF('Balance N Retraitée'!A:A,"7111*",'Balance N Retraitée'!G:G)</f>
        <v>0</v>
      </c>
      <c r="D69" s="761">
        <f>SUMIF('Balance N-1 Retraitée'!A:A,"7111*",'Balance N-1 Retraitée'!H:H)-SUMIF('Balance N-1 Retraitée'!A:A,"7111*",'Balance N-1 Retraitée'!G:G)</f>
        <v>0</v>
      </c>
    </row>
    <row r="70" spans="1:4" x14ac:dyDescent="0.2">
      <c r="A70" s="348"/>
      <c r="B70" s="355" t="s">
        <v>734</v>
      </c>
      <c r="C70" s="763">
        <f>SUMIF('Balance N Retraitée'!A:A,"7113*",'Balance N Retraitée'!H:H)-SUMIF('Balance N Retraitée'!A:A,"7113*",'Balance N Retraitée'!G:G)</f>
        <v>0</v>
      </c>
      <c r="D70" s="761">
        <f>SUMIF('Balance N-1 Retraitée'!A:A,"7113*",'Balance N-1 Retraitée'!H:H)-SUMIF('Balance N-1 Retraitée'!A:A,"7113*",'Balance N-1 Retraitée'!G:G)</f>
        <v>0</v>
      </c>
    </row>
    <row r="71" spans="1:4" x14ac:dyDescent="0.2">
      <c r="A71" s="348"/>
      <c r="B71" s="355" t="s">
        <v>735</v>
      </c>
      <c r="C71" s="775">
        <f>SUMIF('Balance N Retraitée'!A:A,"711*",'Balance N Retraitée'!H:H)-SUMIF('Balance N Retraitée'!A:A,"711*",'Balance N Retraitée'!G:G)-C69-C70</f>
        <v>0</v>
      </c>
      <c r="D71" s="765">
        <f>SUMIF('Balance N-1 Retraitée'!A:A,"711*",'Balance N-1 Retraitée'!H:H)-SUMIF('Balance N-1 Retraitée'!A:A,"711*",'Balance N-1 Retraitée'!G:G)-D69-D70</f>
        <v>0</v>
      </c>
    </row>
    <row r="72" spans="1:4" x14ac:dyDescent="0.2">
      <c r="A72" s="348"/>
      <c r="B72" s="353" t="s">
        <v>558</v>
      </c>
      <c r="C72" s="767">
        <f>SUM(C69:C71)</f>
        <v>0</v>
      </c>
      <c r="D72" s="767">
        <f>SUM(D69:D71)</f>
        <v>0</v>
      </c>
    </row>
    <row r="73" spans="1:4" x14ac:dyDescent="0.2">
      <c r="A73" s="348"/>
      <c r="B73" s="354"/>
      <c r="C73" s="761"/>
      <c r="D73" s="761"/>
    </row>
    <row r="74" spans="1:4" x14ac:dyDescent="0.2">
      <c r="A74" s="348">
        <v>712</v>
      </c>
      <c r="B74" s="354" t="s">
        <v>736</v>
      </c>
      <c r="C74" s="761"/>
      <c r="D74" s="761"/>
    </row>
    <row r="75" spans="1:4" x14ac:dyDescent="0.2">
      <c r="A75" s="348"/>
      <c r="B75" s="350" t="s">
        <v>737</v>
      </c>
      <c r="C75" s="763">
        <f>SUMIF('Balance N Retraitée'!A:A,"7121*",'Balance N Retraitée'!H:H)-SUMIF('Balance N Retraitée'!A:A,"7121*",'Balance N Retraitée'!G:G)</f>
        <v>0</v>
      </c>
      <c r="D75" s="761">
        <f>SUMIF('Balance N-1 Retraitée'!A:A,"7121*",'Balance N-1 Retraitée'!H:H)-SUMIF('Balance N-1 Retraitée'!A:A,"7121*",'Balance N-1 Retraitée'!G:G)</f>
        <v>0</v>
      </c>
    </row>
    <row r="76" spans="1:4" x14ac:dyDescent="0.2">
      <c r="A76" s="348"/>
      <c r="B76" s="350" t="s">
        <v>738</v>
      </c>
      <c r="C76" s="763">
        <f>SUMIF('Balance N Retraitée'!A:A,"7122*",'Balance N Retraitée'!H:H)-SUMIF('Balance N Retraitée'!A:A,"7122*",'Balance N Retraitée'!G:G)</f>
        <v>0</v>
      </c>
      <c r="D76" s="761">
        <f>SUMIF('Balance N-1 Retraitée'!A:A,"7122*",'Balance N-1 Retraitée'!H:H)-SUMIF('Balance N-1 Retraitée'!A:A,"7122*",'Balance N-1 Retraitée'!G:G)</f>
        <v>0</v>
      </c>
    </row>
    <row r="77" spans="1:4" x14ac:dyDescent="0.2">
      <c r="A77" s="348"/>
      <c r="B77" s="350" t="s">
        <v>809</v>
      </c>
      <c r="C77" s="763">
        <f>SUMIF('Balance N Retraitée'!A:A,"7124*",'Balance N Retraitée'!H:H)-SUMIF('Balance N Retraitée'!A:A,"7124*",'Balance N Retraitée'!G:G)</f>
        <v>381666.67</v>
      </c>
      <c r="D77" s="761">
        <f>SUMIF('Balance N-1 Retraitée'!A:A,"7124*",'Balance N-1 Retraitée'!H:H)-SUMIF('Balance N-1 Retraitée'!A:A,"7124*",'Balance N-1 Retraitée'!G:G)</f>
        <v>0</v>
      </c>
    </row>
    <row r="78" spans="1:4" x14ac:dyDescent="0.2">
      <c r="A78" s="348"/>
      <c r="B78" s="350" t="s">
        <v>810</v>
      </c>
      <c r="C78" s="763">
        <f>SUMIF('Balance N Retraitée'!A:A,"7125*",'Balance N Retraitée'!H:H)-SUMIF('Balance N Retraitée'!A:A,"7125*",'Balance N Retraitée'!G:G)</f>
        <v>0</v>
      </c>
      <c r="D78" s="761">
        <f>SUMIF('Balance N-1 Retraitée'!A:A,"7125*",'Balance N-1 Retraitée'!H:H)-SUMIF('Balance N-1 Retraitée'!A:A,"7125*",'Balance N-1 Retraitée'!G:G)</f>
        <v>0</v>
      </c>
    </row>
    <row r="79" spans="1:4" x14ac:dyDescent="0.2">
      <c r="A79" s="348"/>
      <c r="B79" s="355" t="s">
        <v>811</v>
      </c>
      <c r="C79" s="763">
        <f>SUMIF('Balance N Retraitée'!A:A,"7126*",'Balance N Retraitée'!H:H)-SUMIF('Balance N Retraitée'!A:A,"7126*",'Balance N Retraitée'!G:G)</f>
        <v>0</v>
      </c>
      <c r="D79" s="761">
        <f>SUMIF('Balance N-1 Retraitée'!A:A,"7126*",'Balance N-1 Retraitée'!H:H)-SUMIF('Balance N-1 Retraitée'!A:A,"7126*",'Balance N-1 Retraitée'!G:G)</f>
        <v>0</v>
      </c>
    </row>
    <row r="80" spans="1:4" x14ac:dyDescent="0.2">
      <c r="A80" s="348"/>
      <c r="B80" s="355" t="s">
        <v>812</v>
      </c>
      <c r="C80" s="775">
        <f>SUMIF('Balance N Retraitée'!A:A,"712*",'Balance N Retraitée'!H:H)-SUMIF('Balance N Retraitée'!A:A,"712*",'Balance N Retraitée'!G:G)-SUM(C75:C79)</f>
        <v>0</v>
      </c>
      <c r="D80" s="765">
        <f>SUMIF('Balance N-1 Retraitée'!A:A,"712*",'Balance N-1 Retraitée'!H:H)-SUMIF('Balance N-1 Retraitée'!A:A,"712*",'Balance N-1 Retraitée'!G:G)-SUM(D75:D79)</f>
        <v>0</v>
      </c>
    </row>
    <row r="81" spans="1:4" x14ac:dyDescent="0.2">
      <c r="A81" s="348"/>
      <c r="B81" s="353" t="s">
        <v>558</v>
      </c>
      <c r="C81" s="767">
        <f>SUM(C75:C80)</f>
        <v>381666.67</v>
      </c>
      <c r="D81" s="767">
        <f>SUM(D75:D80)</f>
        <v>0</v>
      </c>
    </row>
    <row r="82" spans="1:4" x14ac:dyDescent="0.2">
      <c r="A82" s="348"/>
      <c r="B82" s="354"/>
      <c r="C82" s="761"/>
      <c r="D82" s="761"/>
    </row>
    <row r="83" spans="1:4" x14ac:dyDescent="0.2">
      <c r="A83" s="348">
        <v>713</v>
      </c>
      <c r="B83" s="354" t="s">
        <v>813</v>
      </c>
      <c r="C83" s="761"/>
      <c r="D83" s="761"/>
    </row>
    <row r="84" spans="1:4" x14ac:dyDescent="0.2">
      <c r="A84" s="348"/>
      <c r="B84" s="350" t="s">
        <v>814</v>
      </c>
      <c r="C84" s="763">
        <f>SUMIF('Balance N Retraitée'!A:A,"7132*",'Balance N Retraitée'!H:H)-SUMIF('Balance N Retraitée'!A:A,"7132*",'Balance N Retraitée'!G:G)</f>
        <v>0</v>
      </c>
      <c r="D84" s="761">
        <f>SUMIF('Balance N-1 Retraitée'!A:A,"7132*",'Balance N-1 Retraitée'!H:H)-SUMIF('Balance N-1 Retraitée'!A:A,"7132*",'Balance N-1 Retraitée'!G:G)</f>
        <v>0</v>
      </c>
    </row>
    <row r="85" spans="1:4" x14ac:dyDescent="0.2">
      <c r="A85" s="348"/>
      <c r="B85" s="350" t="s">
        <v>815</v>
      </c>
      <c r="C85" s="763">
        <f>SUMIF('Balance N Retraitée'!A:A,"7134*",'Balance N Retraitée'!H:H)-SUMIF('Balance N Retraitée'!A:A,"7134*",'Balance N Retraitée'!G:G)</f>
        <v>0</v>
      </c>
      <c r="D85" s="761">
        <f>SUMIF('Balance N-1 Retraitée'!A:A,"7134*",'Balance N-1 Retraitée'!H:H)-SUMIF('Balance N-1 Retraitée'!A:A,"7134*",'Balance N-1 Retraitée'!G:G)</f>
        <v>0</v>
      </c>
    </row>
    <row r="86" spans="1:4" x14ac:dyDescent="0.2">
      <c r="A86" s="348"/>
      <c r="B86" s="350" t="s">
        <v>816</v>
      </c>
      <c r="C86" s="763">
        <f>SUMIF('Balance N Retraitée'!A:A,"7131*",'Balance N Retraitée'!H:H)-SUMIF('Balance N Retraitée'!A:A,"7131*",'Balance N Retraitée'!G:G)</f>
        <v>0</v>
      </c>
      <c r="D86" s="761">
        <f>SUMIF('Balance N-1 Retraitée'!A:A,"7131*",'Balance N-1 Retraitée'!H:H)-SUMIF('Balance N-1 Retraitée'!A:A,"7131*",'Balance N-1 Retraitée'!G:G)</f>
        <v>0</v>
      </c>
    </row>
    <row r="87" spans="1:4" x14ac:dyDescent="0.2">
      <c r="A87" s="348"/>
      <c r="B87" s="353" t="s">
        <v>558</v>
      </c>
      <c r="C87" s="769">
        <f>SUM(C84:C86)</f>
        <v>0</v>
      </c>
      <c r="D87" s="769">
        <f>SUM(D84:D86)</f>
        <v>0</v>
      </c>
    </row>
    <row r="88" spans="1:4" x14ac:dyDescent="0.2">
      <c r="A88" s="348"/>
      <c r="B88" s="353"/>
      <c r="C88" s="768"/>
      <c r="D88" s="768"/>
    </row>
    <row r="89" spans="1:4" x14ac:dyDescent="0.2">
      <c r="A89" s="348">
        <v>718</v>
      </c>
      <c r="B89" s="349" t="s">
        <v>817</v>
      </c>
      <c r="C89" s="761"/>
      <c r="D89" s="761"/>
    </row>
    <row r="90" spans="1:4" x14ac:dyDescent="0.2">
      <c r="A90" s="348"/>
      <c r="B90" s="355" t="s">
        <v>818</v>
      </c>
      <c r="C90" s="763">
        <f>SUMIF('Balance N Retraitée'!A:A,"7181*",'Balance N Retraitée'!H:H)-SUMIF('Balance N Retraitée'!A:A,"7181*",'Balance N Retraitée'!G:G)</f>
        <v>0</v>
      </c>
      <c r="D90" s="761">
        <f>SUMIF('Balance N-1 Retraitée'!A:A,"7181*",'Balance N-1 Retraitée'!H:H)-SUMIF('Balance N-1 Retraitée'!A:A,"7181*",'Balance N-1 Retraitée'!G:G)</f>
        <v>0</v>
      </c>
    </row>
    <row r="91" spans="1:4" x14ac:dyDescent="0.2">
      <c r="A91" s="348"/>
      <c r="B91" s="355" t="s">
        <v>819</v>
      </c>
      <c r="C91" s="763">
        <f>SUMIF('Balance N Retraitée'!A:A,"718*",'Balance N Retraitée'!H:H)-SUMIF('Balance N Retraitée'!A:A,"718*",'Balance N Retraitée'!G:G)-C90</f>
        <v>0</v>
      </c>
      <c r="D91" s="761">
        <f>SUMIF('Balance N-1 Retraitée'!A:A,"718*",'Balance N-1 Retraitée'!H:H)-SUMIF('Balance N-1 Retraitée'!A:A,"718*",'Balance N-1 Retraitée'!G:G)-D90</f>
        <v>0</v>
      </c>
    </row>
    <row r="92" spans="1:4" x14ac:dyDescent="0.2">
      <c r="A92" s="348"/>
      <c r="B92" s="353" t="s">
        <v>558</v>
      </c>
      <c r="C92" s="769">
        <f>SUM(C90:C91)</f>
        <v>0</v>
      </c>
      <c r="D92" s="769">
        <f>SUM(D90:D91)</f>
        <v>0</v>
      </c>
    </row>
    <row r="93" spans="1:4" x14ac:dyDescent="0.2">
      <c r="A93" s="348"/>
      <c r="B93" s="355"/>
      <c r="C93" s="761"/>
      <c r="D93" s="761"/>
    </row>
    <row r="94" spans="1:4" x14ac:dyDescent="0.2">
      <c r="A94" s="348">
        <v>719</v>
      </c>
      <c r="B94" s="354" t="s">
        <v>820</v>
      </c>
      <c r="C94" s="761"/>
      <c r="D94" s="761"/>
    </row>
    <row r="95" spans="1:4" x14ac:dyDescent="0.2">
      <c r="A95" s="348"/>
      <c r="B95" s="355" t="s">
        <v>821</v>
      </c>
      <c r="C95" s="763">
        <f>SUMIF('Balance N Retraitée'!A:A,"719*",'Balance N Retraitée'!H:H)-SUMIF('Balance N Retraitée'!A:A,"719*",'Balance N Retraitée'!G:G)-C96</f>
        <v>0</v>
      </c>
      <c r="D95" s="761">
        <f>SUMIF('Balance N-1 Retraitée'!A:A,"719*",'Balance N-1 Retraitée'!H:H)-SUMIF('Balance N-1 Retraitée'!A:A,"719*",'Balance N-1 Retraitée'!G:G)-D96</f>
        <v>0</v>
      </c>
    </row>
    <row r="96" spans="1:4" x14ac:dyDescent="0.2">
      <c r="A96" s="348"/>
      <c r="B96" s="355" t="s">
        <v>822</v>
      </c>
      <c r="C96" s="763">
        <f>SUMIF('Balance N Retraitée'!A:A,"7197*",'Balance N Retraitée'!H:H)-SUMIF('Balance N Retraitée'!A:A,"7197*",'Balance N Retraitée'!G:G)</f>
        <v>0</v>
      </c>
      <c r="D96" s="761">
        <f>SUMIF('Balance N-1 Retraitée'!A:A,"7197*",'Balance N-1 Retraitée'!H:H)-SUMIF('Balance N-1 Retraitée'!A:A,"7197*",'Balance N-1 Retraitée'!G:G)</f>
        <v>0</v>
      </c>
    </row>
    <row r="97" spans="1:7" x14ac:dyDescent="0.2">
      <c r="A97" s="348"/>
      <c r="B97" s="353" t="s">
        <v>558</v>
      </c>
      <c r="C97" s="769">
        <f>SUM(C95:C96)</f>
        <v>0</v>
      </c>
      <c r="D97" s="769">
        <f>SUM(D95:D96)</f>
        <v>0</v>
      </c>
    </row>
    <row r="98" spans="1:7" x14ac:dyDescent="0.2">
      <c r="A98" s="348"/>
      <c r="B98" s="354"/>
      <c r="C98" s="761"/>
      <c r="D98" s="761"/>
      <c r="G98" s="337"/>
    </row>
    <row r="99" spans="1:7" x14ac:dyDescent="0.2">
      <c r="A99" s="348"/>
      <c r="B99" s="354" t="s">
        <v>470</v>
      </c>
      <c r="C99" s="761"/>
      <c r="D99" s="761"/>
    </row>
    <row r="100" spans="1:7" x14ac:dyDescent="0.2">
      <c r="A100" s="348">
        <v>738</v>
      </c>
      <c r="B100" s="354" t="s">
        <v>823</v>
      </c>
      <c r="C100" s="761"/>
      <c r="D100" s="761"/>
    </row>
    <row r="101" spans="1:7" x14ac:dyDescent="0.2">
      <c r="A101" s="348"/>
      <c r="B101" s="355" t="s">
        <v>824</v>
      </c>
      <c r="C101" s="763">
        <f>SUMIF('Balance N Retraitée'!A:A,"7381*",'Balance N Retraitée'!H:H)-SUMIF('Balance N Retraitée'!A:A,"7381*",'Balance N Retraitée'!G:G)</f>
        <v>0</v>
      </c>
      <c r="D101" s="761">
        <f>SUMIF('Balance N-1 Retraitée'!A:A,"7381*",'Balance N-1 Retraitée'!H:H)-SUMIF('Balance N-1 Retraitée'!A:A,"7381*",'Balance N-1 Retraitée'!G:G)</f>
        <v>0</v>
      </c>
    </row>
    <row r="102" spans="1:7" x14ac:dyDescent="0.2">
      <c r="A102" s="348"/>
      <c r="B102" s="355" t="s">
        <v>825</v>
      </c>
      <c r="C102" s="763">
        <f>SUMIF('Balance N Retraitée'!A:A,"7383*",'Balance N Retraitée'!H:H)-SUMIF('Balance N Retraitée'!A:A,"7383*",'Balance N Retraitée'!G:G)</f>
        <v>0</v>
      </c>
      <c r="D102" s="761">
        <f>SUMIF('Balance N-1 Retraitée'!A:A,"7383*",'Balance N-1 Retraitée'!H:H)-SUMIF('Balance N-1 Retraitée'!A:A,"7383*",'Balance N-1 Retraitée'!G:G)</f>
        <v>0</v>
      </c>
    </row>
    <row r="103" spans="1:7" x14ac:dyDescent="0.2">
      <c r="A103" s="348"/>
      <c r="B103" s="355" t="s">
        <v>826</v>
      </c>
      <c r="C103" s="763">
        <f>SUMIF('Balance N Retraitée'!A:A,"7385*",'Balance N Retraitée'!H:H)-SUMIF('Balance N Retraitée'!A:A,"7385*",'Balance N Retraitée'!G:G)</f>
        <v>0</v>
      </c>
      <c r="D103" s="761">
        <f>SUMIF('Balance N-1 Retraitée'!A:A,"7385*",'Balance N-1 Retraitée'!H:H)-SUMIF('Balance N-1 Retraitée'!A:A,"7385*",'Balance N-1 Retraitée'!G:G)</f>
        <v>0</v>
      </c>
    </row>
    <row r="104" spans="1:7" x14ac:dyDescent="0.2">
      <c r="A104" s="348"/>
      <c r="B104" s="355" t="s">
        <v>827</v>
      </c>
      <c r="C104" s="775">
        <f>SUMIF('Balance N Retraitée'!A:A,"738*",'Balance N Retraitée'!H:H)-SUMIF('Balance N Retraitée'!A:A,"738*",'Balance N Retraitée'!G:G)-C101-C102-C103</f>
        <v>0</v>
      </c>
      <c r="D104" s="765">
        <f>SUMIF('Balance N-1 Retraitée'!A:A,"738*",'Balance N-1 Retraitée'!H:H)-SUMIF('Balance N-1 Retraitée'!A:A,"738*",'Balance N-1 Retraitée'!G:G)-D101-D102-D103</f>
        <v>0</v>
      </c>
    </row>
    <row r="105" spans="1:7" x14ac:dyDescent="0.2">
      <c r="A105" s="357"/>
      <c r="B105" s="358" t="s">
        <v>558</v>
      </c>
      <c r="C105" s="767">
        <f>SUM(C101:C104)</f>
        <v>0</v>
      </c>
      <c r="D105" s="767">
        <f>SUM(D101:D104)</f>
        <v>0</v>
      </c>
    </row>
    <row r="106" spans="1:7" x14ac:dyDescent="0.2">
      <c r="B106" s="367"/>
      <c r="C106" s="368"/>
      <c r="D106" s="368"/>
    </row>
    <row r="115" spans="3:3" x14ac:dyDescent="0.2">
      <c r="C115" s="359"/>
    </row>
  </sheetData>
  <phoneticPr fontId="0" type="noConversion"/>
  <pageMargins left="0.78740157480314965" right="0.78740157480314965" top="0.98425196850393704" bottom="0.98425196850393704" header="0.51181102362204722" footer="0.51181102362204722"/>
  <pageSetup paperSize="9" scale="65" orientation="portrait" horizontalDpi="300" verticalDpi="300" r:id="rId1"/>
  <headerFooter alignWithMargins="0">
    <oddHeader>&amp;L&amp;"Times New Roman,Gras italique"&amp;12Sté : ...............................</oddHeader>
  </headerFooter>
  <rowBreaks count="1" manualBreakCount="1">
    <brk id="61" max="3" man="1"/>
  </row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7">
    <pageSetUpPr fitToPage="1"/>
  </sheetPr>
  <dimension ref="A1:K21"/>
  <sheetViews>
    <sheetView showGridLines="0" workbookViewId="0">
      <selection activeCell="M2" sqref="M2"/>
    </sheetView>
  </sheetViews>
  <sheetFormatPr baseColWidth="10" defaultColWidth="12" defaultRowHeight="12.75" x14ac:dyDescent="0.2"/>
  <cols>
    <col min="1" max="1" width="20.83203125" style="2" customWidth="1"/>
    <col min="2" max="2" width="13.5" style="2" bestFit="1" customWidth="1"/>
    <col min="3" max="3" width="12.1640625" style="2" bestFit="1" customWidth="1"/>
    <col min="4" max="4" width="16.5" style="2" bestFit="1" customWidth="1"/>
    <col min="5" max="5" width="12.1640625" style="2" bestFit="1" customWidth="1"/>
    <col min="6" max="6" width="18.5" style="2" bestFit="1" customWidth="1"/>
    <col min="7" max="7" width="18.83203125" style="2" bestFit="1" customWidth="1"/>
    <col min="8" max="9" width="14.5" style="2" customWidth="1"/>
    <col min="10" max="10" width="13.83203125" style="2" customWidth="1"/>
    <col min="11" max="11" width="14" style="2" bestFit="1" customWidth="1"/>
    <col min="12" max="16384" width="12" style="2"/>
  </cols>
  <sheetData>
    <row r="1" spans="1:11" ht="13.5" x14ac:dyDescent="0.25">
      <c r="A1" s="696" t="s">
        <v>1044</v>
      </c>
      <c r="B1" s="196"/>
      <c r="C1" s="196"/>
      <c r="D1" s="196"/>
      <c r="E1" s="196"/>
      <c r="F1" s="196"/>
      <c r="G1" s="196"/>
      <c r="H1" s="196"/>
      <c r="I1" s="196"/>
      <c r="J1" s="196"/>
      <c r="K1" s="973" t="s">
        <v>1057</v>
      </c>
    </row>
    <row r="2" spans="1:11" ht="15" x14ac:dyDescent="0.25">
      <c r="A2" s="269"/>
      <c r="B2" s="270"/>
      <c r="C2" s="244"/>
      <c r="D2" s="269"/>
      <c r="E2" s="243" t="s">
        <v>828</v>
      </c>
      <c r="F2" s="269"/>
      <c r="G2" s="244"/>
      <c r="H2" s="244"/>
      <c r="I2" s="244"/>
      <c r="J2" s="1186"/>
      <c r="K2" s="1186"/>
    </row>
    <row r="3" spans="1:11" x14ac:dyDescent="0.2">
      <c r="A3" s="241"/>
      <c r="B3" s="241"/>
      <c r="C3" s="241"/>
      <c r="D3" s="241"/>
      <c r="E3" s="241"/>
      <c r="F3" s="241"/>
      <c r="G3" s="241"/>
      <c r="H3" s="241"/>
      <c r="I3" s="241"/>
      <c r="J3" s="241"/>
      <c r="K3" s="241"/>
    </row>
    <row r="4" spans="1:11" x14ac:dyDescent="0.2">
      <c r="A4" s="241"/>
      <c r="B4" s="241"/>
      <c r="C4" s="241"/>
      <c r="D4" s="241"/>
      <c r="E4" s="241"/>
      <c r="F4" s="241"/>
      <c r="G4" s="241"/>
      <c r="H4" s="241"/>
      <c r="I4" s="241" t="str">
        <f>+'B9-Eng fin'!C8</f>
        <v>Exercice clos le :</v>
      </c>
      <c r="J4" s="271"/>
      <c r="K4" s="342" t="str">
        <f>'T5 ESG'!$G$3</f>
        <v>31/12/2022</v>
      </c>
    </row>
    <row r="5" spans="1:11" x14ac:dyDescent="0.2">
      <c r="A5" s="195"/>
      <c r="B5" s="272" t="s">
        <v>829</v>
      </c>
      <c r="C5" s="272" t="s">
        <v>830</v>
      </c>
      <c r="D5" s="272" t="s">
        <v>831</v>
      </c>
      <c r="E5" s="272" t="s">
        <v>830</v>
      </c>
      <c r="F5" s="272" t="s">
        <v>832</v>
      </c>
      <c r="G5" s="272" t="s">
        <v>833</v>
      </c>
      <c r="H5" s="1187" t="s">
        <v>131</v>
      </c>
      <c r="I5" s="1188"/>
      <c r="J5" s="272" t="s">
        <v>834</v>
      </c>
      <c r="K5" s="272"/>
    </row>
    <row r="6" spans="1:11" x14ac:dyDescent="0.2">
      <c r="A6" s="273"/>
      <c r="B6" s="274" t="s">
        <v>835</v>
      </c>
      <c r="C6" s="274" t="s">
        <v>836</v>
      </c>
      <c r="D6" s="274" t="s">
        <v>837</v>
      </c>
      <c r="E6" s="274" t="s">
        <v>838</v>
      </c>
      <c r="F6" s="274" t="s">
        <v>839</v>
      </c>
      <c r="G6" s="274" t="s">
        <v>840</v>
      </c>
      <c r="H6" s="1189" t="s">
        <v>841</v>
      </c>
      <c r="I6" s="1190"/>
      <c r="J6" s="274" t="s">
        <v>842</v>
      </c>
      <c r="K6" s="274" t="s">
        <v>843</v>
      </c>
    </row>
    <row r="7" spans="1:11" x14ac:dyDescent="0.2">
      <c r="A7" s="273" t="s">
        <v>844</v>
      </c>
      <c r="B7" s="274" t="s">
        <v>845</v>
      </c>
      <c r="C7" s="274" t="s">
        <v>846</v>
      </c>
      <c r="D7" s="274" t="s">
        <v>847</v>
      </c>
      <c r="E7" s="274" t="s">
        <v>848</v>
      </c>
      <c r="F7" s="274" t="s">
        <v>145</v>
      </c>
      <c r="G7" s="274" t="s">
        <v>849</v>
      </c>
      <c r="H7" s="274" t="s">
        <v>850</v>
      </c>
      <c r="I7" s="274" t="s">
        <v>851</v>
      </c>
      <c r="J7" s="274" t="s">
        <v>852</v>
      </c>
      <c r="K7" s="274"/>
    </row>
    <row r="8" spans="1:11" x14ac:dyDescent="0.2">
      <c r="A8" s="273"/>
      <c r="B8" s="274"/>
      <c r="C8" s="274"/>
      <c r="D8" s="274" t="s">
        <v>853</v>
      </c>
      <c r="E8" s="274" t="s">
        <v>854</v>
      </c>
      <c r="F8" s="274" t="s">
        <v>855</v>
      </c>
      <c r="G8" s="274" t="s">
        <v>856</v>
      </c>
      <c r="H8" s="274" t="s">
        <v>857</v>
      </c>
      <c r="I8" s="274" t="s">
        <v>857</v>
      </c>
      <c r="J8" s="274" t="s">
        <v>858</v>
      </c>
      <c r="K8" s="274"/>
    </row>
    <row r="9" spans="1:11" x14ac:dyDescent="0.2">
      <c r="A9" s="273"/>
      <c r="B9" s="274"/>
      <c r="C9" s="274"/>
      <c r="D9" s="274" t="s">
        <v>858</v>
      </c>
      <c r="E9" s="274" t="s">
        <v>859</v>
      </c>
      <c r="F9" s="274" t="s">
        <v>856</v>
      </c>
      <c r="G9" s="274"/>
      <c r="H9" s="274"/>
      <c r="I9" s="274"/>
      <c r="J9" s="274"/>
      <c r="K9" s="274"/>
    </row>
    <row r="10" spans="1:11" x14ac:dyDescent="0.2">
      <c r="A10" s="275">
        <v>1</v>
      </c>
      <c r="B10" s="299">
        <v>2</v>
      </c>
      <c r="C10" s="299">
        <v>3</v>
      </c>
      <c r="D10" s="299">
        <v>4</v>
      </c>
      <c r="E10" s="299">
        <v>5</v>
      </c>
      <c r="F10" s="299">
        <v>6</v>
      </c>
      <c r="G10" s="299">
        <v>7</v>
      </c>
      <c r="H10" s="299">
        <v>8</v>
      </c>
      <c r="I10" s="299">
        <v>9</v>
      </c>
      <c r="J10" s="299">
        <v>10</v>
      </c>
      <c r="K10" s="299">
        <v>11</v>
      </c>
    </row>
    <row r="11" spans="1:11" ht="29.25" customHeight="1" x14ac:dyDescent="0.2">
      <c r="A11" s="758"/>
      <c r="B11" s="863"/>
      <c r="C11" s="820"/>
      <c r="D11" s="758"/>
      <c r="E11" s="758"/>
      <c r="F11" s="758"/>
      <c r="G11" s="758"/>
      <c r="H11" s="758"/>
      <c r="I11" s="758"/>
      <c r="J11" s="758"/>
      <c r="K11" s="758"/>
    </row>
    <row r="12" spans="1:11" ht="29.25" customHeight="1" x14ac:dyDescent="0.2">
      <c r="A12" s="758"/>
      <c r="B12" s="819"/>
      <c r="C12" s="820"/>
      <c r="D12" s="758"/>
      <c r="E12" s="758"/>
      <c r="F12" s="758"/>
      <c r="G12" s="758"/>
      <c r="H12" s="758"/>
      <c r="I12" s="758"/>
      <c r="J12" s="758"/>
      <c r="K12" s="758"/>
    </row>
    <row r="13" spans="1:11" ht="29.25" customHeight="1" x14ac:dyDescent="0.2">
      <c r="A13" s="758"/>
      <c r="B13" s="819"/>
      <c r="C13" s="820"/>
      <c r="D13" s="758"/>
      <c r="E13" s="758"/>
      <c r="F13" s="758"/>
      <c r="G13" s="758"/>
      <c r="H13" s="758"/>
      <c r="I13" s="758"/>
      <c r="J13" s="758"/>
      <c r="K13" s="758"/>
    </row>
    <row r="14" spans="1:11" ht="29.25" customHeight="1" x14ac:dyDescent="0.2">
      <c r="A14" s="758"/>
      <c r="B14" s="758"/>
      <c r="C14" s="758"/>
      <c r="D14" s="758"/>
      <c r="E14" s="758"/>
      <c r="F14" s="758"/>
      <c r="G14" s="758"/>
      <c r="H14" s="758"/>
      <c r="I14" s="758"/>
      <c r="J14" s="758"/>
      <c r="K14" s="758"/>
    </row>
    <row r="15" spans="1:11" ht="29.25" customHeight="1" x14ac:dyDescent="0.2">
      <c r="A15" s="758"/>
      <c r="B15" s="758"/>
      <c r="C15" s="758"/>
      <c r="D15" s="758"/>
      <c r="E15" s="758"/>
      <c r="F15" s="758"/>
      <c r="G15" s="758"/>
      <c r="H15" s="758"/>
      <c r="I15" s="758"/>
      <c r="J15" s="758"/>
      <c r="K15" s="758"/>
    </row>
    <row r="16" spans="1:11" ht="29.25" customHeight="1" x14ac:dyDescent="0.2">
      <c r="A16" s="758"/>
      <c r="B16" s="758"/>
      <c r="C16" s="758"/>
      <c r="D16" s="758"/>
      <c r="E16" s="758"/>
      <c r="F16" s="758"/>
      <c r="G16" s="758"/>
      <c r="H16" s="758"/>
      <c r="I16" s="758"/>
      <c r="J16" s="758"/>
      <c r="K16" s="758"/>
    </row>
    <row r="17" spans="1:11" s="276" customFormat="1" ht="28.5" customHeight="1" x14ac:dyDescent="0.2">
      <c r="A17" s="776"/>
      <c r="B17" s="776"/>
      <c r="C17" s="776"/>
      <c r="D17" s="776"/>
      <c r="E17" s="776"/>
      <c r="F17" s="776">
        <f>SUM(F11:F16)</f>
        <v>0</v>
      </c>
      <c r="G17" s="776">
        <f>SUM(G11:G16)</f>
        <v>0</v>
      </c>
      <c r="H17" s="776">
        <f>SUM(H11:H16)</f>
        <v>0</v>
      </c>
      <c r="I17" s="776">
        <f>SUM(I11:I16)</f>
        <v>0</v>
      </c>
      <c r="J17" s="776">
        <f>SUM(J11:J16)</f>
        <v>0</v>
      </c>
      <c r="K17" s="776"/>
    </row>
    <row r="19" spans="1:11" x14ac:dyDescent="0.2">
      <c r="A19" s="974" t="s">
        <v>1065</v>
      </c>
      <c r="G19" s="16">
        <f>'T6 TB11'!C24</f>
        <v>0</v>
      </c>
    </row>
    <row r="21" spans="1:11" x14ac:dyDescent="0.2">
      <c r="A21" s="974" t="s">
        <v>51</v>
      </c>
      <c r="G21" s="975">
        <f>G17-G19</f>
        <v>0</v>
      </c>
    </row>
  </sheetData>
  <mergeCells count="3">
    <mergeCell ref="J2:K2"/>
    <mergeCell ref="H5:I5"/>
    <mergeCell ref="H6:I6"/>
  </mergeCells>
  <phoneticPr fontId="23" type="noConversion"/>
  <pageMargins left="0.78740157499999996" right="0.78740157499999996" top="0.984251969" bottom="0.984251969" header="0.4921259845" footer="0.4921259845"/>
  <pageSetup paperSize="9" scale="85" orientation="landscape" horizontalDpi="300" verticalDpi="300" r:id="rId1"/>
  <headerFooter alignWithMargins="0">
    <oddHeader>&amp;L&amp;"Times New Roman,Gras italique"&amp;12Sté : ...............................</oddHead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8"/>
  <dimension ref="A1:G34"/>
  <sheetViews>
    <sheetView topLeftCell="A5" workbookViewId="0">
      <selection activeCell="C12" sqref="C12"/>
    </sheetView>
  </sheetViews>
  <sheetFormatPr baseColWidth="10" defaultColWidth="12" defaultRowHeight="12.75" x14ac:dyDescent="0.2"/>
  <cols>
    <col min="1" max="1" width="46.5" style="2" bestFit="1" customWidth="1"/>
    <col min="2" max="2" width="24" style="16" customWidth="1"/>
    <col min="3" max="3" width="21.6640625" style="2" customWidth="1"/>
    <col min="4" max="4" width="21.1640625" style="2" customWidth="1"/>
    <col min="5" max="5" width="23.1640625" style="2" customWidth="1"/>
    <col min="6" max="6" width="15.6640625" style="2" bestFit="1" customWidth="1"/>
    <col min="7" max="16384" width="12" style="2"/>
  </cols>
  <sheetData>
    <row r="1" spans="1:7" ht="13.5" x14ac:dyDescent="0.25">
      <c r="A1" s="696" t="s">
        <v>1045</v>
      </c>
      <c r="B1" s="665"/>
      <c r="C1" s="4"/>
      <c r="D1" s="4"/>
      <c r="E1" s="973" t="s">
        <v>1058</v>
      </c>
    </row>
    <row r="2" spans="1:7" ht="15" x14ac:dyDescent="0.25">
      <c r="A2" s="243" t="s">
        <v>860</v>
      </c>
      <c r="B2" s="666"/>
      <c r="C2" s="244"/>
      <c r="D2" s="244"/>
      <c r="E2" s="243"/>
    </row>
    <row r="3" spans="1:7" x14ac:dyDescent="0.2">
      <c r="A3" s="4"/>
      <c r="B3" s="665"/>
      <c r="C3" s="4"/>
      <c r="D3" s="4"/>
      <c r="E3" s="4"/>
    </row>
    <row r="4" spans="1:7" x14ac:dyDescent="0.2">
      <c r="A4" s="4"/>
      <c r="B4" s="665"/>
      <c r="C4" s="4"/>
      <c r="D4" s="341" t="s">
        <v>62</v>
      </c>
      <c r="E4" s="342" t="str">
        <f>'T5 ESG'!$G$3</f>
        <v>31/12/2022</v>
      </c>
    </row>
    <row r="5" spans="1:7" x14ac:dyDescent="0.2">
      <c r="A5" s="194"/>
      <c r="B5" s="667" t="s">
        <v>861</v>
      </c>
      <c r="C5" s="194" t="s">
        <v>862</v>
      </c>
      <c r="D5" s="316" t="s">
        <v>863</v>
      </c>
      <c r="E5" s="195" t="s">
        <v>864</v>
      </c>
    </row>
    <row r="6" spans="1:7" x14ac:dyDescent="0.2">
      <c r="A6" s="317" t="s">
        <v>437</v>
      </c>
      <c r="B6" s="668" t="s">
        <v>865</v>
      </c>
      <c r="C6" s="317" t="s">
        <v>866</v>
      </c>
      <c r="D6" s="317" t="s">
        <v>867</v>
      </c>
      <c r="E6" s="273" t="s">
        <v>868</v>
      </c>
    </row>
    <row r="7" spans="1:7" x14ac:dyDescent="0.2">
      <c r="A7" s="318"/>
      <c r="B7" s="668"/>
      <c r="C7" s="317"/>
      <c r="D7" s="317" t="s">
        <v>869</v>
      </c>
      <c r="E7" s="273" t="s">
        <v>865</v>
      </c>
    </row>
    <row r="8" spans="1:7" x14ac:dyDescent="0.2">
      <c r="A8" s="319"/>
      <c r="B8" s="319">
        <v>1</v>
      </c>
      <c r="C8" s="319">
        <v>2</v>
      </c>
      <c r="D8" s="319">
        <v>3</v>
      </c>
      <c r="E8" s="275" t="s">
        <v>870</v>
      </c>
      <c r="F8" s="2" t="s">
        <v>51</v>
      </c>
    </row>
    <row r="9" spans="1:7" x14ac:dyDescent="0.2">
      <c r="A9" s="192" t="s">
        <v>871</v>
      </c>
      <c r="B9" s="669">
        <f>SUM(B11:B13)</f>
        <v>694.37</v>
      </c>
      <c r="C9" s="669">
        <f>SUM(C11:C13)</f>
        <v>1666.5</v>
      </c>
      <c r="D9" s="669">
        <f>SUM(D11:D13)</f>
        <v>0</v>
      </c>
      <c r="E9" s="669">
        <f>SUM(E10:E13)</f>
        <v>2360.87</v>
      </c>
      <c r="F9" s="16">
        <f>SUM(F11:F13)</f>
        <v>0</v>
      </c>
      <c r="G9" s="653"/>
    </row>
    <row r="10" spans="1:7" x14ac:dyDescent="0.2">
      <c r="A10" s="213"/>
      <c r="C10" s="253"/>
      <c r="D10" s="672"/>
      <c r="E10" s="253"/>
      <c r="F10" s="16"/>
      <c r="G10" s="653"/>
    </row>
    <row r="11" spans="1:7" x14ac:dyDescent="0.2">
      <c r="A11" s="250" t="s">
        <v>872</v>
      </c>
      <c r="B11" s="253">
        <f>SUMIF('Balance N-1 Retraitée'!A:A,"2811*",'Balance N-1 Retraitée'!H:H)-SUMIF('Balance N-1 Retraitée'!A:A,"2811*",'Balance N-1 Retraitée'!G:G)</f>
        <v>694.37</v>
      </c>
      <c r="C11" s="253">
        <f>SUMIF('Balance N Retraitée'!A:A,"2811*",'Balance N Retraitée'!F:F)-694.37</f>
        <v>1666.5</v>
      </c>
      <c r="D11" s="672">
        <f>SUMIF('Balance N Retraitée'!A:A,"2811*",'Balance N Retraitée'!E:E)</f>
        <v>0</v>
      </c>
      <c r="E11" s="253">
        <f>+B11+C11-D11</f>
        <v>2360.87</v>
      </c>
      <c r="F11" s="16">
        <f>SUMIF('Balance N Retraitée'!A:A,"2811*",'Balance N Retraitée'!H:H)-SUMIF('Balance N Retraitée'!A:A,"2811*",'Balance N Retraitée'!G:G)-E11</f>
        <v>0</v>
      </c>
      <c r="G11" s="653"/>
    </row>
    <row r="12" spans="1:7" x14ac:dyDescent="0.2">
      <c r="A12" s="250" t="s">
        <v>875</v>
      </c>
      <c r="B12" s="253">
        <f>SUMIF('Balance N-1 Retraitée'!A:A,"2812*",'Balance N-1 Retraitée'!H:H)-SUMIF('Balance N-1 Retraitée'!A:A,"2812*",'Balance N-1 Retraitée'!G:G)</f>
        <v>0</v>
      </c>
      <c r="C12" s="670">
        <f>SUMIF('Balance N Retraitée'!A:A,"2812*",'Balance N Retraitée'!F:F)</f>
        <v>0</v>
      </c>
      <c r="D12" s="672">
        <f>+SUMIF('Balance N Retraitée'!A:A,"2812*",'Balance N Retraitée'!E:E)</f>
        <v>0</v>
      </c>
      <c r="E12" s="253">
        <f>+B12+C12-D12</f>
        <v>0</v>
      </c>
      <c r="F12" s="16">
        <f>SUMIF('Balance N Retraitée'!A:A,"2812*",'Balance N Retraitée'!H:H)-SUMIF('Balance N Retraitée'!A:A,"2812*",'Balance N Retraitée'!G:G)-E12</f>
        <v>0</v>
      </c>
      <c r="G12" s="653"/>
    </row>
    <row r="13" spans="1:7" x14ac:dyDescent="0.2">
      <c r="A13" s="256" t="s">
        <v>876</v>
      </c>
      <c r="B13" s="253">
        <f>SUMIF('Balance N-1 Retraitée'!A:A,"2813*",'Balance N-1 Retraitée'!H:H)-SUMIF('Balance N-1 Retraitée'!A:A,"2813*",'Balance N-1 Retraitée'!G:G)</f>
        <v>0</v>
      </c>
      <c r="C13" s="253">
        <f>SUMIF('Balance N Retraitée'!A:A,"2813*",'Balance N Retraitée'!F:F)</f>
        <v>0</v>
      </c>
      <c r="D13" s="672">
        <f>+SUMIF('Balance N Retraitée'!A:A,"2813*",'Balance N Retraitée'!E:E)</f>
        <v>0</v>
      </c>
      <c r="E13" s="253">
        <f>+B13+C13-D13</f>
        <v>0</v>
      </c>
      <c r="F13" s="16">
        <f>SUMIF('Balance N Retraitée'!A:A,"2813*",'Balance N Retraitée'!H:H)-SUMIF('Balance N Retraitée'!A:A,"2813*",'Balance N Retraitée'!G:G)-E13</f>
        <v>0</v>
      </c>
      <c r="G13" s="653"/>
    </row>
    <row r="14" spans="1:7" x14ac:dyDescent="0.2">
      <c r="A14" s="256"/>
      <c r="B14" s="253"/>
      <c r="C14" s="253"/>
      <c r="D14" s="672"/>
      <c r="E14" s="253">
        <f>+B14+C14-D14</f>
        <v>0</v>
      </c>
      <c r="F14" s="16"/>
      <c r="G14" s="653"/>
    </row>
    <row r="15" spans="1:7" x14ac:dyDescent="0.2">
      <c r="A15" s="250"/>
      <c r="B15" s="253"/>
      <c r="C15" s="253"/>
      <c r="D15" s="672"/>
      <c r="E15" s="253">
        <f>SUMIF('Balance N Retraitée'!A:A,"7138*",'Balance N Retraitée'!H:H)-SUMIF('Balance N Retraitée'!A:A,"7138*",'Balance N Retraitée'!G:G)</f>
        <v>0</v>
      </c>
      <c r="F15" s="16"/>
      <c r="G15" s="653"/>
    </row>
    <row r="16" spans="1:7" x14ac:dyDescent="0.2">
      <c r="A16" s="192" t="s">
        <v>877</v>
      </c>
      <c r="B16" s="669">
        <f>SUM(B18:B21)</f>
        <v>0</v>
      </c>
      <c r="C16" s="669">
        <f>SUM(C18:C21)</f>
        <v>0</v>
      </c>
      <c r="D16" s="669">
        <f>SUM(D18:D21)</f>
        <v>0</v>
      </c>
      <c r="E16" s="669">
        <f>SUM(E18:E21)</f>
        <v>0</v>
      </c>
      <c r="F16" s="16">
        <f>SUM(F18:F21)</f>
        <v>0</v>
      </c>
      <c r="G16" s="653"/>
    </row>
    <row r="17" spans="1:7" x14ac:dyDescent="0.2">
      <c r="A17" s="250"/>
      <c r="B17" s="253"/>
      <c r="C17" s="253"/>
      <c r="D17" s="672"/>
      <c r="E17" s="253"/>
      <c r="F17" s="16"/>
      <c r="G17" s="653"/>
    </row>
    <row r="18" spans="1:7" x14ac:dyDescent="0.2">
      <c r="A18" s="250" t="s">
        <v>878</v>
      </c>
      <c r="B18" s="253">
        <f>SUMIF('Balance N-1 Retraitée'!A:A,"2821*",'Balance N-1 Retraitée'!H:H)-SUMIF('Balance N-1 Retraitée'!A:A,"2821*",'Balance N-1 Retraitée'!G:G)</f>
        <v>0</v>
      </c>
      <c r="C18" s="253">
        <f>SUMIF('Balance N Retraitée'!A:A,"2821*",'Balance N Retraitée'!F:F)</f>
        <v>0</v>
      </c>
      <c r="D18" s="672">
        <f>+SUMIF('Balance N Retraitée'!A:A,"2821*",'Balance N Retraitée'!E:E)</f>
        <v>0</v>
      </c>
      <c r="E18" s="253">
        <f>+B18+C18-D18</f>
        <v>0</v>
      </c>
      <c r="F18" s="16">
        <f>SUMIF('Balance N Retraitée'!A:A,"2821*",'Balance N Retraitée'!H:H)-SUMIF('Balance N Retraitée'!A:A,"2821*",'Balance N Retraitée'!G:G)-E18</f>
        <v>0</v>
      </c>
      <c r="G18" s="653"/>
    </row>
    <row r="19" spans="1:7" x14ac:dyDescent="0.2">
      <c r="A19" s="256" t="s">
        <v>879</v>
      </c>
      <c r="B19" s="253">
        <f>SUMIF('Balance N-1 Retraitée'!A:A,"2822*",'Balance N-1 Retraitée'!H:H)-SUMIF('Balance N-1 Retraitée'!A:A,"2822*",'Balance N-1 Retraitée'!G:G)</f>
        <v>0</v>
      </c>
      <c r="C19" s="253">
        <f>SUMIF('Balance N Retraitée'!A:A,"2822*",'Balance N Retraitée'!F:F)</f>
        <v>0</v>
      </c>
      <c r="D19" s="672">
        <f>+SUMIF('Balance N Retraitée'!A:A,"2822*",'Balance N Retraitée'!E:E)</f>
        <v>0</v>
      </c>
      <c r="E19" s="253">
        <f>+B19+C19-D19</f>
        <v>0</v>
      </c>
      <c r="F19" s="16">
        <f>SUMIF('Balance N Retraitée'!A:A,"2822*",'Balance N Retraitée'!H:H)-SUMIF('Balance N Retraitée'!A:A,"2822*",'Balance N Retraitée'!G:G)-E19</f>
        <v>0</v>
      </c>
      <c r="G19" s="653"/>
    </row>
    <row r="20" spans="1:7" x14ac:dyDescent="0.2">
      <c r="A20" s="256" t="s">
        <v>593</v>
      </c>
      <c r="B20" s="253">
        <f>SUMIF('Balance N-1 Retraitée'!A:A,"2823*",'Balance N-1 Retraitée'!H:H)-SUMIF('Balance N-1 Retraitée'!A:A,"2823*",'Balance N-1 Retraitée'!G:G)</f>
        <v>0</v>
      </c>
      <c r="C20" s="253">
        <f>SUMIF('Balance N Retraitée'!A:A,"2823*",'Balance N Retraitée'!F:F)</f>
        <v>0</v>
      </c>
      <c r="D20" s="672">
        <f>+SUMIF('Balance N Retraitée'!A:A,"2823*",'Balance N Retraitée'!E:E)</f>
        <v>0</v>
      </c>
      <c r="E20" s="253">
        <f>+B20+C20-D20</f>
        <v>0</v>
      </c>
      <c r="F20" s="16">
        <f>SUMIF('Balance N Retraitée'!A:A,"2823*",'Balance N Retraitée'!H:H)-SUMIF('Balance N Retraitée'!A:A,"2823*",'Balance N Retraitée'!G:G)-E20</f>
        <v>0</v>
      </c>
      <c r="G20" s="653"/>
    </row>
    <row r="21" spans="1:7" x14ac:dyDescent="0.2">
      <c r="A21" s="256" t="s">
        <v>880</v>
      </c>
      <c r="B21" s="253">
        <f>SUMIF('Balance N-1 Retraitée'!A:A,"2828*",'Balance N-1 Retraitée'!H:H)-SUMIF('Balance N-1 Retraitée'!A:A,"2828*",'Balance N-1 Retraitée'!G:G)</f>
        <v>0</v>
      </c>
      <c r="C21" s="671">
        <f>SUMIF('Balance N Retraitée'!A:A,"2828*",'Balance N Retraitée'!F:F)</f>
        <v>0</v>
      </c>
      <c r="D21" s="672">
        <f>+SUMIF('Balance N Retraitée'!A:A,"2828*",'Balance N Retraitée'!E:E)</f>
        <v>0</v>
      </c>
      <c r="E21" s="253">
        <f>+B21+C21-D21</f>
        <v>0</v>
      </c>
      <c r="F21" s="16">
        <f>SUMIF('Balance N Retraitée'!A:A,"2828*",'Balance N Retraitée'!H:H)-SUMIF('Balance N Retraitée'!A:A,"2828*",'Balance N Retraitée'!G:G)-E21</f>
        <v>0</v>
      </c>
      <c r="G21" s="653"/>
    </row>
    <row r="22" spans="1:7" x14ac:dyDescent="0.2">
      <c r="A22" s="250"/>
      <c r="B22" s="253"/>
      <c r="C22" s="253"/>
      <c r="D22" s="672"/>
      <c r="E22" s="253"/>
      <c r="F22" s="16"/>
      <c r="G22" s="653"/>
    </row>
    <row r="23" spans="1:7" x14ac:dyDescent="0.2">
      <c r="A23" s="964" t="s">
        <v>595</v>
      </c>
      <c r="B23" s="669">
        <f>SUM(B24:B31)</f>
        <v>0</v>
      </c>
      <c r="C23" s="669">
        <f>SUM(C24:C31)</f>
        <v>171177.26</v>
      </c>
      <c r="D23" s="669">
        <f>SUM(D24:D31)</f>
        <v>0</v>
      </c>
      <c r="E23" s="669">
        <f>SUM(E24:E31)</f>
        <v>171177.26</v>
      </c>
      <c r="F23" s="16">
        <f>SUM(F24:F31)</f>
        <v>0</v>
      </c>
      <c r="G23" s="653"/>
    </row>
    <row r="24" spans="1:7" x14ac:dyDescent="0.2">
      <c r="A24" s="250"/>
      <c r="B24" s="253"/>
      <c r="C24" s="253"/>
      <c r="D24" s="672"/>
      <c r="E24" s="253"/>
      <c r="F24" s="16"/>
      <c r="G24" s="653"/>
    </row>
    <row r="25" spans="1:7" x14ac:dyDescent="0.2">
      <c r="A25" s="256" t="s">
        <v>596</v>
      </c>
      <c r="B25" s="253">
        <f>SUMIF('Balance N-1 Retraitée'!A:A,"2831*",'Balance N-1 Retraitée'!H:H)-SUMIF('Balance N-1 Retraitée'!A:A,"2831*",'Balance N-1 Retraitée'!G:G)</f>
        <v>0</v>
      </c>
      <c r="C25" s="253">
        <f>SUMIF('Balance N Retraitée'!A:A,"2831*",'Balance N Retraitée'!F:F)</f>
        <v>0</v>
      </c>
      <c r="D25" s="672">
        <f>+SUMIF('Balance N Retraitée'!A:A,"2831*",'Balance N Retraitée'!E:E)</f>
        <v>0</v>
      </c>
      <c r="E25" s="253">
        <f t="shared" ref="E25:E30" si="0">+B25+C25-D25</f>
        <v>0</v>
      </c>
      <c r="F25" s="16">
        <f>SUMIF('Balance N Retraitée'!A:A,"2831*",'Balance N Retraitée'!H:H)-SUMIF('Balance N Retraitée'!A:A,"2831*",'Balance N Retraitée'!G:G)-E25</f>
        <v>0</v>
      </c>
      <c r="G25" s="653"/>
    </row>
    <row r="26" spans="1:7" x14ac:dyDescent="0.2">
      <c r="A26" s="256" t="s">
        <v>881</v>
      </c>
      <c r="B26" s="253">
        <f>SUMIF('Balance N-1 Retraitée'!A:A,"2832*",'Balance N-1 Retraitée'!H:H)-SUMIF('Balance N-1 Retraitée'!A:A,"2832*",'Balance N-1 Retraitée'!G:G)</f>
        <v>0</v>
      </c>
      <c r="C26" s="671">
        <f>SUMIF('Balance N Retraitée'!A:A,"2832*",'Balance N Retraitée'!F:F)</f>
        <v>1215</v>
      </c>
      <c r="D26" s="672">
        <f>+SUMIF('Balance N Retraitée'!A:A,"2832*",'Balance N Retraitée'!E:E)</f>
        <v>0</v>
      </c>
      <c r="E26" s="253">
        <f t="shared" si="0"/>
        <v>1215</v>
      </c>
      <c r="F26" s="16">
        <f>SUMIF('Balance N Retraitée'!A:A,"2832*",'Balance N Retraitée'!H:H)-SUMIF('Balance N Retraitée'!A:A,"2832*",'Balance N Retraitée'!G:G)-E26</f>
        <v>0</v>
      </c>
      <c r="G26" s="653"/>
    </row>
    <row r="27" spans="1:7" x14ac:dyDescent="0.2">
      <c r="A27" s="256" t="s">
        <v>882</v>
      </c>
      <c r="B27" s="253">
        <f>SUMIF('Balance N-1 Retraitée'!A:A,"2833*",'Balance N-1 Retraitée'!H:H)-SUMIF('Balance N-1 Retraitée'!A:A,"2833*",'Balance N-1 Retraitée'!G:G)</f>
        <v>0</v>
      </c>
      <c r="C27" s="671">
        <f>SUMIF('Balance N Retraitée'!A:A,"2833*",'Balance N Retraitée'!F:F)</f>
        <v>0</v>
      </c>
      <c r="D27" s="673">
        <f>+SUMIF('Balance N Retraitée'!A:A,"2833*",'Balance N Retraitée'!E:E)</f>
        <v>0</v>
      </c>
      <c r="E27" s="253">
        <f t="shared" si="0"/>
        <v>0</v>
      </c>
      <c r="F27" s="16">
        <f>SUMIF('Balance N Retraitée'!A:A,"2833*",'Balance N Retraitée'!H:H)-SUMIF('Balance N Retraitée'!A:A,"2833*",'Balance N Retraitée'!G:G)-E27</f>
        <v>0</v>
      </c>
      <c r="G27" s="653"/>
    </row>
    <row r="28" spans="1:7" x14ac:dyDescent="0.2">
      <c r="A28" s="256" t="s">
        <v>597</v>
      </c>
      <c r="B28" s="253">
        <f>SUMIF('Balance N-1 Retraitée'!A:A,"2834*",'Balance N-1 Retraitée'!H:H)-SUMIF('Balance N-1 Retraitée'!A:A,"2834*",'Balance N-1 Retraitée'!G:G)</f>
        <v>0</v>
      </c>
      <c r="C28" s="671">
        <f>SUMIF('Balance N Retraitée'!A:A,"2834*",'Balance N Retraitée'!F:F)</f>
        <v>169962.26</v>
      </c>
      <c r="D28" s="674">
        <f>+SUMIF('Balance N Retraitée'!A:A,"2834*",'Balance N Retraitée'!E:E)</f>
        <v>0</v>
      </c>
      <c r="E28" s="253">
        <f t="shared" si="0"/>
        <v>169962.26</v>
      </c>
      <c r="F28" s="16">
        <f>SUMIF('Balance N Retraitée'!A:A,"2834*",'Balance N Retraitée'!H:H)-SUMIF('Balance N Retraitée'!A:A,"2834*",'Balance N Retraitée'!G:G)-E28</f>
        <v>0</v>
      </c>
      <c r="G28" s="653"/>
    </row>
    <row r="29" spans="1:7" x14ac:dyDescent="0.2">
      <c r="A29" s="256" t="s">
        <v>883</v>
      </c>
      <c r="B29" s="253">
        <f>SUMIF('Balance N-1 Retraitée'!A:A,"2835*",'Balance N-1 Retraitée'!H:H)-SUMIF('Balance N-1 Retraitée'!A:A,"2835*",'Balance N-1 Retraitée'!G:G)</f>
        <v>0</v>
      </c>
      <c r="C29" s="671">
        <f>SUMIF('Balance N Retraitée'!A:A,"2835*",'Balance N Retraitée'!F:F)</f>
        <v>0</v>
      </c>
      <c r="D29" s="672">
        <f>+SUMIF('Balance N Retraitée'!A:A,"2835*",'Balance N Retraitée'!E:E)</f>
        <v>0</v>
      </c>
      <c r="E29" s="253">
        <f t="shared" si="0"/>
        <v>0</v>
      </c>
      <c r="F29" s="16">
        <f>SUMIF('Balance N Retraitée'!A:A,"2835*",'Balance N Retraitée'!H:H)-SUMIF('Balance N Retraitée'!A:A,"2835*",'Balance N Retraitée'!G:G)-E29</f>
        <v>0</v>
      </c>
      <c r="G29" s="653"/>
    </row>
    <row r="30" spans="1:7" x14ac:dyDescent="0.2">
      <c r="A30" s="256" t="s">
        <v>72</v>
      </c>
      <c r="B30" s="253">
        <f>SUMIF('Balance N-1 Retraitée'!A:A,"2838*",'Balance N-1 Retraitée'!H:H)-SUMIF('Balance N-1 Retraitée'!A:A,"2838*",'Balance N-1 Retraitée'!G:G)</f>
        <v>0</v>
      </c>
      <c r="C30" s="253">
        <f>SUMIF('Balance N Retraitée'!A:A,"2838*",'Balance N Retraitée'!F:F)</f>
        <v>0</v>
      </c>
      <c r="D30" s="672">
        <f>+SUMIF('Balance N Retraitée'!A:A,"2838*",'Balance N Retraitée'!E:E)</f>
        <v>0</v>
      </c>
      <c r="E30" s="253">
        <f t="shared" si="0"/>
        <v>0</v>
      </c>
      <c r="F30" s="16">
        <f>SUMIF('Balance N Retraitée'!A:A,"2838*",'Balance N Retraitée'!H:H)-SUMIF('Balance N Retraitée'!A:A,"2838*",'Balance N Retraitée'!G:G)-E30</f>
        <v>0</v>
      </c>
      <c r="G30" s="653"/>
    </row>
    <row r="31" spans="1:7" x14ac:dyDescent="0.2">
      <c r="A31" s="266" t="s">
        <v>884</v>
      </c>
      <c r="B31" s="659">
        <f>SUMIF('Balance N-1 Retraitée'!A:A,"2839*",'Balance N-1 Retraitée'!H:H)-SUMIF('Balance N-1 Retraitée'!A:A,"2839*",'Balance N-1 Retraitée'!G:G)</f>
        <v>0</v>
      </c>
      <c r="C31" s="659">
        <f>SUMIF('Balance N Retraitée'!A:A,"2839*",'Balance N Retraitée'!F:F)</f>
        <v>0</v>
      </c>
      <c r="D31" s="675">
        <f>+SUMIF('Balance N Retraitée'!A:A,"2839*",'Balance N Retraitée'!E:E)</f>
        <v>0</v>
      </c>
      <c r="E31" s="659">
        <f>+B31+C31-D31</f>
        <v>0</v>
      </c>
      <c r="F31" s="16">
        <f>SUMIF('Balance N Retraitée'!A:A,"2839*",'Balance N Retraitée'!H:H)-SUMIF('Balance N Retraitée'!A:A,"2839*",'Balance N Retraitée'!G:G)-E31</f>
        <v>0</v>
      </c>
      <c r="G31" s="653"/>
    </row>
    <row r="32" spans="1:7" x14ac:dyDescent="0.2">
      <c r="C32" s="306"/>
      <c r="E32" s="306"/>
    </row>
    <row r="33" spans="1:5" x14ac:dyDescent="0.2">
      <c r="A33" s="2" t="s">
        <v>558</v>
      </c>
      <c r="B33" s="16">
        <f>B9+B16+B23</f>
        <v>694.37</v>
      </c>
      <c r="C33" s="16">
        <f>C9+C16+C23</f>
        <v>172843.76</v>
      </c>
      <c r="D33" s="16">
        <f>D9+D16+D23</f>
        <v>0</v>
      </c>
      <c r="E33" s="16">
        <f>E9+E16+E23</f>
        <v>173538.13</v>
      </c>
    </row>
    <row r="34" spans="1:5" x14ac:dyDescent="0.2">
      <c r="E34" s="306"/>
    </row>
  </sheetData>
  <phoneticPr fontId="0" type="noConversion"/>
  <pageMargins left="0.78740157499999996" right="0.78740157499999996" top="0.984251969" bottom="0.984251969" header="0.4921259845" footer="0.4921259845"/>
  <pageSetup paperSize="9" scale="105" orientation="landscape" horizontalDpi="300" verticalDpi="300" r:id="rId1"/>
  <headerFooter alignWithMargins="0">
    <oddHeader>&amp;L&amp;"Times New Roman,Gras italique"&amp;12Sté : ...............................</oddHeader>
  </headerFooter>
  <ignoredErrors>
    <ignoredError sqref="E9" formula="1"/>
  </ignoredError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9"/>
  <dimension ref="A1:K36"/>
  <sheetViews>
    <sheetView workbookViewId="0">
      <selection activeCell="C8" sqref="C8"/>
    </sheetView>
  </sheetViews>
  <sheetFormatPr baseColWidth="10" defaultColWidth="12" defaultRowHeight="12.75" x14ac:dyDescent="0.2"/>
  <cols>
    <col min="1" max="1" width="23.33203125" style="2" customWidth="1"/>
    <col min="2" max="2" width="18.5" style="2" bestFit="1" customWidth="1"/>
    <col min="3" max="3" width="18.33203125" style="2" bestFit="1" customWidth="1"/>
    <col min="4" max="4" width="16.83203125" style="2" customWidth="1"/>
    <col min="5" max="5" width="18.33203125" style="2" bestFit="1" customWidth="1"/>
    <col min="6" max="6" width="14" style="2" bestFit="1" customWidth="1"/>
    <col min="7" max="7" width="16.1640625" style="2" customWidth="1"/>
    <col min="8" max="8" width="19.5" style="2" customWidth="1"/>
    <col min="9" max="9" width="19.1640625" style="2" customWidth="1"/>
    <col min="10" max="10" width="17.5" style="2" bestFit="1" customWidth="1"/>
    <col min="11" max="16384" width="12" style="2"/>
  </cols>
  <sheetData>
    <row r="1" spans="1:11" ht="13.5" x14ac:dyDescent="0.25">
      <c r="A1" s="696" t="s">
        <v>1046</v>
      </c>
      <c r="B1" s="4"/>
      <c r="C1" s="4"/>
      <c r="D1" s="4"/>
      <c r="E1" s="4"/>
      <c r="F1" s="4"/>
      <c r="G1" s="4"/>
      <c r="H1" s="9"/>
      <c r="I1" s="973" t="s">
        <v>1059</v>
      </c>
    </row>
    <row r="2" spans="1:11" ht="15" x14ac:dyDescent="0.25">
      <c r="A2" s="245"/>
      <c r="B2" s="245"/>
      <c r="C2" s="245"/>
      <c r="D2" s="77" t="s">
        <v>885</v>
      </c>
      <c r="E2" s="245"/>
      <c r="F2" s="245"/>
      <c r="G2" s="245"/>
      <c r="H2" s="245"/>
      <c r="I2" s="245"/>
    </row>
    <row r="3" spans="1:11" x14ac:dyDescent="0.2">
      <c r="A3" s="4"/>
      <c r="B3" s="4"/>
      <c r="C3" s="4"/>
      <c r="D3" s="4"/>
      <c r="E3" s="4"/>
      <c r="F3" s="4"/>
      <c r="G3" s="4" t="str">
        <f>+'T8 B2 BIS'!D4</f>
        <v>Exercice clos le :</v>
      </c>
      <c r="H3" s="4"/>
      <c r="I3" s="342" t="str">
        <f>'T5 ESG'!$G$3</f>
        <v>31/12/2022</v>
      </c>
    </row>
    <row r="4" spans="1:11" x14ac:dyDescent="0.2">
      <c r="A4" s="195" t="s">
        <v>437</v>
      </c>
      <c r="B4" s="272" t="s">
        <v>886</v>
      </c>
      <c r="C4" s="194"/>
      <c r="D4" s="296" t="s">
        <v>887</v>
      </c>
      <c r="E4" s="272"/>
      <c r="F4" s="297"/>
      <c r="G4" s="298" t="s">
        <v>888</v>
      </c>
      <c r="H4" s="249"/>
      <c r="I4" s="195" t="s">
        <v>889</v>
      </c>
    </row>
    <row r="5" spans="1:11" x14ac:dyDescent="0.2">
      <c r="A5" s="275"/>
      <c r="B5" s="299" t="s">
        <v>865</v>
      </c>
      <c r="C5" s="300" t="s">
        <v>890</v>
      </c>
      <c r="D5" s="249" t="s">
        <v>891</v>
      </c>
      <c r="E5" s="249" t="s">
        <v>892</v>
      </c>
      <c r="F5" s="261" t="s">
        <v>893</v>
      </c>
      <c r="G5" s="299" t="s">
        <v>891</v>
      </c>
      <c r="H5" s="299" t="s">
        <v>892</v>
      </c>
      <c r="I5" s="275" t="s">
        <v>865</v>
      </c>
      <c r="J5" s="414" t="s">
        <v>51</v>
      </c>
    </row>
    <row r="6" spans="1:11" x14ac:dyDescent="0.2">
      <c r="A6" s="190" t="s">
        <v>894</v>
      </c>
      <c r="B6" s="681"/>
      <c r="C6" s="682"/>
      <c r="D6" s="681"/>
      <c r="E6" s="681"/>
      <c r="F6" s="682"/>
      <c r="G6" s="681"/>
      <c r="H6" s="681"/>
      <c r="I6" s="681"/>
    </row>
    <row r="7" spans="1:11" x14ac:dyDescent="0.2">
      <c r="A7" s="190" t="s">
        <v>895</v>
      </c>
      <c r="B7" s="681"/>
      <c r="C7" s="682"/>
      <c r="D7" s="681"/>
      <c r="E7" s="681"/>
      <c r="F7" s="682"/>
      <c r="G7" s="681"/>
      <c r="H7" s="681"/>
      <c r="I7" s="681"/>
    </row>
    <row r="8" spans="1:11" x14ac:dyDescent="0.2">
      <c r="A8" s="190" t="s">
        <v>896</v>
      </c>
      <c r="B8" s="681">
        <f>SUMIF('Balance N-1 Retraitée'!A:A,"29*",'Balance N-1 Retraitée'!H:H)-SUMIF('Balance N-1 Retraitée'!A:A,"29*",'Balance N-1 Retraitée'!G:G)</f>
        <v>0</v>
      </c>
      <c r="C8" s="965"/>
      <c r="D8" s="681">
        <f>SUMIF('Balance N Retraitée'!$A:$A,"6392*",'Balance N Retraitée'!$G:$G)-SUMIF('Balance N Retraitée'!$A:$A,"6392*",'Balance N Retraitée'!$H:$H)</f>
        <v>0</v>
      </c>
      <c r="E8" s="681">
        <f>SUMIF('Balance N Retraitée'!$A:$A,"65962*",'Balance N Retraitée'!$G:$G)-SUMIF('Balance N Retraitée'!$A:$A,"65962*",'Balance N Retraitée'!$H:$H)</f>
        <v>0</v>
      </c>
      <c r="F8" s="965">
        <f>SUMIF('Balance N Retraitée'!$A:$A,"7194*",'Balance N Retraitée'!$G:$G)-SUMIF('Balance N Retraitée'!$A:$A,"7194*",'Balance N Retraitée'!$H:$H)</f>
        <v>0</v>
      </c>
      <c r="G8" s="681">
        <f>SUMIF('Balance N Retraitée'!$A:$A,"7392*",'Balance N Retraitée'!$G:$G)-SUMIF('Balance N Retraitée'!$A:$A,"7392*",'Balance N Retraitée'!$H:$H)</f>
        <v>0</v>
      </c>
      <c r="H8" s="681">
        <f>SUMIF('Balance N Retraitée'!$A:$A,"75962*",'Balance N Retraitée'!$G:$G)-SUMIF('Balance N Retraitée'!$A:$A,"75962*",'Balance N Retraitée'!$H:$H)</f>
        <v>0</v>
      </c>
      <c r="I8" s="682">
        <f>B8+SUM(C8:E8)-SUM(F8:H8)</f>
        <v>0</v>
      </c>
      <c r="J8" s="16">
        <f>SUMIF('Balance N Retraitée'!A:A,"29*",'Balance N Retraitée'!H:H)-SUMIF('Balance N Retraitée'!A:A,"29*",'Balance N Retraitée'!G:G)-I8</f>
        <v>0</v>
      </c>
      <c r="K8" s="653"/>
    </row>
    <row r="9" spans="1:11" x14ac:dyDescent="0.2">
      <c r="A9" s="190"/>
      <c r="B9" s="681"/>
      <c r="C9" s="681"/>
      <c r="D9" s="681"/>
      <c r="E9" s="681"/>
      <c r="F9" s="681"/>
      <c r="G9" s="681"/>
      <c r="H9" s="681"/>
      <c r="I9" s="682"/>
      <c r="J9" s="16"/>
      <c r="K9" s="653"/>
    </row>
    <row r="10" spans="1:11" x14ac:dyDescent="0.2">
      <c r="A10" s="190" t="s">
        <v>73</v>
      </c>
      <c r="B10" s="681">
        <f>SUMIF('Balance N-1 Retraitée'!A:A,"135*",'Balance N-1 Retraitée'!H:H)-SUMIF('Balance N-1 Retraitée'!A:A,"135*",'Balance N-1 Retraitée'!G:G)</f>
        <v>0</v>
      </c>
      <c r="C10" s="778"/>
      <c r="D10" s="779"/>
      <c r="E10" s="681">
        <f>SUMIF('Balance N Retraitée'!$A:$A,"6594*",'Balance N Retraitée'!$G:$G)-SUMIF('Balance N Retraitée'!$A:$A,"6594*",'Balance N Retraitée'!$H:$H)</f>
        <v>0</v>
      </c>
      <c r="F10" s="778"/>
      <c r="G10" s="779"/>
      <c r="H10" s="681">
        <f>SUMIF('Balance N Retraitée'!$A:$A,"7594*",'Balance N Retraitée'!$G:$G)-SUMIF('Balance N Retraitée'!$A:$A,"7594*",'Balance N Retraitée'!$H:$H)</f>
        <v>0</v>
      </c>
      <c r="I10" s="682">
        <f>B10+SUM(C10:E10)-SUM(F10:H10)</f>
        <v>0</v>
      </c>
      <c r="J10" s="16">
        <f>SUMIF('Balance N Retraitée'!A:A,"135*",'Balance N Retraitée'!H:H)-SUMIF('Balance N Retraitée'!A:A,"135*",'Balance N Retraitée'!G:G)-I10</f>
        <v>0</v>
      </c>
      <c r="K10" s="653"/>
    </row>
    <row r="11" spans="1:11" x14ac:dyDescent="0.2">
      <c r="A11" s="190" t="s">
        <v>74</v>
      </c>
      <c r="B11" s="681"/>
      <c r="C11" s="681"/>
      <c r="D11" s="681"/>
      <c r="E11" s="681"/>
      <c r="F11" s="681"/>
      <c r="G11" s="681"/>
      <c r="H11" s="681"/>
      <c r="I11" s="682"/>
      <c r="J11" s="16"/>
      <c r="K11" s="653"/>
    </row>
    <row r="12" spans="1:11" x14ac:dyDescent="0.2">
      <c r="A12" s="190"/>
      <c r="B12" s="681"/>
      <c r="C12" s="681"/>
      <c r="D12" s="681"/>
      <c r="E12" s="681"/>
      <c r="F12" s="681"/>
      <c r="G12" s="681"/>
      <c r="H12" s="681"/>
      <c r="I12" s="682"/>
      <c r="J12" s="16"/>
      <c r="K12" s="653"/>
    </row>
    <row r="13" spans="1:11" x14ac:dyDescent="0.2">
      <c r="A13" s="190" t="s">
        <v>75</v>
      </c>
      <c r="B13" s="681">
        <f>SUMIF('Balance N-1 Retraitée'!A:A,"15*",'Balance N-1 Retraitée'!H:H)-SUMIF('Balance N-1 Retraitée'!A:A,"15*",'Balance N-1 Retraitée'!G:G)</f>
        <v>0</v>
      </c>
      <c r="C13" s="965">
        <f>SUMIF('Balance N Retraitée'!$A:$A,"61955*",'Balance N Retraitée'!$G:$G)-SUMIF('Balance N Retraitée'!$A:$A,"61955*",'Balance N Retraitée'!$H:$H)</f>
        <v>0</v>
      </c>
      <c r="D13" s="681">
        <f>SUMIF('Balance N Retraitée'!$A:$A,"63935*",'Balance N Retraitée'!$G:$G)-SUMIF('Balance N Retraitée'!$A:$A,"63935*",'Balance N Retraitée'!$H:$H)</f>
        <v>0</v>
      </c>
      <c r="E13" s="681">
        <f>SUMIF('Balance N Retraitée'!$A:$A,"65955*",'Balance N Retraitée'!$G:$G)-SUMIF('Balance N Retraitée'!$A:$A,"65955*",'Balance N Retraitée'!$H:$H)</f>
        <v>0</v>
      </c>
      <c r="F13" s="965">
        <f>SUMIF('Balance N Retraitée'!$A:$A,"71955*",'Balance N Retraitée'!$G:$G)-SUMIF('Balance N Retraitée'!$A:$A,"71955*",'Balance N Retraitée'!$H:$H)</f>
        <v>0</v>
      </c>
      <c r="G13" s="681">
        <f>SUMIF('Balance N Retraitée'!$A:$A,"73935*",'Balance N Retraitée'!$G:$G)-SUMIF('Balance N Retraitée'!$A:$A,"73935*",'Balance N Retraitée'!$H:$H)</f>
        <v>0</v>
      </c>
      <c r="H13" s="681">
        <f>SUMIF('Balance N Retraitée'!$A:$A,"75955*",'Balance N Retraitée'!$G:$G)-SUMIF('Balance N Retraitée'!$A:$A,"75955*",'Balance N Retraitée'!$H:$H)</f>
        <v>0</v>
      </c>
      <c r="I13" s="682">
        <f>B13+SUM(C13:E13)-SUM(F13:H13)</f>
        <v>0</v>
      </c>
      <c r="J13" s="16">
        <f>SUMIF('Balance N Retraitée'!A:A,"15*",'Balance N Retraitée'!H:H)-SUMIF('Balance N Retraitée'!A:A,"15*",'Balance N Retraitée'!G:G)-I13</f>
        <v>0</v>
      </c>
      <c r="K13" s="653"/>
    </row>
    <row r="14" spans="1:11" x14ac:dyDescent="0.2">
      <c r="A14" s="190" t="s">
        <v>897</v>
      </c>
      <c r="B14" s="681"/>
      <c r="C14" s="681"/>
      <c r="D14" s="681"/>
      <c r="E14" s="681"/>
      <c r="F14" s="681"/>
      <c r="G14" s="681"/>
      <c r="H14" s="681"/>
      <c r="I14" s="682"/>
      <c r="J14" s="16"/>
      <c r="K14" s="653"/>
    </row>
    <row r="15" spans="1:11" x14ac:dyDescent="0.2">
      <c r="A15" s="190" t="s">
        <v>898</v>
      </c>
      <c r="B15" s="682"/>
      <c r="C15" s="681"/>
      <c r="D15" s="681"/>
      <c r="E15" s="681"/>
      <c r="F15" s="681"/>
      <c r="G15" s="681"/>
      <c r="H15" s="681"/>
      <c r="I15" s="682"/>
      <c r="J15" s="16"/>
      <c r="K15" s="653"/>
    </row>
    <row r="16" spans="1:11" x14ac:dyDescent="0.2">
      <c r="A16" s="190"/>
      <c r="B16" s="681"/>
      <c r="C16" s="682"/>
      <c r="D16" s="681"/>
      <c r="E16" s="681"/>
      <c r="F16" s="682"/>
      <c r="G16" s="681"/>
      <c r="H16" s="681"/>
      <c r="I16" s="681"/>
      <c r="J16" s="16"/>
      <c r="K16" s="653"/>
    </row>
    <row r="17" spans="1:11" s="276" customFormat="1" x14ac:dyDescent="0.2">
      <c r="A17" s="209" t="s">
        <v>899</v>
      </c>
      <c r="B17" s="227">
        <f t="shared" ref="B17:H17" si="0">SUM(B6:B16)</f>
        <v>0</v>
      </c>
      <c r="C17" s="227">
        <f t="shared" si="0"/>
        <v>0</v>
      </c>
      <c r="D17" s="227">
        <f t="shared" si="0"/>
        <v>0</v>
      </c>
      <c r="E17" s="227">
        <f t="shared" si="0"/>
        <v>0</v>
      </c>
      <c r="F17" s="227">
        <f t="shared" si="0"/>
        <v>0</v>
      </c>
      <c r="G17" s="227">
        <f t="shared" si="0"/>
        <v>0</v>
      </c>
      <c r="H17" s="227">
        <f t="shared" si="0"/>
        <v>0</v>
      </c>
      <c r="I17" s="227">
        <f>SUM(I6:I16)</f>
        <v>0</v>
      </c>
      <c r="J17" s="684">
        <f>SUM(J3:J16)</f>
        <v>0</v>
      </c>
      <c r="K17" s="653"/>
    </row>
    <row r="18" spans="1:11" x14ac:dyDescent="0.2">
      <c r="A18" s="190"/>
      <c r="B18" s="681"/>
      <c r="C18" s="682"/>
      <c r="D18" s="681"/>
      <c r="E18" s="681"/>
      <c r="F18" s="682"/>
      <c r="G18" s="681"/>
      <c r="H18" s="681"/>
      <c r="I18" s="681"/>
      <c r="J18" s="16"/>
      <c r="K18" s="653"/>
    </row>
    <row r="19" spans="1:11" x14ac:dyDescent="0.2">
      <c r="A19" s="190" t="s">
        <v>900</v>
      </c>
      <c r="B19" s="16"/>
      <c r="C19" s="682"/>
      <c r="D19" s="681"/>
      <c r="E19" s="681"/>
      <c r="F19" s="682"/>
      <c r="G19" s="681"/>
      <c r="H19" s="681"/>
      <c r="I19" s="681"/>
      <c r="J19" s="16"/>
      <c r="K19" s="653"/>
    </row>
    <row r="20" spans="1:11" x14ac:dyDescent="0.2">
      <c r="A20" s="190" t="s">
        <v>895</v>
      </c>
      <c r="B20" s="681">
        <f>SUMIF('Balance N-1 Retraitée'!A:A,"39*",'Balance N-1 Retraitée'!H:H)-SUMIF('Balance N-1 Retraitée'!A:A,"39*",'Balance N-1 Retraitée'!G:G)</f>
        <v>0</v>
      </c>
      <c r="C20" s="965">
        <f>SUMIF('Balance N Retraitée'!$A:$A,"6196*",'Balance N Retraitée'!$G:$G)-SUMIF('Balance N Retraitée'!$A:$A,"6196*",'Balance N Retraitée'!$H:$H)</f>
        <v>0</v>
      </c>
      <c r="D20" s="681">
        <f>SUMIF('Balance N Retraitée'!$A:$A,"6394*",'Balance N Retraitée'!$G:$G)-SUMIF('Balance N Retraitée'!$A:$A,"6394*",'Balance N Retraitée'!$H:$H)</f>
        <v>0</v>
      </c>
      <c r="E20" s="681">
        <f>SUMIF('Balance N Retraitée'!$A:$A,"65963*",'Balance N Retraitée'!$G:$G)-SUMIF('Balance N Retraitée'!$A:$A,"65963*",'Balance N Retraitée'!$H:$H)</f>
        <v>0</v>
      </c>
      <c r="F20" s="965">
        <f>SUMIF('Balance N Retraitée'!$A:$A,"7196*",'Balance N Retraitée'!$G:$G)-SUMIF('Balance N Retraitée'!$A:$A,"7196*",'Balance N Retraitée'!$H:$H)</f>
        <v>0</v>
      </c>
      <c r="G20" s="681">
        <f>SUMIF('Balance N Retraitée'!$A:$A,"7394*",'Balance N Retraitée'!$G:$G)-SUMIF('Balance N Retraitée'!$A:$A,"7394*",'Balance N Retraitée'!$H:$H)</f>
        <v>0</v>
      </c>
      <c r="H20" s="681">
        <f>SUMIF('Balance N Retraitée'!$A:$A,"75963*",'Balance N Retraitée'!$G:$G)-SUMIF('Balance N Retraitée'!$A:$A,"75963*",'Balance N Retraitée'!$H:$H)</f>
        <v>0</v>
      </c>
      <c r="I20" s="682">
        <f>B20+SUM(C20:E20)-SUM(F20:H20)</f>
        <v>0</v>
      </c>
      <c r="J20" s="16">
        <f>SUMIF('Balance N Retraitée'!A:A,"39*",'Balance N Retraitée'!H:H)-SUMIF('Balance N Retraitée'!A:A,"39*",'Balance N Retraitée'!G:G)-I20</f>
        <v>0</v>
      </c>
      <c r="K20" s="653"/>
    </row>
    <row r="21" spans="1:11" x14ac:dyDescent="0.2">
      <c r="A21" s="190" t="s">
        <v>901</v>
      </c>
      <c r="B21" s="681"/>
      <c r="C21" s="682"/>
      <c r="D21" s="681"/>
      <c r="E21" s="681"/>
      <c r="F21" s="682"/>
      <c r="G21" s="681"/>
      <c r="H21" s="681"/>
      <c r="I21" s="682"/>
      <c r="J21" s="16"/>
      <c r="K21" s="653"/>
    </row>
    <row r="22" spans="1:11" x14ac:dyDescent="0.2">
      <c r="A22" s="190" t="s">
        <v>902</v>
      </c>
      <c r="B22" s="681"/>
      <c r="C22" s="682"/>
      <c r="D22" s="681"/>
      <c r="E22" s="681"/>
      <c r="F22" s="682"/>
      <c r="G22" s="681"/>
      <c r="H22" s="681"/>
      <c r="I22" s="682"/>
      <c r="J22" s="16"/>
      <c r="K22" s="653"/>
    </row>
    <row r="23" spans="1:11" x14ac:dyDescent="0.2">
      <c r="A23" s="190"/>
      <c r="B23" s="681"/>
      <c r="C23" s="682"/>
      <c r="D23" s="681"/>
      <c r="E23" s="681"/>
      <c r="F23" s="682"/>
      <c r="G23" s="681"/>
      <c r="H23" s="681"/>
      <c r="I23" s="682"/>
      <c r="J23" s="16"/>
      <c r="K23" s="653"/>
    </row>
    <row r="24" spans="1:11" x14ac:dyDescent="0.2">
      <c r="A24" s="190" t="s">
        <v>903</v>
      </c>
      <c r="B24" s="681"/>
      <c r="C24" s="682"/>
      <c r="D24" s="681"/>
      <c r="E24" s="681"/>
      <c r="F24" s="682"/>
      <c r="G24" s="681"/>
      <c r="H24" s="681"/>
      <c r="I24" s="682"/>
      <c r="J24" s="16"/>
      <c r="K24" s="653"/>
    </row>
    <row r="25" spans="1:11" x14ac:dyDescent="0.2">
      <c r="A25" s="190" t="s">
        <v>904</v>
      </c>
      <c r="B25" s="681">
        <f>SUMIF('Balance N-1 Retraitée'!A:A,"45*",'Balance N-1 Retraitée'!H:H)-SUMIF('Balance N-1 Retraitée'!A:A,"45*",'Balance N-1 Retraitée'!G:G)</f>
        <v>0</v>
      </c>
      <c r="C25" s="965">
        <f>SUMIF('Balance N Retraitée'!$A:$A,"61957*",'Balance N Retraitée'!$G:$G)-SUMIF('Balance N Retraitée'!$A:$A,"61957*",'Balance N Retraitée'!$H:$H)</f>
        <v>0</v>
      </c>
      <c r="D25" s="681">
        <f>SUMIF('Balance N Retraitée'!$A:$A,"6393*",'Balance N Retraitée'!$G:$G)-SUMIF('Balance N Retraitée'!$A:$A,"6393*",'Balance N Retraitée'!$H:$H)</f>
        <v>0</v>
      </c>
      <c r="E25" s="681">
        <f>SUMIF('Balance N Retraitée'!$A:$A,"65957*",'Balance N Retraitée'!$G:$G)-SUMIF('Balance N Retraitée'!$A:$A,"65957*",'Balance N Retraitée'!$H:$H)</f>
        <v>0</v>
      </c>
      <c r="F25" s="965">
        <f>SUMIF('Balance N Retraitée'!$A:$A,"71957*",'Balance N Retraitée'!$G:$G)-SUMIF('Balance N Retraitée'!$A:$A,"71957*",'Balance N Retraitée'!$H:$H)</f>
        <v>0</v>
      </c>
      <c r="G25" s="681">
        <f>SUMIF('Balance N Retraitée'!$A:$A,"7393*",'Balance N Retraitée'!$H:$H)-SUMIF('Balance N Retraitée'!$A:$A,"7393*",'Balance N Retraitée'!$G:$G)</f>
        <v>0</v>
      </c>
      <c r="H25" s="681">
        <f>SUMIF('Balance N Retraitée'!$A:$A,"75957*",'Balance N Retraitée'!$G:$G)-SUMIF('Balance N Retraitée'!$A:$A,"75957*",'Balance N Retraitée'!$H:$H)</f>
        <v>0</v>
      </c>
      <c r="I25" s="682">
        <f>B25+SUM(C25:E25)-SUM(F25:H25)</f>
        <v>0</v>
      </c>
      <c r="J25" s="16">
        <f>SUMIF('Balance N Retraitée'!A:A,"45*",'Balance N Retraitée'!H:H)-SUMIF('Balance N Retraitée'!A:A,"45*",'Balance N Retraitée'!G:G)-I25</f>
        <v>0</v>
      </c>
      <c r="K25" s="653"/>
    </row>
    <row r="26" spans="1:11" x14ac:dyDescent="0.2">
      <c r="A26" s="301" t="s">
        <v>905</v>
      </c>
      <c r="B26" s="681"/>
      <c r="C26" s="670"/>
      <c r="D26" s="681"/>
      <c r="E26" s="681"/>
      <c r="F26" s="670"/>
      <c r="G26" s="681"/>
      <c r="H26" s="681"/>
      <c r="I26" s="682"/>
      <c r="J26" s="16"/>
      <c r="K26" s="653"/>
    </row>
    <row r="27" spans="1:11" x14ac:dyDescent="0.2">
      <c r="A27" s="190"/>
      <c r="B27" s="681"/>
      <c r="C27" s="682"/>
      <c r="D27" s="681"/>
      <c r="E27" s="681"/>
      <c r="F27" s="682"/>
      <c r="G27" s="681"/>
      <c r="H27" s="681"/>
      <c r="I27" s="682"/>
      <c r="J27" s="16"/>
      <c r="K27" s="653"/>
    </row>
    <row r="28" spans="1:11" x14ac:dyDescent="0.2">
      <c r="A28" s="190" t="s">
        <v>906</v>
      </c>
      <c r="B28" s="681"/>
      <c r="C28" s="682"/>
      <c r="D28" s="681"/>
      <c r="E28" s="681"/>
      <c r="F28" s="682"/>
      <c r="G28" s="681"/>
      <c r="H28" s="681"/>
      <c r="I28" s="681"/>
      <c r="J28" s="16"/>
      <c r="K28" s="653"/>
    </row>
    <row r="29" spans="1:11" x14ac:dyDescent="0.2">
      <c r="A29" s="190" t="s">
        <v>907</v>
      </c>
      <c r="B29" s="681">
        <f>SUMIF('Balance N-1 Retraitée'!A:A,"59*",'Balance N-1 Retraitée'!H:H)-SUMIF('Balance N-1 Retraitée'!A:A,"59*",'Balance N-1 Retraitée'!G:G)</f>
        <v>0</v>
      </c>
      <c r="C29" s="779"/>
      <c r="D29" s="681">
        <f>SUMIF('Balance N Retraitée'!$A:$A,"6396*",'Balance N Retraitée'!$G:$G)-SUMIF('Balance N Retraitée'!$A:$A,"6396*",'Balance N Retraitée'!$H:$H)</f>
        <v>0</v>
      </c>
      <c r="E29" s="777"/>
      <c r="F29" s="779"/>
      <c r="G29" s="681">
        <f>SUMIF('Balance N Retraitée'!$A:$A,"7396*",'Balance N Retraitée'!$G:$G)-SUMIF('Balance N Retraitée'!$A:$A,"7396*",'Balance N Retraitée'!$H:$H)</f>
        <v>0</v>
      </c>
      <c r="H29" s="777"/>
      <c r="I29" s="682">
        <f>B29+SUM(C29:E29)-SUM(F29:H29)</f>
        <v>0</v>
      </c>
      <c r="J29" s="16">
        <f>SUMIF('Balance N Retraitée'!A:A,"59*",'Balance N Retraitée'!H:H)-SUMIF('Balance N Retraitée'!A:A,"59*",'Balance N Retraitée'!G:G)-I29</f>
        <v>0</v>
      </c>
      <c r="K29" s="653"/>
    </row>
    <row r="30" spans="1:11" x14ac:dyDescent="0.2">
      <c r="A30" s="190" t="s">
        <v>908</v>
      </c>
      <c r="B30" s="681"/>
      <c r="C30" s="682"/>
      <c r="D30" s="681"/>
      <c r="E30" s="681"/>
      <c r="F30" s="682"/>
      <c r="G30" s="681"/>
      <c r="H30" s="681"/>
      <c r="I30" s="681"/>
      <c r="J30" s="16"/>
      <c r="K30" s="653"/>
    </row>
    <row r="31" spans="1:11" x14ac:dyDescent="0.2">
      <c r="A31" s="190" t="s">
        <v>909</v>
      </c>
      <c r="B31" s="681"/>
      <c r="C31" s="682"/>
      <c r="D31" s="681"/>
      <c r="E31" s="681"/>
      <c r="F31" s="682"/>
      <c r="G31" s="681"/>
      <c r="H31" s="681"/>
      <c r="I31" s="681"/>
      <c r="J31" s="16"/>
      <c r="K31" s="653"/>
    </row>
    <row r="32" spans="1:11" s="304" customFormat="1" x14ac:dyDescent="0.2">
      <c r="A32" s="303" t="s">
        <v>910</v>
      </c>
      <c r="B32" s="683">
        <f t="shared" ref="B32:G32" si="1">SUM(B18:B31)</f>
        <v>0</v>
      </c>
      <c r="C32" s="683">
        <f t="shared" si="1"/>
        <v>0</v>
      </c>
      <c r="D32" s="683">
        <f t="shared" si="1"/>
        <v>0</v>
      </c>
      <c r="E32" s="683">
        <f t="shared" si="1"/>
        <v>0</v>
      </c>
      <c r="F32" s="683">
        <f t="shared" si="1"/>
        <v>0</v>
      </c>
      <c r="G32" s="683">
        <f t="shared" si="1"/>
        <v>0</v>
      </c>
      <c r="H32" s="683"/>
      <c r="I32" s="683">
        <f>SUM(I18:I31)</f>
        <v>0</v>
      </c>
      <c r="J32" s="685">
        <f>SUM(J18:J31)</f>
        <v>0</v>
      </c>
      <c r="K32" s="653"/>
    </row>
    <row r="33" spans="1:11" s="304" customFormat="1" x14ac:dyDescent="0.2">
      <c r="A33" s="305" t="s">
        <v>911</v>
      </c>
      <c r="B33" s="683">
        <f t="shared" ref="B33:J33" si="2">+B32+B17</f>
        <v>0</v>
      </c>
      <c r="C33" s="683">
        <f t="shared" si="2"/>
        <v>0</v>
      </c>
      <c r="D33" s="683">
        <f t="shared" si="2"/>
        <v>0</v>
      </c>
      <c r="E33" s="683">
        <f t="shared" si="2"/>
        <v>0</v>
      </c>
      <c r="F33" s="683">
        <f t="shared" si="2"/>
        <v>0</v>
      </c>
      <c r="G33" s="683">
        <f t="shared" si="2"/>
        <v>0</v>
      </c>
      <c r="H33" s="683">
        <f t="shared" si="2"/>
        <v>0</v>
      </c>
      <c r="I33" s="683">
        <f t="shared" si="2"/>
        <v>0</v>
      </c>
      <c r="J33" s="685">
        <f t="shared" si="2"/>
        <v>0</v>
      </c>
      <c r="K33" s="653"/>
    </row>
    <row r="35" spans="1:11" x14ac:dyDescent="0.2">
      <c r="I35" s="306"/>
    </row>
    <row r="36" spans="1:11" x14ac:dyDescent="0.2">
      <c r="I36" s="306"/>
    </row>
  </sheetData>
  <phoneticPr fontId="0" type="noConversion"/>
  <pageMargins left="0.78740157499999996" right="0.78740157499999996" top="0.984251969" bottom="0.984251969" header="0.4921259845" footer="0.4921259845"/>
  <pageSetup paperSize="9" scale="87" orientation="landscape" horizontalDpi="300" verticalDpi="300" r:id="rId1"/>
  <headerFooter alignWithMargins="0">
    <oddHeader>&amp;L&amp;"Times New Roman,Gras italique"&amp;12Sté : ...............................</oddHead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0"/>
  <dimension ref="A1:H25"/>
  <sheetViews>
    <sheetView workbookViewId="0">
      <selection activeCell="A10" sqref="A10:G14"/>
    </sheetView>
  </sheetViews>
  <sheetFormatPr baseColWidth="10" defaultColWidth="13.33203125" defaultRowHeight="12.75" x14ac:dyDescent="0.2"/>
  <cols>
    <col min="1" max="1" width="17.83203125" style="4" customWidth="1"/>
    <col min="2" max="2" width="13.33203125" style="4" customWidth="1"/>
    <col min="3" max="3" width="19.5" style="4" customWidth="1"/>
    <col min="4" max="4" width="17.83203125" style="4" customWidth="1"/>
    <col min="5" max="5" width="20" style="4" customWidth="1"/>
    <col min="6" max="6" width="19.83203125" style="4" customWidth="1"/>
    <col min="7" max="7" width="21.6640625" style="4" customWidth="1"/>
    <col min="8" max="8" width="19.1640625" style="4" customWidth="1"/>
    <col min="9" max="16384" width="13.33203125" style="4"/>
  </cols>
  <sheetData>
    <row r="1" spans="1:8" ht="13.5" x14ac:dyDescent="0.25">
      <c r="A1" s="696" t="s">
        <v>1047</v>
      </c>
      <c r="H1" s="973" t="s">
        <v>1060</v>
      </c>
    </row>
    <row r="3" spans="1:8" x14ac:dyDescent="0.2">
      <c r="G3" s="9"/>
    </row>
    <row r="4" spans="1:8" s="245" customFormat="1" ht="15" x14ac:dyDescent="0.25">
      <c r="A4" s="243" t="s">
        <v>912</v>
      </c>
      <c r="B4" s="270"/>
      <c r="C4" s="244"/>
      <c r="D4" s="244"/>
      <c r="E4" s="244"/>
      <c r="F4" s="244"/>
      <c r="G4" s="243"/>
      <c r="H4" s="244"/>
    </row>
    <row r="5" spans="1:8" s="245" customFormat="1" ht="15" x14ac:dyDescent="0.25">
      <c r="A5" s="243" t="s">
        <v>913</v>
      </c>
      <c r="B5" s="270"/>
      <c r="C5" s="244"/>
      <c r="D5" s="244"/>
      <c r="E5" s="244"/>
      <c r="F5" s="244"/>
      <c r="G5" s="244"/>
      <c r="H5" s="244"/>
    </row>
    <row r="6" spans="1:8" s="245" customFormat="1" ht="15" x14ac:dyDescent="0.25">
      <c r="A6" s="243"/>
      <c r="B6" s="270"/>
      <c r="C6" s="244"/>
      <c r="D6" s="244"/>
      <c r="E6" s="244"/>
      <c r="F6" s="244"/>
      <c r="G6" s="244"/>
      <c r="H6" s="244"/>
    </row>
    <row r="7" spans="1:8" x14ac:dyDescent="0.2">
      <c r="G7" s="226" t="str">
        <f>+'T8 B2 BIS'!D4</f>
        <v>Exercice clos le :</v>
      </c>
      <c r="H7" s="1148" t="str">
        <f>'T5 ESG'!$G$3</f>
        <v>31/12/2022</v>
      </c>
    </row>
    <row r="8" spans="1:8" s="196" customFormat="1" ht="12" x14ac:dyDescent="0.2">
      <c r="A8" s="195" t="s">
        <v>914</v>
      </c>
      <c r="B8" s="272" t="s">
        <v>915</v>
      </c>
      <c r="C8" s="272" t="s">
        <v>916</v>
      </c>
      <c r="D8" s="272" t="s">
        <v>863</v>
      </c>
      <c r="E8" s="272" t="s">
        <v>917</v>
      </c>
      <c r="F8" s="272" t="s">
        <v>918</v>
      </c>
      <c r="G8" s="272" t="s">
        <v>919</v>
      </c>
      <c r="H8" s="272" t="s">
        <v>920</v>
      </c>
    </row>
    <row r="9" spans="1:8" s="196" customFormat="1" ht="12" x14ac:dyDescent="0.2">
      <c r="A9" s="275" t="s">
        <v>921</v>
      </c>
      <c r="B9" s="299" t="s">
        <v>922</v>
      </c>
      <c r="C9" s="299" t="s">
        <v>923</v>
      </c>
      <c r="D9" s="299" t="s">
        <v>924</v>
      </c>
      <c r="E9" s="299" t="s">
        <v>925</v>
      </c>
      <c r="F9" s="299" t="s">
        <v>926</v>
      </c>
      <c r="G9" s="299" t="s">
        <v>927</v>
      </c>
      <c r="H9" s="299" t="s">
        <v>927</v>
      </c>
    </row>
    <row r="10" spans="1:8" ht="24" customHeight="1" x14ac:dyDescent="0.2">
      <c r="A10" s="1131"/>
      <c r="B10" s="1132"/>
      <c r="C10" s="780"/>
      <c r="D10" s="848"/>
      <c r="E10" s="966"/>
      <c r="F10" s="780"/>
      <c r="G10" s="966"/>
      <c r="H10" s="966">
        <f>IF(E10&gt;F10,E10-F10,0)</f>
        <v>0</v>
      </c>
    </row>
    <row r="11" spans="1:8" ht="24" customHeight="1" x14ac:dyDescent="0.2">
      <c r="A11" s="686"/>
      <c r="B11" s="757"/>
      <c r="C11" s="777"/>
      <c r="D11" s="777"/>
      <c r="E11" s="965"/>
      <c r="F11" s="777"/>
      <c r="G11" s="965"/>
      <c r="H11" s="965">
        <f t="shared" ref="H11:H15" si="0">IF(E11&gt;F11,E11-F11,0)</f>
        <v>0</v>
      </c>
    </row>
    <row r="12" spans="1:8" ht="24" customHeight="1" x14ac:dyDescent="0.2">
      <c r="A12" s="686"/>
      <c r="B12" s="757"/>
      <c r="C12" s="777"/>
      <c r="D12" s="777"/>
      <c r="E12" s="965"/>
      <c r="F12" s="777"/>
      <c r="G12" s="965"/>
      <c r="H12" s="965">
        <f t="shared" si="0"/>
        <v>0</v>
      </c>
    </row>
    <row r="13" spans="1:8" ht="24" customHeight="1" x14ac:dyDescent="0.2">
      <c r="A13" s="686"/>
      <c r="B13" s="757"/>
      <c r="C13" s="777"/>
      <c r="D13" s="777"/>
      <c r="E13" s="965"/>
      <c r="F13" s="777"/>
      <c r="G13" s="965"/>
      <c r="H13" s="965">
        <f t="shared" si="0"/>
        <v>0</v>
      </c>
    </row>
    <row r="14" spans="1:8" ht="24" customHeight="1" x14ac:dyDescent="0.2">
      <c r="A14" s="686"/>
      <c r="B14" s="757"/>
      <c r="C14" s="777"/>
      <c r="D14" s="777"/>
      <c r="E14" s="965"/>
      <c r="F14" s="777"/>
      <c r="G14" s="965"/>
      <c r="H14" s="965">
        <f t="shared" si="0"/>
        <v>0</v>
      </c>
    </row>
    <row r="15" spans="1:8" ht="24" customHeight="1" x14ac:dyDescent="0.2">
      <c r="A15" s="686"/>
      <c r="B15" s="757"/>
      <c r="C15" s="777"/>
      <c r="D15" s="777"/>
      <c r="E15" s="965">
        <f t="shared" ref="E15" si="1">+C15-D15</f>
        <v>0</v>
      </c>
      <c r="F15" s="777"/>
      <c r="G15" s="965">
        <f t="shared" ref="G15" si="2">IF(F15&gt;E15,F15-E15,0)</f>
        <v>0</v>
      </c>
      <c r="H15" s="965">
        <f t="shared" si="0"/>
        <v>0</v>
      </c>
    </row>
    <row r="16" spans="1:8" s="11" customFormat="1" x14ac:dyDescent="0.2">
      <c r="A16" s="314" t="s">
        <v>928</v>
      </c>
      <c r="B16" s="1072">
        <f t="shared" ref="B16:H16" si="3">SUM(B10:B15)</f>
        <v>0</v>
      </c>
      <c r="C16" s="709">
        <f t="shared" si="3"/>
        <v>0</v>
      </c>
      <c r="D16" s="709">
        <f t="shared" si="3"/>
        <v>0</v>
      </c>
      <c r="E16" s="709">
        <f t="shared" si="3"/>
        <v>0</v>
      </c>
      <c r="F16" s="709">
        <f t="shared" si="3"/>
        <v>0</v>
      </c>
      <c r="G16" s="709">
        <f t="shared" si="3"/>
        <v>0</v>
      </c>
      <c r="H16" s="709">
        <f t="shared" si="3"/>
        <v>0</v>
      </c>
    </row>
    <row r="17" spans="1:8" x14ac:dyDescent="0.2">
      <c r="A17" s="71"/>
      <c r="B17" s="1073"/>
      <c r="C17" s="315"/>
      <c r="D17" s="315"/>
      <c r="E17" s="315"/>
      <c r="F17" s="315"/>
      <c r="G17" s="315"/>
      <c r="H17" s="315"/>
    </row>
    <row r="18" spans="1:8" x14ac:dyDescent="0.2">
      <c r="C18" s="216"/>
    </row>
    <row r="19" spans="1:8" x14ac:dyDescent="0.2">
      <c r="A19" s="10" t="s">
        <v>1066</v>
      </c>
      <c r="C19" s="665">
        <f>'T4 B2-immo'!F30+'T4 B2-immo'!G30</f>
        <v>0</v>
      </c>
      <c r="F19" s="216"/>
    </row>
    <row r="21" spans="1:8" x14ac:dyDescent="0.2">
      <c r="A21" s="10" t="s">
        <v>1067</v>
      </c>
      <c r="D21" s="665">
        <f>'T8 B2 BIS'!D33</f>
        <v>0</v>
      </c>
    </row>
    <row r="23" spans="1:8" x14ac:dyDescent="0.2">
      <c r="A23" s="10" t="s">
        <v>1068</v>
      </c>
      <c r="E23" s="665">
        <f>'T2 CPC'!F64</f>
        <v>0</v>
      </c>
      <c r="F23" s="665">
        <f>'T2 CPC'!F57</f>
        <v>0</v>
      </c>
    </row>
    <row r="25" spans="1:8" x14ac:dyDescent="0.2">
      <c r="A25" s="10" t="s">
        <v>51</v>
      </c>
      <c r="C25" s="977">
        <f>C16-SUM(C19:C23)</f>
        <v>0</v>
      </c>
      <c r="D25" s="977">
        <f>D16-SUM(D19:D23)</f>
        <v>0</v>
      </c>
      <c r="E25" s="977">
        <f>E16-SUM(E19:E23)</f>
        <v>0</v>
      </c>
      <c r="F25" s="977">
        <f>F16-SUM(F19:F23)</f>
        <v>0</v>
      </c>
      <c r="G25" s="867"/>
      <c r="H25" s="867"/>
    </row>
  </sheetData>
  <phoneticPr fontId="23" type="noConversion"/>
  <pageMargins left="0.78740157499999996" right="0.78740157499999996" top="0.984251969" bottom="0.984251969" header="0.4921259845" footer="0.4921259845"/>
  <pageSetup paperSize="9" scale="96" orientation="landscape" horizontalDpi="300" verticalDpi="300" r:id="rId1"/>
  <headerFooter alignWithMargins="0">
    <oddHeader>&amp;L&amp;"Times New Roman,Gras italique"&amp;12Sté : ...............................</oddHead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1"/>
  <dimension ref="A1:K21"/>
  <sheetViews>
    <sheetView workbookViewId="0">
      <selection activeCell="K3" sqref="K3"/>
    </sheetView>
  </sheetViews>
  <sheetFormatPr baseColWidth="10" defaultColWidth="13.33203125" defaultRowHeight="12.75" x14ac:dyDescent="0.2"/>
  <cols>
    <col min="1" max="1" width="18.5" style="4" customWidth="1"/>
    <col min="2" max="2" width="13.33203125" style="4" customWidth="1"/>
    <col min="3" max="3" width="16.1640625" style="4" customWidth="1"/>
    <col min="4" max="4" width="13.33203125" style="4" customWidth="1"/>
    <col min="5" max="5" width="17.83203125" style="4" customWidth="1"/>
    <col min="6" max="6" width="19" style="4" customWidth="1"/>
    <col min="7" max="7" width="13.33203125" style="4" customWidth="1"/>
    <col min="8" max="8" width="19.5" style="4" customWidth="1"/>
    <col min="9" max="9" width="16.33203125" style="4" customWidth="1"/>
    <col min="10" max="10" width="23" style="4" customWidth="1"/>
    <col min="11" max="16384" width="13.33203125" style="4"/>
  </cols>
  <sheetData>
    <row r="1" spans="1:11" ht="13.5" x14ac:dyDescent="0.25">
      <c r="A1" s="696" t="s">
        <v>1048</v>
      </c>
      <c r="J1" s="973" t="s">
        <v>1061</v>
      </c>
    </row>
    <row r="3" spans="1:11" s="245" customFormat="1" ht="15" x14ac:dyDescent="0.25">
      <c r="A3" s="243" t="s">
        <v>929</v>
      </c>
      <c r="B3" s="244"/>
      <c r="C3" s="270"/>
      <c r="D3" s="243"/>
      <c r="E3" s="243"/>
      <c r="F3" s="244"/>
      <c r="G3" s="244"/>
      <c r="H3" s="244"/>
      <c r="I3" s="243"/>
      <c r="J3" s="244"/>
    </row>
    <row r="5" spans="1:11" x14ac:dyDescent="0.2">
      <c r="H5" s="1191" t="str">
        <f>+'T8 B2 BIS'!D4</f>
        <v>Exercice clos le :</v>
      </c>
      <c r="I5" s="1191"/>
      <c r="J5" s="342" t="str">
        <f>'T5 ESG'!$G$3</f>
        <v>31/12/2022</v>
      </c>
    </row>
    <row r="6" spans="1:11" s="308" customFormat="1" ht="12" x14ac:dyDescent="0.2">
      <c r="A6" s="195" t="s">
        <v>930</v>
      </c>
      <c r="B6" s="195" t="s">
        <v>931</v>
      </c>
      <c r="C6" s="195" t="s">
        <v>932</v>
      </c>
      <c r="D6" s="195" t="s">
        <v>933</v>
      </c>
      <c r="E6" s="195" t="s">
        <v>934</v>
      </c>
      <c r="F6" s="195" t="s">
        <v>831</v>
      </c>
      <c r="G6" s="307" t="s">
        <v>935</v>
      </c>
      <c r="H6" s="307"/>
      <c r="I6" s="307"/>
      <c r="J6" s="195" t="s">
        <v>936</v>
      </c>
    </row>
    <row r="7" spans="1:11" s="308" customFormat="1" ht="12" x14ac:dyDescent="0.2">
      <c r="A7" s="273" t="s">
        <v>937</v>
      </c>
      <c r="B7" s="273" t="s">
        <v>938</v>
      </c>
      <c r="C7" s="273" t="s">
        <v>939</v>
      </c>
      <c r="D7" s="273" t="s">
        <v>940</v>
      </c>
      <c r="E7" s="309" t="s">
        <v>941</v>
      </c>
      <c r="F7" s="273" t="s">
        <v>942</v>
      </c>
      <c r="G7" s="310" t="s">
        <v>943</v>
      </c>
      <c r="H7" s="310"/>
      <c r="I7" s="310"/>
      <c r="J7" s="273" t="s">
        <v>944</v>
      </c>
    </row>
    <row r="8" spans="1:11" s="308" customFormat="1" ht="12" x14ac:dyDescent="0.2">
      <c r="A8" s="273" t="s">
        <v>945</v>
      </c>
      <c r="B8" s="273"/>
      <c r="C8" s="273"/>
      <c r="D8" s="309" t="s">
        <v>946</v>
      </c>
      <c r="E8" s="273" t="s">
        <v>947</v>
      </c>
      <c r="F8" s="273" t="s">
        <v>948</v>
      </c>
      <c r="G8" s="273" t="s">
        <v>949</v>
      </c>
      <c r="H8" s="273" t="s">
        <v>950</v>
      </c>
      <c r="I8" s="273" t="s">
        <v>951</v>
      </c>
      <c r="J8" s="273" t="s">
        <v>952</v>
      </c>
    </row>
    <row r="9" spans="1:11" s="308" customFormat="1" ht="12" x14ac:dyDescent="0.2">
      <c r="A9" s="311"/>
      <c r="B9" s="311"/>
      <c r="C9" s="311"/>
      <c r="D9" s="312" t="s">
        <v>953</v>
      </c>
      <c r="E9" s="273"/>
      <c r="F9" s="311"/>
      <c r="G9" s="273" t="s">
        <v>955</v>
      </c>
      <c r="H9" s="273" t="s">
        <v>948</v>
      </c>
      <c r="I9" s="273" t="s">
        <v>956</v>
      </c>
      <c r="J9" s="309" t="s">
        <v>957</v>
      </c>
    </row>
    <row r="10" spans="1:11" s="308" customFormat="1" ht="12" x14ac:dyDescent="0.2">
      <c r="A10" s="275"/>
      <c r="B10" s="275">
        <v>1</v>
      </c>
      <c r="C10" s="275">
        <v>2</v>
      </c>
      <c r="D10" s="275">
        <v>3</v>
      </c>
      <c r="E10" s="275">
        <v>4</v>
      </c>
      <c r="F10" s="275">
        <v>5</v>
      </c>
      <c r="G10" s="275">
        <v>6</v>
      </c>
      <c r="H10" s="275">
        <v>7</v>
      </c>
      <c r="I10" s="275">
        <v>8</v>
      </c>
      <c r="J10" s="275">
        <v>9</v>
      </c>
    </row>
    <row r="11" spans="1:11" ht="24" customHeight="1" x14ac:dyDescent="0.2">
      <c r="A11" s="686"/>
      <c r="B11" s="757"/>
      <c r="C11" s="834"/>
      <c r="D11" s="845"/>
      <c r="E11" s="846"/>
      <c r="F11" s="846"/>
      <c r="G11" s="844"/>
      <c r="H11" s="844"/>
      <c r="I11" s="844"/>
      <c r="J11" s="823"/>
    </row>
    <row r="12" spans="1:11" ht="24" customHeight="1" x14ac:dyDescent="0.2">
      <c r="A12" s="686"/>
      <c r="B12" s="757"/>
      <c r="C12" s="834"/>
      <c r="D12" s="845"/>
      <c r="E12" s="846"/>
      <c r="F12" s="846"/>
      <c r="G12" s="844"/>
      <c r="H12" s="844"/>
      <c r="I12" s="844"/>
      <c r="J12" s="777"/>
      <c r="K12" s="861"/>
    </row>
    <row r="13" spans="1:11" ht="24" customHeight="1" x14ac:dyDescent="0.2">
      <c r="A13" s="686"/>
      <c r="B13" s="757"/>
      <c r="C13" s="757"/>
      <c r="D13" s="757"/>
      <c r="E13" s="757"/>
      <c r="F13" s="757"/>
      <c r="G13" s="757"/>
      <c r="H13" s="757"/>
      <c r="I13" s="757"/>
      <c r="J13" s="757"/>
    </row>
    <row r="14" spans="1:11" ht="24" customHeight="1" x14ac:dyDescent="0.2">
      <c r="A14" s="686"/>
      <c r="B14" s="757"/>
      <c r="C14" s="757"/>
      <c r="D14" s="757"/>
      <c r="E14" s="757"/>
      <c r="F14" s="757"/>
      <c r="G14" s="757"/>
      <c r="H14" s="757"/>
      <c r="I14" s="757"/>
      <c r="J14" s="757"/>
    </row>
    <row r="15" spans="1:11" s="11" customFormat="1" x14ac:dyDescent="0.2">
      <c r="A15" s="313" t="s">
        <v>928</v>
      </c>
      <c r="B15" s="710"/>
      <c r="C15" s="710"/>
      <c r="D15" s="710"/>
      <c r="E15" s="681">
        <f>SUM(E11:E14)</f>
        <v>0</v>
      </c>
      <c r="F15" s="681">
        <f>SUM(F11:F14)</f>
        <v>0</v>
      </c>
      <c r="G15" s="710"/>
      <c r="H15" s="710"/>
      <c r="I15" s="710"/>
      <c r="J15" s="681">
        <f>SUM(J11:J14)</f>
        <v>0</v>
      </c>
    </row>
    <row r="16" spans="1:11" x14ac:dyDescent="0.2">
      <c r="A16" s="191"/>
      <c r="B16" s="73"/>
      <c r="C16" s="73"/>
      <c r="D16" s="73"/>
      <c r="E16" s="73"/>
      <c r="F16" s="73"/>
      <c r="G16" s="73"/>
      <c r="H16" s="73"/>
      <c r="I16" s="73"/>
      <c r="J16" s="73"/>
    </row>
    <row r="18" spans="1:10" x14ac:dyDescent="0.2">
      <c r="A18" s="10" t="s">
        <v>1069</v>
      </c>
      <c r="E18" s="665">
        <f>'T1 Bilan'!C28</f>
        <v>0</v>
      </c>
      <c r="F18" s="665">
        <f>'T1 Bilan'!E28</f>
        <v>0</v>
      </c>
    </row>
    <row r="19" spans="1:10" x14ac:dyDescent="0.2">
      <c r="A19" s="10" t="s">
        <v>1070</v>
      </c>
      <c r="E19" s="665"/>
      <c r="F19" s="665"/>
      <c r="J19" s="665">
        <f>'T6 TB11'!C102</f>
        <v>0</v>
      </c>
    </row>
    <row r="21" spans="1:10" x14ac:dyDescent="0.2">
      <c r="A21" s="10" t="s">
        <v>51</v>
      </c>
      <c r="E21" s="978">
        <f>E15-E18</f>
        <v>0</v>
      </c>
      <c r="F21" s="978">
        <f>F15-F18</f>
        <v>0</v>
      </c>
      <c r="J21" s="979">
        <f>J15-J19</f>
        <v>0</v>
      </c>
    </row>
  </sheetData>
  <mergeCells count="1">
    <mergeCell ref="H5:I5"/>
  </mergeCells>
  <phoneticPr fontId="23" type="noConversion"/>
  <pageMargins left="0.78740157499999996" right="0.78740157499999996" top="0.984251969" bottom="0.984251969" header="0.4921259845" footer="0.4921259845"/>
  <pageSetup paperSize="9" scale="84" orientation="landscape" horizontalDpi="300" verticalDpi="300" r:id="rId1"/>
  <headerFooter alignWithMargins="0">
    <oddHeader>&amp;L&amp;"Times New Roman,Gras italique"&amp;12Sté : ...............................</oddHead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2"/>
  <dimension ref="A1:G40"/>
  <sheetViews>
    <sheetView workbookViewId="0">
      <selection activeCell="G23" sqref="G23"/>
    </sheetView>
  </sheetViews>
  <sheetFormatPr baseColWidth="10" defaultColWidth="12" defaultRowHeight="12.75" x14ac:dyDescent="0.2"/>
  <cols>
    <col min="1" max="1" width="34.6640625" style="225" customWidth="1"/>
    <col min="2" max="2" width="29" style="225" customWidth="1"/>
    <col min="3" max="3" width="27.1640625" style="225" customWidth="1"/>
    <col min="4" max="4" width="29" style="225" customWidth="1"/>
    <col min="5" max="5" width="28.33203125" style="225" customWidth="1"/>
    <col min="6" max="6" width="15.6640625" style="674" bestFit="1" customWidth="1"/>
    <col min="7" max="7" width="13.1640625" style="225" bestFit="1" customWidth="1"/>
    <col min="8" max="16384" width="12" style="225"/>
  </cols>
  <sheetData>
    <row r="1" spans="1:7" ht="13.5" x14ac:dyDescent="0.25">
      <c r="A1" s="696" t="s">
        <v>1049</v>
      </c>
      <c r="B1" s="4"/>
      <c r="C1" s="4"/>
      <c r="D1" s="9"/>
      <c r="E1" s="973" t="s">
        <v>1062</v>
      </c>
    </row>
    <row r="2" spans="1:7" x14ac:dyDescent="0.2">
      <c r="A2" s="4"/>
      <c r="B2" s="4"/>
      <c r="C2" s="4"/>
      <c r="D2" s="4"/>
      <c r="E2" s="4"/>
    </row>
    <row r="3" spans="1:7" x14ac:dyDescent="0.2">
      <c r="A3" s="4"/>
      <c r="B3" s="4"/>
      <c r="C3" s="4"/>
      <c r="D3" s="4"/>
      <c r="E3" s="4"/>
    </row>
    <row r="4" spans="1:7" x14ac:dyDescent="0.2">
      <c r="A4" s="179" t="s">
        <v>958</v>
      </c>
      <c r="B4" s="62"/>
      <c r="C4" s="62"/>
      <c r="D4" s="62"/>
      <c r="E4" s="62"/>
    </row>
    <row r="5" spans="1:7" x14ac:dyDescent="0.2">
      <c r="A5" s="4"/>
      <c r="B5" s="4"/>
      <c r="C5" s="4"/>
      <c r="D5" s="4"/>
      <c r="E5" s="4"/>
    </row>
    <row r="6" spans="1:7" x14ac:dyDescent="0.2">
      <c r="A6" s="4"/>
      <c r="B6" s="4"/>
      <c r="C6" s="4"/>
      <c r="D6" s="226" t="str">
        <f>+'T7 CNCET B10-CB'!I4</f>
        <v>Exercice clos le :</v>
      </c>
      <c r="E6" s="342" t="str">
        <f>'T5 ESG'!$G$3</f>
        <v>31/12/2022</v>
      </c>
    </row>
    <row r="7" spans="1:7" x14ac:dyDescent="0.2">
      <c r="A7" s="184" t="s">
        <v>437</v>
      </c>
      <c r="B7" s="185" t="s">
        <v>959</v>
      </c>
      <c r="C7" s="185" t="s">
        <v>960</v>
      </c>
      <c r="D7" s="185" t="s">
        <v>162</v>
      </c>
      <c r="E7" s="185" t="s">
        <v>961</v>
      </c>
    </row>
    <row r="8" spans="1:7" x14ac:dyDescent="0.2">
      <c r="A8" s="186"/>
      <c r="B8" s="187" t="s">
        <v>957</v>
      </c>
      <c r="C8" s="187" t="s">
        <v>962</v>
      </c>
      <c r="D8" s="187" t="s">
        <v>963</v>
      </c>
      <c r="E8" s="187" t="s">
        <v>964</v>
      </c>
    </row>
    <row r="9" spans="1:7" x14ac:dyDescent="0.2">
      <c r="A9" s="186"/>
      <c r="B9" s="187"/>
      <c r="C9" s="187" t="s">
        <v>957</v>
      </c>
      <c r="D9" s="187" t="s">
        <v>957</v>
      </c>
      <c r="E9" s="187"/>
    </row>
    <row r="10" spans="1:7" x14ac:dyDescent="0.2">
      <c r="A10" s="188"/>
      <c r="B10" s="189">
        <v>1</v>
      </c>
      <c r="C10" s="189">
        <v>2</v>
      </c>
      <c r="D10" s="189">
        <v>3</v>
      </c>
      <c r="E10" s="189"/>
      <c r="F10" s="674" t="s">
        <v>51</v>
      </c>
    </row>
    <row r="11" spans="1:7" ht="15" customHeight="1" x14ac:dyDescent="0.2">
      <c r="A11" s="190"/>
      <c r="B11" s="70"/>
      <c r="C11" s="70"/>
      <c r="D11" s="212"/>
      <c r="E11" s="70"/>
    </row>
    <row r="12" spans="1:7" ht="15" customHeight="1" x14ac:dyDescent="0.2">
      <c r="A12" s="715" t="s">
        <v>965</v>
      </c>
      <c r="B12" s="711">
        <f>SUMIF('Balance N-1 Retraitée'!A:A,"4455*",'Balance N-1 Retraitée'!H:H)-SUMIF('Balance N-1 Retraitée'!A:A,"4455*",'Balance N-1 Retraitée'!G:G)</f>
        <v>0</v>
      </c>
      <c r="C12" s="967">
        <f>SUMIF('Balance N Retraitée'!A:A,"4455*",'Balance N Retraitée'!F:F)</f>
        <v>76333.33</v>
      </c>
      <c r="D12" s="967">
        <f>SUMIF('Balance N Retraitée'!A:A,"4455*",'Balance N Retraitée'!E:E)</f>
        <v>28334</v>
      </c>
      <c r="E12" s="227">
        <f>+B12+C12-D12</f>
        <v>47999.33</v>
      </c>
      <c r="F12" s="674">
        <f>SUMIF('Balance N Retraitée'!A:A,"4455*",'Balance N Retraitée'!H:H)-SUMIF('Balance N Retraitée'!A:A,"4455*",'Balance N Retraitée'!G:G)-E12</f>
        <v>0</v>
      </c>
      <c r="G12" s="680"/>
    </row>
    <row r="13" spans="1:7" ht="15" customHeight="1" x14ac:dyDescent="0.2">
      <c r="A13" s="209"/>
      <c r="B13" s="712"/>
      <c r="C13" s="968"/>
      <c r="D13" s="968"/>
      <c r="E13" s="712"/>
    </row>
    <row r="14" spans="1:7" ht="15" customHeight="1" x14ac:dyDescent="0.2">
      <c r="A14" s="715" t="s">
        <v>966</v>
      </c>
      <c r="B14" s="711">
        <f>B16+B17</f>
        <v>0</v>
      </c>
      <c r="C14" s="969">
        <f>C16+C17</f>
        <v>46860.01</v>
      </c>
      <c r="D14" s="969">
        <f>D16+D17</f>
        <v>26059.29</v>
      </c>
      <c r="E14" s="227">
        <f>+B14+C14-D14</f>
        <v>20800.72</v>
      </c>
      <c r="F14" s="674">
        <f>SUMIF('Balance N Retraitée'!A:A,"3455*",'Balance N Retraitée'!G:G)-SUMIF('Balance N Retraitée'!A:A,"3455*",'Balance N Retraitée'!H:H)-E14</f>
        <v>0</v>
      </c>
      <c r="G14" s="680"/>
    </row>
    <row r="15" spans="1:7" ht="15" customHeight="1" x14ac:dyDescent="0.2">
      <c r="A15" s="190"/>
      <c r="B15" s="681"/>
      <c r="C15" s="965"/>
      <c r="D15" s="970"/>
      <c r="E15" s="681"/>
    </row>
    <row r="16" spans="1:7" ht="15" customHeight="1" x14ac:dyDescent="0.2">
      <c r="A16" s="190" t="s">
        <v>967</v>
      </c>
      <c r="B16" s="648">
        <f>SUMIF('Balance N-1 Retraitée'!A:A,"34552*",'Balance N-1 Retraitée'!G:G)-SUMIF('Balance N-1 Retraitée'!A:A,"34552*",'Balance N-1 Retraitée'!H:H)</f>
        <v>0</v>
      </c>
      <c r="C16" s="971">
        <v>42169.66</v>
      </c>
      <c r="D16" s="971">
        <v>22567.97</v>
      </c>
      <c r="E16" s="228">
        <f>+B16+C16-D16</f>
        <v>19601.690000000002</v>
      </c>
      <c r="F16" s="674">
        <f>SUMIF('Balance N Retraitée'!A:A,"34552*",'Balance N Retraitée'!G:G)-SUMIF('Balance N Retraitée'!A:A,"34552*",'Balance N Retraitée'!H:H)-E16</f>
        <v>-19601.690000000002</v>
      </c>
      <c r="G16" s="680"/>
    </row>
    <row r="17" spans="1:7" ht="15" customHeight="1" x14ac:dyDescent="0.2">
      <c r="A17" s="190" t="s">
        <v>968</v>
      </c>
      <c r="B17" s="228">
        <f>SUMIF('Balance N-1 Retraitée'!A:A,"34551*",'Balance N-1 Retraitée'!G:G)-SUMIF('Balance N-1 Retraitée'!A:A,"34551*",'Balance N-1 Retraitée'!H:H)</f>
        <v>0</v>
      </c>
      <c r="C17" s="971">
        <v>4690.3500000000004</v>
      </c>
      <c r="D17" s="971">
        <v>3491.32</v>
      </c>
      <c r="E17" s="228">
        <f>+B17+C17-D17</f>
        <v>1199.0300000000002</v>
      </c>
      <c r="F17" s="674">
        <f>SUMIF('Balance N Retraitée'!A:A,"34551*",'Balance N Retraitée'!G:G)-SUMIF('Balance N Retraitée'!A:A,"34551*",'Balance N Retraitée'!H:H)-E17</f>
        <v>-1199.0300000000002</v>
      </c>
      <c r="G17" s="680"/>
    </row>
    <row r="18" spans="1:7" ht="15" customHeight="1" x14ac:dyDescent="0.2">
      <c r="A18" s="190"/>
      <c r="B18" s="228"/>
      <c r="C18" s="228"/>
      <c r="D18" s="228"/>
      <c r="E18" s="228"/>
      <c r="G18" s="680"/>
    </row>
    <row r="19" spans="1:7" ht="15" customHeight="1" x14ac:dyDescent="0.2">
      <c r="A19" s="715"/>
      <c r="B19" s="711"/>
      <c r="C19" s="711"/>
      <c r="D19" s="711"/>
      <c r="E19" s="227"/>
      <c r="G19" s="680"/>
    </row>
    <row r="20" spans="1:7" ht="15" customHeight="1" x14ac:dyDescent="0.2">
      <c r="A20" s="190"/>
      <c r="B20" s="716"/>
      <c r="C20" s="714"/>
      <c r="D20" s="717"/>
      <c r="E20" s="681"/>
    </row>
    <row r="21" spans="1:7" ht="15" customHeight="1" x14ac:dyDescent="0.2">
      <c r="A21" s="209" t="s">
        <v>163</v>
      </c>
      <c r="B21" s="713"/>
      <c r="C21" s="713"/>
      <c r="D21" s="713"/>
      <c r="E21" s="713"/>
    </row>
    <row r="22" spans="1:7" ht="15" customHeight="1" x14ac:dyDescent="0.2">
      <c r="A22" s="229" t="s">
        <v>969</v>
      </c>
      <c r="B22" s="714">
        <f>+B12-B14</f>
        <v>0</v>
      </c>
      <c r="C22" s="714">
        <f t="shared" ref="C22:D22" si="0">+C12-C14</f>
        <v>29473.32</v>
      </c>
      <c r="D22" s="714">
        <f t="shared" si="0"/>
        <v>2274.7099999999991</v>
      </c>
      <c r="E22" s="714">
        <f>+E12-E14-E19</f>
        <v>27198.61</v>
      </c>
    </row>
    <row r="23" spans="1:7" x14ac:dyDescent="0.2">
      <c r="A23" s="4"/>
      <c r="B23" s="4"/>
      <c r="C23" s="4"/>
      <c r="D23" s="4"/>
      <c r="E23" s="4"/>
    </row>
    <row r="24" spans="1:7" x14ac:dyDescent="0.2">
      <c r="A24" s="4"/>
      <c r="B24" s="4"/>
      <c r="C24" s="4"/>
      <c r="D24" s="4"/>
      <c r="E24" s="4"/>
    </row>
    <row r="25" spans="1:7" x14ac:dyDescent="0.2">
      <c r="B25" s="230"/>
      <c r="C25" s="230"/>
    </row>
    <row r="26" spans="1:7" x14ac:dyDescent="0.2">
      <c r="B26" s="859"/>
    </row>
    <row r="27" spans="1:7" s="990" customFormat="1" ht="31.5" x14ac:dyDescent="0.25">
      <c r="A27" s="989" t="s">
        <v>1081</v>
      </c>
      <c r="B27" s="989" t="s">
        <v>1082</v>
      </c>
      <c r="C27" s="989" t="s">
        <v>1083</v>
      </c>
      <c r="D27" s="989" t="s">
        <v>1084</v>
      </c>
      <c r="F27" s="991"/>
    </row>
    <row r="28" spans="1:7" x14ac:dyDescent="0.2">
      <c r="A28" s="985" t="s">
        <v>1085</v>
      </c>
    </row>
    <row r="29" spans="1:7" x14ac:dyDescent="0.2">
      <c r="A29" s="985" t="s">
        <v>1086</v>
      </c>
    </row>
    <row r="30" spans="1:7" x14ac:dyDescent="0.2">
      <c r="A30" s="985" t="s">
        <v>118</v>
      </c>
    </row>
    <row r="31" spans="1:7" x14ac:dyDescent="0.2">
      <c r="A31" s="985" t="s">
        <v>1087</v>
      </c>
    </row>
    <row r="32" spans="1:7" x14ac:dyDescent="0.2">
      <c r="A32" s="985" t="s">
        <v>1088</v>
      </c>
    </row>
    <row r="33" spans="1:4" x14ac:dyDescent="0.2">
      <c r="A33" s="985" t="s">
        <v>1089</v>
      </c>
    </row>
    <row r="34" spans="1:4" x14ac:dyDescent="0.2">
      <c r="A34" s="985" t="s">
        <v>1090</v>
      </c>
    </row>
    <row r="35" spans="1:4" x14ac:dyDescent="0.2">
      <c r="A35" s="985" t="s">
        <v>1091</v>
      </c>
    </row>
    <row r="36" spans="1:4" x14ac:dyDescent="0.2">
      <c r="A36" s="985" t="s">
        <v>1092</v>
      </c>
    </row>
    <row r="37" spans="1:4" x14ac:dyDescent="0.2">
      <c r="A37" s="985" t="s">
        <v>1093</v>
      </c>
    </row>
    <row r="38" spans="1:4" x14ac:dyDescent="0.2">
      <c r="A38" s="985" t="s">
        <v>1094</v>
      </c>
    </row>
    <row r="39" spans="1:4" x14ac:dyDescent="0.2">
      <c r="A39" s="985" t="s">
        <v>1095</v>
      </c>
    </row>
    <row r="40" spans="1:4" x14ac:dyDescent="0.2">
      <c r="B40" s="680">
        <f>SUM(B28:B39)</f>
        <v>0</v>
      </c>
      <c r="C40" s="680">
        <f>SUM(C28:C39)</f>
        <v>0</v>
      </c>
      <c r="D40" s="680">
        <f>SUM(D28:D39)</f>
        <v>0</v>
      </c>
    </row>
  </sheetData>
  <phoneticPr fontId="0" type="noConversion"/>
  <pageMargins left="0.78740157499999996" right="0.78740157499999996" top="0.984251969" bottom="0.984251969" header="0.4921259845" footer="0.4921259845"/>
  <pageSetup paperSize="9" scale="97" orientation="landscape" horizontalDpi="300" verticalDpi="300" r:id="rId1"/>
  <headerFooter alignWithMargins="0">
    <oddHeader>&amp;L&amp;"Times New Roman,Gras italique"&amp;12Sté : ...............................</oddHead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3"/>
  <dimension ref="A1:J25"/>
  <sheetViews>
    <sheetView workbookViewId="0">
      <selection activeCell="F29" sqref="F29"/>
    </sheetView>
  </sheetViews>
  <sheetFormatPr baseColWidth="10" defaultColWidth="13.33203125" defaultRowHeight="12.75" x14ac:dyDescent="0.2"/>
  <cols>
    <col min="1" max="1" width="23.6640625" style="10" customWidth="1"/>
    <col min="2" max="2" width="16.6640625" style="10" customWidth="1"/>
    <col min="3" max="3" width="17.33203125" style="10" customWidth="1"/>
    <col min="4" max="4" width="24.83203125" style="10" customWidth="1"/>
    <col min="5" max="5" width="15.1640625" style="10" customWidth="1"/>
    <col min="6" max="6" width="16" style="10" customWidth="1"/>
    <col min="7" max="7" width="17" style="10" customWidth="1"/>
    <col min="8" max="8" width="17.1640625" style="10" customWidth="1"/>
    <col min="9" max="9" width="17.6640625" style="10" customWidth="1"/>
    <col min="10" max="10" width="17.33203125" style="10" customWidth="1"/>
    <col min="11" max="16384" width="13.33203125" style="10"/>
  </cols>
  <sheetData>
    <row r="1" spans="1:10" ht="13.5" x14ac:dyDescent="0.25">
      <c r="A1" s="696" t="s">
        <v>1050</v>
      </c>
      <c r="B1" s="696"/>
      <c r="C1" s="696"/>
      <c r="J1" s="973" t="s">
        <v>1063</v>
      </c>
    </row>
    <row r="2" spans="1:10" x14ac:dyDescent="0.2">
      <c r="A2" s="11"/>
      <c r="B2" s="11"/>
      <c r="C2" s="11"/>
      <c r="J2" s="217"/>
    </row>
    <row r="3" spans="1:10" x14ac:dyDescent="0.2">
      <c r="A3" s="218" t="s">
        <v>970</v>
      </c>
      <c r="B3" s="218"/>
      <c r="C3" s="218"/>
      <c r="D3" s="219"/>
      <c r="E3" s="219"/>
      <c r="F3" s="219"/>
      <c r="G3" s="219"/>
      <c r="H3" s="219"/>
      <c r="I3" s="219"/>
      <c r="J3" s="219"/>
    </row>
    <row r="4" spans="1:10" s="11" customFormat="1" x14ac:dyDescent="0.2">
      <c r="A4" s="75"/>
      <c r="B4" s="179"/>
      <c r="C4" s="179"/>
      <c r="D4" s="75" t="s">
        <v>2770</v>
      </c>
      <c r="E4" s="1106">
        <v>500000</v>
      </c>
      <c r="F4" s="10"/>
      <c r="G4" s="10"/>
      <c r="H4" s="218"/>
      <c r="I4" s="218"/>
      <c r="J4" s="218"/>
    </row>
    <row r="5" spans="1:10" x14ac:dyDescent="0.2">
      <c r="H5" s="10" t="str">
        <f>+'T12 B14-TVA'!D6</f>
        <v>Exercice clos le :</v>
      </c>
      <c r="J5" s="342" t="str">
        <f>'T5 ESG'!$G$3</f>
        <v>31/12/2022</v>
      </c>
    </row>
    <row r="7" spans="1:10" x14ac:dyDescent="0.2">
      <c r="A7" s="1095" t="s">
        <v>971</v>
      </c>
      <c r="B7" s="1096"/>
      <c r="C7" s="1096"/>
      <c r="D7" s="1096"/>
      <c r="E7" s="1192" t="s">
        <v>972</v>
      </c>
      <c r="F7" s="1193"/>
      <c r="G7" s="1095" t="s">
        <v>973</v>
      </c>
      <c r="H7" s="1097" t="s">
        <v>974</v>
      </c>
      <c r="I7" s="1098"/>
      <c r="J7" s="1099"/>
    </row>
    <row r="8" spans="1:10" x14ac:dyDescent="0.2">
      <c r="A8" s="1100" t="s">
        <v>975</v>
      </c>
      <c r="B8" s="1101"/>
      <c r="C8" s="1101"/>
      <c r="D8" s="1101" t="s">
        <v>976</v>
      </c>
      <c r="E8" s="1100" t="s">
        <v>313</v>
      </c>
      <c r="F8" s="1101" t="s">
        <v>313</v>
      </c>
      <c r="G8" s="1101" t="s">
        <v>977</v>
      </c>
      <c r="H8" s="1101" t="s">
        <v>978</v>
      </c>
      <c r="I8" s="1101" t="s">
        <v>979</v>
      </c>
      <c r="J8" s="1101" t="s">
        <v>980</v>
      </c>
    </row>
    <row r="9" spans="1:10" x14ac:dyDescent="0.2">
      <c r="A9" s="1100" t="s">
        <v>981</v>
      </c>
      <c r="B9" s="1104" t="s">
        <v>2768</v>
      </c>
      <c r="C9" s="1104" t="s">
        <v>2769</v>
      </c>
      <c r="D9" s="1101"/>
      <c r="E9" s="1100" t="s">
        <v>984</v>
      </c>
      <c r="F9" s="1101" t="s">
        <v>985</v>
      </c>
      <c r="G9" s="1101" t="s">
        <v>982</v>
      </c>
      <c r="H9" s="1101"/>
      <c r="I9" s="1101"/>
      <c r="J9" s="1101"/>
    </row>
    <row r="10" spans="1:10" x14ac:dyDescent="0.2">
      <c r="A10" s="1100" t="s">
        <v>983</v>
      </c>
      <c r="B10" s="1101"/>
      <c r="C10" s="1101"/>
      <c r="D10" s="1101"/>
      <c r="E10" s="1100"/>
      <c r="F10" s="1101"/>
      <c r="G10" s="1101" t="s">
        <v>986</v>
      </c>
      <c r="H10" s="1101"/>
      <c r="I10" s="1101"/>
      <c r="J10" s="1101"/>
    </row>
    <row r="11" spans="1:10" x14ac:dyDescent="0.2">
      <c r="A11" s="1102">
        <v>1</v>
      </c>
      <c r="B11" s="1103"/>
      <c r="C11" s="1103"/>
      <c r="D11" s="1103">
        <v>2</v>
      </c>
      <c r="E11" s="1103">
        <v>3</v>
      </c>
      <c r="F11" s="1103">
        <v>4</v>
      </c>
      <c r="G11" s="1103">
        <v>5</v>
      </c>
      <c r="H11" s="1103">
        <v>6</v>
      </c>
      <c r="I11" s="1103">
        <v>7</v>
      </c>
      <c r="J11" s="1103">
        <v>8</v>
      </c>
    </row>
    <row r="12" spans="1:10" s="4" customFormat="1" x14ac:dyDescent="0.2">
      <c r="A12" s="1078"/>
      <c r="B12" s="1105"/>
      <c r="C12" s="1105"/>
      <c r="D12" s="1079"/>
      <c r="E12" s="1080"/>
      <c r="F12" s="1080"/>
      <c r="G12" s="1081"/>
      <c r="H12" s="1080"/>
      <c r="I12" s="1080"/>
      <c r="J12" s="1080"/>
    </row>
    <row r="13" spans="1:10" s="4" customFormat="1" x14ac:dyDescent="0.2">
      <c r="A13" s="1078"/>
      <c r="B13" s="1105"/>
      <c r="C13" s="1105"/>
      <c r="D13" s="1079"/>
      <c r="E13" s="1080"/>
      <c r="F13" s="1080"/>
      <c r="G13" s="1081"/>
      <c r="H13" s="1080">
        <f>+F13*G13</f>
        <v>0</v>
      </c>
      <c r="I13" s="1080">
        <f t="shared" ref="I13:J14" si="0">+H13</f>
        <v>0</v>
      </c>
      <c r="J13" s="1080">
        <f t="shared" si="0"/>
        <v>0</v>
      </c>
    </row>
    <row r="14" spans="1:10" s="4" customFormat="1" x14ac:dyDescent="0.2">
      <c r="A14" s="1078"/>
      <c r="B14" s="1105"/>
      <c r="C14" s="1105"/>
      <c r="D14" s="1079"/>
      <c r="E14" s="1080"/>
      <c r="F14" s="1080"/>
      <c r="G14" s="1081"/>
      <c r="H14" s="1080">
        <f>+F14*G14</f>
        <v>0</v>
      </c>
      <c r="I14" s="1080">
        <f t="shared" si="0"/>
        <v>0</v>
      </c>
      <c r="J14" s="1080">
        <f t="shared" si="0"/>
        <v>0</v>
      </c>
    </row>
    <row r="15" spans="1:10" s="4" customFormat="1" x14ac:dyDescent="0.2">
      <c r="A15" s="1078"/>
      <c r="B15" s="1105"/>
      <c r="C15" s="1105"/>
      <c r="D15" s="1079"/>
      <c r="E15" s="1080"/>
      <c r="F15" s="1080"/>
      <c r="G15" s="1081"/>
      <c r="H15" s="1080">
        <f t="shared" ref="H15:H17" si="1">+F15*G15</f>
        <v>0</v>
      </c>
      <c r="I15" s="1080">
        <f t="shared" ref="I15:J17" si="2">+H15</f>
        <v>0</v>
      </c>
      <c r="J15" s="1080">
        <f t="shared" si="2"/>
        <v>0</v>
      </c>
    </row>
    <row r="16" spans="1:10" s="4" customFormat="1" x14ac:dyDescent="0.2">
      <c r="A16" s="1078"/>
      <c r="B16" s="1105"/>
      <c r="C16" s="1105"/>
      <c r="D16" s="1079"/>
      <c r="E16" s="1080"/>
      <c r="F16" s="1080"/>
      <c r="G16" s="1081"/>
      <c r="H16" s="1080">
        <f t="shared" si="1"/>
        <v>0</v>
      </c>
      <c r="I16" s="1080">
        <f t="shared" si="2"/>
        <v>0</v>
      </c>
      <c r="J16" s="1080">
        <f t="shared" si="2"/>
        <v>0</v>
      </c>
    </row>
    <row r="17" spans="1:10" s="4" customFormat="1" x14ac:dyDescent="0.2">
      <c r="A17" s="1078"/>
      <c r="B17" s="1105"/>
      <c r="C17" s="1105"/>
      <c r="D17" s="1079"/>
      <c r="E17" s="1080"/>
      <c r="F17" s="1080"/>
      <c r="G17" s="1081"/>
      <c r="H17" s="1080">
        <f t="shared" si="1"/>
        <v>0</v>
      </c>
      <c r="I17" s="1080">
        <f t="shared" si="2"/>
        <v>0</v>
      </c>
      <c r="J17" s="1080">
        <f t="shared" si="2"/>
        <v>0</v>
      </c>
    </row>
    <row r="18" spans="1:10" s="11" customFormat="1" ht="29.25" customHeight="1" x14ac:dyDescent="0.2">
      <c r="A18" s="280"/>
      <c r="B18" s="224"/>
      <c r="C18" s="224"/>
      <c r="D18" s="224"/>
      <c r="E18" s="815">
        <f>SUM(E12:E17)</f>
        <v>0</v>
      </c>
      <c r="F18" s="815">
        <f>SUM(F12:F17)</f>
        <v>0</v>
      </c>
      <c r="G18" s="718"/>
      <c r="H18" s="815">
        <f>SUM(H12:H17)</f>
        <v>0</v>
      </c>
      <c r="I18" s="815">
        <f>SUM(I12:I17)</f>
        <v>0</v>
      </c>
      <c r="J18" s="815">
        <f>SUM(J12:J17)</f>
        <v>0</v>
      </c>
    </row>
    <row r="19" spans="1:10" x14ac:dyDescent="0.2">
      <c r="A19" s="10" t="s">
        <v>987</v>
      </c>
    </row>
    <row r="20" spans="1:10" x14ac:dyDescent="0.2">
      <c r="A20" s="10" t="s">
        <v>164</v>
      </c>
    </row>
    <row r="23" spans="1:10" x14ac:dyDescent="0.2">
      <c r="A23" s="10" t="s">
        <v>1069</v>
      </c>
      <c r="H23" s="980">
        <f>'T1 Bilan'!E68</f>
        <v>100000</v>
      </c>
      <c r="I23" s="980">
        <f>'T1 Bilan'!E68+'T1 Bilan'!E69</f>
        <v>100000</v>
      </c>
    </row>
    <row r="25" spans="1:10" x14ac:dyDescent="0.2">
      <c r="A25" s="10" t="s">
        <v>51</v>
      </c>
      <c r="H25" s="981">
        <f>H18-H23</f>
        <v>-100000</v>
      </c>
      <c r="I25" s="981">
        <f>I18-I23</f>
        <v>-100000</v>
      </c>
    </row>
  </sheetData>
  <mergeCells count="1">
    <mergeCell ref="E7:F7"/>
  </mergeCells>
  <phoneticPr fontId="23" type="noConversion"/>
  <pageMargins left="0.78740157499999996" right="0.78740157499999996" top="0.984251969" bottom="0.984251969" header="0.4921259845" footer="0.4921259845"/>
  <pageSetup paperSize="9" scale="96" orientation="landscape" horizontalDpi="300" verticalDpi="300" r:id="rId1"/>
  <headerFooter alignWithMargins="0">
    <oddHeader>&amp;L&amp;"Times New Roman,Gras italique"&amp;12Sté : ...............................</oddHeader>
  </headerFooter>
  <ignoredErrors>
    <ignoredError sqref="E18:F18" formulaRange="1"/>
  </ignoredError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4"/>
  <dimension ref="A1:E20"/>
  <sheetViews>
    <sheetView workbookViewId="0">
      <selection activeCell="E4" sqref="E4"/>
    </sheetView>
  </sheetViews>
  <sheetFormatPr baseColWidth="10" defaultColWidth="13.33203125" defaultRowHeight="12.75" x14ac:dyDescent="0.2"/>
  <cols>
    <col min="1" max="1" width="52" style="4" customWidth="1"/>
    <col min="2" max="2" width="20.33203125" style="4" customWidth="1"/>
    <col min="3" max="3" width="38.33203125" style="4" bestFit="1" customWidth="1"/>
    <col min="4" max="4" width="20.5" style="4" customWidth="1"/>
    <col min="5" max="5" width="14.33203125" style="4" customWidth="1"/>
    <col min="6" max="16384" width="13.33203125" style="4"/>
  </cols>
  <sheetData>
    <row r="1" spans="1:5" ht="13.5" x14ac:dyDescent="0.25">
      <c r="A1" s="696" t="s">
        <v>1051</v>
      </c>
      <c r="D1" s="973" t="s">
        <v>1064</v>
      </c>
    </row>
    <row r="2" spans="1:5" x14ac:dyDescent="0.2">
      <c r="A2" s="11"/>
    </row>
    <row r="3" spans="1:5" x14ac:dyDescent="0.2">
      <c r="A3" s="11"/>
    </row>
    <row r="4" spans="1:5" s="9" customFormat="1" x14ac:dyDescent="0.2">
      <c r="A4" s="9" t="s">
        <v>988</v>
      </c>
    </row>
    <row r="5" spans="1:5" s="9" customFormat="1" x14ac:dyDescent="0.2">
      <c r="D5" s="9" t="s">
        <v>165</v>
      </c>
    </row>
    <row r="6" spans="1:5" x14ac:dyDescent="0.2">
      <c r="C6" s="4" t="str">
        <f>+'T13 C1-rép cap'!H5</f>
        <v>Exercice clos le :</v>
      </c>
      <c r="D6" s="342" t="str">
        <f>'T5 ESG'!$G$3</f>
        <v>31/12/2022</v>
      </c>
    </row>
    <row r="7" spans="1:5" s="9" customFormat="1" ht="21.75" customHeight="1" x14ac:dyDescent="0.2">
      <c r="A7" s="206"/>
      <c r="B7" s="207" t="s">
        <v>551</v>
      </c>
      <c r="C7" s="208"/>
      <c r="D7" s="207" t="s">
        <v>551</v>
      </c>
    </row>
    <row r="8" spans="1:5" ht="21.75" customHeight="1" x14ac:dyDescent="0.2">
      <c r="A8" s="209" t="s">
        <v>989</v>
      </c>
      <c r="B8" s="70"/>
      <c r="C8" s="210" t="s">
        <v>990</v>
      </c>
      <c r="D8" s="70"/>
    </row>
    <row r="9" spans="1:5" ht="11.25" customHeight="1" x14ac:dyDescent="0.2">
      <c r="A9" s="686" t="s">
        <v>362</v>
      </c>
      <c r="B9" s="211"/>
      <c r="C9" s="212"/>
      <c r="D9" s="211"/>
    </row>
    <row r="10" spans="1:5" x14ac:dyDescent="0.2">
      <c r="A10" s="213"/>
      <c r="B10" s="211"/>
      <c r="C10" s="211" t="s">
        <v>166</v>
      </c>
      <c r="D10" s="818"/>
    </row>
    <row r="11" spans="1:5" x14ac:dyDescent="0.2">
      <c r="A11" s="190" t="s">
        <v>167</v>
      </c>
      <c r="B11" s="818"/>
      <c r="C11" s="211" t="s">
        <v>168</v>
      </c>
      <c r="D11" s="818"/>
    </row>
    <row r="12" spans="1:5" x14ac:dyDescent="0.2">
      <c r="A12" s="190" t="s">
        <v>169</v>
      </c>
      <c r="B12" s="818"/>
      <c r="C12" s="211" t="s">
        <v>170</v>
      </c>
      <c r="D12" s="818"/>
    </row>
    <row r="13" spans="1:5" x14ac:dyDescent="0.2">
      <c r="A13" s="190" t="s">
        <v>171</v>
      </c>
      <c r="B13" s="818"/>
      <c r="C13" s="211" t="s">
        <v>172</v>
      </c>
      <c r="D13" s="818"/>
    </row>
    <row r="14" spans="1:5" x14ac:dyDescent="0.2">
      <c r="A14" s="190" t="s">
        <v>173</v>
      </c>
      <c r="B14" s="818"/>
      <c r="C14" s="211" t="s">
        <v>174</v>
      </c>
      <c r="D14" s="818"/>
    </row>
    <row r="15" spans="1:5" x14ac:dyDescent="0.2">
      <c r="A15" s="190" t="s">
        <v>175</v>
      </c>
      <c r="B15" s="818"/>
      <c r="C15" s="211" t="s">
        <v>167</v>
      </c>
      <c r="D15" s="818"/>
      <c r="E15" s="867"/>
    </row>
    <row r="16" spans="1:5" x14ac:dyDescent="0.2">
      <c r="A16" s="190"/>
      <c r="B16" s="211"/>
      <c r="C16" s="211"/>
      <c r="D16" s="211"/>
    </row>
    <row r="17" spans="1:4" x14ac:dyDescent="0.2">
      <c r="A17" s="190"/>
      <c r="B17" s="211"/>
      <c r="C17" s="211"/>
      <c r="D17" s="211"/>
    </row>
    <row r="18" spans="1:4" s="9" customFormat="1" x14ac:dyDescent="0.2">
      <c r="A18" s="188" t="s">
        <v>991</v>
      </c>
      <c r="B18" s="214">
        <f>SUM(B11:B17)</f>
        <v>0</v>
      </c>
      <c r="C18" s="215" t="s">
        <v>992</v>
      </c>
      <c r="D18" s="214">
        <f>SUM(D10:D15)</f>
        <v>0</v>
      </c>
    </row>
    <row r="19" spans="1:4" x14ac:dyDescent="0.2">
      <c r="B19" s="216"/>
      <c r="C19" s="216"/>
      <c r="D19" s="665">
        <f>D18-B18</f>
        <v>0</v>
      </c>
    </row>
    <row r="20" spans="1:4" x14ac:dyDescent="0.2">
      <c r="A20" s="9" t="s">
        <v>993</v>
      </c>
    </row>
  </sheetData>
  <phoneticPr fontId="23" type="noConversion"/>
  <pageMargins left="0.78740157499999996" right="0.78740157499999996" top="0.984251969" bottom="0.984251969" header="0.4921259845" footer="0.4921259845"/>
  <pageSetup paperSize="9" scale="110" orientation="landscape" horizontalDpi="300" verticalDpi="300" r:id="rId1"/>
  <headerFooter alignWithMargins="0">
    <oddHeader>&amp;L&amp;"Times New Roman,Gras italique"&amp;12Sté : ...............................</oddHead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5"/>
  <dimension ref="A1:F45"/>
  <sheetViews>
    <sheetView workbookViewId="0">
      <selection activeCell="F4" sqref="F4"/>
    </sheetView>
  </sheetViews>
  <sheetFormatPr baseColWidth="10" defaultColWidth="12" defaultRowHeight="12.75" x14ac:dyDescent="0.2"/>
  <cols>
    <col min="1" max="1" width="4.5" style="15" customWidth="1"/>
    <col min="2" max="2" width="51.33203125" style="15" customWidth="1"/>
    <col min="3" max="5" width="23.83203125" style="15" customWidth="1"/>
    <col min="6" max="16384" width="12" style="15"/>
  </cols>
  <sheetData>
    <row r="1" spans="1:6" ht="11.25" customHeight="1" x14ac:dyDescent="0.25">
      <c r="A1" s="6" t="s">
        <v>7</v>
      </c>
      <c r="E1" s="6"/>
      <c r="F1" s="6"/>
    </row>
    <row r="2" spans="1:6" ht="12" customHeight="1" x14ac:dyDescent="0.25">
      <c r="B2" s="151" t="s">
        <v>8</v>
      </c>
      <c r="C2" s="152"/>
      <c r="D2" s="152"/>
    </row>
    <row r="3" spans="1:6" ht="11.25" customHeight="1" x14ac:dyDescent="0.25">
      <c r="B3" s="151" t="s">
        <v>9</v>
      </c>
      <c r="C3" s="152"/>
      <c r="D3" s="152"/>
    </row>
    <row r="4" spans="1:6" s="132" customFormat="1" ht="16.5" customHeight="1" x14ac:dyDescent="0.2">
      <c r="A4" s="153"/>
      <c r="B4" s="154" t="s">
        <v>10</v>
      </c>
      <c r="C4" s="154" t="s">
        <v>11</v>
      </c>
      <c r="D4" s="154" t="s">
        <v>12</v>
      </c>
      <c r="E4" s="154" t="s">
        <v>12</v>
      </c>
      <c r="F4" s="155"/>
    </row>
    <row r="5" spans="1:6" s="132" customFormat="1" ht="16.5" customHeight="1" x14ac:dyDescent="0.2">
      <c r="A5" s="156"/>
      <c r="B5" s="157"/>
      <c r="C5" s="157"/>
      <c r="D5" s="157" t="s">
        <v>13</v>
      </c>
      <c r="E5" s="157" t="s">
        <v>13</v>
      </c>
      <c r="F5" s="155"/>
    </row>
    <row r="6" spans="1:6" s="132" customFormat="1" ht="12" x14ac:dyDescent="0.2">
      <c r="A6" s="156"/>
      <c r="B6" s="157"/>
      <c r="C6" s="157"/>
      <c r="D6" s="157" t="s">
        <v>14</v>
      </c>
      <c r="E6" s="157" t="s">
        <v>15</v>
      </c>
      <c r="F6" s="143"/>
    </row>
    <row r="7" spans="1:6" s="132" customFormat="1" ht="11.25" customHeight="1" x14ac:dyDescent="0.2">
      <c r="A7" s="158"/>
      <c r="B7" s="159">
        <v>1</v>
      </c>
      <c r="C7" s="159">
        <v>2</v>
      </c>
      <c r="D7" s="159">
        <v>3</v>
      </c>
      <c r="E7" s="159">
        <v>4</v>
      </c>
      <c r="F7" s="143"/>
    </row>
    <row r="8" spans="1:6" s="132" customFormat="1" ht="12" x14ac:dyDescent="0.2">
      <c r="A8" s="142"/>
      <c r="B8" s="160" t="s">
        <v>16</v>
      </c>
      <c r="C8" s="782"/>
      <c r="D8" s="782"/>
      <c r="E8" s="782"/>
      <c r="F8" s="143"/>
    </row>
    <row r="9" spans="1:6" s="132" customFormat="1" ht="12" x14ac:dyDescent="0.2">
      <c r="A9" s="142">
        <v>1</v>
      </c>
      <c r="B9" s="161" t="s">
        <v>17</v>
      </c>
      <c r="C9" s="782"/>
      <c r="D9" s="782"/>
      <c r="E9" s="782"/>
      <c r="F9" s="143"/>
    </row>
    <row r="10" spans="1:6" s="132" customFormat="1" ht="12" x14ac:dyDescent="0.2">
      <c r="A10" s="142">
        <v>2</v>
      </c>
      <c r="B10" s="161" t="s">
        <v>18</v>
      </c>
      <c r="C10" s="782"/>
      <c r="D10" s="782"/>
      <c r="E10" s="782"/>
      <c r="F10" s="143"/>
    </row>
    <row r="11" spans="1:6" s="132" customFormat="1" ht="12" x14ac:dyDescent="0.2">
      <c r="A11" s="142">
        <v>3</v>
      </c>
      <c r="B11" s="161" t="s">
        <v>19</v>
      </c>
      <c r="C11" s="783"/>
      <c r="D11" s="783"/>
      <c r="E11" s="783"/>
      <c r="F11" s="143"/>
    </row>
    <row r="12" spans="1:6" s="132" customFormat="1" ht="12" x14ac:dyDescent="0.2">
      <c r="A12" s="163"/>
      <c r="B12" s="164" t="s">
        <v>20</v>
      </c>
      <c r="C12" s="784"/>
      <c r="D12" s="784"/>
      <c r="E12" s="784"/>
      <c r="F12" s="143"/>
    </row>
    <row r="13" spans="1:6" s="132" customFormat="1" ht="12" x14ac:dyDescent="0.2">
      <c r="A13" s="142">
        <v>4</v>
      </c>
      <c r="B13" s="161" t="s">
        <v>21</v>
      </c>
      <c r="C13" s="782"/>
      <c r="D13" s="782"/>
      <c r="E13" s="782"/>
      <c r="F13" s="143"/>
    </row>
    <row r="14" spans="1:6" s="132" customFormat="1" ht="12" x14ac:dyDescent="0.2">
      <c r="A14" s="142">
        <v>5</v>
      </c>
      <c r="B14" s="161" t="s">
        <v>22</v>
      </c>
      <c r="C14" s="782"/>
      <c r="D14" s="782"/>
      <c r="E14" s="782"/>
      <c r="F14" s="143"/>
    </row>
    <row r="15" spans="1:6" s="132" customFormat="1" ht="12" x14ac:dyDescent="0.2">
      <c r="A15" s="142">
        <v>6</v>
      </c>
      <c r="B15" s="161" t="s">
        <v>23</v>
      </c>
      <c r="C15" s="782"/>
      <c r="D15" s="782"/>
      <c r="E15" s="782"/>
      <c r="F15" s="143"/>
    </row>
    <row r="16" spans="1:6" s="132" customFormat="1" ht="0.75" customHeight="1" x14ac:dyDescent="0.2">
      <c r="A16" s="142"/>
      <c r="B16" s="162"/>
      <c r="C16" s="782"/>
      <c r="D16" s="782"/>
      <c r="E16" s="782"/>
      <c r="F16" s="143"/>
    </row>
    <row r="17" spans="1:6" s="132" customFormat="1" ht="12" x14ac:dyDescent="0.2">
      <c r="A17" s="163"/>
      <c r="B17" s="160" t="s">
        <v>24</v>
      </c>
      <c r="C17" s="784"/>
      <c r="D17" s="784"/>
      <c r="E17" s="784"/>
      <c r="F17" s="143"/>
    </row>
    <row r="18" spans="1:6" s="132" customFormat="1" ht="12" x14ac:dyDescent="0.2">
      <c r="A18" s="142">
        <v>7</v>
      </c>
      <c r="B18" s="161" t="s">
        <v>25</v>
      </c>
      <c r="C18" s="782"/>
      <c r="D18" s="782"/>
      <c r="E18" s="782"/>
      <c r="F18" s="143"/>
    </row>
    <row r="19" spans="1:6" s="132" customFormat="1" ht="12" x14ac:dyDescent="0.2">
      <c r="A19" s="142">
        <v>8</v>
      </c>
      <c r="B19" s="161" t="s">
        <v>26</v>
      </c>
      <c r="C19" s="782"/>
      <c r="D19" s="782"/>
      <c r="E19" s="782"/>
      <c r="F19" s="143"/>
    </row>
    <row r="20" spans="1:6" s="132" customFormat="1" ht="12" x14ac:dyDescent="0.2">
      <c r="A20" s="165">
        <v>9</v>
      </c>
      <c r="B20" s="162" t="s">
        <v>27</v>
      </c>
      <c r="C20" s="783"/>
      <c r="D20" s="783"/>
      <c r="E20" s="783"/>
      <c r="F20" s="143"/>
    </row>
    <row r="21" spans="1:6" s="132" customFormat="1" ht="12" x14ac:dyDescent="0.2">
      <c r="A21" s="142">
        <v>10</v>
      </c>
      <c r="B21" s="161" t="s">
        <v>28</v>
      </c>
      <c r="C21" s="782"/>
      <c r="D21" s="782"/>
      <c r="E21" s="782"/>
      <c r="F21" s="143"/>
    </row>
    <row r="22" spans="1:6" s="132" customFormat="1" ht="12" x14ac:dyDescent="0.2">
      <c r="A22" s="142">
        <v>11</v>
      </c>
      <c r="B22" s="161" t="s">
        <v>29</v>
      </c>
      <c r="C22" s="782"/>
      <c r="D22" s="782"/>
      <c r="E22" s="782"/>
      <c r="F22" s="143"/>
    </row>
    <row r="23" spans="1:6" s="132" customFormat="1" ht="12" x14ac:dyDescent="0.2">
      <c r="A23" s="142">
        <v>12</v>
      </c>
      <c r="B23" s="13" t="s">
        <v>30</v>
      </c>
      <c r="C23" s="785"/>
      <c r="D23" s="785"/>
      <c r="E23" s="785"/>
      <c r="F23" s="143"/>
    </row>
    <row r="24" spans="1:6" s="132" customFormat="1" ht="12" x14ac:dyDescent="0.2">
      <c r="A24" s="166" t="s">
        <v>31</v>
      </c>
      <c r="B24" s="161" t="s">
        <v>32</v>
      </c>
      <c r="C24" s="785"/>
      <c r="D24" s="785"/>
      <c r="E24" s="785"/>
    </row>
    <row r="25" spans="1:6" s="132" customFormat="1" ht="12" x14ac:dyDescent="0.2">
      <c r="A25" s="167" t="s">
        <v>33</v>
      </c>
      <c r="B25" s="161" t="s">
        <v>26</v>
      </c>
      <c r="C25" s="785"/>
      <c r="D25" s="785"/>
      <c r="E25" s="785"/>
    </row>
    <row r="26" spans="1:6" s="132" customFormat="1" ht="12" x14ac:dyDescent="0.2">
      <c r="A26" s="168" t="s">
        <v>34</v>
      </c>
      <c r="B26" s="162" t="s">
        <v>27</v>
      </c>
      <c r="C26" s="786"/>
      <c r="D26" s="786"/>
      <c r="E26" s="786"/>
    </row>
    <row r="27" spans="1:6" s="132" customFormat="1" ht="12" x14ac:dyDescent="0.2">
      <c r="A27" s="165">
        <v>13</v>
      </c>
      <c r="B27" s="169" t="s">
        <v>35</v>
      </c>
      <c r="C27" s="786"/>
      <c r="D27" s="786"/>
      <c r="E27" s="786"/>
      <c r="F27" s="143"/>
    </row>
    <row r="28" spans="1:6" s="132" customFormat="1" ht="12" x14ac:dyDescent="0.2">
      <c r="A28" s="142">
        <v>14</v>
      </c>
      <c r="B28" s="161" t="s">
        <v>36</v>
      </c>
      <c r="C28" s="785"/>
      <c r="D28" s="785"/>
      <c r="E28" s="785"/>
      <c r="F28" s="143"/>
    </row>
    <row r="29" spans="1:6" s="132" customFormat="1" ht="12" x14ac:dyDescent="0.2">
      <c r="A29" s="142">
        <v>15</v>
      </c>
      <c r="B29" s="161" t="s">
        <v>37</v>
      </c>
      <c r="C29" s="782"/>
      <c r="D29" s="782"/>
      <c r="E29" s="782"/>
      <c r="F29" s="143"/>
    </row>
    <row r="30" spans="1:6" s="132" customFormat="1" ht="12" x14ac:dyDescent="0.2">
      <c r="A30" s="170">
        <v>16</v>
      </c>
      <c r="B30" s="171" t="s">
        <v>38</v>
      </c>
      <c r="C30" s="781">
        <f>C27+C28+C29</f>
        <v>0</v>
      </c>
      <c r="D30" s="781">
        <f>D27+D28+D29</f>
        <v>0</v>
      </c>
      <c r="E30" s="781">
        <f>E27+E28+E29</f>
        <v>0</v>
      </c>
      <c r="F30" s="143"/>
    </row>
    <row r="31" spans="1:6" ht="0.75" customHeight="1" x14ac:dyDescent="0.2">
      <c r="C31" s="787"/>
      <c r="D31" s="787"/>
      <c r="E31" s="787"/>
    </row>
    <row r="32" spans="1:6" s="172" customFormat="1" ht="11.25" x14ac:dyDescent="0.2">
      <c r="B32" s="173" t="s">
        <v>39</v>
      </c>
      <c r="C32" s="149"/>
    </row>
    <row r="33" spans="2:4" s="172" customFormat="1" ht="11.25" x14ac:dyDescent="0.2">
      <c r="B33" s="173" t="s">
        <v>40</v>
      </c>
      <c r="C33" s="149"/>
    </row>
    <row r="34" spans="2:4" s="172" customFormat="1" ht="8.25" customHeight="1" x14ac:dyDescent="0.2">
      <c r="B34" s="174" t="s">
        <v>41</v>
      </c>
      <c r="C34" s="149"/>
    </row>
    <row r="35" spans="2:4" s="172" customFormat="1" ht="11.25" x14ac:dyDescent="0.2">
      <c r="B35" s="149" t="s">
        <v>42</v>
      </c>
      <c r="C35" s="149"/>
    </row>
    <row r="36" spans="2:4" s="172" customFormat="1" ht="11.25" x14ac:dyDescent="0.2">
      <c r="B36" s="173" t="s">
        <v>43</v>
      </c>
      <c r="C36" s="149" t="s">
        <v>44</v>
      </c>
    </row>
    <row r="37" spans="2:4" s="172" customFormat="1" ht="11.25" x14ac:dyDescent="0.2">
      <c r="B37" s="149"/>
      <c r="C37" s="175" t="s">
        <v>45</v>
      </c>
    </row>
    <row r="38" spans="2:4" s="172" customFormat="1" ht="11.25" x14ac:dyDescent="0.2">
      <c r="B38" s="149" t="s">
        <v>46</v>
      </c>
      <c r="C38" s="149" t="s">
        <v>47</v>
      </c>
    </row>
    <row r="39" spans="2:4" s="172" customFormat="1" ht="11.25" x14ac:dyDescent="0.2">
      <c r="B39" s="149"/>
      <c r="C39" s="176" t="s">
        <v>48</v>
      </c>
      <c r="D39" s="177"/>
    </row>
    <row r="40" spans="2:4" s="172" customFormat="1" ht="11.25" x14ac:dyDescent="0.2">
      <c r="B40" s="149" t="s">
        <v>49</v>
      </c>
      <c r="C40" s="149" t="s">
        <v>50</v>
      </c>
    </row>
    <row r="41" spans="2:4" s="172" customFormat="1" ht="11.25" x14ac:dyDescent="0.2">
      <c r="B41" s="149"/>
      <c r="C41" s="175" t="s">
        <v>47</v>
      </c>
    </row>
    <row r="42" spans="2:4" s="172" customFormat="1" ht="11.25" x14ac:dyDescent="0.2">
      <c r="B42" s="149"/>
      <c r="C42" s="178"/>
    </row>
    <row r="43" spans="2:4" ht="13.5" x14ac:dyDescent="0.25">
      <c r="C43" s="6" t="s">
        <v>558</v>
      </c>
      <c r="D43" s="6"/>
    </row>
    <row r="45" spans="2:4" ht="13.5" x14ac:dyDescent="0.25">
      <c r="C45" s="6"/>
      <c r="D45" s="6"/>
    </row>
  </sheetData>
  <phoneticPr fontId="0" type="noConversion"/>
  <pageMargins left="0.78740157499999996" right="0.78740157499999996" top="0.984251969" bottom="0.984251969" header="0.4921259845" footer="0.4921259845"/>
  <pageSetup paperSize="9" scale="89" orientation="landscape" horizontalDpi="300" verticalDpi="300" r:id="rId1"/>
  <headerFooter alignWithMargins="0">
    <oddHeader>&amp;L&amp;"Times New Roman,Gras italique"&amp;12Sté : ...............................</oddHeader>
  </headerFooter>
  <rowBreaks count="1" manualBreakCount="1">
    <brk id="43" max="4" man="1"/>
  </rowBreaks>
  <colBreaks count="1" manualBreakCount="1">
    <brk id="5" max="1048575" man="1"/>
  </col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6"/>
  <dimension ref="A2:K41"/>
  <sheetViews>
    <sheetView zoomScale="80" zoomScaleNormal="80" workbookViewId="0">
      <selection activeCell="A34" sqref="A34"/>
    </sheetView>
  </sheetViews>
  <sheetFormatPr baseColWidth="10" defaultColWidth="12" defaultRowHeight="12.75" x14ac:dyDescent="0.2"/>
  <cols>
    <col min="1" max="1" width="20.83203125" style="2" customWidth="1"/>
    <col min="2" max="2" width="17" style="2" customWidth="1"/>
    <col min="3" max="3" width="18.1640625" style="2" bestFit="1" customWidth="1"/>
    <col min="4" max="4" width="15.33203125" style="2" customWidth="1"/>
    <col min="5" max="5" width="16.1640625" style="2" bestFit="1" customWidth="1"/>
    <col min="6" max="6" width="15.83203125" style="2" customWidth="1"/>
    <col min="7" max="7" width="18.33203125" style="2" customWidth="1"/>
    <col min="8" max="8" width="17.33203125" style="2" customWidth="1"/>
    <col min="9" max="9" width="17" style="2" customWidth="1"/>
    <col min="10" max="10" width="21.6640625" style="2" customWidth="1"/>
    <col min="11" max="16384" width="12" style="2"/>
  </cols>
  <sheetData>
    <row r="2" spans="1:11" x14ac:dyDescent="0.2">
      <c r="A2" s="579" t="s">
        <v>998</v>
      </c>
    </row>
    <row r="3" spans="1:11" x14ac:dyDescent="0.2">
      <c r="A3" s="579"/>
    </row>
    <row r="4" spans="1:11" s="582" customFormat="1" ht="18" x14ac:dyDescent="0.25">
      <c r="A4" s="849" t="s">
        <v>999</v>
      </c>
      <c r="B4" s="850"/>
      <c r="C4" s="850"/>
      <c r="D4" s="850"/>
      <c r="E4" s="850"/>
      <c r="F4" s="850"/>
      <c r="G4" s="850"/>
      <c r="H4" s="850"/>
      <c r="I4" s="850"/>
      <c r="J4" s="850"/>
    </row>
    <row r="5" spans="1:11" s="582" customFormat="1" ht="12.95" customHeight="1" x14ac:dyDescent="0.25">
      <c r="A5" s="849"/>
      <c r="B5" s="850"/>
      <c r="C5" s="850"/>
      <c r="D5" s="850"/>
      <c r="E5" s="850"/>
      <c r="F5" s="850"/>
      <c r="G5" s="850"/>
      <c r="H5" s="850"/>
      <c r="I5" s="850"/>
      <c r="J5" s="850"/>
    </row>
    <row r="6" spans="1:11" x14ac:dyDescent="0.2">
      <c r="G6" s="579" t="s">
        <v>1000</v>
      </c>
      <c r="J6" s="1083"/>
      <c r="K6" s="1083"/>
    </row>
    <row r="7" spans="1:11" s="1117" customFormat="1" ht="20.25" customHeight="1" x14ac:dyDescent="0.2">
      <c r="E7" s="1118" t="s">
        <v>2777</v>
      </c>
      <c r="G7" s="1119">
        <f>Cellule_1093</f>
        <v>356372.01599999995</v>
      </c>
      <c r="I7" s="1120"/>
      <c r="J7" s="1121"/>
      <c r="K7" s="1121"/>
    </row>
    <row r="8" spans="1:11" s="1117" customFormat="1" ht="20.25" customHeight="1" x14ac:dyDescent="0.2">
      <c r="E8" s="1117" t="s">
        <v>62</v>
      </c>
      <c r="G8" s="1149" t="str">
        <f>+'T14 C2-affec resu'!D6</f>
        <v>31/12/2022</v>
      </c>
      <c r="I8" s="1120"/>
      <c r="J8" s="1121"/>
      <c r="K8" s="1121"/>
    </row>
    <row r="9" spans="1:11" s="1117" customFormat="1" ht="20.25" customHeight="1" x14ac:dyDescent="0.2">
      <c r="E9" s="1118" t="s">
        <v>2778</v>
      </c>
      <c r="G9" s="1150">
        <f>Couverture!C15</f>
        <v>44562</v>
      </c>
      <c r="I9" s="1120"/>
      <c r="J9" s="1121"/>
      <c r="K9" s="1121"/>
    </row>
    <row r="10" spans="1:11" s="1117" customFormat="1" ht="20.25" customHeight="1" x14ac:dyDescent="0.2">
      <c r="E10" s="1118" t="s">
        <v>2779</v>
      </c>
      <c r="G10" s="1150" t="str">
        <f>Couverture!E15</f>
        <v>31/12/2022</v>
      </c>
      <c r="I10" s="1120"/>
      <c r="J10" s="1121"/>
      <c r="K10" s="1121"/>
    </row>
    <row r="11" spans="1:11" x14ac:dyDescent="0.2">
      <c r="G11" s="579"/>
      <c r="I11" s="1082"/>
      <c r="J11" s="1083"/>
      <c r="K11" s="1083"/>
    </row>
    <row r="12" spans="1:11" s="1109" customFormat="1" ht="51" customHeight="1" x14ac:dyDescent="0.2">
      <c r="A12" s="1107" t="s">
        <v>2771</v>
      </c>
      <c r="B12" s="1107" t="s">
        <v>1001</v>
      </c>
      <c r="C12" s="1107" t="s">
        <v>2772</v>
      </c>
      <c r="D12" s="1107" t="s">
        <v>2773</v>
      </c>
      <c r="E12" s="1107" t="s">
        <v>2774</v>
      </c>
      <c r="F12" s="1107" t="s">
        <v>1002</v>
      </c>
      <c r="G12" s="1107" t="s">
        <v>1003</v>
      </c>
      <c r="H12" s="1107" t="s">
        <v>2775</v>
      </c>
      <c r="I12" s="1107" t="s">
        <v>2776</v>
      </c>
      <c r="J12" s="1107" t="s">
        <v>1004</v>
      </c>
      <c r="K12" s="1108"/>
    </row>
    <row r="13" spans="1:11" x14ac:dyDescent="0.2">
      <c r="A13" s="1086"/>
      <c r="B13" s="1085">
        <v>1</v>
      </c>
      <c r="C13" s="1085">
        <v>2</v>
      </c>
      <c r="D13" s="1085">
        <v>3</v>
      </c>
      <c r="E13" s="1085">
        <v>4</v>
      </c>
      <c r="F13" s="1085">
        <v>5</v>
      </c>
      <c r="G13" s="1085">
        <v>6</v>
      </c>
      <c r="H13" s="1085">
        <v>7</v>
      </c>
      <c r="I13" s="1085">
        <v>8</v>
      </c>
      <c r="J13" s="1085">
        <v>9</v>
      </c>
      <c r="K13" s="993"/>
    </row>
    <row r="14" spans="1:11" x14ac:dyDescent="0.2">
      <c r="A14" s="1151" t="s">
        <v>2859</v>
      </c>
      <c r="B14" s="1152">
        <v>42653</v>
      </c>
      <c r="C14" s="1153">
        <v>5000</v>
      </c>
      <c r="D14" s="1154"/>
      <c r="E14" s="1153">
        <v>694.37</v>
      </c>
      <c r="F14" s="1155">
        <v>0.33329999999999999</v>
      </c>
      <c r="G14" s="1156">
        <v>3</v>
      </c>
      <c r="H14" s="1157">
        <f t="shared" ref="H14:H30" si="0">+C14*F14</f>
        <v>1666.5</v>
      </c>
      <c r="I14" s="1153">
        <f>+E14+H14</f>
        <v>2360.87</v>
      </c>
      <c r="J14" s="1156"/>
      <c r="K14" s="993"/>
    </row>
    <row r="15" spans="1:11" x14ac:dyDescent="0.2">
      <c r="A15" s="1158" t="s">
        <v>2860</v>
      </c>
      <c r="B15" s="1159">
        <v>42814</v>
      </c>
      <c r="C15" s="1160">
        <v>5500</v>
      </c>
      <c r="D15" s="1161"/>
      <c r="E15" s="1160">
        <v>825</v>
      </c>
      <c r="F15" s="1162">
        <v>0.2</v>
      </c>
      <c r="G15" s="1163">
        <v>5</v>
      </c>
      <c r="H15" s="1164">
        <f t="shared" si="0"/>
        <v>1100</v>
      </c>
      <c r="I15" s="1160">
        <f>+H15</f>
        <v>1100</v>
      </c>
      <c r="J15" s="1163"/>
      <c r="K15" s="993"/>
    </row>
    <row r="16" spans="1:11" x14ac:dyDescent="0.2">
      <c r="A16" s="1158" t="s">
        <v>2860</v>
      </c>
      <c r="B16" s="1159">
        <v>42831</v>
      </c>
      <c r="C16" s="1160">
        <v>2400</v>
      </c>
      <c r="D16" s="1161"/>
      <c r="E16" s="1160">
        <v>360</v>
      </c>
      <c r="F16" s="1162">
        <v>0.2</v>
      </c>
      <c r="G16" s="1163">
        <v>5</v>
      </c>
      <c r="H16" s="1164">
        <f t="shared" si="0"/>
        <v>480</v>
      </c>
      <c r="I16" s="1160">
        <f>+E16+H16</f>
        <v>840</v>
      </c>
      <c r="J16" s="1163"/>
      <c r="K16" s="993"/>
    </row>
    <row r="17" spans="1:11" x14ac:dyDescent="0.2">
      <c r="A17" s="1158" t="s">
        <v>2860</v>
      </c>
      <c r="B17" s="1159">
        <v>43089</v>
      </c>
      <c r="C17" s="1160">
        <v>1800</v>
      </c>
      <c r="D17" s="1161"/>
      <c r="E17" s="1160">
        <v>30</v>
      </c>
      <c r="F17" s="1162">
        <v>0.2</v>
      </c>
      <c r="G17" s="1163">
        <v>5</v>
      </c>
      <c r="H17" s="1164">
        <f t="shared" si="0"/>
        <v>360</v>
      </c>
      <c r="I17" s="1160">
        <f t="shared" ref="I17:I23" si="1">+H17</f>
        <v>360</v>
      </c>
      <c r="J17" s="1163"/>
      <c r="K17" s="993"/>
    </row>
    <row r="18" spans="1:11" x14ac:dyDescent="0.2">
      <c r="A18" s="1158" t="s">
        <v>2861</v>
      </c>
      <c r="B18" s="1159">
        <v>42781</v>
      </c>
      <c r="C18" s="1160">
        <v>109038</v>
      </c>
      <c r="D18" s="1161"/>
      <c r="E18" s="1160">
        <v>18173</v>
      </c>
      <c r="F18" s="1162">
        <v>0.2</v>
      </c>
      <c r="G18" s="1163">
        <v>5</v>
      </c>
      <c r="H18" s="1164">
        <f t="shared" si="0"/>
        <v>21807.600000000002</v>
      </c>
      <c r="I18" s="1160">
        <f t="shared" si="1"/>
        <v>21807.600000000002</v>
      </c>
      <c r="J18" s="1163"/>
      <c r="K18" s="993"/>
    </row>
    <row r="19" spans="1:11" x14ac:dyDescent="0.2">
      <c r="A19" s="1158" t="s">
        <v>2861</v>
      </c>
      <c r="B19" s="1159">
        <v>42788</v>
      </c>
      <c r="C19" s="1160">
        <v>116275</v>
      </c>
      <c r="D19" s="1161"/>
      <c r="E19" s="1160">
        <v>19379.169999999998</v>
      </c>
      <c r="F19" s="1162">
        <v>0.2</v>
      </c>
      <c r="G19" s="1163">
        <v>5</v>
      </c>
      <c r="H19" s="1164">
        <f t="shared" si="0"/>
        <v>23255</v>
      </c>
      <c r="I19" s="1160">
        <f t="shared" si="1"/>
        <v>23255</v>
      </c>
      <c r="J19" s="1163"/>
      <c r="K19" s="993"/>
    </row>
    <row r="20" spans="1:11" x14ac:dyDescent="0.2">
      <c r="A20" s="1158" t="s">
        <v>2861</v>
      </c>
      <c r="B20" s="1159">
        <v>42781</v>
      </c>
      <c r="C20" s="1160">
        <v>116275</v>
      </c>
      <c r="D20" s="1161"/>
      <c r="E20" s="1160">
        <v>19379.169999999998</v>
      </c>
      <c r="F20" s="1162">
        <v>0.2</v>
      </c>
      <c r="G20" s="1163">
        <v>5</v>
      </c>
      <c r="H20" s="1164">
        <f t="shared" si="0"/>
        <v>23255</v>
      </c>
      <c r="I20" s="1160">
        <f t="shared" si="1"/>
        <v>23255</v>
      </c>
      <c r="J20" s="1165"/>
      <c r="K20" s="993"/>
    </row>
    <row r="21" spans="1:11" x14ac:dyDescent="0.2">
      <c r="A21" s="1158" t="s">
        <v>2861</v>
      </c>
      <c r="B21" s="1159">
        <v>42790</v>
      </c>
      <c r="C21" s="1160">
        <v>109038</v>
      </c>
      <c r="D21" s="1161"/>
      <c r="E21" s="1160">
        <v>18173</v>
      </c>
      <c r="F21" s="1162">
        <v>0.2</v>
      </c>
      <c r="G21" s="1163">
        <v>5</v>
      </c>
      <c r="H21" s="1164">
        <f t="shared" si="0"/>
        <v>21807.600000000002</v>
      </c>
      <c r="I21" s="1160">
        <f t="shared" si="1"/>
        <v>21807.600000000002</v>
      </c>
      <c r="J21" s="1163"/>
      <c r="K21" s="993"/>
    </row>
    <row r="22" spans="1:11" x14ac:dyDescent="0.2">
      <c r="A22" s="1158" t="s">
        <v>2861</v>
      </c>
      <c r="B22" s="1159">
        <v>42793</v>
      </c>
      <c r="C22" s="1160">
        <v>116855</v>
      </c>
      <c r="D22" s="1161"/>
      <c r="E22" s="1160">
        <v>19475.830000000002</v>
      </c>
      <c r="F22" s="1162">
        <v>0.2</v>
      </c>
      <c r="G22" s="1163">
        <v>5</v>
      </c>
      <c r="H22" s="1164">
        <f t="shared" si="0"/>
        <v>23371</v>
      </c>
      <c r="I22" s="1160">
        <f t="shared" si="1"/>
        <v>23371</v>
      </c>
      <c r="J22" s="1163"/>
      <c r="K22" s="993"/>
    </row>
    <row r="23" spans="1:11" x14ac:dyDescent="0.2">
      <c r="A23" s="1158" t="s">
        <v>2861</v>
      </c>
      <c r="B23" s="1159">
        <v>42914</v>
      </c>
      <c r="C23" s="1160">
        <v>124418</v>
      </c>
      <c r="D23" s="1161"/>
      <c r="E23" s="1160">
        <v>12441.8</v>
      </c>
      <c r="F23" s="1162">
        <v>0.2</v>
      </c>
      <c r="G23" s="1163">
        <v>5</v>
      </c>
      <c r="H23" s="1164">
        <f t="shared" si="0"/>
        <v>24883.600000000002</v>
      </c>
      <c r="I23" s="1160">
        <f t="shared" si="1"/>
        <v>24883.600000000002</v>
      </c>
      <c r="J23" s="1163"/>
      <c r="K23" s="993"/>
    </row>
    <row r="24" spans="1:11" ht="22.5" customHeight="1" x14ac:dyDescent="0.2">
      <c r="A24" s="1158" t="s">
        <v>2861</v>
      </c>
      <c r="B24" s="1159">
        <v>42922</v>
      </c>
      <c r="C24" s="1160">
        <v>97800</v>
      </c>
      <c r="D24" s="1161"/>
      <c r="E24" s="1160">
        <v>11410</v>
      </c>
      <c r="F24" s="1162">
        <v>0.2</v>
      </c>
      <c r="G24" s="1163">
        <v>5</v>
      </c>
      <c r="H24" s="1164">
        <f t="shared" si="0"/>
        <v>19560</v>
      </c>
      <c r="I24" s="1160">
        <f>+Cellule_1084_1</f>
        <v>19560</v>
      </c>
      <c r="J24" s="1163"/>
      <c r="K24" s="993"/>
    </row>
    <row r="25" spans="1:11" ht="22.5" customHeight="1" x14ac:dyDescent="0.2">
      <c r="A25" s="1158" t="s">
        <v>2861</v>
      </c>
      <c r="B25" s="1159">
        <v>42922</v>
      </c>
      <c r="C25" s="1160">
        <v>112900</v>
      </c>
      <c r="D25" s="1161"/>
      <c r="E25" s="1160">
        <v>13171.67</v>
      </c>
      <c r="F25" s="1162">
        <v>0.2</v>
      </c>
      <c r="G25" s="1163">
        <v>5</v>
      </c>
      <c r="H25" s="1164">
        <f t="shared" si="0"/>
        <v>22580</v>
      </c>
      <c r="I25" s="1160">
        <f>+Cellule_1084_2</f>
        <v>22580</v>
      </c>
      <c r="J25" s="1163"/>
      <c r="K25" s="993"/>
    </row>
    <row r="26" spans="1:11" ht="22.5" customHeight="1" x14ac:dyDescent="0.2">
      <c r="A26" s="1158" t="s">
        <v>2861</v>
      </c>
      <c r="B26" s="1159">
        <v>42988</v>
      </c>
      <c r="C26" s="1160">
        <v>186214.17</v>
      </c>
      <c r="D26" s="1161"/>
      <c r="E26" s="1160">
        <v>27932.13</v>
      </c>
      <c r="F26" s="1162">
        <v>0.2</v>
      </c>
      <c r="G26" s="1163">
        <v>5</v>
      </c>
      <c r="H26" s="1164">
        <f t="shared" si="0"/>
        <v>37242.834000000003</v>
      </c>
      <c r="I26" s="1160">
        <f>+H26</f>
        <v>37242.834000000003</v>
      </c>
      <c r="J26" s="1163"/>
      <c r="K26" s="993"/>
    </row>
    <row r="27" spans="1:11" ht="22.5" customHeight="1" x14ac:dyDescent="0.2">
      <c r="A27" s="1158" t="s">
        <v>2861</v>
      </c>
      <c r="B27" s="1159">
        <v>43039</v>
      </c>
      <c r="C27" s="1160">
        <v>97164</v>
      </c>
      <c r="D27" s="1161"/>
      <c r="E27" s="1160">
        <v>3238.8</v>
      </c>
      <c r="F27" s="1162">
        <v>0.2</v>
      </c>
      <c r="G27" s="1163">
        <v>5</v>
      </c>
      <c r="H27" s="1164">
        <f t="shared" si="0"/>
        <v>19432.8</v>
      </c>
      <c r="I27" s="1160">
        <f>+H27</f>
        <v>19432.8</v>
      </c>
      <c r="J27" s="1163"/>
      <c r="K27" s="993"/>
    </row>
    <row r="28" spans="1:11" ht="22.5" customHeight="1" x14ac:dyDescent="0.2">
      <c r="A28" s="1158" t="s">
        <v>2861</v>
      </c>
      <c r="B28" s="1159">
        <v>43039</v>
      </c>
      <c r="C28" s="1160">
        <v>97104</v>
      </c>
      <c r="D28" s="1161"/>
      <c r="E28" s="1160">
        <v>3236.8</v>
      </c>
      <c r="F28" s="1162">
        <v>0.2</v>
      </c>
      <c r="G28" s="1163">
        <v>5</v>
      </c>
      <c r="H28" s="1164">
        <f t="shared" si="0"/>
        <v>19420.8</v>
      </c>
      <c r="I28" s="1160">
        <f>+H28</f>
        <v>19420.8</v>
      </c>
      <c r="J28" s="1163"/>
      <c r="K28" s="993"/>
    </row>
    <row r="29" spans="1:11" ht="22.5" customHeight="1" x14ac:dyDescent="0.2">
      <c r="A29" s="1158" t="s">
        <v>2861</v>
      </c>
      <c r="B29" s="1159">
        <v>43054</v>
      </c>
      <c r="C29" s="1160">
        <v>90300</v>
      </c>
      <c r="D29" s="1161"/>
      <c r="E29" s="1160">
        <v>2257.5</v>
      </c>
      <c r="F29" s="1162">
        <v>0.2</v>
      </c>
      <c r="G29" s="1163">
        <v>5</v>
      </c>
      <c r="H29" s="1164">
        <f t="shared" si="0"/>
        <v>18060</v>
      </c>
      <c r="I29" s="1160">
        <f>+H29</f>
        <v>18060</v>
      </c>
      <c r="J29" s="1163"/>
      <c r="K29" s="993"/>
    </row>
    <row r="30" spans="1:11" ht="22.5" customHeight="1" x14ac:dyDescent="0.2">
      <c r="A30" s="1158" t="s">
        <v>2861</v>
      </c>
      <c r="B30" s="1159">
        <v>43063</v>
      </c>
      <c r="C30" s="1160">
        <v>101604.17</v>
      </c>
      <c r="D30" s="1161"/>
      <c r="E30" s="1160">
        <v>1693.4</v>
      </c>
      <c r="F30" s="1162">
        <v>0.2</v>
      </c>
      <c r="G30" s="1163">
        <v>5</v>
      </c>
      <c r="H30" s="1164">
        <f t="shared" si="0"/>
        <v>20320.834000000003</v>
      </c>
      <c r="I30" s="1160">
        <f>+H30</f>
        <v>20320.834000000003</v>
      </c>
      <c r="J30" s="1165"/>
      <c r="K30" s="993"/>
    </row>
    <row r="31" spans="1:11" ht="22.5" customHeight="1" x14ac:dyDescent="0.2">
      <c r="A31" s="1158" t="s">
        <v>2861</v>
      </c>
      <c r="B31" s="1159" t="s">
        <v>2862</v>
      </c>
      <c r="C31" s="1166">
        <v>103842.24000000001</v>
      </c>
      <c r="D31" s="1167"/>
      <c r="E31" s="1166">
        <v>0</v>
      </c>
      <c r="F31" s="1162">
        <v>0.2</v>
      </c>
      <c r="G31" s="1163">
        <v>5</v>
      </c>
      <c r="H31" s="1164">
        <f>+Cellule_1079_8*Cellule_1082_8</f>
        <v>20768.448000000004</v>
      </c>
      <c r="I31" s="1166">
        <f>+Cellule_1081_8+Cellule_1084_8</f>
        <v>20768.448000000004</v>
      </c>
      <c r="J31" s="1168"/>
      <c r="K31" s="993"/>
    </row>
    <row r="32" spans="1:11" ht="22.5" customHeight="1" x14ac:dyDescent="0.2">
      <c r="A32" s="1070" t="s">
        <v>2861</v>
      </c>
      <c r="B32" s="1159">
        <v>43106</v>
      </c>
      <c r="C32" s="1166">
        <v>92500</v>
      </c>
      <c r="D32" s="1089"/>
      <c r="E32" s="1088"/>
      <c r="F32" s="1162">
        <v>0.2</v>
      </c>
      <c r="G32" s="1163">
        <v>5</v>
      </c>
      <c r="H32" s="1164">
        <f>+Cellule_1079_9*Cellule_1082_9</f>
        <v>18500</v>
      </c>
      <c r="I32" s="1088">
        <f>+Cellule_1081_9+Cellule_1084_9</f>
        <v>18500</v>
      </c>
      <c r="J32" s="1087"/>
      <c r="K32" s="993"/>
    </row>
    <row r="33" spans="1:11" x14ac:dyDescent="0.2">
      <c r="A33" s="1086" t="s">
        <v>2864</v>
      </c>
      <c r="B33" s="1159">
        <v>43106</v>
      </c>
      <c r="C33" s="1166">
        <v>92500</v>
      </c>
      <c r="D33" s="1116"/>
      <c r="E33" s="1115"/>
      <c r="F33" s="1162">
        <v>0.2</v>
      </c>
      <c r="G33" s="1163">
        <v>5</v>
      </c>
      <c r="H33" s="1164">
        <f>+Cellule_1079_10*Cellule_1082_10</f>
        <v>18500</v>
      </c>
      <c r="I33" s="1115">
        <f>+Cellule_1081_10+Cellule_1084_10</f>
        <v>18500</v>
      </c>
      <c r="J33" s="851"/>
      <c r="K33" s="993"/>
    </row>
    <row r="34" spans="1:11" x14ac:dyDescent="0.2">
      <c r="A34" s="1086"/>
      <c r="B34" s="1110"/>
      <c r="C34" s="1111"/>
      <c r="D34" s="1112"/>
      <c r="E34" s="1111"/>
      <c r="F34" s="1113"/>
      <c r="G34" s="1114"/>
      <c r="H34" s="1111"/>
      <c r="I34" s="1111"/>
      <c r="J34" s="1084"/>
      <c r="K34" s="993"/>
    </row>
    <row r="35" spans="1:11" x14ac:dyDescent="0.2">
      <c r="A35" s="1084"/>
      <c r="B35" s="1110"/>
      <c r="C35" s="1111"/>
      <c r="D35" s="1112"/>
      <c r="E35" s="1111"/>
      <c r="F35" s="1113"/>
      <c r="G35" s="1114"/>
      <c r="H35" s="1111"/>
      <c r="I35" s="1111"/>
      <c r="J35" s="1084"/>
      <c r="K35" s="993"/>
    </row>
    <row r="36" spans="1:11" x14ac:dyDescent="0.2">
      <c r="A36" s="1084"/>
      <c r="B36" s="1110"/>
      <c r="C36" s="1111"/>
      <c r="D36" s="1112"/>
      <c r="E36" s="1111"/>
      <c r="F36" s="1113"/>
      <c r="G36" s="1114"/>
      <c r="H36" s="1111"/>
      <c r="I36" s="1111"/>
      <c r="J36" s="1084"/>
      <c r="K36" s="993"/>
    </row>
    <row r="37" spans="1:11" x14ac:dyDescent="0.2">
      <c r="B37" s="2" t="s">
        <v>1005</v>
      </c>
      <c r="C37" s="653">
        <f>SUM(C14:C35)</f>
        <v>1778527.5799999998</v>
      </c>
      <c r="D37" s="653">
        <f t="shared" ref="D37:E37" si="2">SUM(D14:D35)</f>
        <v>0</v>
      </c>
      <c r="E37" s="653">
        <f t="shared" si="2"/>
        <v>171871.63999999998</v>
      </c>
      <c r="H37" s="653">
        <f>SUM(H14:H35)</f>
        <v>356372.01599999995</v>
      </c>
      <c r="I37" s="653">
        <f>SUM(I14:I35)</f>
        <v>357426.38599999994</v>
      </c>
    </row>
    <row r="39" spans="1:11" x14ac:dyDescent="0.2">
      <c r="B39" s="2" t="s">
        <v>2740</v>
      </c>
      <c r="C39" s="16">
        <f>'T4 B2-immo'!I9+'T4 B2-immo'!I14+'T4 B2-immo'!I20</f>
        <v>1593527.58</v>
      </c>
      <c r="D39" s="16"/>
      <c r="E39" s="16">
        <f>'T8 B2 BIS'!B9+'T8 B2 BIS'!B16+'T8 B2 BIS'!B23</f>
        <v>694.37</v>
      </c>
      <c r="F39" s="16"/>
      <c r="G39" s="16"/>
      <c r="H39" s="16">
        <f>'T8 B2 BIS'!C9+'T8 B2 BIS'!C16+'T8 B2 BIS'!C23</f>
        <v>172843.76</v>
      </c>
      <c r="I39" s="16">
        <f>'T8 B2 BIS'!E9+'T8 B2 BIS'!E16+'T8 B2 BIS'!E23</f>
        <v>173538.13</v>
      </c>
    </row>
    <row r="41" spans="1:11" x14ac:dyDescent="0.2">
      <c r="B41" s="2" t="s">
        <v>51</v>
      </c>
      <c r="C41" s="653">
        <f>C37-C39</f>
        <v>184999.99999999977</v>
      </c>
      <c r="E41" s="653">
        <f>E37-E39</f>
        <v>171177.27</v>
      </c>
      <c r="H41" s="653">
        <f>H37-H39</f>
        <v>183528.25599999994</v>
      </c>
      <c r="I41" s="653">
        <f>I37-I39</f>
        <v>183888.25599999994</v>
      </c>
    </row>
  </sheetData>
  <phoneticPr fontId="0" type="noConversion"/>
  <pageMargins left="0.78740157480314965" right="0.78740157480314965" top="0.68" bottom="1.39" header="0.51181102362204722" footer="0.15"/>
  <pageSetup paperSize="9" scale="65" orientation="landscape" horizontalDpi="300" verticalDpi="300" r:id="rId1"/>
  <headerFooter alignWithMargins="0">
    <oddHeader>&amp;L&amp;"Times New Roman,Gras italique"&amp;12Sté : ...............................</oddHeader>
  </headerFooter>
  <colBreaks count="1" manualBreakCount="1">
    <brk id="10" max="1048575" man="1"/>
  </col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7"/>
  <dimension ref="A1:J22"/>
  <sheetViews>
    <sheetView workbookViewId="0">
      <selection activeCell="J34" sqref="J34"/>
    </sheetView>
  </sheetViews>
  <sheetFormatPr baseColWidth="10" defaultColWidth="12" defaultRowHeight="12" x14ac:dyDescent="0.2"/>
  <cols>
    <col min="1" max="1" width="3.83203125" style="133" customWidth="1"/>
    <col min="2" max="2" width="28.83203125" style="132" customWidth="1"/>
    <col min="3" max="4" width="10.33203125" style="132" customWidth="1"/>
    <col min="5" max="5" width="9.83203125" style="132" customWidth="1"/>
    <col min="6" max="6" width="13.1640625" style="132" customWidth="1"/>
    <col min="7" max="7" width="8.83203125" style="132" customWidth="1"/>
    <col min="8" max="8" width="9" style="132" customWidth="1"/>
    <col min="9" max="9" width="12" style="132"/>
    <col min="10" max="10" width="14.1640625" style="132" customWidth="1"/>
    <col min="11" max="16384" width="12" style="132"/>
  </cols>
  <sheetData>
    <row r="1" spans="1:10" s="13" customFormat="1" x14ac:dyDescent="0.2">
      <c r="A1" s="5" t="s">
        <v>1006</v>
      </c>
      <c r="B1" s="5"/>
      <c r="D1" s="132"/>
      <c r="E1" s="132"/>
    </row>
    <row r="2" spans="1:10" s="13" customFormat="1" ht="12.75" x14ac:dyDescent="0.2">
      <c r="A2" s="15"/>
    </row>
    <row r="4" spans="1:10" s="13" customFormat="1" ht="15" x14ac:dyDescent="0.25">
      <c r="A4" s="134"/>
      <c r="B4" s="135" t="s">
        <v>1007</v>
      </c>
      <c r="C4" s="136"/>
      <c r="D4" s="136"/>
      <c r="E4" s="136"/>
      <c r="F4" s="136"/>
      <c r="G4" s="136"/>
      <c r="H4" s="136"/>
      <c r="I4" s="136"/>
      <c r="J4" s="136"/>
    </row>
    <row r="5" spans="1:10" s="13" customFormat="1" x14ac:dyDescent="0.2">
      <c r="A5" s="134"/>
      <c r="B5" s="136"/>
      <c r="C5" s="136"/>
      <c r="D5" s="136"/>
      <c r="E5" s="136"/>
      <c r="F5" s="136"/>
      <c r="G5" s="136"/>
      <c r="H5" s="136"/>
      <c r="I5" s="136"/>
      <c r="J5" s="136"/>
    </row>
    <row r="6" spans="1:10" s="13" customFormat="1" x14ac:dyDescent="0.2">
      <c r="A6" s="134"/>
      <c r="D6" s="5"/>
      <c r="E6" s="5"/>
      <c r="F6" s="5"/>
      <c r="G6" s="5"/>
      <c r="H6" s="1076" t="s">
        <v>63</v>
      </c>
      <c r="I6" s="5"/>
      <c r="J6" s="1077" t="str">
        <f>'T16 Amort'!G8</f>
        <v>31/12/2022</v>
      </c>
    </row>
    <row r="7" spans="1:10" ht="0.75" customHeight="1" x14ac:dyDescent="0.2"/>
    <row r="8" spans="1:10" s="140" customFormat="1" ht="88.5" customHeight="1" x14ac:dyDescent="0.2">
      <c r="A8" s="137"/>
      <c r="B8" s="137" t="s">
        <v>1008</v>
      </c>
      <c r="C8" s="138" t="s">
        <v>1009</v>
      </c>
      <c r="D8" s="138" t="s">
        <v>1010</v>
      </c>
      <c r="E8" s="138" t="s">
        <v>1011</v>
      </c>
      <c r="F8" s="138" t="s">
        <v>1012</v>
      </c>
      <c r="G8" s="138" t="s">
        <v>1013</v>
      </c>
      <c r="H8" s="138" t="s">
        <v>1014</v>
      </c>
      <c r="I8" s="138" t="s">
        <v>1015</v>
      </c>
      <c r="J8" s="139" t="s">
        <v>843</v>
      </c>
    </row>
    <row r="9" spans="1:10" s="143" customFormat="1" x14ac:dyDescent="0.2">
      <c r="A9" s="141">
        <v>1</v>
      </c>
      <c r="B9" s="142" t="s">
        <v>1016</v>
      </c>
      <c r="C9" s="785"/>
      <c r="D9" s="785"/>
      <c r="E9" s="785"/>
      <c r="F9" s="785"/>
      <c r="G9" s="785"/>
      <c r="H9" s="785"/>
      <c r="I9" s="785"/>
      <c r="J9" s="785"/>
    </row>
    <row r="10" spans="1:10" s="143" customFormat="1" x14ac:dyDescent="0.2">
      <c r="A10" s="141">
        <v>2</v>
      </c>
      <c r="B10" s="142" t="s">
        <v>1017</v>
      </c>
      <c r="C10" s="785"/>
      <c r="D10" s="785"/>
      <c r="E10" s="785"/>
      <c r="F10" s="785"/>
      <c r="G10" s="785"/>
      <c r="H10" s="785"/>
      <c r="I10" s="785"/>
      <c r="J10" s="785"/>
    </row>
    <row r="11" spans="1:10" s="143" customFormat="1" x14ac:dyDescent="0.2">
      <c r="A11" s="141">
        <v>3</v>
      </c>
      <c r="B11" s="142" t="s">
        <v>1018</v>
      </c>
      <c r="C11" s="785"/>
      <c r="D11" s="785"/>
      <c r="E11" s="785"/>
      <c r="F11" s="785"/>
      <c r="G11" s="785"/>
      <c r="H11" s="785"/>
      <c r="I11" s="785"/>
      <c r="J11" s="785"/>
    </row>
    <row r="12" spans="1:10" s="143" customFormat="1" x14ac:dyDescent="0.2">
      <c r="A12" s="141">
        <v>4</v>
      </c>
      <c r="B12" s="142" t="s">
        <v>1019</v>
      </c>
      <c r="C12" s="785"/>
      <c r="D12" s="785"/>
      <c r="E12" s="785"/>
      <c r="F12" s="785"/>
      <c r="G12" s="785"/>
      <c r="H12" s="785"/>
      <c r="I12" s="785"/>
      <c r="J12" s="785"/>
    </row>
    <row r="13" spans="1:10" s="143" customFormat="1" x14ac:dyDescent="0.2">
      <c r="A13" s="141">
        <v>5</v>
      </c>
      <c r="B13" s="142" t="s">
        <v>1020</v>
      </c>
      <c r="C13" s="785"/>
      <c r="D13" s="785"/>
      <c r="E13" s="785"/>
      <c r="F13" s="785"/>
      <c r="G13" s="785"/>
      <c r="H13" s="785"/>
      <c r="I13" s="785"/>
      <c r="J13" s="785"/>
    </row>
    <row r="14" spans="1:10" s="143" customFormat="1" x14ac:dyDescent="0.2">
      <c r="A14" s="141">
        <v>6</v>
      </c>
      <c r="B14" s="142" t="s">
        <v>1021</v>
      </c>
      <c r="C14" s="785"/>
      <c r="D14" s="785"/>
      <c r="E14" s="785"/>
      <c r="F14" s="785"/>
      <c r="G14" s="785"/>
      <c r="H14" s="785"/>
      <c r="I14" s="785"/>
      <c r="J14" s="785"/>
    </row>
    <row r="15" spans="1:10" s="143" customFormat="1" x14ac:dyDescent="0.2">
      <c r="A15" s="141">
        <v>7</v>
      </c>
      <c r="B15" s="142" t="s">
        <v>1022</v>
      </c>
      <c r="C15" s="785"/>
      <c r="D15" s="785"/>
      <c r="E15" s="785"/>
      <c r="F15" s="785"/>
      <c r="G15" s="785"/>
      <c r="H15" s="785"/>
      <c r="I15" s="785"/>
      <c r="J15" s="785"/>
    </row>
    <row r="16" spans="1:10" s="143" customFormat="1" x14ac:dyDescent="0.2">
      <c r="A16" s="141">
        <v>8</v>
      </c>
      <c r="B16" s="142" t="s">
        <v>1023</v>
      </c>
      <c r="C16" s="785"/>
      <c r="D16" s="785"/>
      <c r="E16" s="785"/>
      <c r="F16" s="785"/>
      <c r="G16" s="785"/>
      <c r="H16" s="785"/>
      <c r="I16" s="785"/>
      <c r="J16" s="785"/>
    </row>
    <row r="17" spans="1:10" s="143" customFormat="1" x14ac:dyDescent="0.2">
      <c r="A17" s="141">
        <v>9</v>
      </c>
      <c r="B17" s="142" t="s">
        <v>1024</v>
      </c>
      <c r="C17" s="785"/>
      <c r="D17" s="785"/>
      <c r="E17" s="785"/>
      <c r="F17" s="785"/>
      <c r="G17" s="785"/>
      <c r="H17" s="785"/>
      <c r="I17" s="785"/>
      <c r="J17" s="785"/>
    </row>
    <row r="18" spans="1:10" s="143" customFormat="1" ht="13.5" customHeight="1" x14ac:dyDescent="0.2">
      <c r="A18" s="144">
        <v>10</v>
      </c>
      <c r="B18" s="145" t="s">
        <v>1025</v>
      </c>
      <c r="C18" s="785"/>
      <c r="D18" s="785"/>
      <c r="E18" s="785"/>
      <c r="F18" s="785"/>
      <c r="G18" s="785"/>
      <c r="H18" s="785"/>
      <c r="I18" s="785"/>
      <c r="J18" s="785"/>
    </row>
    <row r="19" spans="1:10" ht="11.25" customHeight="1" x14ac:dyDescent="0.2">
      <c r="A19" s="146"/>
      <c r="B19" s="147" t="s">
        <v>928</v>
      </c>
      <c r="C19" s="809">
        <f>SUM(C9:C18)</f>
        <v>0</v>
      </c>
      <c r="D19" s="809">
        <f t="shared" ref="D19:I19" si="0">SUM(D9:D18)</f>
        <v>0</v>
      </c>
      <c r="E19" s="809">
        <f t="shared" si="0"/>
        <v>0</v>
      </c>
      <c r="F19" s="809">
        <f t="shared" si="0"/>
        <v>0</v>
      </c>
      <c r="G19" s="809">
        <f t="shared" si="0"/>
        <v>0</v>
      </c>
      <c r="H19" s="809">
        <f t="shared" si="0"/>
        <v>0</v>
      </c>
      <c r="I19" s="809">
        <f t="shared" si="0"/>
        <v>0</v>
      </c>
      <c r="J19" s="809"/>
    </row>
    <row r="20" spans="1:10" s="149" customFormat="1" ht="9" x14ac:dyDescent="0.15">
      <c r="A20" s="148" t="s">
        <v>1026</v>
      </c>
      <c r="B20" s="149" t="s">
        <v>1027</v>
      </c>
    </row>
    <row r="21" spans="1:10" s="149" customFormat="1" ht="9" x14ac:dyDescent="0.15">
      <c r="A21" s="148" t="s">
        <v>1028</v>
      </c>
      <c r="B21" s="149" t="s">
        <v>1029</v>
      </c>
    </row>
    <row r="22" spans="1:10" s="149" customFormat="1" ht="9" x14ac:dyDescent="0.15">
      <c r="A22" s="150"/>
    </row>
  </sheetData>
  <phoneticPr fontId="0" type="noConversion"/>
  <pageMargins left="0.78740157499999996" right="0.78740157499999996" top="0.984251969" bottom="0.984251969" header="0.4921259845" footer="0.4921259845"/>
  <pageSetup paperSize="9" scale="119" orientation="landscape" horizontalDpi="300" verticalDpi="300" r:id="rId1"/>
  <headerFooter alignWithMargins="0">
    <oddHeader>&amp;L&amp;"Times New Roman,Gras italique"&amp;12Sté : ...............................</oddHead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8"/>
  <dimension ref="A1:P34"/>
  <sheetViews>
    <sheetView zoomScale="80" zoomScaleNormal="80" workbookViewId="0">
      <selection activeCell="M2" sqref="M2"/>
    </sheetView>
  </sheetViews>
  <sheetFormatPr baseColWidth="10" defaultColWidth="12" defaultRowHeight="12.75" x14ac:dyDescent="0.2"/>
  <cols>
    <col min="1" max="1" width="15.6640625" style="2" bestFit="1" customWidth="1"/>
    <col min="2" max="2" width="18.83203125" style="2" customWidth="1"/>
    <col min="3" max="3" width="12.33203125" style="2" customWidth="1"/>
    <col min="4" max="4" width="16" style="2" bestFit="1" customWidth="1"/>
    <col min="5" max="5" width="10.6640625" style="2" customWidth="1"/>
    <col min="6" max="6" width="9.5" style="2" customWidth="1"/>
    <col min="7" max="7" width="10.1640625" style="2" customWidth="1"/>
    <col min="8" max="8" width="15" style="2" bestFit="1" customWidth="1"/>
    <col min="9" max="9" width="14.5" style="2" customWidth="1"/>
    <col min="10" max="10" width="10.6640625" style="2" customWidth="1"/>
    <col min="11" max="11" width="13.1640625" style="2" customWidth="1"/>
    <col min="12" max="12" width="14.83203125" style="2" bestFit="1" customWidth="1"/>
    <col min="13" max="16384" width="12" style="2"/>
  </cols>
  <sheetData>
    <row r="1" spans="1:16" ht="13.5" x14ac:dyDescent="0.25">
      <c r="A1" s="696" t="s">
        <v>739</v>
      </c>
    </row>
    <row r="4" spans="1:16" s="583" customFormat="1" ht="18" x14ac:dyDescent="0.25">
      <c r="A4" s="580" t="s">
        <v>740</v>
      </c>
      <c r="B4" s="580"/>
      <c r="C4" s="580"/>
      <c r="D4" s="580"/>
      <c r="E4" s="580"/>
      <c r="F4" s="580"/>
      <c r="G4" s="580"/>
      <c r="H4" s="580"/>
      <c r="I4" s="580"/>
      <c r="J4" s="580"/>
      <c r="K4" s="581"/>
      <c r="L4" s="581"/>
      <c r="M4" s="581"/>
      <c r="N4" s="581"/>
      <c r="O4" s="582"/>
      <c r="P4" s="582"/>
    </row>
    <row r="5" spans="1:16" s="585" customFormat="1" ht="18" x14ac:dyDescent="0.25">
      <c r="A5" s="584" t="s">
        <v>741</v>
      </c>
      <c r="B5" s="584"/>
      <c r="C5" s="584"/>
      <c r="D5" s="584"/>
      <c r="E5" s="584"/>
      <c r="F5" s="584"/>
      <c r="G5" s="584"/>
      <c r="H5" s="584"/>
      <c r="I5" s="584"/>
      <c r="J5" s="584"/>
      <c r="K5" s="584"/>
      <c r="L5" s="584"/>
      <c r="M5" s="584"/>
      <c r="N5" s="584"/>
    </row>
    <row r="7" spans="1:16" x14ac:dyDescent="0.2">
      <c r="J7" s="12" t="str">
        <f>'T14 C2-affec resu'!C6</f>
        <v>Exercice clos le :</v>
      </c>
      <c r="K7" s="12"/>
      <c r="L7" s="342" t="str">
        <f>'T5 ESG'!$G$3</f>
        <v>31/12/2022</v>
      </c>
      <c r="M7" s="586"/>
    </row>
    <row r="8" spans="1:16" x14ac:dyDescent="0.2">
      <c r="A8" s="587" t="s">
        <v>742</v>
      </c>
      <c r="B8" s="587" t="s">
        <v>976</v>
      </c>
      <c r="C8" s="587" t="s">
        <v>743</v>
      </c>
      <c r="D8" s="587" t="s">
        <v>744</v>
      </c>
      <c r="E8" s="587" t="s">
        <v>745</v>
      </c>
      <c r="F8" s="587" t="s">
        <v>746</v>
      </c>
      <c r="G8" s="587" t="s">
        <v>747</v>
      </c>
      <c r="H8" s="587" t="s">
        <v>748</v>
      </c>
      <c r="I8" s="588" t="s">
        <v>749</v>
      </c>
      <c r="J8" s="589"/>
      <c r="K8" s="590" t="s">
        <v>750</v>
      </c>
      <c r="L8" s="591"/>
      <c r="M8" s="592"/>
    </row>
    <row r="9" spans="1:16" x14ac:dyDescent="0.2">
      <c r="A9" s="593" t="s">
        <v>751</v>
      </c>
      <c r="B9" s="593"/>
      <c r="C9" s="593" t="s">
        <v>752</v>
      </c>
      <c r="D9" s="593" t="s">
        <v>753</v>
      </c>
      <c r="E9" s="593" t="s">
        <v>754</v>
      </c>
      <c r="F9" s="593" t="s">
        <v>753</v>
      </c>
      <c r="G9" s="593" t="s">
        <v>755</v>
      </c>
      <c r="H9" s="593" t="s">
        <v>756</v>
      </c>
      <c r="I9" s="594" t="s">
        <v>757</v>
      </c>
      <c r="J9" s="595"/>
      <c r="K9" s="596" t="s">
        <v>758</v>
      </c>
      <c r="L9" s="419"/>
      <c r="M9" s="593" t="s">
        <v>843</v>
      </c>
    </row>
    <row r="10" spans="1:16" x14ac:dyDescent="0.2">
      <c r="A10" s="593" t="s">
        <v>986</v>
      </c>
      <c r="B10" s="593"/>
      <c r="C10" s="593" t="s">
        <v>759</v>
      </c>
      <c r="D10" s="593"/>
      <c r="E10" s="593"/>
      <c r="F10" s="593" t="s">
        <v>760</v>
      </c>
      <c r="G10" s="593"/>
      <c r="H10" s="593" t="s">
        <v>761</v>
      </c>
      <c r="I10" s="597" t="s">
        <v>762</v>
      </c>
      <c r="J10" s="598"/>
      <c r="K10" s="599"/>
      <c r="L10" s="336"/>
      <c r="M10" s="420"/>
    </row>
    <row r="11" spans="1:16" x14ac:dyDescent="0.2">
      <c r="A11" s="600"/>
      <c r="B11" s="600"/>
      <c r="C11" s="600"/>
      <c r="D11" s="600"/>
      <c r="E11" s="600"/>
      <c r="F11" s="600"/>
      <c r="G11" s="600"/>
      <c r="H11" s="578"/>
      <c r="I11" s="608" t="s">
        <v>763</v>
      </c>
      <c r="J11" s="608" t="s">
        <v>764</v>
      </c>
      <c r="K11" s="608" t="s">
        <v>763</v>
      </c>
      <c r="L11" s="608" t="s">
        <v>764</v>
      </c>
      <c r="M11" s="601"/>
    </row>
    <row r="12" spans="1:16" x14ac:dyDescent="0.2">
      <c r="A12" s="602"/>
      <c r="B12" s="1122"/>
      <c r="C12" s="1122"/>
      <c r="D12" s="1123"/>
      <c r="E12" s="1123"/>
      <c r="F12" s="1123"/>
      <c r="G12" s="1123"/>
      <c r="H12" s="1123"/>
      <c r="I12" s="1123"/>
      <c r="J12" s="1123"/>
      <c r="K12" s="1123"/>
      <c r="L12" s="1124"/>
      <c r="M12" s="1124"/>
    </row>
    <row r="13" spans="1:16" ht="24" customHeight="1" x14ac:dyDescent="0.2">
      <c r="A13" s="604" t="s">
        <v>765</v>
      </c>
      <c r="B13" s="1125"/>
      <c r="C13" s="1125"/>
      <c r="D13" s="1126"/>
      <c r="E13" s="1126"/>
      <c r="F13" s="1126"/>
      <c r="G13" s="1126"/>
      <c r="H13" s="1126"/>
      <c r="I13" s="1126"/>
      <c r="J13" s="1126"/>
      <c r="K13" s="1126"/>
      <c r="L13" s="1127"/>
      <c r="M13" s="1127"/>
    </row>
    <row r="14" spans="1:16" ht="24" customHeight="1" x14ac:dyDescent="0.2">
      <c r="A14" s="604"/>
      <c r="B14" s="788"/>
      <c r="C14" s="791"/>
      <c r="D14" s="860"/>
      <c r="E14" s="856"/>
      <c r="F14" s="789"/>
      <c r="G14" s="858"/>
      <c r="H14" s="860"/>
      <c r="I14" s="793"/>
      <c r="J14" s="792"/>
      <c r="K14" s="792"/>
      <c r="L14" s="794"/>
      <c r="M14" s="790"/>
    </row>
    <row r="15" spans="1:16" ht="24" customHeight="1" x14ac:dyDescent="0.2">
      <c r="A15" s="604"/>
      <c r="B15" s="857"/>
      <c r="C15" s="788"/>
      <c r="D15" s="789"/>
      <c r="E15" s="789"/>
      <c r="F15" s="789"/>
      <c r="G15" s="789"/>
      <c r="H15" s="789"/>
      <c r="I15" s="789"/>
      <c r="J15" s="789"/>
      <c r="K15" s="789"/>
      <c r="L15" s="790"/>
      <c r="M15" s="790"/>
    </row>
    <row r="16" spans="1:16" ht="24" customHeight="1" x14ac:dyDescent="0.2">
      <c r="A16" s="604"/>
      <c r="B16" s="788"/>
      <c r="C16" s="788"/>
      <c r="D16" s="789"/>
      <c r="E16" s="789"/>
      <c r="F16" s="789"/>
      <c r="G16" s="789"/>
      <c r="H16" s="789"/>
      <c r="I16" s="789"/>
      <c r="J16" s="789"/>
      <c r="K16" s="789"/>
      <c r="L16" s="790"/>
      <c r="M16" s="790"/>
    </row>
    <row r="17" spans="1:13" ht="24" customHeight="1" x14ac:dyDescent="0.2">
      <c r="A17" s="604"/>
      <c r="B17" s="788"/>
      <c r="C17" s="788"/>
      <c r="D17" s="789"/>
      <c r="E17" s="789"/>
      <c r="F17" s="789"/>
      <c r="G17" s="789"/>
      <c r="H17" s="789"/>
      <c r="I17" s="789"/>
      <c r="J17" s="789"/>
      <c r="K17" s="789"/>
      <c r="L17" s="790"/>
      <c r="M17" s="790"/>
    </row>
    <row r="18" spans="1:13" ht="24" customHeight="1" x14ac:dyDescent="0.2">
      <c r="A18" s="604" t="s">
        <v>766</v>
      </c>
      <c r="B18" s="1125"/>
      <c r="C18" s="1125"/>
      <c r="D18" s="1126"/>
      <c r="E18" s="1126"/>
      <c r="F18" s="1126"/>
      <c r="G18" s="1126"/>
      <c r="H18" s="1126"/>
      <c r="I18" s="1126"/>
      <c r="J18" s="1126"/>
      <c r="K18" s="1126"/>
      <c r="L18" s="1127"/>
      <c r="M18" s="1127"/>
    </row>
    <row r="19" spans="1:13" ht="24" customHeight="1" x14ac:dyDescent="0.2">
      <c r="A19" s="604"/>
      <c r="B19" s="788"/>
      <c r="C19" s="788"/>
      <c r="D19" s="789"/>
      <c r="E19" s="789"/>
      <c r="F19" s="789"/>
      <c r="G19" s="789"/>
      <c r="H19" s="789"/>
      <c r="I19" s="789"/>
      <c r="J19" s="789"/>
      <c r="K19" s="789"/>
      <c r="L19" s="790"/>
      <c r="M19" s="790"/>
    </row>
    <row r="20" spans="1:13" ht="24" customHeight="1" x14ac:dyDescent="0.2">
      <c r="A20" s="604"/>
      <c r="B20" s="788"/>
      <c r="C20" s="788"/>
      <c r="D20" s="789"/>
      <c r="E20" s="789"/>
      <c r="F20" s="789"/>
      <c r="G20" s="789"/>
      <c r="H20" s="789"/>
      <c r="I20" s="789"/>
      <c r="J20" s="789"/>
      <c r="K20" s="789"/>
      <c r="L20" s="790"/>
      <c r="M20" s="790"/>
    </row>
    <row r="21" spans="1:13" ht="24" customHeight="1" x14ac:dyDescent="0.2">
      <c r="A21" s="604"/>
      <c r="B21" s="788"/>
      <c r="C21" s="788"/>
      <c r="D21" s="789"/>
      <c r="E21" s="789"/>
      <c r="F21" s="789"/>
      <c r="G21" s="789"/>
      <c r="H21" s="789"/>
      <c r="I21" s="789"/>
      <c r="J21" s="789"/>
      <c r="K21" s="789"/>
      <c r="L21" s="790"/>
      <c r="M21" s="790"/>
    </row>
    <row r="22" spans="1:13" ht="24" customHeight="1" x14ac:dyDescent="0.2">
      <c r="A22" s="604"/>
      <c r="B22" s="788"/>
      <c r="C22" s="789"/>
      <c r="D22" s="789"/>
      <c r="E22" s="789"/>
      <c r="F22" s="789"/>
      <c r="G22" s="789"/>
      <c r="H22" s="789"/>
      <c r="I22" s="789"/>
      <c r="J22" s="789"/>
      <c r="K22" s="789"/>
      <c r="L22" s="790"/>
      <c r="M22" s="790"/>
    </row>
    <row r="23" spans="1:13" ht="24" customHeight="1" x14ac:dyDescent="0.2">
      <c r="A23" s="606" t="s">
        <v>928</v>
      </c>
      <c r="B23" s="602"/>
      <c r="C23" s="810"/>
      <c r="D23" s="609">
        <f>SUM(D13:D21)</f>
        <v>0</v>
      </c>
      <c r="E23" s="810"/>
      <c r="F23" s="810"/>
      <c r="G23" s="810"/>
      <c r="H23" s="609">
        <f>SUM(H13:H21)</f>
        <v>0</v>
      </c>
      <c r="I23" s="609">
        <f>SUM(I13:I21)</f>
        <v>0</v>
      </c>
      <c r="J23" s="609">
        <f>SUM(J13:J21)</f>
        <v>0</v>
      </c>
      <c r="K23" s="609">
        <f>SUM(K13:K21)</f>
        <v>0</v>
      </c>
      <c r="L23" s="609">
        <f>SUM(L13:L21)</f>
        <v>0</v>
      </c>
      <c r="M23" s="591"/>
    </row>
    <row r="24" spans="1:13" x14ac:dyDescent="0.2">
      <c r="A24" s="578"/>
      <c r="B24" s="578"/>
      <c r="C24" s="605"/>
      <c r="D24" s="605"/>
      <c r="E24" s="605"/>
      <c r="F24" s="605"/>
      <c r="G24" s="605"/>
      <c r="H24" s="605"/>
      <c r="I24" s="605"/>
      <c r="J24" s="605"/>
      <c r="K24" s="605"/>
      <c r="L24" s="336"/>
      <c r="M24" s="336"/>
    </row>
    <row r="25" spans="1:13" x14ac:dyDescent="0.2">
      <c r="A25" s="607"/>
      <c r="B25" s="607"/>
      <c r="C25" s="607"/>
      <c r="D25" s="607"/>
      <c r="E25" s="607"/>
      <c r="F25" s="607"/>
      <c r="G25" s="607"/>
      <c r="H25" s="607"/>
      <c r="I25" s="607"/>
      <c r="J25" s="607"/>
      <c r="K25" s="607"/>
    </row>
    <row r="26" spans="1:13" x14ac:dyDescent="0.2">
      <c r="A26" s="607"/>
      <c r="B26" s="607"/>
      <c r="C26" s="607"/>
      <c r="D26" s="607"/>
      <c r="E26" s="607"/>
      <c r="F26" s="607"/>
      <c r="G26" s="607"/>
      <c r="H26" s="607"/>
      <c r="I26" s="607"/>
      <c r="J26" s="607"/>
      <c r="K26" s="607"/>
    </row>
    <row r="27" spans="1:13" x14ac:dyDescent="0.2">
      <c r="A27" s="607"/>
      <c r="B27" s="607"/>
      <c r="C27" s="607"/>
      <c r="D27" s="607"/>
      <c r="E27" s="607"/>
      <c r="F27" s="607"/>
      <c r="G27" s="607"/>
      <c r="H27" s="607"/>
      <c r="I27" s="607"/>
      <c r="J27" s="607"/>
      <c r="K27" s="607"/>
    </row>
    <row r="28" spans="1:13" x14ac:dyDescent="0.2">
      <c r="A28" s="607"/>
      <c r="B28" s="607"/>
      <c r="C28" s="607"/>
      <c r="D28" s="607"/>
      <c r="E28" s="607"/>
      <c r="F28" s="607"/>
      <c r="G28" s="607"/>
      <c r="H28" s="607"/>
      <c r="I28" s="607"/>
      <c r="J28" s="607"/>
      <c r="K28" s="607"/>
    </row>
    <row r="29" spans="1:13" x14ac:dyDescent="0.2">
      <c r="A29" s="607"/>
      <c r="B29" s="607"/>
      <c r="C29" s="607"/>
      <c r="D29" s="607"/>
      <c r="E29" s="607"/>
      <c r="F29" s="607"/>
      <c r="G29" s="607"/>
      <c r="H29" s="607"/>
      <c r="I29" s="607"/>
      <c r="J29" s="607"/>
      <c r="K29" s="607"/>
    </row>
    <row r="30" spans="1:13" x14ac:dyDescent="0.2">
      <c r="A30" s="607"/>
      <c r="B30" s="607"/>
      <c r="C30" s="607"/>
      <c r="D30" s="607"/>
      <c r="E30" s="607"/>
      <c r="F30" s="607"/>
      <c r="G30" s="607"/>
      <c r="H30" s="607"/>
      <c r="I30" s="607"/>
      <c r="J30" s="607"/>
      <c r="K30" s="607"/>
    </row>
    <row r="31" spans="1:13" x14ac:dyDescent="0.2">
      <c r="A31" s="607"/>
      <c r="B31" s="607"/>
      <c r="C31" s="607"/>
      <c r="D31" s="607"/>
      <c r="E31" s="607"/>
      <c r="F31" s="607"/>
      <c r="G31" s="607"/>
      <c r="H31" s="607"/>
      <c r="I31" s="607"/>
      <c r="J31" s="607"/>
      <c r="K31" s="607"/>
    </row>
    <row r="32" spans="1:13" x14ac:dyDescent="0.2">
      <c r="A32" s="607"/>
      <c r="B32" s="607"/>
      <c r="C32" s="607"/>
      <c r="D32" s="607"/>
      <c r="E32" s="607"/>
      <c r="F32" s="607"/>
      <c r="G32" s="607"/>
      <c r="H32" s="607"/>
      <c r="I32" s="607"/>
      <c r="J32" s="607"/>
      <c r="K32" s="607"/>
    </row>
    <row r="33" spans="1:11" x14ac:dyDescent="0.2">
      <c r="A33" s="607"/>
      <c r="B33" s="607"/>
      <c r="C33" s="607"/>
      <c r="D33" s="607"/>
      <c r="E33" s="607"/>
      <c r="F33" s="607"/>
      <c r="G33" s="607"/>
      <c r="H33" s="607"/>
      <c r="I33" s="607"/>
      <c r="J33" s="607"/>
      <c r="K33" s="607"/>
    </row>
    <row r="34" spans="1:11" x14ac:dyDescent="0.2">
      <c r="A34" s="607"/>
      <c r="B34" s="607"/>
      <c r="C34" s="607"/>
      <c r="D34" s="607"/>
      <c r="E34" s="607"/>
      <c r="F34" s="607"/>
      <c r="G34" s="607"/>
      <c r="H34" s="607"/>
      <c r="I34" s="607"/>
      <c r="J34" s="607"/>
      <c r="K34" s="607"/>
    </row>
  </sheetData>
  <phoneticPr fontId="0" type="noConversion"/>
  <pageMargins left="0.78740157499999996" right="0.78740157499999996" top="0.984251969" bottom="0.984251969" header="0.4921259845" footer="0.4921259845"/>
  <pageSetup paperSize="9" scale="83" orientation="landscape" horizontalDpi="300" verticalDpi="300" r:id="rId1"/>
  <headerFooter alignWithMargins="0">
    <oddHeader>&amp;L&amp;"Times New Roman,Gras italique"&amp;12Sté : ...............................</oddHeader>
  </headerFooter>
  <colBreaks count="1" manualBreakCount="1">
    <brk id="13" max="1048575" man="1"/>
  </colBreak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9"/>
  <dimension ref="A1:N25"/>
  <sheetViews>
    <sheetView workbookViewId="0">
      <selection activeCell="D14" sqref="D14"/>
    </sheetView>
  </sheetViews>
  <sheetFormatPr baseColWidth="10" defaultColWidth="12" defaultRowHeight="12.75" x14ac:dyDescent="0.2"/>
  <cols>
    <col min="1" max="1" width="4.6640625" style="2" customWidth="1"/>
    <col min="2" max="2" width="9.6640625" style="2" customWidth="1"/>
    <col min="3" max="3" width="21.33203125" style="2" customWidth="1"/>
    <col min="4" max="4" width="34.83203125" style="2" customWidth="1"/>
    <col min="5" max="5" width="17" style="2" customWidth="1"/>
    <col min="6" max="6" width="15.6640625" style="2" customWidth="1"/>
    <col min="7" max="7" width="18" style="2" customWidth="1"/>
    <col min="8" max="8" width="12.1640625" style="2" bestFit="1" customWidth="1"/>
    <col min="9" max="9" width="13" style="2" bestFit="1" customWidth="1"/>
    <col min="10" max="16384" width="12" style="2"/>
  </cols>
  <sheetData>
    <row r="1" spans="1:14" ht="13.5" x14ac:dyDescent="0.25">
      <c r="A1" s="696" t="s">
        <v>1052</v>
      </c>
      <c r="B1" s="282"/>
      <c r="D1" s="282"/>
    </row>
    <row r="2" spans="1:14" x14ac:dyDescent="0.2">
      <c r="C2" s="282"/>
      <c r="D2" s="282"/>
    </row>
    <row r="3" spans="1:14" x14ac:dyDescent="0.2">
      <c r="C3" s="282"/>
      <c r="D3" s="282"/>
    </row>
    <row r="4" spans="1:14" s="582" customFormat="1" ht="18" x14ac:dyDescent="0.25">
      <c r="C4" s="610" t="s">
        <v>767</v>
      </c>
      <c r="D4" s="610"/>
      <c r="E4" s="610"/>
      <c r="F4" s="610"/>
      <c r="G4" s="610"/>
      <c r="H4" s="611"/>
      <c r="N4" s="2"/>
    </row>
    <row r="5" spans="1:14" x14ac:dyDescent="0.2">
      <c r="C5" s="612"/>
      <c r="D5" s="612"/>
      <c r="E5" s="612"/>
      <c r="F5" s="612"/>
      <c r="G5" s="612"/>
      <c r="H5" s="579"/>
      <c r="I5" s="342"/>
    </row>
    <row r="6" spans="1:14" x14ac:dyDescent="0.2">
      <c r="G6" s="676" t="str">
        <f>'T18 Emprunts'!J7</f>
        <v>Exercice clos le :</v>
      </c>
      <c r="H6" s="676"/>
      <c r="I6" s="342" t="str">
        <f>'T5 ESG'!$G$3</f>
        <v>31/12/2022</v>
      </c>
    </row>
    <row r="7" spans="1:14" x14ac:dyDescent="0.2">
      <c r="A7" s="602"/>
      <c r="B7" s="602"/>
      <c r="C7" s="602"/>
      <c r="D7" s="603"/>
      <c r="E7" s="603"/>
      <c r="F7" s="603"/>
      <c r="G7" s="602"/>
      <c r="H7" s="613" t="s">
        <v>768</v>
      </c>
      <c r="I7" s="614"/>
      <c r="J7" s="607"/>
      <c r="K7" s="607"/>
      <c r="L7" s="607"/>
    </row>
    <row r="8" spans="1:14" x14ac:dyDescent="0.2">
      <c r="A8" s="604"/>
      <c r="B8" s="593" t="s">
        <v>769</v>
      </c>
      <c r="C8" s="593" t="s">
        <v>770</v>
      </c>
      <c r="D8" s="615" t="s">
        <v>771</v>
      </c>
      <c r="E8" s="615" t="s">
        <v>772</v>
      </c>
      <c r="F8" s="615" t="s">
        <v>773</v>
      </c>
      <c r="G8" s="593" t="s">
        <v>774</v>
      </c>
      <c r="H8" s="602"/>
      <c r="I8" s="602"/>
      <c r="J8" s="607"/>
      <c r="K8" s="607"/>
      <c r="L8" s="607"/>
    </row>
    <row r="9" spans="1:14" x14ac:dyDescent="0.2">
      <c r="A9" s="604"/>
      <c r="B9" s="593" t="s">
        <v>775</v>
      </c>
      <c r="C9" s="593" t="s">
        <v>776</v>
      </c>
      <c r="D9" s="615" t="s">
        <v>777</v>
      </c>
      <c r="E9" s="615" t="s">
        <v>778</v>
      </c>
      <c r="F9" s="615" t="s">
        <v>779</v>
      </c>
      <c r="G9" s="593" t="s">
        <v>780</v>
      </c>
      <c r="H9" s="593" t="s">
        <v>781</v>
      </c>
      <c r="I9" s="593" t="s">
        <v>782</v>
      </c>
      <c r="J9" s="607"/>
      <c r="K9" s="607"/>
      <c r="L9" s="607"/>
    </row>
    <row r="10" spans="1:14" x14ac:dyDescent="0.2">
      <c r="A10" s="604"/>
      <c r="B10" s="593"/>
      <c r="C10" s="593"/>
      <c r="D10" s="615"/>
      <c r="E10" s="615" t="s">
        <v>779</v>
      </c>
      <c r="F10" s="615"/>
      <c r="G10" s="593" t="s">
        <v>783</v>
      </c>
      <c r="H10" s="604"/>
      <c r="I10" s="604"/>
      <c r="J10" s="607"/>
      <c r="K10" s="607"/>
      <c r="L10" s="607"/>
    </row>
    <row r="11" spans="1:14" x14ac:dyDescent="0.2">
      <c r="A11" s="578"/>
      <c r="B11" s="600">
        <v>1</v>
      </c>
      <c r="C11" s="600">
        <v>2</v>
      </c>
      <c r="D11" s="616">
        <v>3</v>
      </c>
      <c r="E11" s="616">
        <v>4</v>
      </c>
      <c r="F11" s="616">
        <v>5</v>
      </c>
      <c r="G11" s="600">
        <v>6</v>
      </c>
      <c r="H11" s="600">
        <v>7</v>
      </c>
      <c r="I11" s="600">
        <v>8</v>
      </c>
      <c r="J11" s="607"/>
      <c r="K11" s="607"/>
      <c r="L11" s="607"/>
    </row>
    <row r="12" spans="1:14" s="619" customFormat="1" ht="27" customHeight="1" x14ac:dyDescent="0.2">
      <c r="A12" s="617"/>
      <c r="B12" s="1169" t="s">
        <v>2870</v>
      </c>
      <c r="C12" s="1171" t="s">
        <v>2867</v>
      </c>
      <c r="D12" s="1169" t="s">
        <v>2865</v>
      </c>
      <c r="E12" s="1175">
        <v>42594</v>
      </c>
      <c r="F12" s="798">
        <v>12000</v>
      </c>
      <c r="G12" s="798">
        <v>12000</v>
      </c>
      <c r="H12" s="1176" t="s">
        <v>781</v>
      </c>
      <c r="I12" s="796"/>
      <c r="J12" s="618"/>
      <c r="K12" s="618"/>
      <c r="L12" s="618"/>
    </row>
    <row r="13" spans="1:14" s="619" customFormat="1" ht="27" customHeight="1" x14ac:dyDescent="0.2">
      <c r="A13" s="617"/>
      <c r="B13" s="1170" t="s">
        <v>2869</v>
      </c>
      <c r="C13" s="1172" t="s">
        <v>2868</v>
      </c>
      <c r="D13" s="1173" t="s">
        <v>2866</v>
      </c>
      <c r="E13" s="797"/>
      <c r="F13" s="798"/>
      <c r="G13" s="798"/>
      <c r="H13" s="799"/>
      <c r="I13" s="796"/>
      <c r="J13" s="618"/>
      <c r="K13" s="618"/>
      <c r="L13" s="618"/>
    </row>
    <row r="14" spans="1:14" s="619" customFormat="1" ht="27" customHeight="1" x14ac:dyDescent="0.2">
      <c r="A14" s="617"/>
      <c r="B14" s="795"/>
      <c r="C14" s="796"/>
      <c r="D14" s="1174" t="s">
        <v>2863</v>
      </c>
      <c r="E14" s="797"/>
      <c r="F14" s="798"/>
      <c r="G14" s="798"/>
      <c r="H14" s="799"/>
      <c r="I14" s="796"/>
      <c r="J14" s="618"/>
      <c r="K14" s="618"/>
      <c r="L14" s="618"/>
    </row>
    <row r="15" spans="1:14" s="619" customFormat="1" ht="27" customHeight="1" x14ac:dyDescent="0.2">
      <c r="A15" s="617"/>
      <c r="B15" s="795"/>
      <c r="C15" s="796"/>
      <c r="D15" s="796"/>
      <c r="E15" s="797"/>
      <c r="F15" s="798"/>
      <c r="G15" s="798"/>
      <c r="H15" s="799"/>
      <c r="I15" s="796"/>
      <c r="J15" s="618"/>
      <c r="K15" s="618"/>
      <c r="L15" s="618"/>
    </row>
    <row r="16" spans="1:14" s="619" customFormat="1" ht="27" customHeight="1" x14ac:dyDescent="0.2">
      <c r="A16" s="617"/>
      <c r="B16" s="795"/>
      <c r="C16" s="796"/>
      <c r="D16" s="796"/>
      <c r="E16" s="797"/>
      <c r="F16" s="798"/>
      <c r="G16" s="798"/>
      <c r="H16" s="799"/>
      <c r="I16" s="796"/>
      <c r="J16" s="618"/>
      <c r="K16" s="618"/>
      <c r="L16" s="618"/>
    </row>
    <row r="17" spans="1:12" s="619" customFormat="1" ht="27" customHeight="1" x14ac:dyDescent="0.2">
      <c r="A17" s="617"/>
      <c r="B17" s="795"/>
      <c r="C17" s="796"/>
      <c r="D17" s="796"/>
      <c r="E17" s="797"/>
      <c r="F17" s="798"/>
      <c r="G17" s="798"/>
      <c r="H17" s="799"/>
      <c r="I17" s="796"/>
      <c r="J17" s="618"/>
      <c r="K17" s="618"/>
      <c r="L17" s="618"/>
    </row>
    <row r="18" spans="1:12" ht="27" customHeight="1" x14ac:dyDescent="0.2">
      <c r="A18" s="613"/>
      <c r="B18" s="620"/>
      <c r="C18" s="621" t="s">
        <v>784</v>
      </c>
      <c r="D18" s="622"/>
      <c r="E18" s="623"/>
      <c r="F18" s="623">
        <f>SUM(F12:F17)</f>
        <v>12000</v>
      </c>
      <c r="G18" s="623">
        <f>SUM(G12:G17)</f>
        <v>12000</v>
      </c>
      <c r="H18" s="624"/>
      <c r="I18" s="624"/>
      <c r="J18" s="607"/>
      <c r="K18" s="607"/>
      <c r="L18" s="607"/>
    </row>
    <row r="19" spans="1:12" x14ac:dyDescent="0.2">
      <c r="A19" s="607"/>
      <c r="B19" s="607" t="s">
        <v>785</v>
      </c>
      <c r="C19" s="607"/>
      <c r="D19" s="607"/>
      <c r="E19" s="607"/>
      <c r="F19" s="607"/>
      <c r="G19" s="607"/>
      <c r="H19" s="607"/>
      <c r="I19" s="607"/>
      <c r="J19" s="607"/>
      <c r="K19" s="607"/>
      <c r="L19" s="607"/>
    </row>
    <row r="20" spans="1:12" x14ac:dyDescent="0.2">
      <c r="A20" s="607"/>
      <c r="B20" s="607" t="s">
        <v>786</v>
      </c>
      <c r="C20" s="607"/>
      <c r="D20" s="607"/>
      <c r="E20" s="607"/>
      <c r="F20" s="607"/>
      <c r="G20" s="607"/>
      <c r="H20" s="607"/>
      <c r="I20" s="607"/>
      <c r="J20" s="607"/>
      <c r="K20" s="607"/>
      <c r="L20" s="607"/>
    </row>
    <row r="21" spans="1:12" x14ac:dyDescent="0.2">
      <c r="A21" s="607"/>
      <c r="B21" s="607"/>
      <c r="C21" s="607"/>
      <c r="D21" s="607"/>
      <c r="E21" s="607"/>
      <c r="F21" s="607"/>
      <c r="G21" s="607"/>
      <c r="H21" s="607"/>
      <c r="I21" s="607"/>
      <c r="J21" s="607"/>
      <c r="K21" s="607"/>
      <c r="L21" s="607"/>
    </row>
    <row r="22" spans="1:12" x14ac:dyDescent="0.2">
      <c r="A22" s="607"/>
      <c r="B22" s="607"/>
      <c r="C22" s="607"/>
      <c r="D22" s="607"/>
      <c r="E22" s="607"/>
      <c r="F22" s="607"/>
      <c r="G22" s="607"/>
      <c r="H22" s="607"/>
      <c r="I22" s="607"/>
      <c r="J22" s="607"/>
      <c r="K22" s="607"/>
      <c r="L22" s="607"/>
    </row>
    <row r="23" spans="1:12" x14ac:dyDescent="0.2">
      <c r="A23" s="607" t="s">
        <v>1070</v>
      </c>
      <c r="B23" s="607"/>
      <c r="C23" s="607"/>
      <c r="D23" s="607"/>
      <c r="E23" s="607"/>
      <c r="F23" s="607"/>
      <c r="G23" s="972">
        <f>'T6 TB11'!C23</f>
        <v>12000</v>
      </c>
      <c r="H23" s="607"/>
      <c r="I23" s="607"/>
      <c r="J23" s="607"/>
      <c r="K23" s="607"/>
      <c r="L23" s="607"/>
    </row>
    <row r="25" spans="1:12" x14ac:dyDescent="0.2">
      <c r="A25" s="2" t="s">
        <v>51</v>
      </c>
      <c r="G25" s="982">
        <f>G18-G23</f>
        <v>0</v>
      </c>
    </row>
  </sheetData>
  <phoneticPr fontId="0" type="noConversion"/>
  <pageMargins left="0.78740157499999996" right="0.78740157499999996" top="0.984251969" bottom="0.984251969" header="0.4921259845" footer="0.4921259845"/>
  <pageSetup paperSize="9" scale="98" orientation="landscape" horizontalDpi="300" verticalDpi="300" r:id="rId1"/>
  <headerFooter alignWithMargins="0">
    <oddHeader>&amp;L&amp;"Times New Roman,Gras italique"&amp;12Sté : ...............................</oddHead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0"/>
  <dimension ref="A1:I44"/>
  <sheetViews>
    <sheetView zoomScale="80" zoomScaleNormal="80" workbookViewId="0">
      <selection activeCell="K12" sqref="K12"/>
    </sheetView>
  </sheetViews>
  <sheetFormatPr baseColWidth="10" defaultColWidth="12" defaultRowHeight="12" customHeight="1" x14ac:dyDescent="0.2"/>
  <cols>
    <col min="1" max="1" width="78.6640625" style="2" customWidth="1"/>
    <col min="2" max="2" width="18" style="2" customWidth="1"/>
    <col min="3" max="3" width="15" style="2" customWidth="1"/>
    <col min="4" max="4" width="18.83203125" style="2" customWidth="1"/>
    <col min="5" max="5" width="18.1640625" style="2" customWidth="1"/>
    <col min="6" max="6" width="12.33203125" style="2" customWidth="1"/>
    <col min="7" max="7" width="17.83203125" style="2" bestFit="1" customWidth="1"/>
    <col min="8" max="8" width="18.1640625" style="2" customWidth="1"/>
    <col min="9" max="9" width="3.6640625" style="414" customWidth="1"/>
    <col min="10" max="16384" width="12" style="2"/>
  </cols>
  <sheetData>
    <row r="1" spans="1:9" ht="12" customHeight="1" x14ac:dyDescent="0.25">
      <c r="A1" s="696" t="s">
        <v>1053</v>
      </c>
    </row>
    <row r="2" spans="1:9" s="582" customFormat="1" ht="15" customHeight="1" x14ac:dyDescent="0.25">
      <c r="A2" s="611" t="s">
        <v>787</v>
      </c>
      <c r="B2" s="611"/>
      <c r="C2" s="611"/>
      <c r="D2" s="611"/>
      <c r="I2" s="625"/>
    </row>
    <row r="3" spans="1:9" ht="12" customHeight="1" x14ac:dyDescent="0.2">
      <c r="A3" s="579"/>
      <c r="B3" s="579"/>
      <c r="C3" s="579"/>
      <c r="D3" s="579"/>
      <c r="F3" s="656" t="str">
        <f>'T18 Emprunts'!J7</f>
        <v>Exercice clos le :</v>
      </c>
      <c r="G3" s="656"/>
      <c r="H3" s="342" t="str">
        <f>'T5 ESG'!$G$3</f>
        <v>31/12/2022</v>
      </c>
      <c r="I3" s="656"/>
    </row>
    <row r="4" spans="1:9" ht="12" customHeight="1" x14ac:dyDescent="0.2">
      <c r="A4" s="626"/>
      <c r="B4" s="627" t="s">
        <v>788</v>
      </c>
      <c r="C4" s="628"/>
      <c r="D4" s="629"/>
      <c r="E4" s="627" t="s">
        <v>789</v>
      </c>
      <c r="F4" s="628"/>
      <c r="G4" s="629"/>
      <c r="H4" s="587" t="s">
        <v>790</v>
      </c>
      <c r="I4" s="592"/>
    </row>
    <row r="5" spans="1:9" ht="12" customHeight="1" x14ac:dyDescent="0.2">
      <c r="A5" s="630" t="s">
        <v>791</v>
      </c>
      <c r="B5" s="631"/>
      <c r="C5" s="615" t="s">
        <v>792</v>
      </c>
      <c r="D5" s="420"/>
      <c r="E5" s="631"/>
      <c r="F5" s="615" t="s">
        <v>793</v>
      </c>
      <c r="G5" s="632"/>
      <c r="H5" s="593" t="s">
        <v>794</v>
      </c>
      <c r="I5" s="420"/>
    </row>
    <row r="6" spans="1:9" ht="12" customHeight="1" x14ac:dyDescent="0.2">
      <c r="A6" s="604"/>
      <c r="B6" s="615" t="s">
        <v>795</v>
      </c>
      <c r="C6" s="414" t="s">
        <v>796</v>
      </c>
      <c r="D6" s="593" t="s">
        <v>797</v>
      </c>
      <c r="E6" s="615" t="s">
        <v>798</v>
      </c>
      <c r="F6" s="631" t="s">
        <v>796</v>
      </c>
      <c r="G6" s="633" t="s">
        <v>797</v>
      </c>
      <c r="H6" s="593" t="s">
        <v>799</v>
      </c>
      <c r="I6" s="420"/>
    </row>
    <row r="7" spans="1:9" ht="12" customHeight="1" x14ac:dyDescent="0.2">
      <c r="A7" s="578"/>
      <c r="B7" s="600"/>
      <c r="C7" s="600" t="s">
        <v>800</v>
      </c>
      <c r="D7" s="593"/>
      <c r="E7" s="615"/>
      <c r="F7" s="615" t="s">
        <v>801</v>
      </c>
      <c r="G7" s="633"/>
      <c r="H7" s="600" t="s">
        <v>802</v>
      </c>
      <c r="I7" s="631"/>
    </row>
    <row r="8" spans="1:9" ht="12" customHeight="1" x14ac:dyDescent="0.2">
      <c r="A8" s="634" t="s">
        <v>2751</v>
      </c>
      <c r="B8" s="635"/>
      <c r="C8" s="609"/>
      <c r="D8" s="609">
        <f>B8-C8</f>
        <v>0</v>
      </c>
      <c r="E8" s="590"/>
      <c r="F8" s="590"/>
      <c r="G8" s="635">
        <f>E8-F8</f>
        <v>0</v>
      </c>
      <c r="H8" s="636">
        <f>+G8-D8</f>
        <v>0</v>
      </c>
      <c r="I8" s="631"/>
    </row>
    <row r="9" spans="1:9" ht="12" customHeight="1" x14ac:dyDescent="0.2">
      <c r="A9" s="1070" t="s">
        <v>2700</v>
      </c>
      <c r="B9" s="16"/>
      <c r="C9" s="670"/>
      <c r="D9" s="637">
        <f>+B9-C9</f>
        <v>0</v>
      </c>
      <c r="E9" s="638"/>
      <c r="F9" s="638"/>
      <c r="G9" s="638">
        <f>E9-F9</f>
        <v>0</v>
      </c>
      <c r="H9" s="637">
        <f>+G9-D9</f>
        <v>0</v>
      </c>
      <c r="I9" s="420"/>
    </row>
    <row r="10" spans="1:9" ht="12" customHeight="1" x14ac:dyDescent="0.2">
      <c r="A10" s="604" t="s">
        <v>803</v>
      </c>
      <c r="B10" s="638"/>
      <c r="C10" s="637"/>
      <c r="D10" s="637">
        <f t="shared" ref="D10:D21" si="0">+B10-C10</f>
        <v>0</v>
      </c>
      <c r="E10" s="638"/>
      <c r="F10" s="638"/>
      <c r="G10" s="638">
        <f t="shared" ref="G10:G21" si="1">E10-F10</f>
        <v>0</v>
      </c>
      <c r="H10" s="637">
        <f>+G10-D10</f>
        <v>0</v>
      </c>
      <c r="I10" s="593">
        <v>1</v>
      </c>
    </row>
    <row r="11" spans="1:9" ht="12" customHeight="1" x14ac:dyDescent="0.2">
      <c r="A11" s="604" t="s">
        <v>804</v>
      </c>
      <c r="B11" s="638">
        <f>SUMIF('Balance N Retraitée'!$A:$A,"311*",'Balance N Retraitée'!$G:$G)-SUMIF('Balance N Retraitée'!$A:$A,"311*",'Balance N Retraitée'!$H:$H)</f>
        <v>0</v>
      </c>
      <c r="C11" s="637">
        <f>SUMIF('Balance N Retraitée'!$A:$A,"3911*",'Balance N Retraitée'!$H:$H)-SUMIF('Balance N Retraitée'!$A:$A,"3911*",'Balance N Retraitée'!$G:$G)</f>
        <v>0</v>
      </c>
      <c r="D11" s="637">
        <f t="shared" si="0"/>
        <v>0</v>
      </c>
      <c r="E11" s="638">
        <f>SUMIF('Balance N-1 Retraitée'!$A:$A,"311*",'Balance N-1 Retraitée'!$G:$G)-SUMIF('Balance N-1 Retraitée'!$A:$A,"311*",'Balance N-1 Retraitée'!$H:$H)</f>
        <v>0</v>
      </c>
      <c r="F11" s="638">
        <f>SUMIF('Balance N-1 Retraitée'!$A:$A,"3911*",'Balance N-1 Retraitée'!$H:$H)-SUMIF('Balance N-1 Retraitée'!$A:$A,"3911*",'Balance N-1 Retraitée'!$G:$G)</f>
        <v>0</v>
      </c>
      <c r="G11" s="638">
        <f t="shared" si="1"/>
        <v>0</v>
      </c>
      <c r="H11" s="637">
        <f>+G11-D11</f>
        <v>0</v>
      </c>
      <c r="I11" s="593">
        <v>2</v>
      </c>
    </row>
    <row r="12" spans="1:9" ht="12" customHeight="1" x14ac:dyDescent="0.2">
      <c r="A12" s="1070" t="s">
        <v>2701</v>
      </c>
      <c r="B12" s="638">
        <f>SUMIF('Balance N Retraitée'!$A:$A,"3121*",'Balance N Retraitée'!$G:$G)-SUMIF('Balance N Retraitée'!$A:$A,"3121*",'Balance N Retraitée'!$H:$H)</f>
        <v>0</v>
      </c>
      <c r="C12" s="637">
        <f>SUMIF('Balance N Retraitée'!$A:$A,"39121*",'Balance N Retraitée'!$H:$H)-SUMIF('Balance N Retraitée'!$A:$A,"39121*",'Balance N Retraitée'!$G:$G)</f>
        <v>0</v>
      </c>
      <c r="D12" s="637">
        <f t="shared" si="0"/>
        <v>0</v>
      </c>
      <c r="E12" s="638">
        <f>SUMIF('Balance N-1 Retraitée'!$A:$A,"3121*",'Balance N-1 Retraitée'!$G:$G)-SUMIF('Balance N-1 Retraitée'!$A:$A,"3121*",'Balance N-1 Retraitée'!$H:$H)</f>
        <v>0</v>
      </c>
      <c r="F12" s="638">
        <f>SUMIF('Balance N-1 Retraitée'!$A:$A,"39121*",'Balance N-1 Retraitée'!$H:$H)-SUMIF('Balance N-1 Retraitée'!$A:$A,"39121*",'Balance N-1 Retraitée'!$G:$G)</f>
        <v>0</v>
      </c>
      <c r="G12" s="638">
        <f t="shared" si="1"/>
        <v>0</v>
      </c>
      <c r="H12" s="637">
        <f>+G12-D12</f>
        <v>0</v>
      </c>
      <c r="I12" s="593">
        <v>3</v>
      </c>
    </row>
    <row r="13" spans="1:9" ht="12" customHeight="1" x14ac:dyDescent="0.2">
      <c r="A13" s="604"/>
      <c r="B13" s="638"/>
      <c r="C13" s="637"/>
      <c r="D13" s="637">
        <f t="shared" si="0"/>
        <v>0</v>
      </c>
      <c r="E13" s="638"/>
      <c r="F13" s="638"/>
      <c r="G13" s="638"/>
      <c r="H13" s="637"/>
      <c r="I13" s="593"/>
    </row>
    <row r="14" spans="1:9" ht="12" customHeight="1" x14ac:dyDescent="0.2">
      <c r="A14" s="1071" t="s">
        <v>2702</v>
      </c>
      <c r="B14" s="638"/>
      <c r="C14" s="637"/>
      <c r="D14" s="637"/>
      <c r="E14" s="638"/>
      <c r="F14" s="638"/>
      <c r="G14" s="638"/>
      <c r="H14" s="637"/>
      <c r="I14" s="593"/>
    </row>
    <row r="15" spans="1:9" s="639" customFormat="1" ht="12" customHeight="1" x14ac:dyDescent="0.2">
      <c r="A15" s="1071" t="s">
        <v>2703</v>
      </c>
      <c r="B15" s="638">
        <f>SUMIF('Balance N Retraitée'!$A:$A,"31221*",'Balance N Retraitée'!$G:$G)-SUMIF('Balance N Retraitée'!$A:$A,"31221*",'Balance N Retraitée'!$H:$H)</f>
        <v>0</v>
      </c>
      <c r="C15" s="637">
        <f>SUMIF('Balance N Retraitée'!$A:$A,"391221*",'Balance N Retraitée'!$H:$H)-SUMIF('Balance N Retraitée'!$A:$A,"391221*",'Balance N Retraitée'!$G:$G)</f>
        <v>0</v>
      </c>
      <c r="D15" s="637">
        <f t="shared" si="0"/>
        <v>0</v>
      </c>
      <c r="E15" s="638">
        <f>SUMIF('Balance N-1 Retraitée'!$A:$A,"31221*",'Balance N-1 Retraitée'!$G:$G)-SUMIF('Balance N-1 Retraitée'!$A:$A,"31221*",'Balance N-1 Retraitée'!$H:$H)</f>
        <v>0</v>
      </c>
      <c r="F15" s="638">
        <f>SUMIF('Balance N-1 Retraitée'!$A:$A,"391221*",'Balance N-1 Retraitée'!$H:$H)-SUMIF('Balance N-1 Retraitée'!$A:$A,"391221*",'Balance N-1 Retraitée'!$G:$G)</f>
        <v>0</v>
      </c>
      <c r="G15" s="638">
        <f t="shared" si="1"/>
        <v>0</v>
      </c>
      <c r="H15" s="637">
        <f t="shared" ref="H15:H39" si="2">+G15-D15</f>
        <v>0</v>
      </c>
      <c r="I15" s="593">
        <v>4</v>
      </c>
    </row>
    <row r="16" spans="1:9" ht="12" customHeight="1" x14ac:dyDescent="0.2">
      <c r="A16" s="1070" t="s">
        <v>2704</v>
      </c>
      <c r="B16" s="638">
        <f>SUMIF('Balance N Retraitée'!$A:$A,"31225*",'Balance N Retraitée'!$G:$G)-SUMIF('Balance N Retraitée'!$A:$A,"31225*",'Balance N Retraitée'!$H:$H)</f>
        <v>0</v>
      </c>
      <c r="C16" s="637">
        <f>SUMIF('Balance N Retraitée'!$A:$A,"391225*",'Balance N Retraitée'!$H:$H)-SUMIF('Balance N Retraitée'!$A:$A,"391225*",'Balance N Retraitée'!$G:$G)</f>
        <v>0</v>
      </c>
      <c r="D16" s="637">
        <f t="shared" si="0"/>
        <v>0</v>
      </c>
      <c r="E16" s="638">
        <f>SUMIF('Balance N-1 Retraitée'!$A:$A,"31225*",'Balance N-1 Retraitée'!$G:$G)-SUMIF('Balance N-1 Retraitée'!$A:$A,"31225*",'Balance N-1 Retraitée'!$H:$H)</f>
        <v>0</v>
      </c>
      <c r="F16" s="638">
        <f>SUMIF('Balance N-1 Retraitée'!$A:$A,"391225*",'Balance N-1 Retraitée'!$H:$H)-SUMIF('Balance N-1 Retraitée'!$A:$A,"391225*",'Balance N-1 Retraitée'!$G:$G)</f>
        <v>0</v>
      </c>
      <c r="G16" s="638">
        <f t="shared" si="1"/>
        <v>0</v>
      </c>
      <c r="H16" s="637">
        <f t="shared" si="2"/>
        <v>0</v>
      </c>
      <c r="I16" s="593">
        <v>5</v>
      </c>
    </row>
    <row r="17" spans="1:9" ht="12" customHeight="1" x14ac:dyDescent="0.2">
      <c r="A17" s="1070" t="s">
        <v>2705</v>
      </c>
      <c r="B17" s="638"/>
      <c r="C17" s="637"/>
      <c r="D17" s="637">
        <f t="shared" si="0"/>
        <v>0</v>
      </c>
      <c r="E17" s="638"/>
      <c r="F17" s="638"/>
      <c r="G17" s="638">
        <f t="shared" si="1"/>
        <v>0</v>
      </c>
      <c r="H17" s="637">
        <f t="shared" si="2"/>
        <v>0</v>
      </c>
      <c r="I17" s="593">
        <v>6</v>
      </c>
    </row>
    <row r="18" spans="1:9" ht="12" customHeight="1" x14ac:dyDescent="0.2">
      <c r="A18" s="604" t="s">
        <v>807</v>
      </c>
      <c r="B18" s="638"/>
      <c r="C18" s="637"/>
      <c r="D18" s="637">
        <f t="shared" si="0"/>
        <v>0</v>
      </c>
      <c r="E18" s="638"/>
      <c r="F18" s="638"/>
      <c r="G18" s="638">
        <f t="shared" si="1"/>
        <v>0</v>
      </c>
      <c r="H18" s="637">
        <f t="shared" si="2"/>
        <v>0</v>
      </c>
      <c r="I18" s="593"/>
    </row>
    <row r="19" spans="1:9" ht="12" customHeight="1" x14ac:dyDescent="0.2">
      <c r="A19" s="1070" t="s">
        <v>2706</v>
      </c>
      <c r="B19" s="638">
        <f>SUMIF('Balance N Retraitée'!$A:$A,"31232*",'Balance N Retraitée'!$G:$G)-SUMIF('Balance N Retraitée'!$A:$A,"31232*",'Balance N Retraitée'!$H:$H)</f>
        <v>0</v>
      </c>
      <c r="C19" s="637">
        <f>SUMIF('Balance N Retraitée'!$A:$A,"391232*",'Balance N Retraitée'!$H:$H)-SUMIF('Balance N Retraitée'!$A:$A,"391232*",'Balance N Retraitée'!$G:$G)</f>
        <v>0</v>
      </c>
      <c r="D19" s="637">
        <f t="shared" si="0"/>
        <v>0</v>
      </c>
      <c r="E19" s="638">
        <f>SUMIF('Balance N-1 Retraitée'!$A:$A,"31232*",'Balance N-1 Retraitée'!$G:$G)-SUMIF('Balance N-1 Retraitée'!$A:$A,"31232*",'Balance N-1 Retraitée'!$H:$H)</f>
        <v>0</v>
      </c>
      <c r="F19" s="638">
        <f>SUMIF('Balance N-1 Retraitée'!$A:$A,"391232*",'Balance N-1 Retraitée'!$H:$H)-SUMIF('Balance N-1 Retraitée'!$A:$A,"391232*",'Balance N-1 Retraitée'!$G:$G)</f>
        <v>0</v>
      </c>
      <c r="G19" s="638">
        <f t="shared" si="1"/>
        <v>0</v>
      </c>
      <c r="H19" s="637">
        <f t="shared" si="2"/>
        <v>0</v>
      </c>
      <c r="I19" s="593">
        <v>7</v>
      </c>
    </row>
    <row r="20" spans="1:9" ht="12" customHeight="1" x14ac:dyDescent="0.2">
      <c r="A20" s="1070" t="s">
        <v>2707</v>
      </c>
      <c r="B20" s="638"/>
      <c r="C20" s="637"/>
      <c r="D20" s="637">
        <f t="shared" si="0"/>
        <v>0</v>
      </c>
      <c r="E20" s="638"/>
      <c r="F20" s="638"/>
      <c r="G20" s="638">
        <f t="shared" si="1"/>
        <v>0</v>
      </c>
      <c r="H20" s="637">
        <f t="shared" si="2"/>
        <v>0</v>
      </c>
      <c r="I20" s="593">
        <v>8</v>
      </c>
    </row>
    <row r="21" spans="1:9" ht="12" customHeight="1" x14ac:dyDescent="0.2">
      <c r="A21" s="1070" t="s">
        <v>2708</v>
      </c>
      <c r="B21" s="638">
        <f>SUMIF('Balance N Retraitée'!$A:$A,"31231*",'Balance N Retraitée'!$G:$G)-SUMIF('Balance N Retraitée'!$A:$A,"31231*",'Balance N Retraitée'!$H:$H)</f>
        <v>0</v>
      </c>
      <c r="C21" s="637">
        <f>SUMIF('Balance N Retraitée'!$A:$A,"3912391*",'Balance N Retraitée'!$H:$H)-SUMIF('Balance N Retraitée'!$A:$A,"3912391*",'Balance N Retraitée'!$G:$G)</f>
        <v>0</v>
      </c>
      <c r="D21" s="637">
        <f t="shared" si="0"/>
        <v>0</v>
      </c>
      <c r="E21" s="638">
        <f>SUMIF('Balance N-1 Retraitée'!$A:$A,"31231*",'Balance N-1 Retraitée'!$G:$G)-SUMIF('Balance N-1 Retraitée'!$A:$A,"31231*",'Balance N-1 Retraitée'!$H:$H)</f>
        <v>0</v>
      </c>
      <c r="F21" s="638">
        <f>SUMIF('Balance N-1 Retraitée'!$A:$A,"3912391*",'Balance N-1 Retraitée'!$H:$H)-SUMIF('Balance N-1 Retraitée'!$A:$A,"3912391*",'Balance N-1 Retraitée'!$G:$G)</f>
        <v>0</v>
      </c>
      <c r="G21" s="638">
        <f t="shared" si="1"/>
        <v>0</v>
      </c>
      <c r="H21" s="637">
        <f t="shared" si="2"/>
        <v>0</v>
      </c>
      <c r="I21" s="593">
        <v>9</v>
      </c>
    </row>
    <row r="22" spans="1:9" ht="12" customHeight="1" x14ac:dyDescent="0.2">
      <c r="A22" s="640" t="s">
        <v>2757</v>
      </c>
      <c r="B22" s="641">
        <f t="shared" ref="B22:G22" si="3">SUM(B8:B21)</f>
        <v>0</v>
      </c>
      <c r="C22" s="643">
        <f>SUM(C8:C21)</f>
        <v>0</v>
      </c>
      <c r="D22" s="641">
        <f t="shared" si="3"/>
        <v>0</v>
      </c>
      <c r="E22" s="641">
        <f t="shared" si="3"/>
        <v>0</v>
      </c>
      <c r="F22" s="641">
        <f>SUM(F8:F21)</f>
        <v>0</v>
      </c>
      <c r="G22" s="641">
        <f t="shared" si="3"/>
        <v>0</v>
      </c>
      <c r="H22" s="641">
        <f t="shared" si="2"/>
        <v>0</v>
      </c>
      <c r="I22" s="593">
        <v>10</v>
      </c>
    </row>
    <row r="23" spans="1:9" ht="12" customHeight="1" x14ac:dyDescent="0.2">
      <c r="A23" s="634" t="s">
        <v>2750</v>
      </c>
      <c r="B23" s="596"/>
      <c r="C23" s="604"/>
      <c r="D23" s="596"/>
      <c r="E23" s="638"/>
      <c r="F23" s="638"/>
      <c r="G23" s="596"/>
      <c r="H23" s="596"/>
      <c r="I23" s="593"/>
    </row>
    <row r="24" spans="1:9" ht="12" customHeight="1" x14ac:dyDescent="0.2">
      <c r="A24" s="1070" t="s">
        <v>2752</v>
      </c>
      <c r="B24" s="638">
        <f>SUMIF('Balance N Retraitée'!$A:$A,"3131*",'Balance N Retraitée'!$G:$G)-SUMIF('Balance N Retraitée'!$A:$A,"3131*",'Balance N Retraitée'!$H:$H)</f>
        <v>0</v>
      </c>
      <c r="C24" s="637">
        <f>SUMIF('Balance N Retraitée'!$A:$A,"391391*",'Balance N Retraitée'!$H:$H)-SUMIF('Balance N Retraitée'!$A:$A,"391391*",'Balance N Retraitée'!$G:$G)</f>
        <v>0</v>
      </c>
      <c r="D24" s="638">
        <f>B24-C24</f>
        <v>0</v>
      </c>
      <c r="E24" s="638">
        <f>SUMIF('Balance N-1 Retraitée'!$A:$A,"3131*",'Balance N-1 Retraitée'!$G:$G)-SUMIF('Balance N-1 Retraitée'!$A:$A,"3131*",'Balance N-1 Retraitée'!$H:$H)</f>
        <v>0</v>
      </c>
      <c r="F24" s="638">
        <f>SUMIF('Balance N-1 Retraitée'!$A:$A,"391391*",'Balance N-1 Retraitée'!$H:$H)-SUMIF('Balance N-1 Retraitée'!$A:$A,"391391*",'Balance N-1 Retraitée'!$G:$G)</f>
        <v>0</v>
      </c>
      <c r="G24" s="638">
        <f>E24-F24</f>
        <v>0</v>
      </c>
      <c r="H24" s="637">
        <f t="shared" si="2"/>
        <v>0</v>
      </c>
      <c r="I24" s="593">
        <v>11</v>
      </c>
    </row>
    <row r="25" spans="1:9" ht="12" customHeight="1" x14ac:dyDescent="0.2">
      <c r="A25" s="1070" t="s">
        <v>2753</v>
      </c>
      <c r="B25" s="638">
        <f>SUMIF('Balance N Retraitée'!$A:$A,"31342*",'Balance N Retraitée'!$G:$G)-SUMIF('Balance N Retraitée'!$A:$A,"31342*",'Balance N Retraitée'!$H:$H)</f>
        <v>0</v>
      </c>
      <c r="C25" s="637">
        <f>SUMIF('Balance N Retraitée'!$A:$A,"391342*",'Balance N Retraitée'!$H:$H)-SUMIF('Balance N Retraitée'!$A:$A,"391342*",'Balance N Retraitée'!$G:$G)</f>
        <v>0</v>
      </c>
      <c r="D25" s="638">
        <f>B25-C25</f>
        <v>0</v>
      </c>
      <c r="E25" s="638">
        <f>SUMIF('Balance N-1 Retraitée'!$A:$A,"31342*",'Balance N-1 Retraitée'!$G:$G)-SUMIF('Balance N-1 Retraitée'!$A:$A,"31342*",'Balance N-1 Retraitée'!$H:$H)</f>
        <v>0</v>
      </c>
      <c r="F25" s="638">
        <f>SUMIF('Balance N-1 Retraitée'!$A:$A,"391342*",'Balance N-1 Retraitée'!$H:$H)-SUMIF('Balance N-1 Retraitée'!$A:$A,"391342*",'Balance N-1 Retraitée'!$G:$G)</f>
        <v>0</v>
      </c>
      <c r="G25" s="638">
        <f>E25-F25</f>
        <v>0</v>
      </c>
      <c r="H25" s="637">
        <f t="shared" si="2"/>
        <v>0</v>
      </c>
      <c r="I25" s="593">
        <v>12</v>
      </c>
    </row>
    <row r="26" spans="1:9" ht="12" customHeight="1" x14ac:dyDescent="0.2">
      <c r="A26" s="1070" t="s">
        <v>2754</v>
      </c>
      <c r="B26" s="638">
        <f>SUMIF('Balance N Retraitée'!$A:$A,"31341*",'Balance N Retraitée'!$G:$G)-SUMIF('Balance N Retraitée'!$A:$A,"31341*",'Balance N Retraitée'!$H:$H)</f>
        <v>0</v>
      </c>
      <c r="C26" s="637">
        <f>SUMIF('Balance N Retraitée'!$A:$A,"391341*",'Balance N Retraitée'!$H:$H)-SUMIF('Balance N Retraitée'!$A:$A,"391341*",'Balance N Retraitée'!$G:$G)</f>
        <v>0</v>
      </c>
      <c r="D26" s="638">
        <f>B26-C26</f>
        <v>0</v>
      </c>
      <c r="E26" s="638">
        <f>SUMIF('Balance N-1 Retraitée'!$A:$A,"31341*",'Balance N-1 Retraitée'!$G:$G)-SUMIF('Balance N-1 Retraitée'!$A:$A,"31341*",'Balance N-1 Retraitée'!$H:$H)</f>
        <v>0</v>
      </c>
      <c r="F26" s="638">
        <f>SUMIF('Balance N-1 Retraitée'!$A:$A,"391341*",'Balance N-1 Retraitée'!$H:$H)-SUMIF('Balance N-1 Retraitée'!$A:$A,"391341*",'Balance N-1 Retraitée'!$G:$G)</f>
        <v>0</v>
      </c>
      <c r="G26" s="638">
        <f>E26-F26</f>
        <v>0</v>
      </c>
      <c r="H26" s="637">
        <f t="shared" si="2"/>
        <v>0</v>
      </c>
      <c r="I26" s="593">
        <v>13</v>
      </c>
    </row>
    <row r="27" spans="1:9" ht="12" customHeight="1" x14ac:dyDescent="0.2">
      <c r="A27" s="1070" t="s">
        <v>2755</v>
      </c>
      <c r="B27" s="638">
        <f>SUMIF('Balance N Retraitée'!$A:$A,"31343*",'Balance N Retraitée'!$G:$G)-SUMIF('Balance N Retraitée'!$A:$A,"31343*",'Balance N Retraitée'!$H:$H)</f>
        <v>0</v>
      </c>
      <c r="C27" s="637">
        <f>SUMIF('Balance N Retraitée'!$A:$A,"391343*",'Balance N Retraitée'!$H:$H)-SUMIF('Balance N Retraitée'!$A:$A,"391343*",'Balance N Retraitée'!$G:$G)</f>
        <v>0</v>
      </c>
      <c r="D27" s="638">
        <f>B27-C27</f>
        <v>0</v>
      </c>
      <c r="E27" s="638">
        <f>SUMIF('Balance N-1 Retraitée'!$A:$A,"31343*",'Balance N-1 Retraitée'!$G:$G)-SUMIF('Balance N-1 Retraitée'!$A:$A,"31343*",'Balance N-1 Retraitée'!$H:$H)</f>
        <v>0</v>
      </c>
      <c r="F27" s="638">
        <f>SUMIF('Balance N-1 Retraitée'!$A:$A,"391343*",'Balance N-1 Retraitée'!$H:$H)-SUMIF('Balance N-1 Retraitée'!$A:$A,"391343*",'Balance N-1 Retraitée'!$G:$G)</f>
        <v>0</v>
      </c>
      <c r="G27" s="638">
        <f>E27-F27</f>
        <v>0</v>
      </c>
      <c r="H27" s="637">
        <f t="shared" si="2"/>
        <v>0</v>
      </c>
      <c r="I27" s="593">
        <v>14</v>
      </c>
    </row>
    <row r="28" spans="1:9" ht="12" customHeight="1" x14ac:dyDescent="0.2">
      <c r="A28" s="640" t="s">
        <v>2756</v>
      </c>
      <c r="B28" s="641">
        <f t="shared" ref="B28:G28" si="4">SUM(B24:B27)</f>
        <v>0</v>
      </c>
      <c r="C28" s="643">
        <f>SUM(C24:C27)</f>
        <v>0</v>
      </c>
      <c r="D28" s="641">
        <f t="shared" si="4"/>
        <v>0</v>
      </c>
      <c r="E28" s="641">
        <f t="shared" si="4"/>
        <v>0</v>
      </c>
      <c r="F28" s="641">
        <f>SUM(F24:F27)</f>
        <v>0</v>
      </c>
      <c r="G28" s="641">
        <f t="shared" si="4"/>
        <v>0</v>
      </c>
      <c r="H28" s="637">
        <f t="shared" si="2"/>
        <v>0</v>
      </c>
      <c r="I28" s="593">
        <v>15</v>
      </c>
    </row>
    <row r="29" spans="1:9" ht="12" customHeight="1" x14ac:dyDescent="0.2">
      <c r="A29" s="634" t="s">
        <v>2758</v>
      </c>
      <c r="B29" s="596"/>
      <c r="C29" s="604"/>
      <c r="D29" s="596"/>
      <c r="E29" s="638"/>
      <c r="F29" s="638"/>
      <c r="G29" s="596"/>
      <c r="H29" s="609">
        <f t="shared" si="2"/>
        <v>0</v>
      </c>
      <c r="I29" s="593"/>
    </row>
    <row r="30" spans="1:9" ht="12" customHeight="1" x14ac:dyDescent="0.2">
      <c r="A30" s="1070" t="s">
        <v>2759</v>
      </c>
      <c r="B30" s="638">
        <f>SUMIF('Balance N Retraitée'!$A:$A,"315*",'Balance N Retraitée'!$G:$G)-SUMIF('Balance N Retraitée'!$A:$A,"315*",'Balance N Retraitée'!$H:$H)</f>
        <v>0</v>
      </c>
      <c r="C30" s="637">
        <f>SUMIF('Balance N Retraitée'!$A:$A,"3915*",'Balance N Retraitée'!$H:$H)-SUMIF('Balance N Retraitée'!$A:$A,"3915*",'Balance N Retraitée'!$G:$G)</f>
        <v>0</v>
      </c>
      <c r="D30" s="638">
        <f>B30-C30</f>
        <v>0</v>
      </c>
      <c r="E30" s="638">
        <f>SUMIF('Balance N-1 Retraitée'!$A:$A,"315*",'Balance N-1 Retraitée'!$G:$G)-SUMIF('Balance N-1 Retraitée'!$A:$A,"315*",'Balance N-1 Retraitée'!$H:$H)</f>
        <v>0</v>
      </c>
      <c r="F30" s="638">
        <f>SUMIF('Balance N-1 Retraitée'!$A:$A,"3915*",'Balance N-1 Retraitée'!$H:$H)-SUMIF('Balance N-1 Retraitée'!$A:$A,"3915*",'Balance N-1 Retraitée'!$G:$G)</f>
        <v>0</v>
      </c>
      <c r="G30" s="642">
        <f>E30-F30</f>
        <v>0</v>
      </c>
      <c r="H30" s="637">
        <f t="shared" si="2"/>
        <v>0</v>
      </c>
      <c r="I30" s="593">
        <v>16</v>
      </c>
    </row>
    <row r="31" spans="1:9" ht="12" customHeight="1" x14ac:dyDescent="0.2">
      <c r="A31" s="1070" t="s">
        <v>2760</v>
      </c>
      <c r="B31" s="596"/>
      <c r="C31" s="604"/>
      <c r="D31" s="638">
        <f>B31-C31</f>
        <v>0</v>
      </c>
      <c r="E31" s="638"/>
      <c r="F31" s="638"/>
      <c r="G31" s="642">
        <f>E31-F31</f>
        <v>0</v>
      </c>
      <c r="H31" s="637">
        <f t="shared" si="2"/>
        <v>0</v>
      </c>
      <c r="I31" s="593">
        <v>17</v>
      </c>
    </row>
    <row r="32" spans="1:9" ht="12" customHeight="1" x14ac:dyDescent="0.2">
      <c r="A32" s="640" t="s">
        <v>2761</v>
      </c>
      <c r="B32" s="641">
        <f t="shared" ref="B32:G32" si="5">SUM(B30:B31)</f>
        <v>0</v>
      </c>
      <c r="C32" s="643">
        <f>SUM(C30:C31)</f>
        <v>0</v>
      </c>
      <c r="D32" s="641">
        <f t="shared" si="5"/>
        <v>0</v>
      </c>
      <c r="E32" s="641">
        <f t="shared" si="5"/>
        <v>0</v>
      </c>
      <c r="F32" s="641">
        <f>SUM(F30:F31)</f>
        <v>0</v>
      </c>
      <c r="G32" s="641">
        <f t="shared" si="5"/>
        <v>0</v>
      </c>
      <c r="H32" s="643">
        <f t="shared" si="2"/>
        <v>0</v>
      </c>
      <c r="I32" s="593">
        <v>18</v>
      </c>
    </row>
    <row r="33" spans="1:9" ht="12" customHeight="1" x14ac:dyDescent="0.2">
      <c r="A33" s="634" t="s">
        <v>2762</v>
      </c>
      <c r="B33" s="596"/>
      <c r="C33" s="604"/>
      <c r="D33" s="596"/>
      <c r="E33" s="638"/>
      <c r="F33" s="638"/>
      <c r="G33" s="596"/>
      <c r="H33" s="637">
        <f t="shared" si="2"/>
        <v>0</v>
      </c>
      <c r="I33" s="593"/>
    </row>
    <row r="34" spans="1:9" ht="12" customHeight="1" x14ac:dyDescent="0.2">
      <c r="A34" s="1070" t="s">
        <v>2763</v>
      </c>
      <c r="B34" s="638">
        <f>SUMIF('Balance N Retraitée'!$A:$A,"31451*",'Balance N Retraitée'!$G:$G)-SUMIF('Balance N Retraitée'!$A:$A,"31451*",'Balance N Retraitée'!$H:$H)</f>
        <v>0</v>
      </c>
      <c r="C34" s="637">
        <f>SUMIF('Balance N Retraitée'!$A:$A,"391451*",'Balance N Retraitée'!$H:$H)-SUMIF('Balance N Retraitée'!$A:$A,"391451*",'Balance N Retraitée'!$G:$G)</f>
        <v>0</v>
      </c>
      <c r="D34" s="638">
        <f>B34-C34</f>
        <v>0</v>
      </c>
      <c r="E34" s="638">
        <f>SUMIF('Balance N-1 Retraitée'!$A:$A,"31451*",'Balance N-1 Retraitée'!$G:$G)-SUMIF('Balance N-1 Retraitée'!$A:$A,"31451*",'Balance N-1 Retraitée'!$H:$H)</f>
        <v>0</v>
      </c>
      <c r="F34" s="638">
        <f>SUMIF('Balance N-1 Retraitée'!$A:$A,"391451*",'Balance N-1 Retraitée'!$H:$H)-SUMIF('Balance N-1 Retraitée'!$A:$A,"391451*",'Balance N-1 Retraitée'!$G:$G)</f>
        <v>0</v>
      </c>
      <c r="G34" s="638">
        <f>E34-F34</f>
        <v>0</v>
      </c>
      <c r="H34" s="637">
        <f t="shared" si="2"/>
        <v>0</v>
      </c>
      <c r="I34" s="593">
        <v>19</v>
      </c>
    </row>
    <row r="35" spans="1:9" ht="12" customHeight="1" x14ac:dyDescent="0.2">
      <c r="A35" s="1070" t="s">
        <v>2764</v>
      </c>
      <c r="B35" s="638">
        <f>SUMIF('Balance N Retraitée'!$A:$A,"31452*",'Balance N Retraitée'!$G:$G)-SUMIF('Balance N Retraitée'!$A:$A,"31452*",'Balance N Retraitée'!$H:$H)</f>
        <v>0</v>
      </c>
      <c r="C35" s="637">
        <f>SUMIF('Balance N Retraitée'!$A:$A,"391452*",'Balance N Retraitée'!$H:$H)-SUMIF('Balance N Retraitée'!$A:$A,"391452*",'Balance N Retraitée'!$G:$G)</f>
        <v>0</v>
      </c>
      <c r="D35" s="638">
        <f>B35-C35</f>
        <v>0</v>
      </c>
      <c r="E35" s="638">
        <f>SUMIF('Balance N-1 Retraitée'!$A:$A,"31452*",'Balance N-1 Retraitée'!$G:$G)-SUMIF('Balance N-1 Retraitée'!$A:$A,"31452*",'Balance N-1 Retraitée'!$H:$H)</f>
        <v>0</v>
      </c>
      <c r="F35" s="638">
        <f>SUMIF('Balance N-1 Retraitée'!$A:$A,"391452*",'Balance N-1 Retraitée'!$H:$H)-SUMIF('Balance N-1 Retraitée'!$A:$A,"391452*",'Balance N-1 Retraitée'!$G:$G)</f>
        <v>0</v>
      </c>
      <c r="G35" s="638">
        <f>E35-F35</f>
        <v>0</v>
      </c>
      <c r="H35" s="637">
        <f t="shared" si="2"/>
        <v>0</v>
      </c>
      <c r="I35" s="593">
        <v>20</v>
      </c>
    </row>
    <row r="36" spans="1:9" ht="12" customHeight="1" x14ac:dyDescent="0.2">
      <c r="A36" s="1070" t="s">
        <v>2765</v>
      </c>
      <c r="B36" s="638">
        <f>SUMIF('Balance N Retraitée'!$A:$A,"31453*",'Balance N Retraitée'!$G:$G)-SUMIF('Balance N Retraitée'!$A:$A,"31453*",'Balance N Retraitée'!$H:$H)</f>
        <v>0</v>
      </c>
      <c r="C36" s="637">
        <f>SUMIF('Balance N Retraitée'!$A:$A,"391453*",'Balance N Retraitée'!$H:$H)-SUMIF('Balance N Retraitée'!$A:$A,"391453*",'Balance N Retraitée'!$G:$G)</f>
        <v>0</v>
      </c>
      <c r="D36" s="638">
        <f>B36-C36</f>
        <v>0</v>
      </c>
      <c r="E36" s="638">
        <f>SUMIF('Balance N-1 Retraitée'!$A:$A,"31453*",'Balance N-1 Retraitée'!$G:$G)-SUMIF('Balance N-1 Retraitée'!$A:$A,"31453*",'Balance N-1 Retraitée'!$H:$H)</f>
        <v>0</v>
      </c>
      <c r="F36" s="638">
        <f>SUMIF('Balance N-1 Retraitée'!$A:$A,"391453*",'Balance N-1 Retraitée'!$H:$H)-SUMIF('Balance N-1 Retraitée'!$A:$A,"391453*",'Balance N-1 Retraitée'!$G:$G)</f>
        <v>0</v>
      </c>
      <c r="G36" s="638">
        <f>E36-F36</f>
        <v>0</v>
      </c>
      <c r="H36" s="637">
        <f t="shared" si="2"/>
        <v>0</v>
      </c>
      <c r="I36" s="593">
        <v>21</v>
      </c>
    </row>
    <row r="37" spans="1:9" ht="12" customHeight="1" x14ac:dyDescent="0.2">
      <c r="A37" s="640" t="s">
        <v>2766</v>
      </c>
      <c r="B37" s="641">
        <f t="shared" ref="B37:G37" si="6">SUM(B34:B36)</f>
        <v>0</v>
      </c>
      <c r="C37" s="643">
        <f>SUM(C34:C36)</f>
        <v>0</v>
      </c>
      <c r="D37" s="641">
        <f t="shared" si="6"/>
        <v>0</v>
      </c>
      <c r="E37" s="641">
        <f t="shared" si="6"/>
        <v>0</v>
      </c>
      <c r="F37" s="641">
        <f>SUM(F34:F36)</f>
        <v>0</v>
      </c>
      <c r="G37" s="641">
        <f t="shared" si="6"/>
        <v>0</v>
      </c>
      <c r="H37" s="637">
        <f t="shared" si="2"/>
        <v>0</v>
      </c>
      <c r="I37" s="593">
        <v>22</v>
      </c>
    </row>
    <row r="38" spans="1:9" ht="12" customHeight="1" x14ac:dyDescent="0.2">
      <c r="A38" s="644" t="s">
        <v>2767</v>
      </c>
      <c r="B38" s="638">
        <f t="shared" ref="B38:G38" si="7">B22+B28+B32+B37</f>
        <v>0</v>
      </c>
      <c r="C38" s="637">
        <f>C22+C28+C392+C37</f>
        <v>0</v>
      </c>
      <c r="D38" s="637">
        <f t="shared" si="7"/>
        <v>0</v>
      </c>
      <c r="E38" s="637">
        <f t="shared" si="7"/>
        <v>0</v>
      </c>
      <c r="F38" s="637">
        <f>F22+F28+F392+F37</f>
        <v>0</v>
      </c>
      <c r="G38" s="637">
        <f t="shared" si="7"/>
        <v>0</v>
      </c>
      <c r="H38" s="609">
        <f t="shared" si="2"/>
        <v>0</v>
      </c>
      <c r="I38" s="593">
        <v>23</v>
      </c>
    </row>
    <row r="39" spans="1:9" ht="12" customHeight="1" x14ac:dyDescent="0.2">
      <c r="A39" s="578" t="s">
        <v>808</v>
      </c>
      <c r="B39" s="599"/>
      <c r="C39" s="578"/>
      <c r="D39" s="605"/>
      <c r="E39" s="720"/>
      <c r="F39" s="720"/>
      <c r="G39" s="605"/>
      <c r="H39" s="643">
        <f t="shared" si="2"/>
        <v>0</v>
      </c>
      <c r="I39" s="601"/>
    </row>
    <row r="40" spans="1:9" ht="12" customHeight="1" x14ac:dyDescent="0.2">
      <c r="A40" s="607"/>
      <c r="B40" s="607"/>
      <c r="C40" s="607"/>
      <c r="D40" s="607"/>
      <c r="E40" s="607"/>
      <c r="F40" s="607"/>
      <c r="G40" s="607"/>
      <c r="H40" s="607"/>
    </row>
    <row r="41" spans="1:9" ht="12" customHeight="1" x14ac:dyDescent="0.2">
      <c r="A41" s="607"/>
      <c r="B41" s="607"/>
      <c r="C41" s="607"/>
      <c r="D41" s="645"/>
      <c r="E41" s="607"/>
      <c r="F41" s="607"/>
      <c r="G41" s="645"/>
      <c r="H41" s="607"/>
    </row>
    <row r="42" spans="1:9" ht="12" customHeight="1" x14ac:dyDescent="0.2">
      <c r="A42" s="993" t="s">
        <v>1069</v>
      </c>
      <c r="B42" s="16">
        <f>'T1 Bilan'!C35</f>
        <v>0</v>
      </c>
      <c r="C42" s="16">
        <f>'T1 Bilan'!D35</f>
        <v>0</v>
      </c>
      <c r="D42" s="16">
        <f>'T1 Bilan'!E35</f>
        <v>0</v>
      </c>
      <c r="G42" s="16">
        <f>'T1 Bilan'!G35</f>
        <v>0</v>
      </c>
    </row>
    <row r="44" spans="1:9" ht="12" customHeight="1" x14ac:dyDescent="0.2">
      <c r="A44" s="2" t="s">
        <v>51</v>
      </c>
      <c r="B44" s="982">
        <f>B38-B42</f>
        <v>0</v>
      </c>
      <c r="C44" s="982">
        <f>C38-C42</f>
        <v>0</v>
      </c>
      <c r="D44" s="982">
        <f>D38-D42</f>
        <v>0</v>
      </c>
      <c r="G44" s="982">
        <f>G38-G42</f>
        <v>0</v>
      </c>
    </row>
  </sheetData>
  <phoneticPr fontId="0" type="noConversion"/>
  <pageMargins left="0.78740157499999996" right="0.78740157499999996" top="0.984251969" bottom="0.984251969" header="0.4921259845" footer="0.4921259845"/>
  <pageSetup paperSize="9" scale="72" orientation="landscape" horizontalDpi="300" verticalDpi="300" r:id="rId1"/>
  <headerFooter alignWithMargins="0">
    <oddHeader>&amp;L&amp;"Times New Roman,Gras italique"&amp;12Sté : ...............................</oddHead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1">
    <tabColor indexed="56"/>
  </sheetPr>
  <dimension ref="B3:B99"/>
  <sheetViews>
    <sheetView showRowColHeaders="0" zoomScale="75" zoomScaleNormal="75" workbookViewId="0"/>
  </sheetViews>
  <sheetFormatPr baseColWidth="10" defaultColWidth="13.33203125" defaultRowHeight="12.75" x14ac:dyDescent="0.2"/>
  <cols>
    <col min="1" max="1" width="2.1640625" style="870" customWidth="1"/>
    <col min="2" max="2" width="177.5" style="870" customWidth="1"/>
    <col min="3" max="3" width="6.1640625" style="870" customWidth="1"/>
    <col min="4" max="16384" width="13.33203125" style="870"/>
  </cols>
  <sheetData>
    <row r="3" spans="2:2" ht="18.75" x14ac:dyDescent="0.3">
      <c r="B3" s="869"/>
    </row>
    <row r="4" spans="2:2" x14ac:dyDescent="0.2">
      <c r="B4" s="871"/>
    </row>
    <row r="5" spans="2:2" ht="13.5" thickBot="1" x14ac:dyDescent="0.25">
      <c r="B5" s="872" t="str">
        <f>' A2 '!C7</f>
        <v>31/12/2022</v>
      </c>
    </row>
    <row r="6" spans="2:2" ht="19.5" thickBot="1" x14ac:dyDescent="0.35">
      <c r="B6" s="873" t="s">
        <v>683</v>
      </c>
    </row>
    <row r="7" spans="2:2" x14ac:dyDescent="0.2">
      <c r="B7" s="874"/>
    </row>
    <row r="8" spans="2:2" ht="15" x14ac:dyDescent="0.2">
      <c r="B8" s="875" t="s">
        <v>684</v>
      </c>
    </row>
    <row r="9" spans="2:2" x14ac:dyDescent="0.2">
      <c r="B9" s="876"/>
    </row>
    <row r="10" spans="2:2" ht="14.25" x14ac:dyDescent="0.2">
      <c r="B10" s="877"/>
    </row>
    <row r="11" spans="2:2" ht="14.25" x14ac:dyDescent="0.2">
      <c r="B11" s="877"/>
    </row>
    <row r="12" spans="2:2" ht="14.25" x14ac:dyDescent="0.2">
      <c r="B12" s="877"/>
    </row>
    <row r="13" spans="2:2" ht="14.25" x14ac:dyDescent="0.2">
      <c r="B13" s="877"/>
    </row>
    <row r="14" spans="2:2" ht="14.25" x14ac:dyDescent="0.2">
      <c r="B14" s="878"/>
    </row>
    <row r="15" spans="2:2" ht="14.25" x14ac:dyDescent="0.2">
      <c r="B15" s="878"/>
    </row>
    <row r="16" spans="2:2" ht="14.25" x14ac:dyDescent="0.2">
      <c r="B16" s="877"/>
    </row>
    <row r="17" spans="2:2" ht="14.25" x14ac:dyDescent="0.2">
      <c r="B17" s="877"/>
    </row>
    <row r="18" spans="2:2" ht="14.25" x14ac:dyDescent="0.2">
      <c r="B18" s="877"/>
    </row>
    <row r="19" spans="2:2" ht="14.25" x14ac:dyDescent="0.2">
      <c r="B19" s="877"/>
    </row>
    <row r="20" spans="2:2" ht="14.25" x14ac:dyDescent="0.2">
      <c r="B20" s="877"/>
    </row>
    <row r="21" spans="2:2" ht="14.25" x14ac:dyDescent="0.2">
      <c r="B21" s="877"/>
    </row>
    <row r="22" spans="2:2" ht="14.25" x14ac:dyDescent="0.2">
      <c r="B22" s="877"/>
    </row>
    <row r="23" spans="2:2" ht="14.25" x14ac:dyDescent="0.2">
      <c r="B23" s="877"/>
    </row>
    <row r="24" spans="2:2" ht="14.25" x14ac:dyDescent="0.2">
      <c r="B24" s="877"/>
    </row>
    <row r="25" spans="2:2" ht="13.5" thickBot="1" x14ac:dyDescent="0.25">
      <c r="B25" s="879"/>
    </row>
    <row r="26" spans="2:2" x14ac:dyDescent="0.2">
      <c r="B26" s="880"/>
    </row>
    <row r="27" spans="2:2" ht="13.5" thickBot="1" x14ac:dyDescent="0.25">
      <c r="B27" s="880"/>
    </row>
    <row r="28" spans="2:2" ht="19.5" thickBot="1" x14ac:dyDescent="0.35">
      <c r="B28" s="873" t="s">
        <v>685</v>
      </c>
    </row>
    <row r="29" spans="2:2" ht="15" x14ac:dyDescent="0.2">
      <c r="B29" s="881"/>
    </row>
    <row r="30" spans="2:2" ht="15" x14ac:dyDescent="0.2">
      <c r="B30" s="875" t="s">
        <v>686</v>
      </c>
    </row>
    <row r="31" spans="2:2" ht="15" x14ac:dyDescent="0.2">
      <c r="B31" s="882"/>
    </row>
    <row r="32" spans="2:2" ht="14.25" x14ac:dyDescent="0.2">
      <c r="B32" s="877"/>
    </row>
    <row r="33" spans="2:2" ht="14.25" x14ac:dyDescent="0.2">
      <c r="B33" s="877"/>
    </row>
    <row r="34" spans="2:2" ht="14.25" x14ac:dyDescent="0.2">
      <c r="B34" s="877"/>
    </row>
    <row r="35" spans="2:2" ht="14.25" x14ac:dyDescent="0.2">
      <c r="B35" s="877"/>
    </row>
    <row r="36" spans="2:2" ht="14.25" x14ac:dyDescent="0.2">
      <c r="B36" s="877"/>
    </row>
    <row r="37" spans="2:2" ht="14.25" x14ac:dyDescent="0.2">
      <c r="B37" s="877"/>
    </row>
    <row r="38" spans="2:2" x14ac:dyDescent="0.2">
      <c r="B38" s="883"/>
    </row>
    <row r="39" spans="2:2" ht="15" x14ac:dyDescent="0.2">
      <c r="B39" s="875" t="s">
        <v>687</v>
      </c>
    </row>
    <row r="40" spans="2:2" x14ac:dyDescent="0.2">
      <c r="B40" s="883"/>
    </row>
    <row r="41" spans="2:2" ht="14.25" x14ac:dyDescent="0.2">
      <c r="B41" s="877"/>
    </row>
    <row r="42" spans="2:2" ht="14.25" x14ac:dyDescent="0.2">
      <c r="B42" s="877"/>
    </row>
    <row r="43" spans="2:2" ht="14.25" x14ac:dyDescent="0.2">
      <c r="B43" s="877"/>
    </row>
    <row r="44" spans="2:2" ht="14.25" x14ac:dyDescent="0.2">
      <c r="B44" s="877"/>
    </row>
    <row r="45" spans="2:2" ht="14.25" x14ac:dyDescent="0.2">
      <c r="B45" s="877"/>
    </row>
    <row r="46" spans="2:2" ht="14.25" x14ac:dyDescent="0.2">
      <c r="B46" s="877"/>
    </row>
    <row r="47" spans="2:2" x14ac:dyDescent="0.2">
      <c r="B47" s="883"/>
    </row>
    <row r="48" spans="2:2" ht="15" x14ac:dyDescent="0.2">
      <c r="B48" s="875" t="s">
        <v>688</v>
      </c>
    </row>
    <row r="49" spans="2:2" x14ac:dyDescent="0.2">
      <c r="B49" s="883"/>
    </row>
    <row r="50" spans="2:2" ht="14.25" x14ac:dyDescent="0.2">
      <c r="B50" s="877"/>
    </row>
    <row r="51" spans="2:2" ht="14.25" x14ac:dyDescent="0.2">
      <c r="B51" s="877"/>
    </row>
    <row r="52" spans="2:2" ht="14.25" x14ac:dyDescent="0.2">
      <c r="B52" s="877"/>
    </row>
    <row r="53" spans="2:2" ht="14.25" x14ac:dyDescent="0.2">
      <c r="B53" s="877"/>
    </row>
    <row r="54" spans="2:2" ht="14.25" x14ac:dyDescent="0.2">
      <c r="B54" s="877"/>
    </row>
    <row r="55" spans="2:2" ht="14.25" x14ac:dyDescent="0.2">
      <c r="B55" s="877"/>
    </row>
    <row r="56" spans="2:2" ht="14.25" x14ac:dyDescent="0.2">
      <c r="B56" s="877"/>
    </row>
    <row r="57" spans="2:2" ht="14.25" x14ac:dyDescent="0.2">
      <c r="B57" s="877"/>
    </row>
    <row r="58" spans="2:2" ht="14.25" x14ac:dyDescent="0.2">
      <c r="B58" s="877"/>
    </row>
    <row r="59" spans="2:2" x14ac:dyDescent="0.2">
      <c r="B59" s="876"/>
    </row>
    <row r="60" spans="2:2" ht="15" x14ac:dyDescent="0.2">
      <c r="B60" s="875" t="s">
        <v>689</v>
      </c>
    </row>
    <row r="61" spans="2:2" x14ac:dyDescent="0.2">
      <c r="B61" s="883"/>
    </row>
    <row r="62" spans="2:2" ht="14.25" x14ac:dyDescent="0.2">
      <c r="B62" s="877"/>
    </row>
    <row r="63" spans="2:2" ht="14.25" x14ac:dyDescent="0.2">
      <c r="B63" s="877"/>
    </row>
    <row r="64" spans="2:2" ht="14.25" x14ac:dyDescent="0.2">
      <c r="B64" s="877"/>
    </row>
    <row r="65" spans="2:2" ht="14.25" x14ac:dyDescent="0.2">
      <c r="B65" s="877"/>
    </row>
    <row r="66" spans="2:2" ht="15" x14ac:dyDescent="0.2">
      <c r="B66" s="875" t="s">
        <v>690</v>
      </c>
    </row>
    <row r="67" spans="2:2" ht="15" x14ac:dyDescent="0.2">
      <c r="B67" s="882"/>
    </row>
    <row r="68" spans="2:2" ht="14.25" x14ac:dyDescent="0.2">
      <c r="B68" s="877"/>
    </row>
    <row r="69" spans="2:2" ht="14.25" x14ac:dyDescent="0.2">
      <c r="B69" s="877"/>
    </row>
    <row r="70" spans="2:2" ht="14.25" x14ac:dyDescent="0.2">
      <c r="B70" s="877"/>
    </row>
    <row r="71" spans="2:2" ht="14.25" x14ac:dyDescent="0.2">
      <c r="B71" s="877"/>
    </row>
    <row r="72" spans="2:2" ht="14.25" x14ac:dyDescent="0.2">
      <c r="B72" s="877"/>
    </row>
    <row r="73" spans="2:2" ht="14.25" x14ac:dyDescent="0.2">
      <c r="B73" s="877"/>
    </row>
    <row r="74" spans="2:2" ht="14.25" x14ac:dyDescent="0.2">
      <c r="B74" s="884"/>
    </row>
    <row r="75" spans="2:2" ht="14.25" x14ac:dyDescent="0.2">
      <c r="B75" s="884"/>
    </row>
    <row r="76" spans="2:2" ht="14.25" x14ac:dyDescent="0.2">
      <c r="B76" s="877"/>
    </row>
    <row r="77" spans="2:2" x14ac:dyDescent="0.2">
      <c r="B77" s="883"/>
    </row>
    <row r="78" spans="2:2" ht="15" x14ac:dyDescent="0.2">
      <c r="B78" s="875" t="s">
        <v>691</v>
      </c>
    </row>
    <row r="79" spans="2:2" ht="15" x14ac:dyDescent="0.2">
      <c r="B79" s="882"/>
    </row>
    <row r="80" spans="2:2" ht="14.25" x14ac:dyDescent="0.2">
      <c r="B80" s="877"/>
    </row>
    <row r="81" spans="2:2" ht="14.25" x14ac:dyDescent="0.2">
      <c r="B81" s="877"/>
    </row>
    <row r="82" spans="2:2" x14ac:dyDescent="0.2">
      <c r="B82" s="883"/>
    </row>
    <row r="83" spans="2:2" ht="14.25" x14ac:dyDescent="0.2">
      <c r="B83" s="884"/>
    </row>
    <row r="84" spans="2:2" x14ac:dyDescent="0.2">
      <c r="B84" s="883"/>
    </row>
    <row r="85" spans="2:2" x14ac:dyDescent="0.2">
      <c r="B85" s="876"/>
    </row>
    <row r="86" spans="2:2" ht="15" x14ac:dyDescent="0.2">
      <c r="B86" s="875" t="s">
        <v>692</v>
      </c>
    </row>
    <row r="87" spans="2:2" x14ac:dyDescent="0.2">
      <c r="B87" s="876"/>
    </row>
    <row r="88" spans="2:2" ht="14.25" x14ac:dyDescent="0.2">
      <c r="B88" s="877"/>
    </row>
    <row r="89" spans="2:2" ht="14.25" x14ac:dyDescent="0.2">
      <c r="B89" s="877"/>
    </row>
    <row r="90" spans="2:2" ht="14.25" x14ac:dyDescent="0.2">
      <c r="B90" s="877"/>
    </row>
    <row r="91" spans="2:2" ht="14.25" x14ac:dyDescent="0.2">
      <c r="B91" s="877"/>
    </row>
    <row r="92" spans="2:2" x14ac:dyDescent="0.2">
      <c r="B92" s="876"/>
    </row>
    <row r="93" spans="2:2" ht="15" x14ac:dyDescent="0.2">
      <c r="B93" s="875" t="s">
        <v>693</v>
      </c>
    </row>
    <row r="94" spans="2:2" x14ac:dyDescent="0.2">
      <c r="B94" s="876"/>
    </row>
    <row r="95" spans="2:2" ht="14.25" x14ac:dyDescent="0.2">
      <c r="B95" s="877"/>
    </row>
    <row r="96" spans="2:2" ht="14.25" x14ac:dyDescent="0.2">
      <c r="B96" s="877"/>
    </row>
    <row r="97" spans="2:2" ht="14.25" x14ac:dyDescent="0.2">
      <c r="B97" s="877"/>
    </row>
    <row r="98" spans="2:2" ht="14.25" x14ac:dyDescent="0.2">
      <c r="B98" s="885"/>
    </row>
    <row r="99" spans="2:2" ht="13.5" thickBot="1" x14ac:dyDescent="0.25">
      <c r="B99" s="879"/>
    </row>
  </sheetData>
  <phoneticPr fontId="0" type="noConversion"/>
  <pageMargins left="0.78740157499999996" right="0.78740157499999996" top="0.984251969" bottom="0.984251969" header="0.4921259845" footer="0.4921259845"/>
  <pageSetup paperSize="9" scale="80" orientation="portrait" r:id="rId1"/>
  <headerFooter alignWithMargins="0">
    <oddHeader>&amp;L&amp;"Times New Roman,Gras italique"&amp;12Sté : ...............................</oddHeader>
  </headerFooter>
  <rowBreaks count="1" manualBreakCount="1">
    <brk id="59" min="1" max="1" man="1"/>
  </rowBreaks>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2">
    <tabColor indexed="56"/>
    <pageSetUpPr fitToPage="1"/>
  </sheetPr>
  <dimension ref="A2:C52"/>
  <sheetViews>
    <sheetView zoomScale="80" zoomScaleNormal="80" workbookViewId="0"/>
  </sheetViews>
  <sheetFormatPr baseColWidth="10" defaultColWidth="13.33203125" defaultRowHeight="12.75" x14ac:dyDescent="0.2"/>
  <cols>
    <col min="1" max="1" width="82.5" style="887" customWidth="1"/>
    <col min="2" max="2" width="48.6640625" style="887" customWidth="1"/>
    <col min="3" max="3" width="59.1640625" style="887" customWidth="1"/>
    <col min="4" max="16384" width="13.33203125" style="887"/>
  </cols>
  <sheetData>
    <row r="2" spans="1:3" ht="15" x14ac:dyDescent="0.2">
      <c r="A2" s="886"/>
    </row>
    <row r="3" spans="1:3" x14ac:dyDescent="0.2">
      <c r="A3" s="871"/>
    </row>
    <row r="5" spans="1:3" ht="14.25" x14ac:dyDescent="0.2">
      <c r="A5" s="888" t="s">
        <v>694</v>
      </c>
    </row>
    <row r="6" spans="1:3" x14ac:dyDescent="0.2">
      <c r="A6" s="871"/>
    </row>
    <row r="7" spans="1:3" ht="15" thickBot="1" x14ac:dyDescent="0.25">
      <c r="A7" s="889"/>
      <c r="B7" s="890" t="s">
        <v>63</v>
      </c>
      <c r="C7" s="891" t="str">
        <f>'T20 Stocks'!H3</f>
        <v>31/12/2022</v>
      </c>
    </row>
    <row r="8" spans="1:3" ht="14.25" x14ac:dyDescent="0.2">
      <c r="A8" s="892" t="s">
        <v>695</v>
      </c>
      <c r="B8" s="892" t="s">
        <v>696</v>
      </c>
      <c r="C8" s="892" t="s">
        <v>697</v>
      </c>
    </row>
    <row r="9" spans="1:3" ht="14.25" x14ac:dyDescent="0.2">
      <c r="A9" s="893" t="s">
        <v>698</v>
      </c>
      <c r="B9" s="893" t="s">
        <v>698</v>
      </c>
      <c r="C9" s="893" t="s">
        <v>699</v>
      </c>
    </row>
    <row r="10" spans="1:3" ht="15.75" thickBot="1" x14ac:dyDescent="0.3">
      <c r="A10" s="894"/>
      <c r="B10" s="895"/>
      <c r="C10" s="895" t="s">
        <v>700</v>
      </c>
    </row>
    <row r="11" spans="1:3" ht="14.25" x14ac:dyDescent="0.2">
      <c r="A11" s="896" t="s">
        <v>701</v>
      </c>
      <c r="B11" s="897"/>
      <c r="C11" s="897"/>
    </row>
    <row r="12" spans="1:3" ht="14.25" x14ac:dyDescent="0.2">
      <c r="A12" s="893"/>
      <c r="B12" s="893"/>
      <c r="C12" s="893"/>
    </row>
    <row r="13" spans="1:3" ht="14.25" x14ac:dyDescent="0.2">
      <c r="A13" s="893"/>
      <c r="B13" s="893"/>
      <c r="C13" s="898"/>
    </row>
    <row r="14" spans="1:3" ht="14.25" x14ac:dyDescent="0.2">
      <c r="A14" s="898" t="s">
        <v>315</v>
      </c>
      <c r="B14" s="893" t="s">
        <v>315</v>
      </c>
      <c r="C14" s="898" t="s">
        <v>315</v>
      </c>
    </row>
    <row r="15" spans="1:3" ht="14.25" x14ac:dyDescent="0.2">
      <c r="A15" s="893"/>
      <c r="B15" s="893"/>
      <c r="C15" s="893"/>
    </row>
    <row r="16" spans="1:3" ht="14.25" x14ac:dyDescent="0.2">
      <c r="A16" s="898" t="s">
        <v>315</v>
      </c>
      <c r="B16" s="893"/>
      <c r="C16" s="893"/>
    </row>
    <row r="17" spans="1:3" ht="14.25" x14ac:dyDescent="0.2">
      <c r="A17" s="898" t="s">
        <v>315</v>
      </c>
      <c r="B17" s="893"/>
      <c r="C17" s="893"/>
    </row>
    <row r="18" spans="1:3" ht="14.25" x14ac:dyDescent="0.2">
      <c r="A18" s="898" t="s">
        <v>315</v>
      </c>
      <c r="B18" s="898"/>
      <c r="C18" s="898"/>
    </row>
    <row r="19" spans="1:3" ht="14.25" x14ac:dyDescent="0.2">
      <c r="A19" s="898" t="s">
        <v>315</v>
      </c>
      <c r="B19" s="893"/>
      <c r="C19" s="893"/>
    </row>
    <row r="20" spans="1:3" ht="14.25" x14ac:dyDescent="0.2">
      <c r="A20" s="898"/>
      <c r="B20" s="898"/>
      <c r="C20" s="898" t="s">
        <v>315</v>
      </c>
    </row>
    <row r="21" spans="1:3" ht="14.25" x14ac:dyDescent="0.2">
      <c r="A21" s="898"/>
      <c r="B21" s="898"/>
      <c r="C21" s="893" t="s">
        <v>315</v>
      </c>
    </row>
    <row r="22" spans="1:3" ht="14.25" x14ac:dyDescent="0.2">
      <c r="A22" s="898"/>
      <c r="B22" s="898"/>
      <c r="C22" s="893"/>
    </row>
    <row r="23" spans="1:3" ht="14.25" x14ac:dyDescent="0.2">
      <c r="A23" s="898"/>
      <c r="B23" s="898"/>
      <c r="C23" s="893"/>
    </row>
    <row r="24" spans="1:3" ht="14.25" x14ac:dyDescent="0.2">
      <c r="A24" s="898"/>
      <c r="B24" s="893"/>
      <c r="C24" s="893"/>
    </row>
    <row r="25" spans="1:3" ht="15" thickBot="1" x14ac:dyDescent="0.25">
      <c r="A25" s="899"/>
      <c r="B25" s="899"/>
      <c r="C25" s="899"/>
    </row>
    <row r="26" spans="1:3" ht="14.25" x14ac:dyDescent="0.2">
      <c r="A26" s="900" t="s">
        <v>702</v>
      </c>
      <c r="B26" s="901"/>
      <c r="C26" s="901"/>
    </row>
    <row r="27" spans="1:3" ht="14.25" x14ac:dyDescent="0.2">
      <c r="A27" s="898" t="s">
        <v>703</v>
      </c>
      <c r="B27" s="893"/>
      <c r="C27" s="893"/>
    </row>
    <row r="28" spans="1:3" ht="14.25" x14ac:dyDescent="0.2">
      <c r="A28" s="893"/>
      <c r="B28" s="893"/>
      <c r="C28" s="893"/>
    </row>
    <row r="29" spans="1:3" ht="14.25" x14ac:dyDescent="0.2">
      <c r="A29" s="893"/>
      <c r="B29" s="893"/>
      <c r="C29" s="893"/>
    </row>
    <row r="30" spans="1:3" ht="14.25" x14ac:dyDescent="0.2">
      <c r="A30" s="893"/>
      <c r="B30" s="893"/>
      <c r="C30" s="893"/>
    </row>
    <row r="31" spans="1:3" ht="14.25" x14ac:dyDescent="0.2">
      <c r="A31" s="893"/>
      <c r="B31" s="893"/>
      <c r="C31" s="893"/>
    </row>
    <row r="32" spans="1:3" ht="15" thickBot="1" x14ac:dyDescent="0.25">
      <c r="A32" s="899"/>
      <c r="B32" s="899"/>
      <c r="C32" s="899"/>
    </row>
    <row r="33" spans="1:3" ht="14.25" x14ac:dyDescent="0.2">
      <c r="A33" s="900" t="s">
        <v>704</v>
      </c>
      <c r="B33" s="901"/>
      <c r="C33" s="901"/>
    </row>
    <row r="34" spans="1:3" ht="14.25" x14ac:dyDescent="0.2">
      <c r="A34" s="896" t="s">
        <v>705</v>
      </c>
      <c r="B34" s="893"/>
      <c r="C34" s="893"/>
    </row>
    <row r="35" spans="1:3" ht="14.25" x14ac:dyDescent="0.2">
      <c r="A35" s="898" t="s">
        <v>706</v>
      </c>
      <c r="B35" s="897"/>
      <c r="C35" s="897"/>
    </row>
    <row r="36" spans="1:3" ht="14.25" x14ac:dyDescent="0.2">
      <c r="A36" s="893"/>
      <c r="B36" s="897"/>
      <c r="C36" s="897"/>
    </row>
    <row r="37" spans="1:3" ht="14.25" x14ac:dyDescent="0.2">
      <c r="A37" s="893"/>
      <c r="B37" s="897"/>
      <c r="C37" s="897"/>
    </row>
    <row r="38" spans="1:3" ht="14.25" x14ac:dyDescent="0.2">
      <c r="A38" s="893"/>
      <c r="B38" s="893"/>
      <c r="C38" s="893"/>
    </row>
    <row r="39" spans="1:3" ht="14.25" x14ac:dyDescent="0.2">
      <c r="A39" s="893"/>
      <c r="B39" s="897"/>
      <c r="C39" s="897"/>
    </row>
    <row r="40" spans="1:3" ht="14.25" x14ac:dyDescent="0.2">
      <c r="A40" s="893"/>
      <c r="B40" s="897"/>
      <c r="C40" s="897"/>
    </row>
    <row r="41" spans="1:3" ht="15" thickBot="1" x14ac:dyDescent="0.25">
      <c r="A41" s="899"/>
      <c r="B41" s="899"/>
      <c r="C41" s="899"/>
    </row>
    <row r="42" spans="1:3" ht="14.25" x14ac:dyDescent="0.2">
      <c r="A42" s="889"/>
      <c r="B42" s="889"/>
      <c r="C42" s="889"/>
    </row>
    <row r="43" spans="1:3" ht="14.25" x14ac:dyDescent="0.2">
      <c r="A43" s="889"/>
      <c r="B43" s="889"/>
      <c r="C43" s="889"/>
    </row>
    <row r="44" spans="1:3" ht="14.25" x14ac:dyDescent="0.2">
      <c r="A44" s="889"/>
      <c r="B44" s="889"/>
      <c r="C44" s="889"/>
    </row>
    <row r="45" spans="1:3" ht="14.25" x14ac:dyDescent="0.2">
      <c r="A45" s="889"/>
      <c r="B45" s="889"/>
      <c r="C45" s="889"/>
    </row>
    <row r="46" spans="1:3" ht="14.25" x14ac:dyDescent="0.2">
      <c r="A46" s="889"/>
      <c r="B46" s="889"/>
      <c r="C46" s="889"/>
    </row>
    <row r="47" spans="1:3" ht="14.25" x14ac:dyDescent="0.2">
      <c r="A47" s="889"/>
      <c r="B47" s="889"/>
      <c r="C47" s="889"/>
    </row>
    <row r="48" spans="1:3" ht="14.25" x14ac:dyDescent="0.2">
      <c r="A48" s="889"/>
      <c r="B48" s="889"/>
      <c r="C48" s="889"/>
    </row>
    <row r="49" spans="1:3" ht="14.25" x14ac:dyDescent="0.2">
      <c r="A49" s="889"/>
      <c r="B49" s="889"/>
      <c r="C49" s="889"/>
    </row>
    <row r="50" spans="1:3" ht="14.25" x14ac:dyDescent="0.2">
      <c r="A50" s="889"/>
      <c r="B50" s="889"/>
      <c r="C50" s="889"/>
    </row>
    <row r="51" spans="1:3" ht="14.25" x14ac:dyDescent="0.2">
      <c r="A51" s="889"/>
      <c r="B51" s="889"/>
      <c r="C51" s="889"/>
    </row>
    <row r="52" spans="1:3" ht="14.25" x14ac:dyDescent="0.2">
      <c r="A52" s="889"/>
      <c r="B52" s="889"/>
      <c r="C52" s="889"/>
    </row>
  </sheetData>
  <phoneticPr fontId="0" type="noConversion"/>
  <pageMargins left="0.78740157499999996" right="0.78740157499999996" top="0.984251969" bottom="0.984251969" header="0.4921259845" footer="0.4921259845"/>
  <pageSetup paperSize="9" scale="74" orientation="landscape" r:id="rId1"/>
  <headerFooter alignWithMargins="0">
    <oddHeader>&amp;L&amp;"Times New Roman,Gras italique"&amp;12Sté : ...............................</oddHead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3">
    <tabColor indexed="56"/>
    <pageSetUpPr fitToPage="1"/>
  </sheetPr>
  <dimension ref="B1:D34"/>
  <sheetViews>
    <sheetView zoomScale="80" zoomScaleNormal="80" workbookViewId="0"/>
  </sheetViews>
  <sheetFormatPr baseColWidth="10" defaultColWidth="13.33203125" defaultRowHeight="12.75" x14ac:dyDescent="0.2"/>
  <cols>
    <col min="1" max="1" width="13.33203125" style="887" customWidth="1"/>
    <col min="2" max="2" width="56.33203125" style="887" bestFit="1" customWidth="1"/>
    <col min="3" max="3" width="22.5" style="887" bestFit="1" customWidth="1"/>
    <col min="4" max="4" width="42.5" style="887" bestFit="1" customWidth="1"/>
    <col min="5" max="16384" width="13.33203125" style="887"/>
  </cols>
  <sheetData>
    <row r="1" spans="2:4" ht="15" x14ac:dyDescent="0.2">
      <c r="B1" s="886"/>
      <c r="C1" s="889"/>
      <c r="D1" s="889"/>
    </row>
    <row r="2" spans="2:4" ht="14.25" x14ac:dyDescent="0.2">
      <c r="B2" s="889"/>
      <c r="C2" s="889"/>
      <c r="D2" s="889"/>
    </row>
    <row r="3" spans="2:4" ht="14.25" x14ac:dyDescent="0.2">
      <c r="B3" s="889"/>
      <c r="C3" s="889"/>
      <c r="D3" s="889"/>
    </row>
    <row r="4" spans="2:4" ht="14.25" x14ac:dyDescent="0.2">
      <c r="B4" s="888" t="s">
        <v>707</v>
      </c>
      <c r="C4" s="889"/>
      <c r="D4" s="889"/>
    </row>
    <row r="5" spans="2:4" ht="14.25" x14ac:dyDescent="0.2">
      <c r="B5" s="888"/>
      <c r="C5" s="889"/>
      <c r="D5" s="889"/>
    </row>
    <row r="6" spans="2:4" ht="15" thickBot="1" x14ac:dyDescent="0.25">
      <c r="B6" s="889"/>
      <c r="C6" s="890" t="s">
        <v>63</v>
      </c>
      <c r="D6" s="891" t="str">
        <f>' A2 '!C7</f>
        <v>31/12/2022</v>
      </c>
    </row>
    <row r="7" spans="2:4" ht="14.25" x14ac:dyDescent="0.2">
      <c r="B7" s="892" t="s">
        <v>708</v>
      </c>
      <c r="C7" s="892" t="s">
        <v>709</v>
      </c>
      <c r="D7" s="892" t="s">
        <v>710</v>
      </c>
    </row>
    <row r="8" spans="2:4" ht="15" thickBot="1" x14ac:dyDescent="0.25">
      <c r="B8" s="895" t="s">
        <v>711</v>
      </c>
      <c r="C8" s="895" t="s">
        <v>711</v>
      </c>
      <c r="D8" s="895" t="s">
        <v>712</v>
      </c>
    </row>
    <row r="9" spans="2:4" ht="14.25" x14ac:dyDescent="0.2">
      <c r="B9" s="902" t="s">
        <v>713</v>
      </c>
      <c r="C9" s="901"/>
      <c r="D9" s="901"/>
    </row>
    <row r="10" spans="2:4" ht="14.25" x14ac:dyDescent="0.2">
      <c r="B10" s="898" t="s">
        <v>714</v>
      </c>
      <c r="C10" s="897"/>
      <c r="D10" s="897"/>
    </row>
    <row r="11" spans="2:4" ht="14.25" x14ac:dyDescent="0.2">
      <c r="B11" s="897"/>
      <c r="C11" s="897"/>
      <c r="D11" s="897"/>
    </row>
    <row r="12" spans="2:4" ht="15" x14ac:dyDescent="0.25">
      <c r="B12" s="897"/>
      <c r="C12" s="897"/>
      <c r="D12" s="903"/>
    </row>
    <row r="13" spans="2:4" ht="15" x14ac:dyDescent="0.25">
      <c r="B13" s="898"/>
      <c r="C13" s="903"/>
      <c r="D13" s="904"/>
    </row>
    <row r="14" spans="2:4" ht="14.25" x14ac:dyDescent="0.2">
      <c r="B14" s="893"/>
      <c r="C14" s="893"/>
      <c r="D14" s="893"/>
    </row>
    <row r="15" spans="2:4" ht="15" x14ac:dyDescent="0.25">
      <c r="B15" s="897"/>
      <c r="C15" s="903"/>
      <c r="D15" s="904"/>
    </row>
    <row r="16" spans="2:4" ht="15" x14ac:dyDescent="0.25">
      <c r="B16" s="897"/>
      <c r="C16" s="903"/>
      <c r="D16" s="904"/>
    </row>
    <row r="17" spans="2:4" ht="15" x14ac:dyDescent="0.25">
      <c r="B17" s="897"/>
      <c r="C17" s="903"/>
      <c r="D17" s="897"/>
    </row>
    <row r="18" spans="2:4" ht="15" x14ac:dyDescent="0.25">
      <c r="B18" s="897"/>
      <c r="C18" s="903"/>
      <c r="D18" s="897"/>
    </row>
    <row r="19" spans="2:4" ht="14.25" x14ac:dyDescent="0.2">
      <c r="B19" s="897"/>
      <c r="C19" s="897"/>
      <c r="D19" s="897"/>
    </row>
    <row r="20" spans="2:4" ht="15" thickBot="1" x14ac:dyDescent="0.25">
      <c r="B20" s="899"/>
      <c r="C20" s="899"/>
      <c r="D20" s="899"/>
    </row>
    <row r="21" spans="2:4" ht="14.25" x14ac:dyDescent="0.2">
      <c r="B21" s="902" t="s">
        <v>715</v>
      </c>
      <c r="C21" s="901"/>
      <c r="D21" s="901"/>
    </row>
    <row r="22" spans="2:4" ht="14.25" x14ac:dyDescent="0.2">
      <c r="B22" s="898" t="s">
        <v>716</v>
      </c>
      <c r="C22" s="897"/>
      <c r="D22" s="897"/>
    </row>
    <row r="23" spans="2:4" ht="14.25" x14ac:dyDescent="0.2">
      <c r="B23" s="905"/>
      <c r="C23" s="897"/>
      <c r="D23" s="897"/>
    </row>
    <row r="24" spans="2:4" ht="14.25" x14ac:dyDescent="0.2">
      <c r="B24" s="897"/>
      <c r="C24" s="897"/>
      <c r="D24" s="897"/>
    </row>
    <row r="25" spans="2:4" ht="14.25" x14ac:dyDescent="0.2">
      <c r="B25" s="897"/>
      <c r="C25" s="897"/>
      <c r="D25" s="897"/>
    </row>
    <row r="26" spans="2:4" ht="14.25" x14ac:dyDescent="0.2">
      <c r="B26" s="897"/>
      <c r="C26" s="897"/>
      <c r="D26" s="897"/>
    </row>
    <row r="27" spans="2:4" ht="14.25" x14ac:dyDescent="0.2">
      <c r="B27" s="893"/>
      <c r="C27" s="893"/>
      <c r="D27" s="893"/>
    </row>
    <row r="28" spans="2:4" ht="14.25" x14ac:dyDescent="0.2">
      <c r="B28" s="897"/>
      <c r="C28" s="897"/>
      <c r="D28" s="897"/>
    </row>
    <row r="29" spans="2:4" ht="14.25" x14ac:dyDescent="0.2">
      <c r="B29" s="897"/>
      <c r="C29" s="897"/>
      <c r="D29" s="897"/>
    </row>
    <row r="30" spans="2:4" ht="14.25" x14ac:dyDescent="0.2">
      <c r="B30" s="897"/>
      <c r="C30" s="897"/>
      <c r="D30" s="897"/>
    </row>
    <row r="31" spans="2:4" ht="14.25" x14ac:dyDescent="0.2">
      <c r="B31" s="897"/>
      <c r="C31" s="897"/>
      <c r="D31" s="897"/>
    </row>
    <row r="32" spans="2:4" ht="14.25" x14ac:dyDescent="0.2">
      <c r="B32" s="897"/>
      <c r="C32" s="897"/>
      <c r="D32" s="897"/>
    </row>
    <row r="33" spans="2:4" ht="14.25" x14ac:dyDescent="0.2">
      <c r="B33" s="897"/>
      <c r="C33" s="897"/>
      <c r="D33" s="897"/>
    </row>
    <row r="34" spans="2:4" ht="15" thickBot="1" x14ac:dyDescent="0.25">
      <c r="B34" s="899"/>
      <c r="C34" s="899"/>
      <c r="D34" s="899"/>
    </row>
  </sheetData>
  <phoneticPr fontId="0" type="noConversion"/>
  <pageMargins left="0.78740157499999996" right="0.78740157499999996" top="0.984251969" bottom="0.984251969" header="0.4921259845" footer="0.4921259845"/>
  <pageSetup paperSize="9" scale="92" orientation="landscape" verticalDpi="300" r:id="rId1"/>
  <headerFooter alignWithMargins="0">
    <oddHeader>&amp;L&amp;"Times New Roman,Gras italique"&amp;12Sté : ...............................</oddHead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4">
    <pageSetUpPr fitToPage="1"/>
  </sheetPr>
  <dimension ref="B1:D31"/>
  <sheetViews>
    <sheetView workbookViewId="0"/>
  </sheetViews>
  <sheetFormatPr baseColWidth="10" defaultColWidth="12" defaultRowHeight="12.75" x14ac:dyDescent="0.2"/>
  <cols>
    <col min="1" max="1" width="7.1640625" style="2" customWidth="1"/>
    <col min="2" max="2" width="16.1640625" style="2" customWidth="1"/>
    <col min="3" max="3" width="48.83203125" style="2" customWidth="1"/>
    <col min="4" max="4" width="14.33203125" style="2" customWidth="1"/>
    <col min="5" max="16384" width="12" style="2"/>
  </cols>
  <sheetData>
    <row r="1" spans="2:4" x14ac:dyDescent="0.2">
      <c r="C1" s="1194"/>
      <c r="D1" s="1194"/>
    </row>
    <row r="2" spans="2:4" x14ac:dyDescent="0.2">
      <c r="C2" s="410"/>
      <c r="D2" s="410"/>
    </row>
    <row r="3" spans="2:4" ht="15.75" x14ac:dyDescent="0.25">
      <c r="B3" s="411"/>
      <c r="D3" s="412" t="s">
        <v>190</v>
      </c>
    </row>
    <row r="4" spans="2:4" x14ac:dyDescent="0.2">
      <c r="C4" s="413" t="s">
        <v>191</v>
      </c>
    </row>
    <row r="5" spans="2:4" x14ac:dyDescent="0.2">
      <c r="B5" s="414"/>
      <c r="C5" s="410" t="s">
        <v>63</v>
      </c>
      <c r="D5" s="342" t="str">
        <f>'T5 ESG'!$G$3</f>
        <v>31/12/2022</v>
      </c>
    </row>
    <row r="6" spans="2:4" x14ac:dyDescent="0.2">
      <c r="B6" s="415" t="s">
        <v>192</v>
      </c>
      <c r="C6" s="416" t="s">
        <v>193</v>
      </c>
      <c r="D6" s="416" t="s">
        <v>551</v>
      </c>
    </row>
    <row r="7" spans="2:4" x14ac:dyDescent="0.2">
      <c r="B7" s="417" t="s">
        <v>194</v>
      </c>
      <c r="C7" s="418"/>
      <c r="D7" s="418"/>
    </row>
    <row r="8" spans="2:4" x14ac:dyDescent="0.2">
      <c r="B8" s="302"/>
      <c r="C8" s="419"/>
      <c r="D8" s="419"/>
    </row>
    <row r="9" spans="2:4" x14ac:dyDescent="0.2">
      <c r="B9" s="664">
        <v>2111</v>
      </c>
      <c r="C9" s="302" t="s">
        <v>52</v>
      </c>
      <c r="D9" s="422">
        <f>SUMIF('Balance N Retraitée'!A:A,"2111*",'Balance N Retraitée'!G:G)-SUMIF('Balance N Retraitée'!A:A,"2111*",'Balance N Retraitée'!H:H)</f>
        <v>5000</v>
      </c>
    </row>
    <row r="10" spans="2:4" x14ac:dyDescent="0.2">
      <c r="B10" s="664">
        <v>2112</v>
      </c>
      <c r="C10" s="302" t="s">
        <v>53</v>
      </c>
      <c r="D10" s="422">
        <f>SUMIF('Balance N Retraitée'!A:A,"2112*",'Balance N Retraitée'!G:G)-SUMIF('Balance N Retraitée'!A:A,"2112*",'Balance N Retraitée'!H:H)</f>
        <v>0</v>
      </c>
    </row>
    <row r="11" spans="2:4" x14ac:dyDescent="0.2">
      <c r="B11" s="664">
        <v>2113</v>
      </c>
      <c r="C11" s="302" t="s">
        <v>54</v>
      </c>
      <c r="D11" s="422">
        <f>SUMIF('Balance N Retraitée'!A:A,"2113*",'Balance N Retraitée'!G:G)-SUMIF('Balance N Retraitée'!A:A,"2113*",'Balance N Retraitée'!H:H)</f>
        <v>0</v>
      </c>
    </row>
    <row r="12" spans="2:4" ht="25.5" x14ac:dyDescent="0.2">
      <c r="B12" s="664">
        <v>2114</v>
      </c>
      <c r="C12" s="663" t="s">
        <v>55</v>
      </c>
      <c r="D12" s="422">
        <f>SUMIF('Balance N Retraitée'!A:A,"2114*",'Balance N Retraitée'!G:G)-SUMIF('Balance N Retraitée'!A:A,"2114*",'Balance N Retraitée'!H:H)</f>
        <v>0</v>
      </c>
    </row>
    <row r="13" spans="2:4" x14ac:dyDescent="0.2">
      <c r="B13" s="664">
        <v>2116</v>
      </c>
      <c r="C13" s="302" t="s">
        <v>56</v>
      </c>
      <c r="D13" s="422">
        <f>SUMIF('Balance N Retraitée'!A:A,"2116*",'Balance N Retraitée'!G:G)-SUMIF('Balance N Retraitée'!A:A,"2116*",'Balance N Retraitée'!H:H)</f>
        <v>0</v>
      </c>
    </row>
    <row r="14" spans="2:4" x14ac:dyDescent="0.2">
      <c r="B14" s="664">
        <v>2117</v>
      </c>
      <c r="C14" s="302" t="s">
        <v>57</v>
      </c>
      <c r="D14" s="422">
        <f>SUMIF('Balance N Retraitée'!A:A,"2117*",'Balance N Retraitée'!G:G)-SUMIF('Balance N Retraitée'!A:A,"2117*",'Balance N Retraitée'!H:H)</f>
        <v>0</v>
      </c>
    </row>
    <row r="15" spans="2:4" x14ac:dyDescent="0.2">
      <c r="B15" s="664">
        <v>2118</v>
      </c>
      <c r="C15" s="302" t="s">
        <v>58</v>
      </c>
      <c r="D15" s="422">
        <f>SUMIF('Balance N Retraitée'!A:A,"2118*",'Balance N Retraitée'!G:G)-SUMIF('Balance N Retraitée'!A:A,"2118*",'Balance N Retraitée'!H:H)</f>
        <v>0</v>
      </c>
    </row>
    <row r="16" spans="2:4" x14ac:dyDescent="0.2">
      <c r="B16" s="664">
        <v>2121</v>
      </c>
      <c r="C16" s="302" t="s">
        <v>59</v>
      </c>
      <c r="D16" s="422">
        <f>SUMIF('Balance N Retraitée'!A:A,"2121*",'Balance N Retraitée'!G:G)-SUMIF('Balance N Retraitée'!A:A,"2121*",'Balance N Retraitée'!H:H)</f>
        <v>0</v>
      </c>
    </row>
    <row r="17" spans="2:4" x14ac:dyDescent="0.2">
      <c r="B17" s="664">
        <v>2125</v>
      </c>
      <c r="C17" s="302" t="s">
        <v>60</v>
      </c>
      <c r="D17" s="422">
        <f>SUMIF('Balance N Retraitée'!A:A,"2125*",'Balance N Retraitée'!G:G)-SUMIF('Balance N Retraitée'!A:A,"2125*",'Balance N Retraitée'!H:H)</f>
        <v>0</v>
      </c>
    </row>
    <row r="18" spans="2:4" x14ac:dyDescent="0.2">
      <c r="B18" s="664">
        <v>2128</v>
      </c>
      <c r="C18" s="302" t="s">
        <v>195</v>
      </c>
      <c r="D18" s="422">
        <f>SUMIF('Balance N Retraitée'!A:A,"2128*",'Balance N Retraitée'!G:G)-SUMIF('Balance N Retraitée'!A:A,"2128*",'Balance N Retraitée'!H:H)</f>
        <v>0</v>
      </c>
    </row>
    <row r="19" spans="2:4" x14ac:dyDescent="0.2">
      <c r="B19" s="664">
        <v>2130</v>
      </c>
      <c r="C19" s="302" t="s">
        <v>61</v>
      </c>
      <c r="D19" s="422">
        <f>SUMIF('Balance N Retraitée'!A:A,"2130*",'Balance N Retraitée'!G:G)-SUMIF('Balance N Retraitée'!A:A,"2130*",'Balance N Retraitée'!H:H)</f>
        <v>0</v>
      </c>
    </row>
    <row r="20" spans="2:4" x14ac:dyDescent="0.2">
      <c r="B20" s="302"/>
      <c r="C20" s="419"/>
      <c r="D20" s="422"/>
    </row>
    <row r="21" spans="2:4" x14ac:dyDescent="0.2">
      <c r="B21" s="302"/>
      <c r="C21" s="419"/>
      <c r="D21" s="419"/>
    </row>
    <row r="22" spans="2:4" x14ac:dyDescent="0.2">
      <c r="B22" s="302"/>
      <c r="C22" s="419"/>
      <c r="D22" s="419"/>
    </row>
    <row r="23" spans="2:4" x14ac:dyDescent="0.2">
      <c r="B23" s="302"/>
      <c r="C23" s="419"/>
      <c r="D23" s="419"/>
    </row>
    <row r="24" spans="2:4" x14ac:dyDescent="0.2">
      <c r="B24" s="302"/>
      <c r="C24" s="419"/>
      <c r="D24" s="419"/>
    </row>
    <row r="25" spans="2:4" x14ac:dyDescent="0.2">
      <c r="B25" s="302"/>
      <c r="C25" s="419"/>
      <c r="D25" s="419"/>
    </row>
    <row r="26" spans="2:4" x14ac:dyDescent="0.2">
      <c r="B26" s="302"/>
      <c r="C26" s="419"/>
      <c r="D26" s="419"/>
    </row>
    <row r="27" spans="2:4" x14ac:dyDescent="0.2">
      <c r="B27" s="302"/>
      <c r="C27" s="419"/>
      <c r="D27" s="419"/>
    </row>
    <row r="28" spans="2:4" x14ac:dyDescent="0.2">
      <c r="B28" s="302"/>
      <c r="C28" s="419"/>
      <c r="D28" s="419"/>
    </row>
    <row r="29" spans="2:4" x14ac:dyDescent="0.2">
      <c r="B29" s="302"/>
      <c r="C29" s="419"/>
      <c r="D29" s="336"/>
    </row>
    <row r="30" spans="2:4" x14ac:dyDescent="0.2">
      <c r="B30" s="302"/>
      <c r="C30" s="421" t="s">
        <v>928</v>
      </c>
      <c r="D30" s="422">
        <f>SUM(D8:D29)</f>
        <v>5000</v>
      </c>
    </row>
    <row r="31" spans="2:4" x14ac:dyDescent="0.2">
      <c r="B31" s="423"/>
      <c r="C31" s="336"/>
      <c r="D31" s="336"/>
    </row>
  </sheetData>
  <mergeCells count="1">
    <mergeCell ref="C1:D1"/>
  </mergeCells>
  <phoneticPr fontId="0" type="noConversion"/>
  <pageMargins left="0.78740157499999996" right="0.78740157499999996" top="0.984251969" bottom="0.984251969" header="0.4921259845" footer="0.4921259845"/>
  <pageSetup paperSize="9" orientation="portrait" horizontalDpi="300" verticalDpi="300" r:id="rId1"/>
  <headerFooter alignWithMargins="0">
    <oddHeader>&amp;L&amp;"Times New Roman,Gras italique"&amp;12Sté : ...............................</oddHead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5"/>
  <dimension ref="A1:I20"/>
  <sheetViews>
    <sheetView zoomScale="80" zoomScaleNormal="80" workbookViewId="0">
      <selection activeCell="M5" sqref="M5"/>
    </sheetView>
  </sheetViews>
  <sheetFormatPr baseColWidth="10" defaultColWidth="12" defaultRowHeight="12.75" x14ac:dyDescent="0.2"/>
  <cols>
    <col min="1" max="1" width="37.5" style="12" bestFit="1" customWidth="1"/>
    <col min="2" max="2" width="21" style="12" customWidth="1"/>
    <col min="3" max="3" width="21.33203125" style="12" bestFit="1" customWidth="1"/>
    <col min="4" max="4" width="24" style="12" bestFit="1" customWidth="1"/>
    <col min="5" max="6" width="12.33203125" style="12" bestFit="1" customWidth="1"/>
    <col min="7" max="7" width="23" style="12" bestFit="1" customWidth="1"/>
    <col min="8" max="8" width="13.5" style="12" bestFit="1" customWidth="1"/>
    <col min="9" max="9" width="20.1640625" style="12" customWidth="1"/>
    <col min="10" max="16384" width="12" style="12"/>
  </cols>
  <sheetData>
    <row r="1" spans="1:9" x14ac:dyDescent="0.2">
      <c r="A1" s="10"/>
      <c r="B1" s="10"/>
      <c r="C1" s="10"/>
      <c r="D1" s="10"/>
      <c r="E1" s="10"/>
      <c r="F1" s="10"/>
      <c r="G1" s="10"/>
      <c r="H1" s="10"/>
      <c r="I1" s="10"/>
    </row>
    <row r="2" spans="1:9" x14ac:dyDescent="0.2">
      <c r="A2" s="1195" t="s">
        <v>76</v>
      </c>
      <c r="B2" s="1195"/>
      <c r="C2" s="1195"/>
      <c r="D2" s="1195"/>
      <c r="E2" s="1195"/>
      <c r="F2" s="1195"/>
      <c r="G2" s="1195"/>
      <c r="H2" s="1195"/>
      <c r="I2" s="1195"/>
    </row>
    <row r="3" spans="1:9" x14ac:dyDescent="0.2">
      <c r="B3" s="219"/>
      <c r="C3" s="219"/>
      <c r="D3" s="219"/>
      <c r="E3" s="219"/>
      <c r="F3" s="219"/>
      <c r="G3" s="219" t="str">
        <f>+'T8 B2 BIS'!D4</f>
        <v>Exercice clos le :</v>
      </c>
      <c r="H3" s="219"/>
      <c r="I3" s="342" t="str">
        <f>'T5 ESG'!$G$3</f>
        <v>31/12/2022</v>
      </c>
    </row>
    <row r="4" spans="1:9" x14ac:dyDescent="0.2">
      <c r="A4" s="1196" t="s">
        <v>77</v>
      </c>
      <c r="B4" s="1197" t="s">
        <v>928</v>
      </c>
      <c r="C4" s="1199" t="s">
        <v>78</v>
      </c>
      <c r="D4" s="1199"/>
      <c r="E4" s="1199"/>
      <c r="F4" s="1199" t="s">
        <v>79</v>
      </c>
      <c r="G4" s="1199"/>
      <c r="H4" s="1199"/>
      <c r="I4" s="1199"/>
    </row>
    <row r="5" spans="1:9" ht="45" x14ac:dyDescent="0.2">
      <c r="A5" s="1196"/>
      <c r="B5" s="1198"/>
      <c r="C5" s="291" t="s">
        <v>80</v>
      </c>
      <c r="D5" s="291" t="s">
        <v>81</v>
      </c>
      <c r="E5" s="292" t="s">
        <v>82</v>
      </c>
      <c r="F5" s="292" t="s">
        <v>83</v>
      </c>
      <c r="G5" s="292" t="s">
        <v>84</v>
      </c>
      <c r="H5" s="292" t="s">
        <v>85</v>
      </c>
      <c r="I5" s="292" t="s">
        <v>86</v>
      </c>
    </row>
    <row r="6" spans="1:9" s="282" customFormat="1" x14ac:dyDescent="0.2">
      <c r="A6" s="232" t="s">
        <v>87</v>
      </c>
      <c r="B6" s="646">
        <f>SUM(B8:B9)</f>
        <v>0</v>
      </c>
      <c r="C6" s="646">
        <f t="shared" ref="C6:I6" si="0">SUM(C8:C9)</f>
        <v>0</v>
      </c>
      <c r="D6" s="646">
        <f t="shared" si="0"/>
        <v>0</v>
      </c>
      <c r="E6" s="646">
        <f t="shared" si="0"/>
        <v>0</v>
      </c>
      <c r="F6" s="646">
        <f t="shared" si="0"/>
        <v>0</v>
      </c>
      <c r="G6" s="646">
        <f t="shared" si="0"/>
        <v>0</v>
      </c>
      <c r="H6" s="646">
        <f t="shared" si="0"/>
        <v>0</v>
      </c>
      <c r="I6" s="646">
        <f t="shared" si="0"/>
        <v>0</v>
      </c>
    </row>
    <row r="7" spans="1:9" x14ac:dyDescent="0.2">
      <c r="A7" s="293"/>
      <c r="B7" s="647"/>
      <c r="C7" s="647"/>
      <c r="D7" s="647"/>
      <c r="E7" s="647"/>
      <c r="F7" s="647"/>
      <c r="G7" s="647"/>
      <c r="H7" s="647"/>
      <c r="I7" s="647"/>
    </row>
    <row r="8" spans="1:9" x14ac:dyDescent="0.2">
      <c r="A8" s="294" t="s">
        <v>88</v>
      </c>
      <c r="B8" s="648">
        <f>SUMIF('Balance N Retraitée'!A:A,"241*",'Balance N Retraitée'!G:G)-SUMIF('Balance N Retraitée'!A:A,"241*",'Balance N Retraitée'!H:H)</f>
        <v>0</v>
      </c>
      <c r="C8" s="648">
        <f>B8-D8-E8</f>
        <v>0</v>
      </c>
      <c r="D8" s="741"/>
      <c r="E8" s="741"/>
      <c r="F8" s="741"/>
      <c r="G8" s="741"/>
      <c r="H8" s="741"/>
      <c r="I8" s="741"/>
    </row>
    <row r="9" spans="1:9" x14ac:dyDescent="0.2">
      <c r="A9" s="294" t="s">
        <v>89</v>
      </c>
      <c r="B9" s="648">
        <f>SUMIF('Balance N Retraitée'!A:A,"248*",'Balance N Retraitée'!G:G)-SUMIF('Balance N Retraitée'!A:A,"248*",'Balance N Retraitée'!H:H)</f>
        <v>0</v>
      </c>
      <c r="C9" s="648">
        <f>B9-D9-E9</f>
        <v>0</v>
      </c>
      <c r="D9" s="741"/>
      <c r="E9" s="741"/>
      <c r="F9" s="741"/>
      <c r="G9" s="741"/>
      <c r="H9" s="741"/>
      <c r="I9" s="741"/>
    </row>
    <row r="10" spans="1:9" x14ac:dyDescent="0.2">
      <c r="A10" s="295"/>
      <c r="B10" s="649"/>
      <c r="C10" s="649"/>
      <c r="D10" s="649"/>
      <c r="E10" s="649"/>
      <c r="F10" s="649"/>
      <c r="G10" s="649"/>
      <c r="H10" s="649"/>
      <c r="I10" s="649"/>
    </row>
    <row r="11" spans="1:9" s="282" customFormat="1" x14ac:dyDescent="0.2">
      <c r="A11" s="232" t="s">
        <v>90</v>
      </c>
      <c r="B11" s="646">
        <f>SUM(B14:B19)</f>
        <v>308800.71999999997</v>
      </c>
      <c r="C11" s="646">
        <f t="shared" ref="C11:I11" si="1">SUM(C14:C19)</f>
        <v>0</v>
      </c>
      <c r="D11" s="646">
        <f t="shared" si="1"/>
        <v>308800.71999999997</v>
      </c>
      <c r="E11" s="646">
        <f t="shared" si="1"/>
        <v>0</v>
      </c>
      <c r="F11" s="646">
        <f t="shared" si="1"/>
        <v>0</v>
      </c>
      <c r="G11" s="646">
        <f t="shared" si="1"/>
        <v>20800.719999999998</v>
      </c>
      <c r="H11" s="646">
        <f t="shared" si="1"/>
        <v>0</v>
      </c>
      <c r="I11" s="646">
        <f t="shared" si="1"/>
        <v>0</v>
      </c>
    </row>
    <row r="12" spans="1:9" x14ac:dyDescent="0.2">
      <c r="A12" s="277"/>
      <c r="B12" s="647"/>
      <c r="C12" s="740"/>
      <c r="D12" s="647"/>
      <c r="E12" s="740"/>
      <c r="F12" s="740"/>
      <c r="G12" s="740"/>
      <c r="H12" s="740"/>
      <c r="I12" s="740"/>
    </row>
    <row r="13" spans="1:9" x14ac:dyDescent="0.2">
      <c r="A13" s="294" t="s">
        <v>91</v>
      </c>
      <c r="B13" s="648">
        <f>SUMIF('Balance N Retraitée'!A:A,"341*",'Balance N Retraitée'!G:G)-SUMIF('Balance N Retraitée'!A:A,"341*",'Balance N Retraitée'!H:H)</f>
        <v>0</v>
      </c>
      <c r="C13" s="741"/>
      <c r="D13" s="648">
        <f t="shared" ref="D13:D19" si="2">B13-C13-E13</f>
        <v>0</v>
      </c>
      <c r="E13" s="741"/>
      <c r="F13" s="741"/>
      <c r="G13" s="741"/>
      <c r="H13" s="741"/>
      <c r="I13" s="741"/>
    </row>
    <row r="14" spans="1:9" x14ac:dyDescent="0.2">
      <c r="A14" s="294" t="s">
        <v>92</v>
      </c>
      <c r="B14" s="648">
        <f>SUMIF('Balance N Retraitée'!A:A,"342*",'Balance N Retraitée'!G:G)-SUMIF('Balance N Retraitée'!A:A,"342*",'Balance N Retraitée'!H:H)</f>
        <v>288000</v>
      </c>
      <c r="C14" s="741"/>
      <c r="D14" s="648">
        <f t="shared" si="2"/>
        <v>288000</v>
      </c>
      <c r="E14" s="741"/>
      <c r="F14" s="741"/>
      <c r="G14" s="741"/>
      <c r="H14" s="741"/>
      <c r="I14" s="648">
        <f>SUMIF('Balance N Retraitée'!A:A,"3425*",'Balance N Retraitée'!G:G)-SUMIF('Balance N Retraitée'!A:A,"3425*",'Balance N Retraitée'!H:H)</f>
        <v>0</v>
      </c>
    </row>
    <row r="15" spans="1:9" x14ac:dyDescent="0.2">
      <c r="A15" s="294" t="s">
        <v>93</v>
      </c>
      <c r="B15" s="648">
        <f>SUMIF('Balance N Retraitée'!A:A,"343*",'Balance N Retraitée'!G:G)-SUMIF('Balance N Retraitée'!A:A,"343*",'Balance N Retraitée'!H:H)</f>
        <v>0</v>
      </c>
      <c r="C15" s="741"/>
      <c r="D15" s="648">
        <f t="shared" si="2"/>
        <v>0</v>
      </c>
      <c r="E15" s="741"/>
      <c r="F15" s="741"/>
      <c r="G15" s="741"/>
      <c r="H15" s="741"/>
      <c r="I15" s="741"/>
    </row>
    <row r="16" spans="1:9" x14ac:dyDescent="0.2">
      <c r="A16" s="294" t="s">
        <v>94</v>
      </c>
      <c r="B16" s="648">
        <f>SUMIF('Balance N Retraitée'!A:A,"345*",'Balance N Retraitée'!G:G)-SUMIF('Balance N Retraitée'!A:A,"345*",'Balance N Retraitée'!H:H)</f>
        <v>20800.719999999998</v>
      </c>
      <c r="C16" s="741"/>
      <c r="D16" s="648">
        <f t="shared" si="2"/>
        <v>20800.719999999998</v>
      </c>
      <c r="E16" s="741"/>
      <c r="F16" s="741"/>
      <c r="G16" s="648">
        <f>+D16</f>
        <v>20800.719999999998</v>
      </c>
      <c r="H16" s="741"/>
      <c r="I16" s="741"/>
    </row>
    <row r="17" spans="1:9" x14ac:dyDescent="0.2">
      <c r="A17" s="294" t="s">
        <v>95</v>
      </c>
      <c r="B17" s="648">
        <f>SUMIF('Balance N Retraitée'!A:A,"346*",'Balance N Retraitée'!G:G)-SUMIF('Balance N Retraitée'!A:A,"346*",'Balance N Retraitée'!H:H)</f>
        <v>0</v>
      </c>
      <c r="C17" s="741"/>
      <c r="D17" s="648">
        <f t="shared" si="2"/>
        <v>0</v>
      </c>
      <c r="E17" s="741"/>
      <c r="F17" s="741"/>
      <c r="G17" s="741"/>
      <c r="H17" s="741"/>
      <c r="I17" s="741"/>
    </row>
    <row r="18" spans="1:9" x14ac:dyDescent="0.2">
      <c r="A18" s="294" t="s">
        <v>96</v>
      </c>
      <c r="B18" s="648">
        <f>SUMIF('Balance N Retraitée'!A:A,"348*",'Balance N Retraitée'!G:G)-SUMIF('Balance N Retraitée'!A:A,"348*",'Balance N Retraitée'!H:H)</f>
        <v>0</v>
      </c>
      <c r="C18" s="741"/>
      <c r="D18" s="648">
        <f t="shared" si="2"/>
        <v>0</v>
      </c>
      <c r="E18" s="741"/>
      <c r="F18" s="741"/>
      <c r="G18" s="741"/>
      <c r="H18" s="741"/>
      <c r="I18" s="741"/>
    </row>
    <row r="19" spans="1:9" x14ac:dyDescent="0.2">
      <c r="A19" s="294" t="s">
        <v>97</v>
      </c>
      <c r="B19" s="648">
        <f>SUMIF('Balance N Retraitée'!A:A,"349*",'Balance N Retraitée'!G:G)-SUMIF('Balance N Retraitée'!A:A,"349*",'Balance N Retraitée'!H:H)</f>
        <v>0</v>
      </c>
      <c r="C19" s="741"/>
      <c r="D19" s="648">
        <f t="shared" si="2"/>
        <v>0</v>
      </c>
      <c r="E19" s="741"/>
      <c r="F19" s="741"/>
      <c r="G19" s="741"/>
      <c r="H19" s="741"/>
      <c r="I19" s="741"/>
    </row>
    <row r="20" spans="1:9" x14ac:dyDescent="0.2">
      <c r="A20" s="280"/>
      <c r="B20" s="649"/>
      <c r="C20" s="742"/>
      <c r="D20" s="649"/>
      <c r="E20" s="742"/>
      <c r="F20" s="742"/>
      <c r="G20" s="742"/>
      <c r="H20" s="742"/>
      <c r="I20" s="742"/>
    </row>
  </sheetData>
  <mergeCells count="5">
    <mergeCell ref="A2:I2"/>
    <mergeCell ref="A4:A5"/>
    <mergeCell ref="B4:B5"/>
    <mergeCell ref="C4:E4"/>
    <mergeCell ref="F4:I4"/>
  </mergeCells>
  <phoneticPr fontId="0" type="noConversion"/>
  <pageMargins left="0.78740157499999996" right="0.78740157499999996" top="0.984251969" bottom="0.984251969" header="0.4921259845" footer="0.4921259845"/>
  <pageSetup paperSize="9" scale="77" orientation="landscape" horizontalDpi="300" verticalDpi="300" r:id="rId1"/>
  <headerFooter alignWithMargins="0">
    <oddHeader>&amp;L&amp;"Times New Roman,Gras italique"&amp;12Sté : ...............................</oddHead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6"/>
  <dimension ref="A1:I23"/>
  <sheetViews>
    <sheetView zoomScale="80" zoomScaleNormal="80" workbookViewId="0"/>
  </sheetViews>
  <sheetFormatPr baseColWidth="10" defaultColWidth="13.33203125" defaultRowHeight="12.75" x14ac:dyDescent="0.2"/>
  <cols>
    <col min="1" max="1" width="64.33203125" style="10" bestFit="1" customWidth="1"/>
    <col min="2" max="2" width="25.1640625" style="10" bestFit="1" customWidth="1"/>
    <col min="3" max="3" width="17" style="10" customWidth="1"/>
    <col min="4" max="4" width="25.1640625" style="10" bestFit="1" customWidth="1"/>
    <col min="5" max="5" width="13.33203125" style="10" customWidth="1"/>
    <col min="6" max="6" width="15" style="10" customWidth="1"/>
    <col min="7" max="7" width="20.1640625" style="10" customWidth="1"/>
    <col min="8" max="8" width="16.33203125" style="10" customWidth="1"/>
    <col min="9" max="9" width="24.6640625" style="10" bestFit="1" customWidth="1"/>
    <col min="10" max="16384" width="13.33203125" style="10"/>
  </cols>
  <sheetData>
    <row r="1" spans="1:9" x14ac:dyDescent="0.2">
      <c r="A1" s="11" t="s">
        <v>68</v>
      </c>
    </row>
    <row r="2" spans="1:9" x14ac:dyDescent="0.2">
      <c r="A2" s="11"/>
    </row>
    <row r="3" spans="1:9" x14ac:dyDescent="0.2">
      <c r="A3" s="11"/>
    </row>
    <row r="4" spans="1:9" x14ac:dyDescent="0.2">
      <c r="A4" s="1195" t="s">
        <v>99</v>
      </c>
      <c r="B4" s="1195"/>
      <c r="C4" s="1195"/>
      <c r="D4" s="1195"/>
      <c r="E4" s="1195"/>
      <c r="F4" s="1195"/>
      <c r="G4" s="1195"/>
      <c r="H4" s="1195"/>
      <c r="I4" s="1195"/>
    </row>
    <row r="5" spans="1:9" x14ac:dyDescent="0.2">
      <c r="B5" s="219"/>
      <c r="C5" s="219"/>
      <c r="D5" s="219"/>
      <c r="E5" s="219"/>
      <c r="F5" s="219"/>
      <c r="G5" s="219" t="str">
        <f>+'T8 B2 BIS'!D4</f>
        <v>Exercice clos le :</v>
      </c>
      <c r="H5" s="219"/>
      <c r="I5" s="342" t="str">
        <f>'T5 ESG'!$G$3</f>
        <v>31/12/2022</v>
      </c>
    </row>
    <row r="6" spans="1:9" x14ac:dyDescent="0.2">
      <c r="A6" s="1196" t="s">
        <v>98</v>
      </c>
      <c r="B6" s="1196" t="s">
        <v>928</v>
      </c>
      <c r="C6" s="1200" t="s">
        <v>78</v>
      </c>
      <c r="D6" s="1200"/>
      <c r="E6" s="1200"/>
      <c r="F6" s="1200" t="s">
        <v>79</v>
      </c>
      <c r="G6" s="1200"/>
      <c r="H6" s="1200"/>
      <c r="I6" s="1200"/>
    </row>
    <row r="7" spans="1:9" ht="51" x14ac:dyDescent="0.2">
      <c r="A7" s="1196"/>
      <c r="B7" s="1198"/>
      <c r="C7" s="232" t="s">
        <v>80</v>
      </c>
      <c r="D7" s="232" t="s">
        <v>81</v>
      </c>
      <c r="E7" s="289" t="s">
        <v>82</v>
      </c>
      <c r="F7" s="289" t="s">
        <v>83</v>
      </c>
      <c r="G7" s="289" t="s">
        <v>84</v>
      </c>
      <c r="H7" s="289" t="s">
        <v>85</v>
      </c>
      <c r="I7" s="289" t="s">
        <v>86</v>
      </c>
    </row>
    <row r="8" spans="1:9" s="11" customFormat="1" x14ac:dyDescent="0.2">
      <c r="A8" s="232" t="s">
        <v>394</v>
      </c>
      <c r="B8" s="646">
        <f t="shared" ref="B8:I8" si="0">SUM(B9:B10)</f>
        <v>1005415.61</v>
      </c>
      <c r="C8" s="646">
        <f t="shared" si="0"/>
        <v>0</v>
      </c>
      <c r="D8" s="646">
        <f t="shared" si="0"/>
        <v>1005415.61</v>
      </c>
      <c r="E8" s="646">
        <f t="shared" si="0"/>
        <v>0</v>
      </c>
      <c r="F8" s="646">
        <f t="shared" si="0"/>
        <v>0</v>
      </c>
      <c r="G8" s="646">
        <f t="shared" si="0"/>
        <v>0</v>
      </c>
      <c r="H8" s="646">
        <f t="shared" si="0"/>
        <v>0</v>
      </c>
      <c r="I8" s="646">
        <f t="shared" si="0"/>
        <v>0</v>
      </c>
    </row>
    <row r="9" spans="1:9" x14ac:dyDescent="0.2">
      <c r="A9" s="221" t="s">
        <v>100</v>
      </c>
      <c r="B9" s="647">
        <f>SUMIF('Balance N Retraitée'!A:A,"141*",'Balance N Retraitée'!H:H)-SUMIF('Balance N Retraitée'!A:A,"141*",'Balance N Retraitée'!G:G)</f>
        <v>0</v>
      </c>
      <c r="C9" s="740"/>
      <c r="D9" s="648">
        <f>+B9-C9-E9</f>
        <v>0</v>
      </c>
      <c r="E9" s="740"/>
      <c r="F9" s="740"/>
      <c r="G9" s="740"/>
      <c r="H9" s="740"/>
      <c r="I9" s="740"/>
    </row>
    <row r="10" spans="1:9" x14ac:dyDescent="0.2">
      <c r="A10" s="236" t="s">
        <v>101</v>
      </c>
      <c r="B10" s="648">
        <f>SUMIF('Balance N Retraitée'!A:A,"148*",'Balance N Retraitée'!H:H)-SUMIF('Balance N Retraitée'!A:A,"148*",'Balance N Retraitée'!G:G)</f>
        <v>1005415.61</v>
      </c>
      <c r="C10" s="741"/>
      <c r="D10" s="648">
        <f>+B10-C10-E10</f>
        <v>1005415.61</v>
      </c>
      <c r="E10" s="741"/>
      <c r="F10" s="741">
        <v>0</v>
      </c>
      <c r="G10" s="741"/>
      <c r="H10" s="741"/>
      <c r="I10" s="741"/>
    </row>
    <row r="11" spans="1:9" x14ac:dyDescent="0.2">
      <c r="A11" s="237"/>
      <c r="B11" s="649"/>
      <c r="C11" s="649"/>
      <c r="D11" s="649"/>
      <c r="E11" s="649"/>
      <c r="F11" s="649"/>
      <c r="G11" s="649"/>
      <c r="H11" s="649"/>
      <c r="I11" s="649"/>
    </row>
    <row r="12" spans="1:9" s="11" customFormat="1" x14ac:dyDescent="0.2">
      <c r="A12" s="232" t="s">
        <v>102</v>
      </c>
      <c r="B12" s="646">
        <f>SUM(B13:B20)</f>
        <v>621333.33000000007</v>
      </c>
      <c r="C12" s="646">
        <f>SUM(C13:C20)</f>
        <v>0</v>
      </c>
      <c r="D12" s="646">
        <f>SUM(D13:D20)</f>
        <v>621333.33000000007</v>
      </c>
      <c r="E12" s="646">
        <f>SUM(E13:E20)</f>
        <v>0</v>
      </c>
      <c r="F12" s="646">
        <f>SUM(F13:F21)</f>
        <v>0</v>
      </c>
      <c r="G12" s="646">
        <f>SUM(G13:G21)</f>
        <v>53797.84</v>
      </c>
      <c r="H12" s="646">
        <f>SUM(H13:H21)</f>
        <v>0</v>
      </c>
      <c r="I12" s="646">
        <f>SUM(I13:I21)</f>
        <v>0</v>
      </c>
    </row>
    <row r="13" spans="1:9" x14ac:dyDescent="0.2">
      <c r="A13" s="221" t="s">
        <v>103</v>
      </c>
      <c r="B13" s="648">
        <f>SUMIF('Balance N Retraitée'!A:A,"441*",'Balance N Retraitée'!H:H)-SUMIF('Balance N Retraitée'!A:A,"441*",'Balance N Retraitée'!G:G)</f>
        <v>7573.2</v>
      </c>
      <c r="C13" s="740"/>
      <c r="D13" s="647">
        <f>+B13-C13-E13</f>
        <v>7573.2</v>
      </c>
      <c r="E13" s="740"/>
      <c r="F13" s="740">
        <v>0</v>
      </c>
      <c r="G13" s="740"/>
      <c r="H13" s="740"/>
      <c r="I13" s="647">
        <f>SUMIF('Balance N Retraitée'!A:A,"4415*",'Balance N Retraitée'!H:H)-SUMIF('Balance N Retraitée'!A:A,"4415*",'Balance N Retraitée'!G:G)</f>
        <v>0</v>
      </c>
    </row>
    <row r="14" spans="1:9" x14ac:dyDescent="0.2">
      <c r="A14" s="236" t="s">
        <v>104</v>
      </c>
      <c r="B14" s="648">
        <f>SUMIF('Balance N Retraitée'!A:A,"442*",'Balance N Retraitée'!H:H)-SUMIF('Balance N Retraitée'!A:A,"442*",'Balance N Retraitée'!G:G)</f>
        <v>0</v>
      </c>
      <c r="C14" s="741"/>
      <c r="D14" s="648">
        <f t="shared" ref="D14:D20" si="1">+B14-C14-E14</f>
        <v>0</v>
      </c>
      <c r="E14" s="741"/>
      <c r="F14" s="741">
        <v>0</v>
      </c>
      <c r="G14" s="741"/>
      <c r="H14" s="741"/>
      <c r="I14" s="741"/>
    </row>
    <row r="15" spans="1:9" x14ac:dyDescent="0.2">
      <c r="A15" s="236" t="s">
        <v>93</v>
      </c>
      <c r="B15" s="648">
        <f>SUMIF('Balance N Retraitée'!A:A,"443*",'Balance N Retraitée'!H:H)-SUMIF('Balance N Retraitée'!A:A,"443*",'Balance N Retraitée'!G:G)</f>
        <v>0</v>
      </c>
      <c r="C15" s="741"/>
      <c r="D15" s="648">
        <f t="shared" si="1"/>
        <v>0</v>
      </c>
      <c r="E15" s="741"/>
      <c r="F15" s="741">
        <v>0</v>
      </c>
      <c r="G15" s="741"/>
      <c r="H15" s="741"/>
      <c r="I15" s="741"/>
    </row>
    <row r="16" spans="1:9" x14ac:dyDescent="0.2">
      <c r="A16" s="236" t="s">
        <v>105</v>
      </c>
      <c r="B16" s="648">
        <f>SUMIF('Balance N Retraitée'!A:A,"444*",'Balance N Retraitée'!H:H)-SUMIF('Balance N Retraitée'!A:A,"444*",'Balance N Retraitée'!G:G)</f>
        <v>796.02</v>
      </c>
      <c r="C16" s="741"/>
      <c r="D16" s="648">
        <f t="shared" si="1"/>
        <v>796.02</v>
      </c>
      <c r="E16" s="741"/>
      <c r="F16" s="741">
        <v>0</v>
      </c>
      <c r="G16" s="648">
        <f>+D16</f>
        <v>796.02</v>
      </c>
      <c r="H16" s="741"/>
      <c r="I16" s="741"/>
    </row>
    <row r="17" spans="1:9" x14ac:dyDescent="0.2">
      <c r="A17" s="236" t="s">
        <v>106</v>
      </c>
      <c r="B17" s="648">
        <f>SUMIF('Balance N Retraitée'!A:A,"445*",'Balance N Retraitée'!H:H)-SUMIF('Balance N Retraitée'!A:A,"445*",'Balance N Retraitée'!G:G)</f>
        <v>53001.82</v>
      </c>
      <c r="C17" s="741"/>
      <c r="D17" s="648">
        <f t="shared" si="1"/>
        <v>53001.82</v>
      </c>
      <c r="E17" s="741"/>
      <c r="F17" s="741">
        <v>0</v>
      </c>
      <c r="G17" s="648">
        <f>+D17</f>
        <v>53001.82</v>
      </c>
      <c r="H17" s="741"/>
      <c r="I17" s="741"/>
    </row>
    <row r="18" spans="1:9" x14ac:dyDescent="0.2">
      <c r="A18" s="236" t="s">
        <v>95</v>
      </c>
      <c r="B18" s="648">
        <f>SUMIF('Balance N Retraitée'!A:A,"446*",'Balance N Retraitée'!H:H)-SUMIF('Balance N Retraitée'!A:A,"446*",'Balance N Retraitée'!G:G)</f>
        <v>559962.29</v>
      </c>
      <c r="C18" s="741"/>
      <c r="D18" s="648">
        <f t="shared" si="1"/>
        <v>559962.29</v>
      </c>
      <c r="E18" s="741"/>
      <c r="F18" s="741">
        <v>0</v>
      </c>
      <c r="G18" s="741"/>
      <c r="H18" s="741"/>
      <c r="I18" s="741"/>
    </row>
    <row r="19" spans="1:9" x14ac:dyDescent="0.2">
      <c r="A19" s="236" t="s">
        <v>107</v>
      </c>
      <c r="B19" s="648">
        <f>SUMIF('Balance N Retraitée'!A:A,"448*",'Balance N Retraitée'!H:H)-SUMIF('Balance N Retraitée'!A:A,"448*",'Balance N Retraitée'!G:G)</f>
        <v>0</v>
      </c>
      <c r="C19" s="741"/>
      <c r="D19" s="648">
        <f t="shared" si="1"/>
        <v>0</v>
      </c>
      <c r="E19" s="741"/>
      <c r="F19" s="741">
        <v>0</v>
      </c>
      <c r="G19" s="741"/>
      <c r="H19" s="741"/>
      <c r="I19" s="741"/>
    </row>
    <row r="20" spans="1:9" x14ac:dyDescent="0.2">
      <c r="A20" s="236" t="s">
        <v>108</v>
      </c>
      <c r="B20" s="648">
        <f>SUMIF('Balance N Retraitée'!A:A,"449*",'Balance N Retraitée'!H:H)-SUMIF('Balance N Retraitée'!A:A,"449*",'Balance N Retraitée'!G:G)</f>
        <v>0</v>
      </c>
      <c r="C20" s="741"/>
      <c r="D20" s="648">
        <f t="shared" si="1"/>
        <v>0</v>
      </c>
      <c r="E20" s="741"/>
      <c r="F20" s="741">
        <v>0</v>
      </c>
      <c r="G20" s="741"/>
      <c r="H20" s="741"/>
      <c r="I20" s="741"/>
    </row>
    <row r="21" spans="1:9" s="239" customFormat="1" x14ac:dyDescent="0.2">
      <c r="A21" s="280"/>
      <c r="B21" s="649"/>
      <c r="C21" s="742"/>
      <c r="D21" s="649"/>
      <c r="E21" s="742"/>
      <c r="F21" s="742">
        <v>0</v>
      </c>
      <c r="G21" s="742"/>
      <c r="H21" s="742"/>
      <c r="I21" s="742"/>
    </row>
    <row r="23" spans="1:9" x14ac:dyDescent="0.2">
      <c r="B23" s="290"/>
    </row>
  </sheetData>
  <mergeCells count="5">
    <mergeCell ref="A4:I4"/>
    <mergeCell ref="A6:A7"/>
    <mergeCell ref="B6:B7"/>
    <mergeCell ref="C6:E6"/>
    <mergeCell ref="F6:I6"/>
  </mergeCells>
  <phoneticPr fontId="23" type="noConversion"/>
  <pageMargins left="0.78740157499999996" right="0.78740157499999996" top="0.984251969" bottom="0.984251969" header="0.4921259845" footer="0.4921259845"/>
  <pageSetup paperSize="9" scale="65" orientation="landscape" horizontalDpi="300" verticalDpi="300" r:id="rId1"/>
  <headerFooter alignWithMargins="0">
    <oddHeader>&amp;L&amp;"Times New Roman,Gras italique"&amp;12Sté : ...............................</oddHeader>
  </headerFooter>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7">
    <pageSetUpPr fitToPage="1"/>
  </sheetPr>
  <dimension ref="A1:F35"/>
  <sheetViews>
    <sheetView workbookViewId="0"/>
  </sheetViews>
  <sheetFormatPr baseColWidth="10" defaultColWidth="12" defaultRowHeight="12.75" x14ac:dyDescent="0.2"/>
  <cols>
    <col min="1" max="1" width="33.6640625" style="12" customWidth="1"/>
    <col min="2" max="2" width="18.33203125" style="12" bestFit="1" customWidth="1"/>
    <col min="3" max="3" width="11.33203125" style="12" bestFit="1" customWidth="1"/>
    <col min="4" max="4" width="14" style="12" bestFit="1" customWidth="1"/>
    <col min="5" max="5" width="28.1640625" style="12" bestFit="1" customWidth="1"/>
    <col min="6" max="6" width="33.6640625" style="12" bestFit="1" customWidth="1"/>
    <col min="7" max="16384" width="12" style="12"/>
  </cols>
  <sheetData>
    <row r="1" spans="1:6" x14ac:dyDescent="0.2">
      <c r="A1" s="11"/>
      <c r="B1" s="10"/>
      <c r="C1" s="10"/>
      <c r="D1" s="10"/>
      <c r="E1" s="10"/>
      <c r="F1" s="11" t="s">
        <v>109</v>
      </c>
    </row>
    <row r="2" spans="1:6" x14ac:dyDescent="0.2">
      <c r="A2" s="10"/>
      <c r="B2" s="10"/>
      <c r="C2" s="10"/>
      <c r="D2" s="10"/>
      <c r="E2" s="10"/>
      <c r="F2" s="10"/>
    </row>
    <row r="3" spans="1:6" x14ac:dyDescent="0.2">
      <c r="A3" s="218" t="s">
        <v>110</v>
      </c>
      <c r="B3" s="219"/>
      <c r="C3" s="219"/>
      <c r="D3" s="219"/>
      <c r="E3" s="219"/>
      <c r="F3" s="10"/>
    </row>
    <row r="4" spans="1:6" x14ac:dyDescent="0.2">
      <c r="A4" s="10"/>
      <c r="B4" s="10"/>
      <c r="C4" s="10"/>
      <c r="D4" s="10"/>
      <c r="E4" s="10"/>
      <c r="F4" s="10"/>
    </row>
    <row r="5" spans="1:6" x14ac:dyDescent="0.2">
      <c r="A5" s="10"/>
      <c r="B5" s="10"/>
      <c r="C5" s="10"/>
      <c r="D5" s="10"/>
      <c r="E5" s="10" t="str">
        <f>+'B7-dettes'!G5</f>
        <v>Exercice clos le :</v>
      </c>
      <c r="F5" s="342" t="str">
        <f>'T5 ESG'!$G$3</f>
        <v>31/12/2022</v>
      </c>
    </row>
    <row r="6" spans="1:6" x14ac:dyDescent="0.2">
      <c r="A6" s="10"/>
      <c r="B6" s="10"/>
      <c r="C6" s="10"/>
      <c r="D6" s="10"/>
      <c r="E6" s="10"/>
      <c r="F6" s="10"/>
    </row>
    <row r="7" spans="1:6" s="282" customFormat="1" x14ac:dyDescent="0.2">
      <c r="A7" s="281" t="s">
        <v>111</v>
      </c>
      <c r="B7" s="281" t="s">
        <v>112</v>
      </c>
      <c r="C7" s="281" t="s">
        <v>113</v>
      </c>
      <c r="D7" s="281" t="s">
        <v>114</v>
      </c>
      <c r="E7" s="281" t="s">
        <v>115</v>
      </c>
      <c r="F7" s="281" t="s">
        <v>116</v>
      </c>
    </row>
    <row r="8" spans="1:6" s="282" customFormat="1" x14ac:dyDescent="0.2">
      <c r="A8" s="283" t="s">
        <v>119</v>
      </c>
      <c r="B8" s="284" t="s">
        <v>120</v>
      </c>
      <c r="C8" s="284"/>
      <c r="D8" s="284" t="s">
        <v>121</v>
      </c>
      <c r="E8" s="284" t="s">
        <v>122</v>
      </c>
      <c r="F8" s="284" t="s">
        <v>123</v>
      </c>
    </row>
    <row r="9" spans="1:6" s="282" customFormat="1" x14ac:dyDescent="0.2">
      <c r="A9" s="285"/>
      <c r="B9" s="285" t="s">
        <v>124</v>
      </c>
      <c r="C9" s="285"/>
      <c r="D9" s="285"/>
      <c r="E9" s="285"/>
      <c r="F9" s="285" t="s">
        <v>125</v>
      </c>
    </row>
    <row r="10" spans="1:6" x14ac:dyDescent="0.2">
      <c r="A10" s="236"/>
      <c r="B10" s="743"/>
      <c r="C10" s="743"/>
      <c r="D10" s="743"/>
      <c r="E10" s="743"/>
      <c r="F10" s="743"/>
    </row>
    <row r="11" spans="1:6" x14ac:dyDescent="0.2">
      <c r="A11" s="236"/>
      <c r="B11" s="743"/>
      <c r="C11" s="743"/>
      <c r="D11" s="743"/>
      <c r="E11" s="743"/>
      <c r="F11" s="743"/>
    </row>
    <row r="12" spans="1:6" x14ac:dyDescent="0.2">
      <c r="A12" s="236"/>
      <c r="B12" s="743"/>
      <c r="C12" s="743"/>
      <c r="D12" s="743"/>
      <c r="E12" s="743"/>
      <c r="F12" s="743"/>
    </row>
    <row r="13" spans="1:6" x14ac:dyDescent="0.2">
      <c r="A13" s="236"/>
      <c r="B13" s="743"/>
      <c r="C13" s="743"/>
      <c r="D13" s="743"/>
      <c r="E13" s="743"/>
      <c r="F13" s="743"/>
    </row>
    <row r="14" spans="1:6" x14ac:dyDescent="0.2">
      <c r="A14" s="236"/>
      <c r="B14" s="743"/>
      <c r="C14" s="743"/>
      <c r="D14" s="743"/>
      <c r="E14" s="743"/>
      <c r="F14" s="743"/>
    </row>
    <row r="15" spans="1:6" x14ac:dyDescent="0.2">
      <c r="A15" s="236" t="s">
        <v>126</v>
      </c>
      <c r="B15" s="743"/>
      <c r="C15" s="743"/>
      <c r="D15" s="743"/>
      <c r="E15" s="743"/>
      <c r="F15" s="744"/>
    </row>
    <row r="16" spans="1:6" x14ac:dyDescent="0.2">
      <c r="A16" s="236"/>
      <c r="B16" s="747"/>
      <c r="C16" s="743"/>
      <c r="D16" s="827"/>
      <c r="E16" s="743"/>
      <c r="F16" s="744"/>
    </row>
    <row r="17" spans="1:6" x14ac:dyDescent="0.2">
      <c r="A17" s="236"/>
      <c r="B17" s="747"/>
      <c r="C17" s="743"/>
      <c r="D17" s="827"/>
      <c r="E17" s="743"/>
      <c r="F17" s="744"/>
    </row>
    <row r="18" spans="1:6" x14ac:dyDescent="0.2">
      <c r="A18" s="236"/>
      <c r="B18" s="747"/>
      <c r="C18" s="743"/>
      <c r="D18" s="827"/>
      <c r="E18" s="743"/>
      <c r="F18" s="744"/>
    </row>
    <row r="19" spans="1:6" x14ac:dyDescent="0.2">
      <c r="A19" s="236"/>
      <c r="B19" s="747"/>
      <c r="C19" s="743"/>
      <c r="D19" s="827"/>
      <c r="E19" s="743"/>
      <c r="F19" s="744"/>
    </row>
    <row r="20" spans="1:6" x14ac:dyDescent="0.2">
      <c r="A20" s="236"/>
      <c r="B20" s="747"/>
      <c r="C20" s="743"/>
      <c r="D20" s="827"/>
      <c r="E20" s="743"/>
      <c r="F20" s="744"/>
    </row>
    <row r="21" spans="1:6" x14ac:dyDescent="0.2">
      <c r="A21" s="236"/>
      <c r="B21" s="744"/>
      <c r="C21" s="743"/>
      <c r="D21" s="745"/>
      <c r="E21" s="743"/>
      <c r="F21" s="744"/>
    </row>
    <row r="22" spans="1:6" x14ac:dyDescent="0.2">
      <c r="A22" s="236"/>
      <c r="B22" s="743"/>
      <c r="C22" s="743"/>
      <c r="D22" s="743"/>
      <c r="E22" s="743"/>
      <c r="F22" s="743"/>
    </row>
    <row r="23" spans="1:6" x14ac:dyDescent="0.2">
      <c r="A23" s="236" t="s">
        <v>127</v>
      </c>
      <c r="B23" s="743"/>
      <c r="C23" s="743"/>
      <c r="D23" s="743"/>
      <c r="E23" s="743"/>
      <c r="F23" s="286"/>
    </row>
    <row r="24" spans="1:6" x14ac:dyDescent="0.2">
      <c r="A24" s="236"/>
      <c r="B24" s="743"/>
      <c r="C24" s="743"/>
      <c r="D24" s="743"/>
      <c r="E24" s="743"/>
      <c r="F24" s="287"/>
    </row>
    <row r="25" spans="1:6" x14ac:dyDescent="0.2">
      <c r="A25" s="236"/>
      <c r="B25" s="743"/>
      <c r="C25" s="743"/>
      <c r="D25" s="743"/>
      <c r="E25" s="743"/>
      <c r="F25" s="287"/>
    </row>
    <row r="26" spans="1:6" x14ac:dyDescent="0.2">
      <c r="A26" s="236"/>
      <c r="B26" s="743"/>
      <c r="C26" s="743"/>
      <c r="D26" s="743"/>
      <c r="E26" s="743"/>
      <c r="F26" s="287"/>
    </row>
    <row r="27" spans="1:6" x14ac:dyDescent="0.2">
      <c r="A27" s="236"/>
      <c r="B27" s="743"/>
      <c r="C27" s="743"/>
      <c r="D27" s="743"/>
      <c r="E27" s="743"/>
      <c r="F27" s="287"/>
    </row>
    <row r="28" spans="1:6" x14ac:dyDescent="0.2">
      <c r="A28" s="237"/>
      <c r="B28" s="746"/>
      <c r="C28" s="746"/>
      <c r="D28" s="746"/>
      <c r="E28" s="746"/>
      <c r="F28" s="288"/>
    </row>
    <row r="29" spans="1:6" x14ac:dyDescent="0.2">
      <c r="A29" s="10"/>
      <c r="B29" s="10"/>
      <c r="C29" s="10"/>
      <c r="D29" s="10"/>
      <c r="E29" s="10"/>
      <c r="F29" s="10"/>
    </row>
    <row r="30" spans="1:6" x14ac:dyDescent="0.2">
      <c r="A30" s="10" t="s">
        <v>128</v>
      </c>
      <c r="B30" s="10"/>
      <c r="C30" s="10"/>
      <c r="D30" s="10"/>
      <c r="E30" s="10"/>
      <c r="F30" s="10"/>
    </row>
    <row r="31" spans="1:6" x14ac:dyDescent="0.2">
      <c r="A31" s="10"/>
      <c r="B31" s="10"/>
      <c r="C31" s="10"/>
      <c r="D31" s="10"/>
      <c r="E31" s="10"/>
      <c r="F31" s="10"/>
    </row>
    <row r="32" spans="1:6" x14ac:dyDescent="0.2">
      <c r="A32" s="10" t="s">
        <v>129</v>
      </c>
      <c r="B32" s="10"/>
      <c r="C32" s="10"/>
      <c r="D32" s="10"/>
      <c r="E32" s="10"/>
      <c r="F32" s="10"/>
    </row>
    <row r="33" spans="1:6" x14ac:dyDescent="0.2">
      <c r="A33" s="10" t="s">
        <v>130</v>
      </c>
      <c r="B33" s="10"/>
      <c r="C33" s="10"/>
      <c r="D33" s="10"/>
      <c r="E33" s="10"/>
      <c r="F33" s="10"/>
    </row>
    <row r="34" spans="1:6" x14ac:dyDescent="0.2">
      <c r="A34" s="10"/>
      <c r="B34" s="10"/>
      <c r="C34" s="10"/>
      <c r="D34" s="10"/>
      <c r="E34" s="10"/>
      <c r="F34" s="10"/>
    </row>
    <row r="35" spans="1:6" x14ac:dyDescent="0.2">
      <c r="A35" s="10" t="s">
        <v>132</v>
      </c>
      <c r="B35" s="10"/>
      <c r="C35" s="10"/>
      <c r="D35" s="10"/>
      <c r="E35" s="10"/>
      <c r="F35" s="10"/>
    </row>
  </sheetData>
  <phoneticPr fontId="0" type="noConversion"/>
  <pageMargins left="0.78740157499999996" right="0.78740157499999996" top="0.984251969" bottom="0.984251969" header="0.4921259845" footer="0.4921259845"/>
  <pageSetup paperSize="9" scale="98" orientation="landscape" horizontalDpi="300" verticalDpi="300" r:id="rId1"/>
  <headerFooter alignWithMargins="0">
    <oddHeader>&amp;L&amp;"Times New Roman,Gras italique"&amp;12Sté : ...............................</oddHeader>
  </headerFooter>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8">
    <pageSetUpPr fitToPage="1"/>
  </sheetPr>
  <dimension ref="B1:D39"/>
  <sheetViews>
    <sheetView workbookViewId="0"/>
  </sheetViews>
  <sheetFormatPr baseColWidth="10" defaultColWidth="11.83203125" defaultRowHeight="12.75" x14ac:dyDescent="0.2"/>
  <cols>
    <col min="1" max="1" width="8" style="10" customWidth="1"/>
    <col min="2" max="2" width="50" style="10" customWidth="1"/>
    <col min="3" max="3" width="19.33203125" style="10" customWidth="1"/>
    <col min="4" max="4" width="20" style="10" customWidth="1"/>
    <col min="5" max="16384" width="11.83203125" style="10"/>
  </cols>
  <sheetData>
    <row r="1" spans="2:4" ht="15.75" x14ac:dyDescent="0.25">
      <c r="B1" s="8"/>
      <c r="D1" s="11" t="s">
        <v>133</v>
      </c>
    </row>
    <row r="3" spans="2:4" x14ac:dyDescent="0.2">
      <c r="D3" s="11"/>
    </row>
    <row r="4" spans="2:4" x14ac:dyDescent="0.2">
      <c r="D4" s="11"/>
    </row>
    <row r="5" spans="2:4" x14ac:dyDescent="0.2">
      <c r="B5" s="218" t="s">
        <v>134</v>
      </c>
      <c r="C5" s="218"/>
      <c r="D5" s="219"/>
    </row>
    <row r="6" spans="2:4" x14ac:dyDescent="0.2">
      <c r="B6" s="218" t="s">
        <v>135</v>
      </c>
      <c r="C6" s="218"/>
      <c r="D6" s="219"/>
    </row>
    <row r="7" spans="2:4" x14ac:dyDescent="0.2">
      <c r="B7" s="219"/>
      <c r="C7" s="219"/>
      <c r="D7" s="219"/>
    </row>
    <row r="8" spans="2:4" x14ac:dyDescent="0.2">
      <c r="C8" s="10" t="str">
        <f>+'B8-SURETES-01'!E5</f>
        <v>Exercice clos le :</v>
      </c>
      <c r="D8" s="342" t="str">
        <f>'T5 ESG'!$G$3</f>
        <v>31/12/2022</v>
      </c>
    </row>
    <row r="9" spans="2:4" x14ac:dyDescent="0.2">
      <c r="B9" s="277"/>
      <c r="C9" s="278" t="s">
        <v>560</v>
      </c>
      <c r="D9" s="278" t="s">
        <v>560</v>
      </c>
    </row>
    <row r="10" spans="2:4" x14ac:dyDescent="0.2">
      <c r="B10" s="234" t="s">
        <v>136</v>
      </c>
      <c r="C10" s="279" t="s">
        <v>313</v>
      </c>
      <c r="D10" s="279" t="s">
        <v>313</v>
      </c>
    </row>
    <row r="11" spans="2:4" x14ac:dyDescent="0.2">
      <c r="B11" s="280"/>
      <c r="C11" s="224"/>
      <c r="D11" s="224" t="s">
        <v>602</v>
      </c>
    </row>
    <row r="12" spans="2:4" x14ac:dyDescent="0.2">
      <c r="B12" s="236"/>
      <c r="C12" s="228"/>
      <c r="D12" s="228"/>
    </row>
    <row r="13" spans="2:4" x14ac:dyDescent="0.2">
      <c r="B13" s="236" t="s">
        <v>137</v>
      </c>
      <c r="C13" s="747">
        <v>0</v>
      </c>
      <c r="D13" s="747">
        <v>0</v>
      </c>
    </row>
    <row r="14" spans="2:4" x14ac:dyDescent="0.2">
      <c r="B14" s="236" t="s">
        <v>138</v>
      </c>
      <c r="C14" s="747">
        <v>0</v>
      </c>
      <c r="D14" s="747">
        <v>0</v>
      </c>
    </row>
    <row r="15" spans="2:4" x14ac:dyDescent="0.2">
      <c r="B15" s="236" t="s">
        <v>139</v>
      </c>
      <c r="C15" s="747"/>
      <c r="D15" s="747"/>
    </row>
    <row r="16" spans="2:4" x14ac:dyDescent="0.2">
      <c r="B16" s="236"/>
      <c r="C16" s="747"/>
      <c r="D16" s="747"/>
    </row>
    <row r="17" spans="2:4" x14ac:dyDescent="0.2">
      <c r="B17" s="236" t="s">
        <v>140</v>
      </c>
      <c r="C17" s="747">
        <v>0</v>
      </c>
      <c r="D17" s="747">
        <v>0</v>
      </c>
    </row>
    <row r="18" spans="2:4" x14ac:dyDescent="0.2">
      <c r="B18" s="236" t="s">
        <v>368</v>
      </c>
      <c r="C18" s="747">
        <v>0</v>
      </c>
      <c r="D18" s="747">
        <v>0</v>
      </c>
    </row>
    <row r="19" spans="2:4" x14ac:dyDescent="0.2">
      <c r="B19" s="855" t="s">
        <v>117</v>
      </c>
      <c r="C19" s="747"/>
      <c r="D19" s="747"/>
    </row>
    <row r="20" spans="2:4" x14ac:dyDescent="0.2">
      <c r="B20" s="855"/>
      <c r="C20" s="747"/>
      <c r="D20" s="747"/>
    </row>
    <row r="21" spans="2:4" x14ac:dyDescent="0.2">
      <c r="B21" s="236"/>
      <c r="C21" s="747"/>
      <c r="D21" s="747"/>
    </row>
    <row r="22" spans="2:4" x14ac:dyDescent="0.2">
      <c r="B22" s="236"/>
      <c r="C22" s="747"/>
      <c r="D22" s="747"/>
    </row>
    <row r="23" spans="2:4" x14ac:dyDescent="0.2">
      <c r="B23" s="236"/>
      <c r="C23" s="748"/>
      <c r="D23" s="748"/>
    </row>
    <row r="24" spans="2:4" x14ac:dyDescent="0.2">
      <c r="B24" s="234" t="s">
        <v>141</v>
      </c>
      <c r="C24" s="228">
        <f>SUM(C17:C23)</f>
        <v>0</v>
      </c>
      <c r="D24" s="228">
        <f>SUM(D17:D23)</f>
        <v>0</v>
      </c>
    </row>
    <row r="25" spans="2:4" x14ac:dyDescent="0.2">
      <c r="B25" s="236" t="s">
        <v>142</v>
      </c>
      <c r="C25" s="228"/>
      <c r="D25" s="228"/>
    </row>
    <row r="26" spans="2:4" x14ac:dyDescent="0.2">
      <c r="B26" s="236" t="s">
        <v>143</v>
      </c>
      <c r="C26" s="677">
        <f>C24</f>
        <v>0</v>
      </c>
      <c r="D26" s="677">
        <f>D24</f>
        <v>0</v>
      </c>
    </row>
    <row r="27" spans="2:4" x14ac:dyDescent="0.2">
      <c r="B27" s="236"/>
      <c r="C27" s="228"/>
      <c r="D27" s="228"/>
    </row>
    <row r="28" spans="2:4" x14ac:dyDescent="0.2">
      <c r="B28" s="237"/>
      <c r="C28" s="677"/>
      <c r="D28" s="677"/>
    </row>
    <row r="31" spans="2:4" x14ac:dyDescent="0.2">
      <c r="B31" s="277"/>
      <c r="C31" s="278" t="s">
        <v>560</v>
      </c>
      <c r="D31" s="278" t="s">
        <v>560</v>
      </c>
    </row>
    <row r="32" spans="2:4" x14ac:dyDescent="0.2">
      <c r="B32" s="234" t="s">
        <v>144</v>
      </c>
      <c r="C32" s="279" t="s">
        <v>313</v>
      </c>
      <c r="D32" s="279" t="s">
        <v>313</v>
      </c>
    </row>
    <row r="33" spans="2:4" x14ac:dyDescent="0.2">
      <c r="B33" s="280"/>
      <c r="C33" s="224"/>
      <c r="D33" s="224" t="s">
        <v>602</v>
      </c>
    </row>
    <row r="34" spans="2:4" x14ac:dyDescent="0.2">
      <c r="B34" s="221"/>
      <c r="C34" s="688"/>
      <c r="D34" s="688"/>
    </row>
    <row r="35" spans="2:4" x14ac:dyDescent="0.2">
      <c r="B35" s="855" t="s">
        <v>117</v>
      </c>
      <c r="C35" s="228" t="s">
        <v>717</v>
      </c>
      <c r="D35" s="228" t="s">
        <v>717</v>
      </c>
    </row>
    <row r="36" spans="2:4" x14ac:dyDescent="0.2">
      <c r="B36" s="236"/>
      <c r="C36" s="228"/>
      <c r="D36" s="228"/>
    </row>
    <row r="37" spans="2:4" x14ac:dyDescent="0.2">
      <c r="B37" s="236"/>
      <c r="C37" s="228"/>
      <c r="D37" s="228"/>
    </row>
    <row r="38" spans="2:4" x14ac:dyDescent="0.2">
      <c r="B38" s="236"/>
      <c r="C38" s="677"/>
      <c r="D38" s="677"/>
    </row>
    <row r="39" spans="2:4" x14ac:dyDescent="0.2">
      <c r="B39" s="280" t="s">
        <v>928</v>
      </c>
      <c r="C39" s="677">
        <f>SUM(C34:C38)</f>
        <v>0</v>
      </c>
      <c r="D39" s="677">
        <f>SUM(D34:D38)</f>
        <v>0</v>
      </c>
    </row>
  </sheetData>
  <phoneticPr fontId="23" type="noConversion"/>
  <pageMargins left="0.78740157499999996" right="0.78740157499999996" top="0.984251969" bottom="0.984251969" header="0.4921259845" footer="0.4921259845"/>
  <pageSetup paperSize="9" orientation="portrait" horizontalDpi="300" verticalDpi="300" r:id="rId1"/>
  <headerFooter alignWithMargins="0">
    <oddHeader>&amp;L&amp;"Times New Roman,Gras italique"&amp;12Sté : ...............................</oddHeader>
  </headerFooter>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9">
    <pageSetUpPr fitToPage="1"/>
  </sheetPr>
  <dimension ref="A1:C31"/>
  <sheetViews>
    <sheetView workbookViewId="0"/>
  </sheetViews>
  <sheetFormatPr baseColWidth="10" defaultColWidth="12" defaultRowHeight="12.75" x14ac:dyDescent="0.2"/>
  <cols>
    <col min="1" max="1" width="93.5" style="12" bestFit="1" customWidth="1"/>
    <col min="2" max="2" width="18.33203125" style="12" bestFit="1" customWidth="1"/>
    <col min="3" max="16384" width="12" style="12"/>
  </cols>
  <sheetData>
    <row r="1" spans="1:3" ht="15.75" x14ac:dyDescent="0.25">
      <c r="A1" s="8"/>
      <c r="B1" s="11" t="s">
        <v>151</v>
      </c>
      <c r="C1" s="10"/>
    </row>
    <row r="2" spans="1:3" x14ac:dyDescent="0.2">
      <c r="A2" s="11"/>
      <c r="B2" s="11"/>
      <c r="C2" s="10"/>
    </row>
    <row r="3" spans="1:3" x14ac:dyDescent="0.2">
      <c r="A3" s="11"/>
      <c r="B3" s="10"/>
      <c r="C3" s="10"/>
    </row>
    <row r="4" spans="1:3" x14ac:dyDescent="0.2">
      <c r="A4" s="11"/>
      <c r="B4" s="78"/>
      <c r="C4" s="10"/>
    </row>
    <row r="5" spans="1:3" x14ac:dyDescent="0.2">
      <c r="A5" s="11"/>
      <c r="B5" s="11"/>
      <c r="C5" s="10"/>
    </row>
    <row r="6" spans="1:3" x14ac:dyDescent="0.2">
      <c r="A6" s="231" t="s">
        <v>152</v>
      </c>
      <c r="B6" s="11"/>
      <c r="C6" s="10"/>
    </row>
    <row r="7" spans="1:3" x14ac:dyDescent="0.2">
      <c r="A7" s="10"/>
      <c r="B7" s="342" t="str">
        <f>'T5 ESG'!$G$3</f>
        <v>31/12/2022</v>
      </c>
      <c r="C7" s="10"/>
    </row>
    <row r="8" spans="1:3" x14ac:dyDescent="0.2">
      <c r="A8" s="232" t="s">
        <v>153</v>
      </c>
      <c r="B8" s="233" t="s">
        <v>551</v>
      </c>
      <c r="C8" s="10"/>
    </row>
    <row r="9" spans="1:3" x14ac:dyDescent="0.2">
      <c r="A9" s="234"/>
      <c r="B9" s="235"/>
      <c r="C9" s="10"/>
    </row>
    <row r="10" spans="1:3" x14ac:dyDescent="0.2">
      <c r="A10" s="236" t="s">
        <v>154</v>
      </c>
      <c r="B10" s="228">
        <f>'T2 CPC'!F43</f>
        <v>23836.440000000002</v>
      </c>
      <c r="C10" s="10"/>
    </row>
    <row r="11" spans="1:3" x14ac:dyDescent="0.2">
      <c r="A11" s="236" t="s">
        <v>155</v>
      </c>
      <c r="B11" s="228">
        <f>+'T3 B12-res fis'!B21</f>
        <v>0</v>
      </c>
      <c r="C11" s="10"/>
    </row>
    <row r="12" spans="1:3" x14ac:dyDescent="0.2">
      <c r="A12" s="236" t="s">
        <v>156</v>
      </c>
      <c r="B12" s="228">
        <f>-'T3 B12-res fis'!C26</f>
        <v>0</v>
      </c>
      <c r="C12" s="10"/>
    </row>
    <row r="13" spans="1:3" x14ac:dyDescent="0.2">
      <c r="A13" s="236"/>
      <c r="B13" s="228"/>
      <c r="C13" s="10"/>
    </row>
    <row r="14" spans="1:3" x14ac:dyDescent="0.2">
      <c r="A14" s="236" t="s">
        <v>157</v>
      </c>
      <c r="B14" s="228">
        <f>SUM(B10:B13)</f>
        <v>23836.440000000002</v>
      </c>
      <c r="C14" s="10"/>
    </row>
    <row r="15" spans="1:3" x14ac:dyDescent="0.2">
      <c r="A15" s="236" t="s">
        <v>158</v>
      </c>
      <c r="B15" s="228">
        <f>B14*30%</f>
        <v>7150.9320000000007</v>
      </c>
      <c r="C15" s="10"/>
    </row>
    <row r="16" spans="1:3" x14ac:dyDescent="0.2">
      <c r="A16" s="237" t="s">
        <v>159</v>
      </c>
      <c r="B16" s="677">
        <f>+B14-B15</f>
        <v>16685.508000000002</v>
      </c>
      <c r="C16" s="10"/>
    </row>
    <row r="17" spans="1:3" x14ac:dyDescent="0.2">
      <c r="A17" s="238"/>
      <c r="B17" s="239"/>
      <c r="C17" s="10"/>
    </row>
    <row r="18" spans="1:3" x14ac:dyDescent="0.2">
      <c r="A18" s="239"/>
      <c r="B18" s="239"/>
      <c r="C18" s="10"/>
    </row>
    <row r="19" spans="1:3" x14ac:dyDescent="0.2">
      <c r="A19" s="10"/>
      <c r="B19" s="10"/>
      <c r="C19" s="239"/>
    </row>
    <row r="20" spans="1:3" x14ac:dyDescent="0.2">
      <c r="A20" s="240" t="s">
        <v>160</v>
      </c>
      <c r="B20" s="220"/>
      <c r="C20" s="239"/>
    </row>
    <row r="21" spans="1:3" x14ac:dyDescent="0.2">
      <c r="A21" s="222" t="s">
        <v>161</v>
      </c>
      <c r="B21" s="223"/>
      <c r="C21" s="239"/>
    </row>
    <row r="22" spans="1:3" x14ac:dyDescent="0.2">
      <c r="A22" s="800"/>
      <c r="B22" s="801"/>
      <c r="C22" s="239"/>
    </row>
    <row r="23" spans="1:3" x14ac:dyDescent="0.2">
      <c r="A23" s="802" t="s">
        <v>994</v>
      </c>
      <c r="B23" s="743"/>
      <c r="C23" s="239"/>
    </row>
    <row r="24" spans="1:3" x14ac:dyDescent="0.2">
      <c r="A24" s="802" t="s">
        <v>994</v>
      </c>
      <c r="B24" s="743"/>
      <c r="C24" s="239"/>
    </row>
    <row r="25" spans="1:3" x14ac:dyDescent="0.2">
      <c r="A25" s="802" t="s">
        <v>994</v>
      </c>
      <c r="B25" s="743"/>
      <c r="C25" s="239"/>
    </row>
    <row r="26" spans="1:3" x14ac:dyDescent="0.2">
      <c r="A26" s="802" t="s">
        <v>994</v>
      </c>
      <c r="B26" s="743"/>
      <c r="C26" s="239"/>
    </row>
    <row r="27" spans="1:3" x14ac:dyDescent="0.2">
      <c r="A27" s="802" t="s">
        <v>994</v>
      </c>
      <c r="B27" s="743"/>
      <c r="C27" s="239"/>
    </row>
    <row r="28" spans="1:3" x14ac:dyDescent="0.2">
      <c r="A28" s="802" t="s">
        <v>994</v>
      </c>
      <c r="B28" s="743"/>
      <c r="C28" s="239"/>
    </row>
    <row r="29" spans="1:3" x14ac:dyDescent="0.2">
      <c r="A29" s="802" t="s">
        <v>994</v>
      </c>
      <c r="B29" s="743"/>
      <c r="C29" s="239"/>
    </row>
    <row r="30" spans="1:3" x14ac:dyDescent="0.2">
      <c r="A30" s="802"/>
      <c r="B30" s="743"/>
      <c r="C30" s="239"/>
    </row>
    <row r="31" spans="1:3" x14ac:dyDescent="0.2">
      <c r="A31" s="803"/>
      <c r="B31" s="746"/>
      <c r="C31" s="239"/>
    </row>
  </sheetData>
  <phoneticPr fontId="23" type="noConversion"/>
  <pageMargins left="0.78740157499999996" right="0.78740157499999996" top="0.984251969" bottom="0.984251969" header="0.4921259845" footer="0.4921259845"/>
  <pageSetup paperSize="9" orientation="landscape" horizontalDpi="300" verticalDpi="300" r:id="rId1"/>
  <headerFooter alignWithMargins="0">
    <oddHeader>&amp;L&amp;"Times New Roman,Gras italique"&amp;12Sté : ...............................</oddHead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0"/>
  <dimension ref="A2:B4"/>
  <sheetViews>
    <sheetView workbookViewId="0">
      <selection activeCell="N19" sqref="N19"/>
    </sheetView>
  </sheetViews>
  <sheetFormatPr baseColWidth="10" defaultColWidth="12" defaultRowHeight="12.75" x14ac:dyDescent="0.2"/>
  <cols>
    <col min="1" max="16384" width="12" style="2"/>
  </cols>
  <sheetData>
    <row r="2" spans="1:2" x14ac:dyDescent="0.2">
      <c r="A2" s="831"/>
    </row>
    <row r="4" spans="1:2" ht="14.25" x14ac:dyDescent="0.2">
      <c r="A4" s="832" t="s">
        <v>805</v>
      </c>
      <c r="B4" s="832" t="s">
        <v>806</v>
      </c>
    </row>
  </sheetData>
  <phoneticPr fontId="0" type="noConversion"/>
  <pageMargins left="0.78740157499999996" right="0.78740157499999996" top="0.984251969" bottom="0.984251969" header="0.4921259845" footer="0.4921259845"/>
  <pageSetup paperSize="9" scale="80" orientation="portrait" horizontalDpi="300" verticalDpi="300" r:id="rId1"/>
  <headerFooter alignWithMargins="0">
    <oddHeader>&amp;L&amp;"Times New Roman,Gras italique"&amp;12Sté : ...............................</oddHeader>
  </headerFooter>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1">
    <pageSetUpPr fitToPage="1"/>
  </sheetPr>
  <dimension ref="A1:E28"/>
  <sheetViews>
    <sheetView zoomScale="90" zoomScaleNormal="90" workbookViewId="0">
      <selection activeCell="G24" sqref="G24"/>
    </sheetView>
  </sheetViews>
  <sheetFormatPr baseColWidth="10" defaultColWidth="13.33203125" defaultRowHeight="12.75" x14ac:dyDescent="0.2"/>
  <cols>
    <col min="1" max="1" width="81" style="4" customWidth="1"/>
    <col min="2" max="2" width="20.5" style="4" customWidth="1"/>
    <col min="3" max="4" width="20.1640625" style="4" customWidth="1"/>
    <col min="5" max="16384" width="13.33203125" style="4"/>
  </cols>
  <sheetData>
    <row r="1" spans="1:5" ht="15.75" x14ac:dyDescent="0.25">
      <c r="A1" s="7"/>
      <c r="D1" s="193" t="s">
        <v>176</v>
      </c>
    </row>
    <row r="2" spans="1:5" x14ac:dyDescent="0.2">
      <c r="A2" s="179" t="s">
        <v>177</v>
      </c>
      <c r="B2" s="179"/>
      <c r="C2" s="179"/>
      <c r="D2" s="179"/>
      <c r="E2" s="179"/>
    </row>
    <row r="3" spans="1:5" x14ac:dyDescent="0.2">
      <c r="A3" s="179" t="s">
        <v>178</v>
      </c>
      <c r="B3" s="179"/>
      <c r="C3" s="179"/>
      <c r="D3" s="179"/>
      <c r="E3" s="179"/>
    </row>
    <row r="4" spans="1:5" x14ac:dyDescent="0.2">
      <c r="C4" s="4" t="str">
        <f>+'T14 C2-affec resu'!C6</f>
        <v>Exercice clos le :</v>
      </c>
      <c r="D4" s="342" t="str">
        <f>'T5 ESG'!$G$3</f>
        <v>31/12/2022</v>
      </c>
    </row>
    <row r="5" spans="1:5" s="196" customFormat="1" ht="12" x14ac:dyDescent="0.2">
      <c r="A5" s="194" t="s">
        <v>179</v>
      </c>
      <c r="B5" s="195" t="s">
        <v>180</v>
      </c>
      <c r="C5" s="195" t="s">
        <v>180</v>
      </c>
      <c r="D5" s="195" t="s">
        <v>180</v>
      </c>
    </row>
    <row r="6" spans="1:5" s="9" customFormat="1" x14ac:dyDescent="0.2">
      <c r="A6" s="197"/>
      <c r="B6" s="188" t="s">
        <v>181</v>
      </c>
      <c r="C6" s="188" t="s">
        <v>182</v>
      </c>
      <c r="D6" s="188" t="s">
        <v>183</v>
      </c>
    </row>
    <row r="7" spans="1:5" x14ac:dyDescent="0.2">
      <c r="A7" s="198" t="s">
        <v>184</v>
      </c>
      <c r="B7" s="190"/>
      <c r="C7" s="190"/>
      <c r="D7" s="190"/>
    </row>
    <row r="8" spans="1:5" x14ac:dyDescent="0.2">
      <c r="A8" s="199"/>
      <c r="B8" s="69"/>
      <c r="C8" s="190"/>
      <c r="D8" s="190"/>
    </row>
    <row r="9" spans="1:5" ht="15" customHeight="1" x14ac:dyDescent="0.2">
      <c r="A9" s="200" t="s">
        <v>185</v>
      </c>
      <c r="B9" s="779"/>
      <c r="C9" s="811">
        <f>'T1 Bilan'!G78+'T1 Bilan'!G79-'T1 Bilan'!G8</f>
        <v>76775.7</v>
      </c>
      <c r="D9" s="682">
        <f>'T1 Bilan'!E78+'T1 Bilan'!E79-'T1 Bilan'!E8</f>
        <v>99894.64</v>
      </c>
    </row>
    <row r="10" spans="1:5" x14ac:dyDescent="0.2">
      <c r="A10" s="190" t="s">
        <v>186</v>
      </c>
      <c r="B10" s="779"/>
      <c r="C10" s="811"/>
      <c r="D10" s="682"/>
    </row>
    <row r="11" spans="1:5" x14ac:dyDescent="0.2">
      <c r="A11" s="190"/>
      <c r="B11" s="779"/>
      <c r="C11" s="811"/>
      <c r="D11" s="682"/>
    </row>
    <row r="12" spans="1:5" x14ac:dyDescent="0.2">
      <c r="A12" s="199" t="s">
        <v>187</v>
      </c>
      <c r="B12" s="779"/>
      <c r="C12" s="811"/>
      <c r="D12" s="682"/>
    </row>
    <row r="13" spans="1:5" x14ac:dyDescent="0.2">
      <c r="A13" s="190"/>
      <c r="B13" s="779"/>
      <c r="C13" s="811"/>
      <c r="D13" s="682"/>
    </row>
    <row r="14" spans="1:5" x14ac:dyDescent="0.2">
      <c r="A14" s="190" t="s">
        <v>188</v>
      </c>
      <c r="B14" s="779"/>
      <c r="C14" s="682">
        <f>+'T2 CPC'!G12+'T2 CPC'!G13</f>
        <v>0</v>
      </c>
      <c r="D14" s="682">
        <f>'T2 CPC'!F12+'T2 CPC'!F13</f>
        <v>381666.67</v>
      </c>
    </row>
    <row r="15" spans="1:5" x14ac:dyDescent="0.2">
      <c r="A15" s="190" t="s">
        <v>189</v>
      </c>
      <c r="B15" s="779"/>
      <c r="C15" s="682">
        <f>+'T2 CPC'!G70</f>
        <v>-18918.669999999998</v>
      </c>
      <c r="D15" s="682">
        <f>+'T2 CPC'!F70</f>
        <v>23836.440000000002</v>
      </c>
    </row>
    <row r="16" spans="1:5" x14ac:dyDescent="0.2">
      <c r="A16" s="201" t="s">
        <v>196</v>
      </c>
      <c r="B16" s="779"/>
      <c r="C16" s="682">
        <f>+'T2 CPC'!G71</f>
        <v>0</v>
      </c>
      <c r="D16" s="682">
        <f>+'T2 CPC'!F71</f>
        <v>2384</v>
      </c>
    </row>
    <row r="17" spans="1:4" s="203" customFormat="1" x14ac:dyDescent="0.2">
      <c r="A17" s="202" t="s">
        <v>197</v>
      </c>
      <c r="B17" s="779"/>
      <c r="C17" s="779"/>
      <c r="D17" s="779"/>
    </row>
    <row r="18" spans="1:4" s="69" customFormat="1" x14ac:dyDescent="0.2">
      <c r="A18" s="190" t="s">
        <v>198</v>
      </c>
      <c r="B18" s="779"/>
      <c r="C18" s="779">
        <f>+C15-C16-C17</f>
        <v>-18918.669999999998</v>
      </c>
      <c r="D18" s="779">
        <f>+D15-D16-D17</f>
        <v>21452.440000000002</v>
      </c>
    </row>
    <row r="19" spans="1:4" s="69" customFormat="1" x14ac:dyDescent="0.2">
      <c r="A19" s="190"/>
      <c r="B19" s="779"/>
      <c r="C19" s="682"/>
      <c r="D19" s="682"/>
    </row>
    <row r="20" spans="1:4" x14ac:dyDescent="0.2">
      <c r="A20" s="204" t="s">
        <v>199</v>
      </c>
      <c r="B20" s="779"/>
      <c r="C20" s="682"/>
      <c r="D20" s="682"/>
    </row>
    <row r="21" spans="1:4" x14ac:dyDescent="0.2">
      <c r="A21" s="201"/>
      <c r="B21" s="779"/>
      <c r="C21" s="682"/>
      <c r="D21" s="682"/>
    </row>
    <row r="22" spans="1:4" x14ac:dyDescent="0.2">
      <c r="A22" s="190" t="s">
        <v>200</v>
      </c>
      <c r="B22" s="779"/>
      <c r="C22" s="682" t="e">
        <f>'T2 CPC'!G77/'T13 C1-rép cap'!E18</f>
        <v>#DIV/0!</v>
      </c>
      <c r="D22" s="682" t="e">
        <f>'T2 CPC'!F77/'T13 C1-rép cap'!F18</f>
        <v>#DIV/0!</v>
      </c>
    </row>
    <row r="23" spans="1:4" x14ac:dyDescent="0.2">
      <c r="A23" s="190" t="s">
        <v>201</v>
      </c>
      <c r="B23" s="779"/>
      <c r="C23" s="682" t="e">
        <f>C17/'T13 C1-rép cap'!E18</f>
        <v>#DIV/0!</v>
      </c>
      <c r="D23" s="682" t="e">
        <f>D17/'T13 C1-rép cap'!F18</f>
        <v>#DIV/0!</v>
      </c>
    </row>
    <row r="24" spans="1:4" x14ac:dyDescent="0.2">
      <c r="A24" s="190"/>
      <c r="B24" s="779"/>
      <c r="C24" s="682"/>
      <c r="D24" s="682"/>
    </row>
    <row r="25" spans="1:4" x14ac:dyDescent="0.2">
      <c r="A25" s="199" t="s">
        <v>202</v>
      </c>
      <c r="B25" s="779"/>
      <c r="C25" s="682"/>
      <c r="D25" s="682"/>
    </row>
    <row r="26" spans="1:4" x14ac:dyDescent="0.2">
      <c r="A26" s="190"/>
      <c r="B26" s="779"/>
      <c r="C26" s="682"/>
      <c r="D26" s="682"/>
    </row>
    <row r="27" spans="1:4" x14ac:dyDescent="0.2">
      <c r="A27" s="190" t="s">
        <v>203</v>
      </c>
      <c r="B27" s="779"/>
      <c r="C27" s="682">
        <f>'T6 TB11'!D39</f>
        <v>12871</v>
      </c>
      <c r="D27" s="682">
        <f>'T6 TB11'!C39</f>
        <v>34176.550000000003</v>
      </c>
    </row>
    <row r="28" spans="1:4" x14ac:dyDescent="0.2">
      <c r="A28" s="205" t="s">
        <v>204</v>
      </c>
      <c r="B28" s="822"/>
      <c r="C28" s="822"/>
      <c r="D28" s="854">
        <v>0</v>
      </c>
    </row>
  </sheetData>
  <phoneticPr fontId="23" type="noConversion"/>
  <pageMargins left="0.78740157499999996" right="0.78740157499999996" top="0.984251969" bottom="0.984251969" header="0.4921259845" footer="0.4921259845"/>
  <pageSetup paperSize="9" orientation="landscape" horizontalDpi="300" verticalDpi="300" r:id="rId1"/>
  <headerFooter alignWithMargins="0">
    <oddHeader>&amp;L&amp;"Times New Roman,Gras italique"&amp;12Sté : ...............................</oddHeader>
  </headerFooter>
  <ignoredErrors>
    <ignoredError sqref="C22:D23" evalError="1"/>
  </ignoredErrors>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2">
    <pageSetUpPr fitToPage="1"/>
  </sheetPr>
  <dimension ref="A1:E28"/>
  <sheetViews>
    <sheetView workbookViewId="0">
      <selection activeCell="F2" sqref="F2"/>
    </sheetView>
  </sheetViews>
  <sheetFormatPr baseColWidth="10" defaultColWidth="13.33203125" defaultRowHeight="12.75" x14ac:dyDescent="0.2"/>
  <cols>
    <col min="1" max="1" width="7.1640625" style="4" customWidth="1"/>
    <col min="2" max="2" width="47.1640625" style="4" customWidth="1"/>
    <col min="3" max="3" width="20.6640625" style="4" customWidth="1"/>
    <col min="4" max="4" width="18.33203125" style="4" customWidth="1"/>
    <col min="5" max="16384" width="13.33203125" style="4"/>
  </cols>
  <sheetData>
    <row r="1" spans="1:5" ht="15.75" x14ac:dyDescent="0.25">
      <c r="A1" s="835"/>
    </row>
    <row r="2" spans="1:5" x14ac:dyDescent="0.2">
      <c r="B2" s="9"/>
      <c r="C2" s="9"/>
      <c r="D2" s="60" t="s">
        <v>205</v>
      </c>
    </row>
    <row r="3" spans="1:5" x14ac:dyDescent="0.2">
      <c r="B3" s="9"/>
      <c r="C3" s="9"/>
      <c r="D3" s="9"/>
    </row>
    <row r="4" spans="1:5" x14ac:dyDescent="0.2">
      <c r="A4" s="179" t="s">
        <v>206</v>
      </c>
      <c r="B4" s="182"/>
      <c r="C4" s="182"/>
      <c r="D4" s="179"/>
      <c r="E4" s="183"/>
    </row>
    <row r="5" spans="1:5" x14ac:dyDescent="0.2">
      <c r="A5" s="179" t="s">
        <v>207</v>
      </c>
      <c r="B5" s="182"/>
      <c r="C5" s="182"/>
      <c r="D5" s="182"/>
      <c r="E5" s="183"/>
    </row>
    <row r="6" spans="1:5" x14ac:dyDescent="0.2">
      <c r="B6" s="9"/>
      <c r="C6" s="9"/>
      <c r="D6" s="9"/>
    </row>
    <row r="7" spans="1:5" x14ac:dyDescent="0.2">
      <c r="B7" s="9"/>
      <c r="C7" s="10" t="str">
        <f>+'C3-3 exer'!C4</f>
        <v>Exercice clos le :</v>
      </c>
      <c r="D7" s="342" t="str">
        <f>'T5 ESG'!$G$3</f>
        <v>31/12/2022</v>
      </c>
    </row>
    <row r="8" spans="1:5" x14ac:dyDescent="0.2">
      <c r="B8" s="9"/>
      <c r="C8" s="9"/>
      <c r="D8" s="9"/>
    </row>
    <row r="9" spans="1:5" x14ac:dyDescent="0.2">
      <c r="B9" s="184"/>
      <c r="C9" s="185" t="s">
        <v>208</v>
      </c>
      <c r="D9" s="185" t="s">
        <v>209</v>
      </c>
    </row>
    <row r="10" spans="1:5" x14ac:dyDescent="0.2">
      <c r="B10" s="186" t="s">
        <v>437</v>
      </c>
      <c r="C10" s="187" t="s">
        <v>210</v>
      </c>
      <c r="D10" s="187" t="s">
        <v>210</v>
      </c>
    </row>
    <row r="11" spans="1:5" x14ac:dyDescent="0.2">
      <c r="B11" s="188"/>
      <c r="C11" s="189" t="s">
        <v>211</v>
      </c>
      <c r="D11" s="189" t="s">
        <v>211</v>
      </c>
    </row>
    <row r="12" spans="1:5" ht="15" customHeight="1" x14ac:dyDescent="0.2">
      <c r="B12" s="190"/>
      <c r="C12" s="70"/>
      <c r="D12" s="70"/>
    </row>
    <row r="13" spans="1:5" ht="15" customHeight="1" x14ac:dyDescent="0.2">
      <c r="B13" s="190" t="s">
        <v>212</v>
      </c>
      <c r="C13" s="823"/>
      <c r="D13" s="823"/>
    </row>
    <row r="14" spans="1:5" ht="15" customHeight="1" x14ac:dyDescent="0.2">
      <c r="B14" s="190" t="s">
        <v>213</v>
      </c>
      <c r="C14" s="823"/>
      <c r="D14" s="823"/>
    </row>
    <row r="15" spans="1:5" ht="15" customHeight="1" x14ac:dyDescent="0.2">
      <c r="B15" s="190" t="s">
        <v>214</v>
      </c>
      <c r="C15" s="823"/>
      <c r="D15" s="823"/>
    </row>
    <row r="16" spans="1:5" ht="15" customHeight="1" x14ac:dyDescent="0.2">
      <c r="B16" s="190" t="s">
        <v>215</v>
      </c>
      <c r="C16" s="823"/>
      <c r="D16" s="823"/>
    </row>
    <row r="17" spans="2:4" ht="15" customHeight="1" x14ac:dyDescent="0.2">
      <c r="B17" s="190"/>
      <c r="C17" s="823"/>
      <c r="D17" s="823"/>
    </row>
    <row r="18" spans="2:4" ht="15" customHeight="1" x14ac:dyDescent="0.2">
      <c r="B18" s="190"/>
      <c r="C18" s="823"/>
      <c r="D18" s="823"/>
    </row>
    <row r="19" spans="2:4" ht="15" customHeight="1" x14ac:dyDescent="0.2">
      <c r="B19" s="190"/>
      <c r="C19" s="823"/>
      <c r="D19" s="823"/>
    </row>
    <row r="20" spans="2:4" ht="15" customHeight="1" x14ac:dyDescent="0.2">
      <c r="B20" s="190"/>
      <c r="C20" s="823"/>
      <c r="D20" s="823"/>
    </row>
    <row r="21" spans="2:4" ht="15" customHeight="1" x14ac:dyDescent="0.2">
      <c r="B21" s="190"/>
      <c r="C21" s="823"/>
      <c r="D21" s="823"/>
    </row>
    <row r="22" spans="2:4" ht="15" customHeight="1" x14ac:dyDescent="0.2">
      <c r="B22" s="190" t="s">
        <v>216</v>
      </c>
      <c r="C22" s="823"/>
      <c r="D22" s="823"/>
    </row>
    <row r="23" spans="2:4" ht="15" customHeight="1" x14ac:dyDescent="0.2">
      <c r="B23" s="190" t="s">
        <v>217</v>
      </c>
      <c r="C23" s="823"/>
      <c r="D23" s="824"/>
    </row>
    <row r="24" spans="2:4" ht="15" customHeight="1" x14ac:dyDescent="0.2">
      <c r="B24" s="191"/>
      <c r="C24" s="825"/>
      <c r="D24" s="825"/>
    </row>
    <row r="25" spans="2:4" ht="15" customHeight="1" x14ac:dyDescent="0.2">
      <c r="B25" s="192" t="s">
        <v>218</v>
      </c>
      <c r="C25" s="689">
        <f>SUM(C13:C24)</f>
        <v>0</v>
      </c>
      <c r="D25" s="690"/>
    </row>
    <row r="26" spans="2:4" ht="15" customHeight="1" x14ac:dyDescent="0.2">
      <c r="B26" s="192" t="s">
        <v>219</v>
      </c>
      <c r="C26" s="690"/>
      <c r="D26" s="691">
        <f>SUM(D13:D24)</f>
        <v>0</v>
      </c>
    </row>
    <row r="27" spans="2:4" ht="15" customHeight="1" x14ac:dyDescent="0.2">
      <c r="B27" s="192" t="s">
        <v>220</v>
      </c>
      <c r="C27" s="691">
        <f>+D26-C25</f>
        <v>0</v>
      </c>
      <c r="D27" s="693"/>
    </row>
    <row r="28" spans="2:4" ht="15" customHeight="1" x14ac:dyDescent="0.2">
      <c r="B28" s="192" t="s">
        <v>221</v>
      </c>
      <c r="C28" s="691">
        <f>SUM(C25:C27)</f>
        <v>0</v>
      </c>
      <c r="D28" s="691">
        <f>SUM(D25:D27)</f>
        <v>0</v>
      </c>
    </row>
  </sheetData>
  <phoneticPr fontId="23" type="noConversion"/>
  <pageMargins left="0.78740157499999996" right="0.78740157499999996" top="0.984251969" bottom="0.984251969" header="0.4921259845" footer="0.4921259845"/>
  <pageSetup paperSize="9" orientation="landscape" horizontalDpi="300" verticalDpi="300" r:id="rId1"/>
  <headerFooter alignWithMargins="0">
    <oddHeader>&amp;L&amp;"Times New Roman,Gras italique"&amp;12Sté : ...............................</oddHeader>
  </headerFooter>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3">
    <pageSetUpPr fitToPage="1"/>
  </sheetPr>
  <dimension ref="B1:D42"/>
  <sheetViews>
    <sheetView workbookViewId="0"/>
  </sheetViews>
  <sheetFormatPr baseColWidth="10" defaultColWidth="13.33203125" defaultRowHeight="12.75" x14ac:dyDescent="0.2"/>
  <cols>
    <col min="1" max="1" width="9" style="4" customWidth="1"/>
    <col min="2" max="2" width="13" style="4" customWidth="1"/>
    <col min="3" max="3" width="52" style="4" customWidth="1"/>
    <col min="4" max="4" width="17" style="4" customWidth="1"/>
    <col min="5" max="16384" width="13.33203125" style="4"/>
  </cols>
  <sheetData>
    <row r="1" spans="2:4" ht="15.75" x14ac:dyDescent="0.25">
      <c r="B1" s="7"/>
    </row>
    <row r="2" spans="2:4" s="9" customFormat="1" x14ac:dyDescent="0.2">
      <c r="B2" s="4"/>
      <c r="C2" s="4"/>
      <c r="D2" s="60"/>
    </row>
    <row r="3" spans="2:4" s="9" customFormat="1" x14ac:dyDescent="0.2">
      <c r="B3" s="4"/>
    </row>
    <row r="4" spans="2:4" x14ac:dyDescent="0.2">
      <c r="B4" s="61"/>
      <c r="C4" s="179" t="s">
        <v>222</v>
      </c>
      <c r="D4" s="62"/>
    </row>
    <row r="5" spans="2:4" x14ac:dyDescent="0.2">
      <c r="B5" s="63"/>
    </row>
    <row r="6" spans="2:4" x14ac:dyDescent="0.2">
      <c r="B6" s="64"/>
    </row>
    <row r="7" spans="2:4" x14ac:dyDescent="0.2">
      <c r="B7" s="65"/>
      <c r="C7" s="66"/>
      <c r="D7" s="67"/>
    </row>
    <row r="8" spans="2:4" x14ac:dyDescent="0.2">
      <c r="B8" s="68" t="s">
        <v>223</v>
      </c>
      <c r="C8" s="69"/>
      <c r="D8" s="909" t="str">
        <f>'T5 ESG'!$G$3</f>
        <v>31/12/2022</v>
      </c>
    </row>
    <row r="9" spans="2:4" x14ac:dyDescent="0.2">
      <c r="B9" s="68"/>
      <c r="C9" s="69"/>
      <c r="D9" s="70"/>
    </row>
    <row r="10" spans="2:4" x14ac:dyDescent="0.2">
      <c r="B10" s="68"/>
      <c r="C10" s="69"/>
      <c r="D10" s="70"/>
    </row>
    <row r="11" spans="2:4" x14ac:dyDescent="0.2">
      <c r="B11" s="68"/>
      <c r="C11" s="69"/>
      <c r="D11" s="70"/>
    </row>
    <row r="12" spans="2:4" x14ac:dyDescent="0.2">
      <c r="B12" s="68"/>
      <c r="C12" s="69"/>
      <c r="D12" s="70"/>
    </row>
    <row r="13" spans="2:4" x14ac:dyDescent="0.2">
      <c r="B13" s="68" t="s">
        <v>224</v>
      </c>
      <c r="C13" s="69"/>
      <c r="D13" s="830" t="s">
        <v>118</v>
      </c>
    </row>
    <row r="14" spans="2:4" x14ac:dyDescent="0.2">
      <c r="B14" s="68"/>
      <c r="C14" s="69"/>
      <c r="D14" s="70"/>
    </row>
    <row r="15" spans="2:4" x14ac:dyDescent="0.2">
      <c r="B15" s="68"/>
      <c r="C15" s="69"/>
      <c r="D15" s="70"/>
    </row>
    <row r="16" spans="2:4" x14ac:dyDescent="0.2">
      <c r="B16" s="68"/>
      <c r="C16" s="69"/>
      <c r="D16" s="70"/>
    </row>
    <row r="17" spans="2:4" x14ac:dyDescent="0.2">
      <c r="B17" s="68"/>
      <c r="C17" s="69"/>
      <c r="D17" s="70"/>
    </row>
    <row r="18" spans="2:4" x14ac:dyDescent="0.2">
      <c r="B18" s="68" t="s">
        <v>225</v>
      </c>
      <c r="C18" s="69"/>
      <c r="D18" s="70"/>
    </row>
    <row r="19" spans="2:4" x14ac:dyDescent="0.2">
      <c r="B19" s="68" t="s">
        <v>226</v>
      </c>
      <c r="C19" s="69"/>
      <c r="D19" s="70"/>
    </row>
    <row r="20" spans="2:4" x14ac:dyDescent="0.2">
      <c r="B20" s="68"/>
      <c r="C20" s="69"/>
      <c r="D20" s="70"/>
    </row>
    <row r="21" spans="2:4" x14ac:dyDescent="0.2">
      <c r="B21" s="71"/>
      <c r="C21" s="72"/>
      <c r="D21" s="73"/>
    </row>
    <row r="22" spans="2:4" x14ac:dyDescent="0.2">
      <c r="B22" s="69"/>
      <c r="C22" s="69"/>
      <c r="D22" s="69"/>
    </row>
    <row r="23" spans="2:4" x14ac:dyDescent="0.2">
      <c r="B23" s="9" t="s">
        <v>227</v>
      </c>
      <c r="C23" s="9"/>
    </row>
    <row r="24" spans="2:4" x14ac:dyDescent="0.2">
      <c r="B24" s="74" t="s">
        <v>228</v>
      </c>
      <c r="C24" s="9"/>
    </row>
    <row r="25" spans="2:4" x14ac:dyDescent="0.2">
      <c r="B25" s="75" t="s">
        <v>229</v>
      </c>
      <c r="C25" s="9"/>
    </row>
    <row r="27" spans="2:4" ht="13.5" thickBot="1" x14ac:dyDescent="0.25"/>
    <row r="28" spans="2:4" ht="13.5" thickBot="1" x14ac:dyDescent="0.25">
      <c r="B28" s="180" t="s">
        <v>230</v>
      </c>
      <c r="C28" s="181" t="s">
        <v>231</v>
      </c>
      <c r="D28" s="85"/>
    </row>
    <row r="29" spans="2:4" x14ac:dyDescent="0.2">
      <c r="B29" s="749"/>
      <c r="C29" s="687" t="s">
        <v>232</v>
      </c>
      <c r="D29" s="750"/>
    </row>
    <row r="30" spans="2:4" x14ac:dyDescent="0.2">
      <c r="B30" s="749"/>
      <c r="C30" s="687"/>
      <c r="D30" s="750"/>
    </row>
    <row r="31" spans="2:4" x14ac:dyDescent="0.2">
      <c r="B31" s="749"/>
      <c r="C31" s="751"/>
      <c r="D31" s="750"/>
    </row>
    <row r="32" spans="2:4" x14ac:dyDescent="0.2">
      <c r="B32" s="749"/>
      <c r="C32" s="687"/>
      <c r="D32" s="750"/>
    </row>
    <row r="33" spans="2:4" x14ac:dyDescent="0.2">
      <c r="B33" s="749"/>
      <c r="C33" s="687"/>
      <c r="D33" s="750"/>
    </row>
    <row r="34" spans="2:4" x14ac:dyDescent="0.2">
      <c r="B34" s="749"/>
      <c r="C34" s="687"/>
      <c r="D34" s="750"/>
    </row>
    <row r="35" spans="2:4" ht="13.5" thickBot="1" x14ac:dyDescent="0.25">
      <c r="B35" s="752"/>
      <c r="C35" s="753"/>
      <c r="D35" s="754"/>
    </row>
    <row r="36" spans="2:4" x14ac:dyDescent="0.2">
      <c r="B36" s="749"/>
      <c r="C36" s="687" t="s">
        <v>233</v>
      </c>
      <c r="D36" s="750"/>
    </row>
    <row r="37" spans="2:4" x14ac:dyDescent="0.2">
      <c r="B37" s="749"/>
      <c r="C37" s="687"/>
      <c r="D37" s="750"/>
    </row>
    <row r="38" spans="2:4" x14ac:dyDescent="0.2">
      <c r="B38" s="749"/>
      <c r="C38" s="755"/>
      <c r="D38" s="750"/>
    </row>
    <row r="39" spans="2:4" x14ac:dyDescent="0.2">
      <c r="B39" s="749"/>
      <c r="C39" s="687"/>
      <c r="D39" s="750"/>
    </row>
    <row r="40" spans="2:4" x14ac:dyDescent="0.2">
      <c r="B40" s="749"/>
      <c r="C40" s="756"/>
      <c r="D40" s="750"/>
    </row>
    <row r="41" spans="2:4" x14ac:dyDescent="0.2">
      <c r="B41" s="749"/>
      <c r="C41" s="687"/>
      <c r="D41" s="750"/>
    </row>
    <row r="42" spans="2:4" ht="13.5" thickBot="1" x14ac:dyDescent="0.25">
      <c r="B42" s="752"/>
      <c r="C42" s="753"/>
      <c r="D42" s="754"/>
    </row>
  </sheetData>
  <phoneticPr fontId="23" type="noConversion"/>
  <pageMargins left="0.78740157499999996" right="0.78740157499999996" top="0.984251969" bottom="0.984251969" header="0.4921259845" footer="0.4921259845"/>
  <pageSetup paperSize="9" orientation="portrait" horizontalDpi="300" verticalDpi="300" r:id="rId1"/>
  <headerFooter alignWithMargins="0">
    <oddHeader>&amp;L&amp;"Times New Roman,Gras italique"&amp;12Sté : ...............................</oddHeader>
  </headerFooter>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4"/>
  <dimension ref="A1:I70"/>
  <sheetViews>
    <sheetView workbookViewId="0"/>
  </sheetViews>
  <sheetFormatPr baseColWidth="10" defaultColWidth="13.33203125" defaultRowHeight="12.75" x14ac:dyDescent="0.2"/>
  <cols>
    <col min="1" max="1" width="3.1640625" style="4" customWidth="1"/>
    <col min="2" max="2" width="42.1640625" style="4" customWidth="1"/>
    <col min="3" max="3" width="19.1640625" style="4" customWidth="1"/>
    <col min="4" max="4" width="19.6640625" style="4" customWidth="1"/>
    <col min="5" max="5" width="0.83203125" style="4" customWidth="1"/>
    <col min="6" max="6" width="19.83203125" style="4" customWidth="1"/>
    <col min="7" max="7" width="19.33203125" style="4" customWidth="1"/>
    <col min="8" max="8" width="18.33203125" style="4" bestFit="1" customWidth="1"/>
    <col min="9" max="9" width="17.1640625" style="4" bestFit="1" customWidth="1"/>
    <col min="10" max="16384" width="13.33203125" style="4"/>
  </cols>
  <sheetData>
    <row r="1" spans="1:9" ht="15.75" x14ac:dyDescent="0.25">
      <c r="A1" s="847"/>
    </row>
    <row r="2" spans="1:9" ht="15" x14ac:dyDescent="0.25">
      <c r="A2" s="76"/>
      <c r="B2" s="77" t="s">
        <v>234</v>
      </c>
      <c r="G2" s="78"/>
    </row>
    <row r="3" spans="1:9" x14ac:dyDescent="0.2">
      <c r="C3" s="9" t="s">
        <v>432</v>
      </c>
      <c r="D3" s="76"/>
    </row>
    <row r="4" spans="1:9" ht="13.5" thickBot="1" x14ac:dyDescent="0.25">
      <c r="B4" s="79" t="s">
        <v>235</v>
      </c>
      <c r="F4" s="80" t="s">
        <v>64</v>
      </c>
      <c r="G4" s="342" t="str">
        <f>'T5 ESG'!$G$3</f>
        <v>31/12/2022</v>
      </c>
    </row>
    <row r="5" spans="1:9" ht="13.5" thickBot="1" x14ac:dyDescent="0.25">
      <c r="A5" s="81"/>
      <c r="B5" s="82"/>
      <c r="C5" s="82"/>
      <c r="D5" s="83" t="s">
        <v>313</v>
      </c>
      <c r="F5" s="84" t="s">
        <v>236</v>
      </c>
      <c r="G5" s="85"/>
    </row>
    <row r="6" spans="1:9" x14ac:dyDescent="0.2">
      <c r="A6" s="86"/>
      <c r="B6" s="87" t="s">
        <v>237</v>
      </c>
      <c r="C6" s="88" t="s">
        <v>313</v>
      </c>
      <c r="D6" s="88" t="s">
        <v>984</v>
      </c>
      <c r="F6" s="88" t="s">
        <v>238</v>
      </c>
      <c r="G6" s="88" t="s">
        <v>239</v>
      </c>
    </row>
    <row r="7" spans="1:9" ht="13.5" thickBot="1" x14ac:dyDescent="0.25">
      <c r="A7" s="89"/>
      <c r="B7" s="90"/>
      <c r="C7" s="91" t="s">
        <v>347</v>
      </c>
      <c r="D7" s="91" t="s">
        <v>336</v>
      </c>
      <c r="F7" s="91" t="s">
        <v>240</v>
      </c>
      <c r="G7" s="91" t="s">
        <v>241</v>
      </c>
    </row>
    <row r="8" spans="1:9" x14ac:dyDescent="0.2">
      <c r="A8" s="694">
        <v>1</v>
      </c>
      <c r="B8" s="80" t="s">
        <v>242</v>
      </c>
      <c r="C8" s="721">
        <f>'T1 Bilan'!E101</f>
        <v>1107949.3799999999</v>
      </c>
      <c r="D8" s="721">
        <f>'T1 Bilan'!G101</f>
        <v>81081.33</v>
      </c>
      <c r="E8" s="722"/>
      <c r="F8" s="721">
        <f>IF(C8-D8&lt;=0,D8-C8,0)</f>
        <v>0</v>
      </c>
      <c r="G8" s="721">
        <f>IF(C8-D8&gt;=0,C8-D8,0)</f>
        <v>1026868.0499999999</v>
      </c>
    </row>
    <row r="9" spans="1:9" ht="13.5" thickBot="1" x14ac:dyDescent="0.25">
      <c r="A9" s="92">
        <v>2</v>
      </c>
      <c r="B9" s="93" t="s">
        <v>243</v>
      </c>
      <c r="C9" s="723">
        <f>'T1 Bilan'!E33</f>
        <v>1419989.45</v>
      </c>
      <c r="D9" s="723">
        <f>+'T1 Bilan'!G33</f>
        <v>4305.63</v>
      </c>
      <c r="E9" s="722"/>
      <c r="F9" s="723">
        <f>IF(C9-D9&gt;=0,C9-D9,0)</f>
        <v>1415683.82</v>
      </c>
      <c r="G9" s="723">
        <f>IF(C9-D9&lt;=0,D9-C9,0)</f>
        <v>0</v>
      </c>
      <c r="H9" s="4" t="s">
        <v>315</v>
      </c>
    </row>
    <row r="10" spans="1:9" ht="13.5" thickBot="1" x14ac:dyDescent="0.25">
      <c r="A10" s="92">
        <v>3</v>
      </c>
      <c r="B10" s="94" t="s">
        <v>244</v>
      </c>
      <c r="C10" s="724">
        <f>+C8-C9</f>
        <v>-312040.07000000007</v>
      </c>
      <c r="D10" s="724">
        <f>+D8-D9</f>
        <v>76775.7</v>
      </c>
      <c r="E10" s="722"/>
      <c r="F10" s="724">
        <f>IF((F8-G8)+(F9-G9)&lt;=0,0,(F8-G8)+(F9-G9))</f>
        <v>388815.77000000014</v>
      </c>
      <c r="G10" s="724">
        <f>IF((F8-G8)+(F9-G9)&gt;=0,0,-((F8-G8)+(F9-G9)))</f>
        <v>0</v>
      </c>
      <c r="H10" s="813"/>
    </row>
    <row r="11" spans="1:9" x14ac:dyDescent="0.2">
      <c r="A11" s="92">
        <v>4</v>
      </c>
      <c r="B11" s="80" t="s">
        <v>245</v>
      </c>
      <c r="C11" s="721">
        <f>+'T1 Bilan'!E52</f>
        <v>308800.71999999997</v>
      </c>
      <c r="D11" s="721">
        <f>+'T1 Bilan'!G52</f>
        <v>34.53</v>
      </c>
      <c r="E11" s="722"/>
      <c r="F11" s="721">
        <f>IF(D11-C11&lt;=0,C11-D11,0)</f>
        <v>308766.18999999994</v>
      </c>
      <c r="G11" s="721">
        <f>IF(D11-C11&gt;=0,D11-C11,0)</f>
        <v>0</v>
      </c>
    </row>
    <row r="12" spans="1:9" x14ac:dyDescent="0.2">
      <c r="A12" s="92">
        <v>5</v>
      </c>
      <c r="B12" s="95" t="s">
        <v>246</v>
      </c>
      <c r="C12" s="725">
        <f>+'T1 Bilan'!E114</f>
        <v>621333.33000000007</v>
      </c>
      <c r="D12" s="725">
        <f>+'T1 Bilan'!G114</f>
        <v>235004.5</v>
      </c>
      <c r="E12" s="722"/>
      <c r="F12" s="725">
        <f>IF(D12-C12&gt;=0,D12-C12,0)</f>
        <v>0</v>
      </c>
      <c r="G12" s="725">
        <f>IF(D12-C12&lt;=0,C12-D12,0)</f>
        <v>386328.83000000007</v>
      </c>
    </row>
    <row r="13" spans="1:9" ht="13.5" thickBot="1" x14ac:dyDescent="0.25">
      <c r="A13" s="92">
        <v>6</v>
      </c>
      <c r="B13" s="80" t="s">
        <v>247</v>
      </c>
      <c r="C13" s="721">
        <f>+C11-C12</f>
        <v>-312532.6100000001</v>
      </c>
      <c r="D13" s="721">
        <f>+D11-D12</f>
        <v>-234969.97</v>
      </c>
      <c r="E13" s="722"/>
      <c r="F13" s="721">
        <f>IF(D13-C13&lt;=0,C13-D13,0)</f>
        <v>0</v>
      </c>
      <c r="G13" s="721">
        <f>IF(D13-C13&gt;=0,D13-C13,0)</f>
        <v>77562.640000000101</v>
      </c>
    </row>
    <row r="14" spans="1:9" ht="13.5" thickBot="1" x14ac:dyDescent="0.25">
      <c r="A14" s="96">
        <v>7</v>
      </c>
      <c r="B14" s="97" t="s">
        <v>248</v>
      </c>
      <c r="C14" s="724">
        <f>+C10-C13</f>
        <v>492.54000000003725</v>
      </c>
      <c r="D14" s="724">
        <f>D10-D13</f>
        <v>311745.67</v>
      </c>
      <c r="E14" s="722"/>
      <c r="F14" s="724">
        <f>IF(D14-C14&lt;=0,C14-D14,0)</f>
        <v>0</v>
      </c>
      <c r="G14" s="724">
        <f>IF(D14-C14&gt;=0,D14-C14,0)</f>
        <v>311253.12999999995</v>
      </c>
      <c r="H14" s="813"/>
      <c r="I14" s="813"/>
    </row>
    <row r="15" spans="1:9" s="69" customFormat="1" x14ac:dyDescent="0.2">
      <c r="B15" s="98"/>
      <c r="D15" s="99"/>
    </row>
    <row r="16" spans="1:9" s="69" customFormat="1" ht="13.5" thickBot="1" x14ac:dyDescent="0.25">
      <c r="B16" s="100" t="s">
        <v>249</v>
      </c>
      <c r="G16" s="828"/>
    </row>
    <row r="17" spans="1:7" s="69" customFormat="1" ht="13.5" thickBot="1" x14ac:dyDescent="0.25">
      <c r="A17" s="81"/>
      <c r="B17" s="82"/>
      <c r="C17" s="101" t="s">
        <v>729</v>
      </c>
      <c r="D17" s="102"/>
      <c r="E17" s="98"/>
      <c r="F17" s="101" t="s">
        <v>730</v>
      </c>
      <c r="G17" s="103"/>
    </row>
    <row r="18" spans="1:7" x14ac:dyDescent="0.2">
      <c r="A18" s="86"/>
      <c r="B18" s="104"/>
      <c r="C18" s="105" t="s">
        <v>250</v>
      </c>
      <c r="D18" s="105" t="s">
        <v>251</v>
      </c>
      <c r="E18" s="80"/>
      <c r="F18" s="105" t="s">
        <v>252</v>
      </c>
      <c r="G18" s="105" t="s">
        <v>251</v>
      </c>
    </row>
    <row r="19" spans="1:7" ht="13.5" thickBot="1" x14ac:dyDescent="0.25">
      <c r="A19" s="86"/>
      <c r="B19" s="106" t="s">
        <v>253</v>
      </c>
      <c r="C19" s="107"/>
      <c r="D19" s="107"/>
      <c r="E19" s="80"/>
      <c r="F19" s="107"/>
      <c r="G19" s="107"/>
    </row>
    <row r="20" spans="1:7" ht="13.5" thickBot="1" x14ac:dyDescent="0.25">
      <c r="A20" s="89"/>
      <c r="B20" s="108" t="s">
        <v>254</v>
      </c>
      <c r="C20" s="109"/>
      <c r="D20" s="109"/>
      <c r="E20" s="80"/>
      <c r="F20" s="109"/>
      <c r="G20" s="109"/>
    </row>
    <row r="21" spans="1:7" s="11" customFormat="1" x14ac:dyDescent="0.2">
      <c r="A21" s="110"/>
      <c r="B21" s="111" t="s">
        <v>255</v>
      </c>
      <c r="C21" s="726"/>
      <c r="D21" s="726">
        <f>D22-D23</f>
        <v>194296.2</v>
      </c>
      <c r="E21" s="113"/>
      <c r="F21" s="726"/>
      <c r="G21" s="726">
        <f>G22-G23</f>
        <v>-18224.3</v>
      </c>
    </row>
    <row r="22" spans="1:7" x14ac:dyDescent="0.2">
      <c r="A22" s="86"/>
      <c r="B22" s="98" t="s">
        <v>256</v>
      </c>
      <c r="C22" s="727"/>
      <c r="D22" s="727">
        <f>+'T5 ESG'!E46</f>
        <v>194296.2</v>
      </c>
      <c r="E22" s="115"/>
      <c r="F22" s="727"/>
      <c r="G22" s="727">
        <f>'T5 ESG'!G46</f>
        <v>-18224.3</v>
      </c>
    </row>
    <row r="23" spans="1:7" x14ac:dyDescent="0.2">
      <c r="A23" s="116"/>
      <c r="B23" s="93" t="s">
        <v>257</v>
      </c>
      <c r="C23" s="728"/>
      <c r="D23" s="728">
        <f>('T5 ESG'!E47)</f>
        <v>0</v>
      </c>
      <c r="E23" s="115"/>
      <c r="F23" s="728"/>
      <c r="G23" s="728">
        <f>'T5 ESG'!G47</f>
        <v>0</v>
      </c>
    </row>
    <row r="24" spans="1:7" x14ac:dyDescent="0.2">
      <c r="A24" s="116"/>
      <c r="B24" s="117" t="s">
        <v>258</v>
      </c>
      <c r="C24" s="728"/>
      <c r="D24" s="728"/>
      <c r="E24" s="115"/>
      <c r="F24" s="728"/>
      <c r="G24" s="728"/>
    </row>
    <row r="25" spans="1:7" s="11" customFormat="1" x14ac:dyDescent="0.2">
      <c r="A25" s="110"/>
      <c r="B25" s="111" t="s">
        <v>259</v>
      </c>
      <c r="C25" s="726"/>
      <c r="D25" s="726">
        <f>SUM(D26:D29)</f>
        <v>0</v>
      </c>
      <c r="E25" s="118"/>
      <c r="F25" s="726"/>
      <c r="G25" s="726">
        <f>SUM(G26:G29)</f>
        <v>0</v>
      </c>
    </row>
    <row r="26" spans="1:7" x14ac:dyDescent="0.2">
      <c r="A26" s="119"/>
      <c r="B26" s="95" t="s">
        <v>260</v>
      </c>
      <c r="C26" s="729"/>
      <c r="D26" s="729">
        <f>SUMIF('Balance N Retraitée'!A:A,"7512*",'Balance N Retraitée'!H:H)-(SUMIF('Balance N Retraitée'!A:A,"7512*",'Balance N Retraitée'!G:G))</f>
        <v>0</v>
      </c>
      <c r="E26" s="115"/>
      <c r="F26" s="729"/>
      <c r="G26" s="730"/>
    </row>
    <row r="27" spans="1:7" x14ac:dyDescent="0.2">
      <c r="A27" s="119"/>
      <c r="B27" s="95" t="s">
        <v>261</v>
      </c>
      <c r="C27" s="729"/>
      <c r="D27" s="729">
        <f>SUMIF('Balance N Retraitée'!A:A,"7513*",'Balance N Retraitée'!H:H)-(SUMIF('Balance N Retraitée'!A:A,"7513*",'Balance N Retraitée'!G:G))</f>
        <v>0</v>
      </c>
      <c r="E27" s="115"/>
      <c r="F27" s="729"/>
      <c r="G27" s="730"/>
    </row>
    <row r="28" spans="1:7" x14ac:dyDescent="0.2">
      <c r="A28" s="119"/>
      <c r="B28" s="95" t="s">
        <v>262</v>
      </c>
      <c r="C28" s="729"/>
      <c r="D28" s="729">
        <f>SUMIF('Balance N Retraitée'!A:A,"7514*",'Balance N Retraitée'!H:H)-(SUMIF('Balance N Retraitée'!A:A,"7514*",'Balance N Retraitée'!G:G))</f>
        <v>0</v>
      </c>
      <c r="E28" s="115"/>
      <c r="F28" s="729"/>
      <c r="G28" s="730"/>
    </row>
    <row r="29" spans="1:7" ht="13.5" thickBot="1" x14ac:dyDescent="0.25">
      <c r="A29" s="119"/>
      <c r="B29" s="95" t="s">
        <v>263</v>
      </c>
      <c r="C29" s="729"/>
      <c r="D29" s="729">
        <f>SUMIF('Balance N Retraitée'!A:A,"24*",'Balance N Retraitée'!F:F)</f>
        <v>0</v>
      </c>
      <c r="E29" s="115"/>
      <c r="F29" s="729"/>
      <c r="G29" s="730"/>
    </row>
    <row r="30" spans="1:7" x14ac:dyDescent="0.2">
      <c r="A30" s="81"/>
      <c r="B30" s="121" t="s">
        <v>264</v>
      </c>
      <c r="C30" s="732"/>
      <c r="D30" s="732"/>
      <c r="E30" s="115"/>
      <c r="F30" s="732"/>
      <c r="G30" s="732"/>
    </row>
    <row r="31" spans="1:7" s="11" customFormat="1" x14ac:dyDescent="0.2">
      <c r="A31" s="110"/>
      <c r="B31" s="111" t="s">
        <v>265</v>
      </c>
      <c r="C31" s="726"/>
      <c r="D31" s="726">
        <f>SUM(D32:D33)</f>
        <v>100000</v>
      </c>
      <c r="E31" s="118"/>
      <c r="F31" s="726"/>
      <c r="G31" s="726">
        <f>SUM(G32:G33)</f>
        <v>100000</v>
      </c>
    </row>
    <row r="32" spans="1:7" x14ac:dyDescent="0.2">
      <c r="A32" s="119"/>
      <c r="B32" s="95" t="s">
        <v>266</v>
      </c>
      <c r="C32" s="729"/>
      <c r="D32" s="729">
        <f>SUMIF('Balance N Retraitée'!A:A,"111*",'Balance N Retraitée'!F:F)+SUMIF('Balance N Retraitée'!A:A,"112*",'Balance N Retraitée'!F:F)</f>
        <v>100000</v>
      </c>
      <c r="E32" s="115"/>
      <c r="F32" s="729"/>
      <c r="G32" s="729">
        <f>SUMIF('Balance N-1 Retraitée'!A:A,"111*",'Balance N-1 Retraitée'!F:F)+SUMIF('Balance N-1 Retraitée'!A:A,"112*",'Balance N-1 Retraitée'!F:F)</f>
        <v>100000</v>
      </c>
    </row>
    <row r="33" spans="1:7" ht="13.5" thickBot="1" x14ac:dyDescent="0.25">
      <c r="A33" s="119"/>
      <c r="B33" s="95" t="s">
        <v>267</v>
      </c>
      <c r="C33" s="729"/>
      <c r="D33" s="729">
        <f>SUMIF('Balance N Retraitée'!A:A,"131*",'Balance N Retraitée'!F:F)</f>
        <v>0</v>
      </c>
      <c r="E33" s="115"/>
      <c r="F33" s="729"/>
      <c r="G33" s="729">
        <f>SUMIF('Balance N-1 Retraitée'!A:A,"131*",'Balance N-1 Retraitée'!F:F)</f>
        <v>0</v>
      </c>
    </row>
    <row r="34" spans="1:7" x14ac:dyDescent="0.2">
      <c r="A34" s="81"/>
      <c r="B34" s="121" t="s">
        <v>268</v>
      </c>
      <c r="C34" s="732"/>
      <c r="D34" s="732"/>
      <c r="E34" s="115"/>
      <c r="F34" s="732"/>
      <c r="G34" s="732"/>
    </row>
    <row r="35" spans="1:7" s="11" customFormat="1" x14ac:dyDescent="0.2">
      <c r="A35" s="110"/>
      <c r="B35" s="111" t="s">
        <v>269</v>
      </c>
      <c r="C35" s="726"/>
      <c r="D35" s="726">
        <f>SUMIF('Balance N Retraitée'!A:A,"14*",'Balance N Retraitée'!F:F)</f>
        <v>1110593.92</v>
      </c>
      <c r="E35" s="118"/>
      <c r="F35" s="726"/>
      <c r="G35" s="726">
        <f>SUMIF('Balance N-1 Retraitée'!A:A,"14*",'Balance N-1 Retraitée'!F:F)</f>
        <v>0</v>
      </c>
    </row>
    <row r="36" spans="1:7" ht="13.5" thickBot="1" x14ac:dyDescent="0.25">
      <c r="A36" s="86"/>
      <c r="B36" s="123" t="s">
        <v>270</v>
      </c>
      <c r="C36" s="727"/>
      <c r="D36" s="727"/>
      <c r="E36" s="115"/>
      <c r="F36" s="727"/>
      <c r="G36" s="727"/>
    </row>
    <row r="37" spans="1:7" x14ac:dyDescent="0.2">
      <c r="A37" s="81"/>
      <c r="B37" s="124" t="s">
        <v>271</v>
      </c>
      <c r="C37" s="732"/>
      <c r="D37" s="732"/>
      <c r="E37" s="115"/>
      <c r="F37" s="732"/>
      <c r="G37" s="732"/>
    </row>
    <row r="38" spans="1:7" s="11" customFormat="1" ht="13.5" thickBot="1" x14ac:dyDescent="0.25">
      <c r="A38" s="125"/>
      <c r="B38" s="126" t="s">
        <v>272</v>
      </c>
      <c r="C38" s="731"/>
      <c r="D38" s="731">
        <f>+D35+D31+D25+D21</f>
        <v>1404890.1199999999</v>
      </c>
      <c r="E38" s="118"/>
      <c r="F38" s="731"/>
      <c r="G38" s="731">
        <f>+G35+G31+G25+G21</f>
        <v>81775.7</v>
      </c>
    </row>
    <row r="39" spans="1:7" ht="13.5" thickBot="1" x14ac:dyDescent="0.25">
      <c r="A39" s="86"/>
      <c r="B39" s="100" t="s">
        <v>273</v>
      </c>
      <c r="C39" s="114"/>
      <c r="D39" s="114"/>
      <c r="E39" s="115"/>
      <c r="F39" s="727"/>
      <c r="G39" s="727"/>
    </row>
    <row r="40" spans="1:7" x14ac:dyDescent="0.2">
      <c r="A40" s="81"/>
      <c r="B40" s="121" t="s">
        <v>274</v>
      </c>
      <c r="C40" s="122"/>
      <c r="D40" s="122"/>
      <c r="E40" s="115"/>
      <c r="F40" s="732"/>
      <c r="G40" s="732"/>
    </row>
    <row r="41" spans="1:7" s="11" customFormat="1" x14ac:dyDescent="0.2">
      <c r="A41" s="110"/>
      <c r="B41" s="111" t="s">
        <v>275</v>
      </c>
      <c r="C41" s="726">
        <f>SUM(C42:C45)</f>
        <v>1588527.58</v>
      </c>
      <c r="D41" s="112"/>
      <c r="E41" s="118"/>
      <c r="F41" s="726">
        <f>SUM(F42:F45)</f>
        <v>0</v>
      </c>
      <c r="G41" s="726"/>
    </row>
    <row r="42" spans="1:7" x14ac:dyDescent="0.2">
      <c r="A42" s="119"/>
      <c r="B42" s="95" t="s">
        <v>276</v>
      </c>
      <c r="C42" s="729">
        <f>'T4 B2-immo'!C14</f>
        <v>0</v>
      </c>
      <c r="D42" s="120"/>
      <c r="E42" s="115"/>
      <c r="F42" s="730"/>
      <c r="G42" s="729"/>
    </row>
    <row r="43" spans="1:7" x14ac:dyDescent="0.2">
      <c r="A43" s="119"/>
      <c r="B43" s="95" t="s">
        <v>277</v>
      </c>
      <c r="C43" s="729">
        <f>'T4 B2-immo'!C20-'T4 B2-immo'!H27+'T4 B2-immo'!D20+'T4 B2-immo'!E20</f>
        <v>1588527.58</v>
      </c>
      <c r="D43" s="120"/>
      <c r="E43" s="115"/>
      <c r="F43" s="730"/>
      <c r="G43" s="729"/>
    </row>
    <row r="44" spans="1:7" x14ac:dyDescent="0.2">
      <c r="A44" s="119"/>
      <c r="B44" s="95" t="s">
        <v>278</v>
      </c>
      <c r="C44" s="729">
        <f>+SUMIF('Balance N Retraitée'!A:A,"25*",'Balance N Retraitée'!E:E)</f>
        <v>0</v>
      </c>
      <c r="D44" s="120"/>
      <c r="E44" s="115"/>
      <c r="F44" s="730"/>
      <c r="G44" s="729"/>
    </row>
    <row r="45" spans="1:7" ht="13.5" thickBot="1" x14ac:dyDescent="0.25">
      <c r="A45" s="86"/>
      <c r="B45" s="98" t="s">
        <v>279</v>
      </c>
      <c r="C45" s="727">
        <f>SUMIF('Balance N Retraitée'!A:A,"24*",'Balance N Retraitée'!E:E)</f>
        <v>0</v>
      </c>
      <c r="D45" s="114"/>
      <c r="E45" s="115"/>
      <c r="F45" s="739"/>
      <c r="G45" s="727"/>
    </row>
    <row r="46" spans="1:7" x14ac:dyDescent="0.2">
      <c r="A46" s="81"/>
      <c r="B46" s="121" t="s">
        <v>280</v>
      </c>
      <c r="C46" s="122"/>
      <c r="D46" s="122"/>
      <c r="E46" s="115"/>
      <c r="F46" s="732"/>
      <c r="G46" s="732"/>
    </row>
    <row r="47" spans="1:7" ht="13.5" thickBot="1" x14ac:dyDescent="0.25">
      <c r="A47" s="86"/>
      <c r="B47" s="100" t="s">
        <v>281</v>
      </c>
      <c r="C47" s="727">
        <f>SUMIF('Balance N Retraitée'!A:A,"111*",'Balance N Retraitée'!E:E)+SUMIF('Balance N Retraitée'!A:A,"131*",'Balance N Retraitée'!E:E)</f>
        <v>0</v>
      </c>
      <c r="D47" s="114"/>
      <c r="E47" s="115"/>
      <c r="F47" s="727"/>
      <c r="G47" s="727"/>
    </row>
    <row r="48" spans="1:7" x14ac:dyDescent="0.2">
      <c r="A48" s="81"/>
      <c r="B48" s="121" t="s">
        <v>282</v>
      </c>
      <c r="C48" s="122"/>
      <c r="D48" s="122"/>
      <c r="E48" s="115"/>
      <c r="F48" s="732"/>
      <c r="G48" s="732"/>
    </row>
    <row r="49" spans="1:9" s="11" customFormat="1" ht="13.5" thickBot="1" x14ac:dyDescent="0.25">
      <c r="A49" s="125"/>
      <c r="B49" s="128" t="s">
        <v>283</v>
      </c>
      <c r="C49" s="731">
        <f>SUMIF('Balance N Retraitée'!A:A,"14*",'Balance N Retraitée'!E:E)</f>
        <v>105178.31</v>
      </c>
      <c r="D49" s="127"/>
      <c r="E49" s="118"/>
      <c r="F49" s="731">
        <f>SUMIF('Balance N-1 Retraitée'!A:A,"14*",'Balance N-1 Retraitée'!E:E)</f>
        <v>0</v>
      </c>
      <c r="G49" s="731"/>
    </row>
    <row r="50" spans="1:9" s="11" customFormat="1" ht="13.5" thickBot="1" x14ac:dyDescent="0.25">
      <c r="A50" s="110"/>
      <c r="B50" s="111" t="s">
        <v>284</v>
      </c>
      <c r="C50" s="726">
        <f>SUMIF('Balance N Retraitée'!A:A,"21*",'Balance N Retraitée'!E:E)</f>
        <v>5000</v>
      </c>
      <c r="D50" s="112"/>
      <c r="E50" s="118"/>
      <c r="F50" s="726">
        <f>SUMIF('Balance N-1 Retraitée'!A:A,"21*",'Balance N-1 Retraitée'!E:E)</f>
        <v>5000</v>
      </c>
      <c r="G50" s="726"/>
    </row>
    <row r="51" spans="1:9" x14ac:dyDescent="0.2">
      <c r="A51" s="81"/>
      <c r="B51" s="124" t="s">
        <v>285</v>
      </c>
      <c r="C51" s="122"/>
      <c r="D51" s="122"/>
      <c r="E51" s="115"/>
      <c r="F51" s="732"/>
      <c r="G51" s="732"/>
    </row>
    <row r="52" spans="1:9" s="11" customFormat="1" ht="13.5" thickBot="1" x14ac:dyDescent="0.25">
      <c r="A52" s="125"/>
      <c r="B52" s="126" t="s">
        <v>286</v>
      </c>
      <c r="C52" s="731">
        <f>+C50+C49+C41+C47</f>
        <v>1698705.8900000001</v>
      </c>
      <c r="D52" s="127"/>
      <c r="E52" s="118"/>
      <c r="F52" s="731">
        <f>+F50+F49+F41+F47</f>
        <v>5000</v>
      </c>
      <c r="G52" s="731"/>
    </row>
    <row r="53" spans="1:9" x14ac:dyDescent="0.2">
      <c r="A53" s="86"/>
      <c r="B53" s="100" t="s">
        <v>287</v>
      </c>
      <c r="C53" s="726">
        <f>+F13</f>
        <v>0</v>
      </c>
      <c r="D53" s="727"/>
      <c r="E53" s="115"/>
      <c r="F53" s="907"/>
      <c r="G53" s="727"/>
      <c r="H53" s="665">
        <f>IF((SUMIF('Balance N-1 Retraitée'!A:A,"3*",'Balance N-1 Retraitée'!E:E)-SUMIF('Balance N-1 Retraitée'!A:A,"3*",'Balance N-1 Retraitée'!F:F))-(SUMIF('Balance N-1 Retraitée'!A:A,"4*",'Balance N-1 Retraitée'!F:F)-SUMIF('Balance N-1 Retraitée'!A:A,"4*",'Balance N-1 Retraitée'!E:E))&gt;=0,(SUMIF('Balance N-1 Retraitée'!A:A,"3*",'Balance N-1 Retraitée'!E:E)-SUMIF('Balance N-1 Retraitée'!A:A,"3*",'Balance N-1 Retraitée'!F:F))-(SUMIF('Balance N-1 Retraitée'!A:A,"4*",'Balance N-1 Retraitée'!F:F)-SUMIF('Balance N-1 Retraitée'!A:A,"4*",'Balance N-1 Retraitée'!E:E)),0)</f>
        <v>0</v>
      </c>
      <c r="I53" s="665"/>
    </row>
    <row r="54" spans="1:9" ht="13.5" thickBot="1" x14ac:dyDescent="0.25">
      <c r="A54" s="86"/>
      <c r="B54" s="129" t="s">
        <v>288</v>
      </c>
      <c r="C54" s="726"/>
      <c r="D54" s="726">
        <f>+G13</f>
        <v>77562.640000000101</v>
      </c>
      <c r="E54" s="115"/>
      <c r="F54" s="726"/>
      <c r="G54" s="726">
        <f>IF((SUMIF('Balance N-1 Retraitée'!A:A,"3*",'Balance N-1 Retraitée'!E:E)-SUMIF('Balance N-1 Retraitée'!A:A,"3*",'Balance N-1 Retraitée'!F:F))-(SUMIF('Balance N-1 Retraitée'!A:A,"4*",'Balance N-1 Retraitée'!F:F)-SUMIF('Balance N-1 Retraitée'!A:A,"4*",'Balance N-1 Retraitée'!E:E))&lt;=0,-(SUMIF('Balance N-1 Retraitée'!A:A,"3*",'Balance N-1 Retraitée'!E:E)-SUMIF('Balance N-1 Retraitée'!A:A,"3*",'Balance N-1 Retraitée'!F:F))-(SUMIF('Balance N-1 Retraitée'!A:A,"4*",'Balance N-1 Retraitée'!F:F)-SUMIF('Balance N-1 Retraitée'!A:A,"4*",'Balance N-1 Retraitée'!E:E)),0)</f>
        <v>-235039.03000000006</v>
      </c>
    </row>
    <row r="55" spans="1:9" s="11" customFormat="1" ht="13.5" thickBot="1" x14ac:dyDescent="0.25">
      <c r="A55" s="130"/>
      <c r="B55" s="131" t="s">
        <v>289</v>
      </c>
      <c r="C55" s="733">
        <f>+F14</f>
        <v>0</v>
      </c>
      <c r="D55" s="733">
        <f>+G14</f>
        <v>311253.12999999995</v>
      </c>
      <c r="E55" s="118"/>
      <c r="F55" s="733">
        <f>IF((SUMIF('Balance N-1 Retraitée'!A:A,"5*",'Balance N-1 Retraitée'!E:E)-SUMIF('Balance N-1 Retraitée'!A:A,"5*",'Balance N-1 Retraitée'!F:F))&gt;=0,(SUMIF('Balance N-1 Retraitée'!A:A,"5*",'Balance N-1 Retraitée'!E:E)-SUMIF('Balance N-1 Retraitée'!A:A,"5*",'Balance N-1 Retraitée'!F:F)),0)</f>
        <v>311745.67000000004</v>
      </c>
      <c r="G55" s="733">
        <f>IF((SUMIF('Balance N-1 Retraitée'!A:A,"5*",'Balance N-1 Retraitée'!E:E)-SUMIF('Balance N-1 Retraitée'!A:A,"5*",'Balance N-1 Retraitée'!F:F))&lt;=0,-(SUMIF('Balance N-1 Retraitée'!A:A,"5*",'Balance N-1 Retraitée'!E:E)-SUMIF('Balance N-1 Retraitée'!A:A,"5*",'Balance N-1 Retraitée'!F:F)),0)</f>
        <v>0</v>
      </c>
    </row>
    <row r="56" spans="1:9" s="11" customFormat="1" ht="13.5" thickBot="1" x14ac:dyDescent="0.25">
      <c r="A56" s="125"/>
      <c r="B56" s="126" t="s">
        <v>290</v>
      </c>
      <c r="C56" s="731">
        <f>+C52+C53+C55</f>
        <v>1698705.8900000001</v>
      </c>
      <c r="D56" s="731">
        <f>+D54+D38+D55</f>
        <v>1793705.89</v>
      </c>
      <c r="E56" s="118"/>
      <c r="F56" s="731">
        <f>+F52+F53+F55</f>
        <v>316745.67000000004</v>
      </c>
      <c r="G56" s="731">
        <f>+G54+G38+G55</f>
        <v>-153263.33000000007</v>
      </c>
    </row>
    <row r="57" spans="1:9" x14ac:dyDescent="0.2">
      <c r="B57" s="80"/>
      <c r="C57" s="80"/>
      <c r="D57" s="80"/>
      <c r="E57" s="80"/>
      <c r="F57" s="80"/>
      <c r="G57" s="80"/>
    </row>
    <row r="58" spans="1:9" x14ac:dyDescent="0.2">
      <c r="C58" s="738">
        <f>+C56-D56</f>
        <v>-94999.999999999767</v>
      </c>
      <c r="D58" s="115"/>
      <c r="E58" s="80"/>
      <c r="F58" s="906">
        <f>F56-G56</f>
        <v>470009.00000000012</v>
      </c>
      <c r="G58" s="80"/>
    </row>
    <row r="59" spans="1:9" x14ac:dyDescent="0.2">
      <c r="C59" s="738"/>
      <c r="D59" s="115"/>
      <c r="E59" s="80"/>
      <c r="F59" s="80"/>
      <c r="G59" s="80"/>
    </row>
    <row r="60" spans="1:9" x14ac:dyDescent="0.2">
      <c r="C60" s="738">
        <f>+C58/2</f>
        <v>-47499.999999999884</v>
      </c>
      <c r="D60" s="115"/>
      <c r="E60" s="80"/>
      <c r="F60" s="80"/>
      <c r="G60" s="80"/>
    </row>
    <row r="61" spans="1:9" x14ac:dyDescent="0.2">
      <c r="C61" s="812"/>
      <c r="D61" s="80"/>
      <c r="E61" s="80"/>
      <c r="F61" s="80"/>
      <c r="G61" s="80"/>
    </row>
    <row r="62" spans="1:9" x14ac:dyDescent="0.2">
      <c r="C62" s="812"/>
      <c r="D62" s="80"/>
      <c r="E62" s="80"/>
      <c r="F62" s="80"/>
      <c r="G62" s="80"/>
    </row>
    <row r="63" spans="1:9" x14ac:dyDescent="0.2">
      <c r="C63" s="80"/>
      <c r="D63" s="80"/>
      <c r="E63" s="80"/>
      <c r="F63" s="80"/>
      <c r="G63" s="80"/>
    </row>
    <row r="64" spans="1:9" x14ac:dyDescent="0.2">
      <c r="C64" s="80"/>
      <c r="D64" s="80"/>
      <c r="E64" s="80"/>
      <c r="F64" s="80"/>
      <c r="G64" s="80"/>
    </row>
    <row r="65" spans="3:7" x14ac:dyDescent="0.2">
      <c r="C65" s="80"/>
      <c r="D65" s="80"/>
      <c r="E65" s="80"/>
      <c r="F65" s="80"/>
      <c r="G65" s="80"/>
    </row>
    <row r="66" spans="3:7" x14ac:dyDescent="0.2">
      <c r="C66" s="80"/>
      <c r="D66" s="80"/>
      <c r="E66" s="80"/>
      <c r="F66" s="80"/>
      <c r="G66" s="80"/>
    </row>
    <row r="67" spans="3:7" x14ac:dyDescent="0.2">
      <c r="C67" s="80"/>
      <c r="D67" s="80"/>
      <c r="E67" s="80"/>
      <c r="F67" s="80"/>
      <c r="G67" s="80"/>
    </row>
    <row r="68" spans="3:7" x14ac:dyDescent="0.2">
      <c r="C68" s="80"/>
      <c r="D68" s="80"/>
      <c r="E68" s="80"/>
      <c r="F68" s="80"/>
      <c r="G68" s="80"/>
    </row>
    <row r="69" spans="3:7" x14ac:dyDescent="0.2">
      <c r="C69" s="80"/>
      <c r="D69" s="80"/>
      <c r="E69" s="80"/>
      <c r="F69" s="80"/>
      <c r="G69" s="80"/>
    </row>
    <row r="70" spans="3:7" x14ac:dyDescent="0.2">
      <c r="C70" s="80"/>
      <c r="D70" s="80"/>
      <c r="E70" s="80"/>
      <c r="F70" s="80"/>
      <c r="G70" s="80"/>
    </row>
  </sheetData>
  <phoneticPr fontId="23" type="noConversion"/>
  <pageMargins left="0.78740157499999996" right="0.78740157499999996" top="0.984251969" bottom="0.984251969" header="0.4921259845" footer="0.4921259845"/>
  <pageSetup paperSize="9" scale="76" orientation="portrait" horizontalDpi="300" verticalDpi="300" r:id="rId1"/>
  <headerFooter alignWithMargins="0">
    <oddHeader>&amp;L&amp;"Times New Roman,Gras italique"&amp;12Sté : ...............................</oddHeader>
  </headerFooter>
  <ignoredErrors>
    <ignoredError sqref="F12:G12" formula="1"/>
  </ignoredErrors>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5"/>
  <dimension ref="A1:L55"/>
  <sheetViews>
    <sheetView topLeftCell="A15" zoomScale="90" zoomScaleNormal="90" workbookViewId="0">
      <selection activeCell="B1" sqref="B1"/>
    </sheetView>
  </sheetViews>
  <sheetFormatPr baseColWidth="10" defaultColWidth="12" defaultRowHeight="12" x14ac:dyDescent="0.2"/>
  <cols>
    <col min="1" max="1" width="2.33203125" style="22" customWidth="1"/>
    <col min="2" max="2" width="48" style="22" customWidth="1"/>
    <col min="3" max="3" width="17.83203125" style="59" customWidth="1"/>
    <col min="4" max="4" width="15.1640625" style="1" customWidth="1"/>
    <col min="5" max="5" width="19.5" style="59" customWidth="1"/>
    <col min="6" max="6" width="18.5" style="59" customWidth="1"/>
    <col min="7" max="8" width="12" style="21"/>
    <col min="9" max="9" width="19.6640625" style="21" bestFit="1" customWidth="1"/>
    <col min="10" max="10" width="12" style="21"/>
    <col min="11" max="11" width="19.83203125" style="21" bestFit="1" customWidth="1"/>
    <col min="12" max="12" width="19.6640625" style="21" bestFit="1" customWidth="1"/>
    <col min="13" max="16384" width="12" style="21"/>
  </cols>
  <sheetData>
    <row r="1" spans="1:12" ht="15.75" x14ac:dyDescent="0.25">
      <c r="A1" s="826"/>
      <c r="B1" s="17"/>
      <c r="C1" s="18" t="s">
        <v>311</v>
      </c>
      <c r="D1" s="19"/>
      <c r="E1" s="20"/>
      <c r="F1" s="20"/>
    </row>
    <row r="2" spans="1:12" ht="5.25" customHeight="1" x14ac:dyDescent="0.25">
      <c r="B2" s="17"/>
      <c r="C2" s="20"/>
      <c r="D2" s="19"/>
      <c r="E2" s="20"/>
      <c r="F2" s="20"/>
    </row>
    <row r="3" spans="1:12" ht="16.5" thickBot="1" x14ac:dyDescent="0.3">
      <c r="A3" s="21"/>
      <c r="B3" s="23"/>
      <c r="C3" s="24" t="s">
        <v>873</v>
      </c>
      <c r="D3" s="24"/>
      <c r="E3" s="342" t="str">
        <f>'T5 ESG'!$G$3</f>
        <v>31/12/2022</v>
      </c>
      <c r="F3" s="25"/>
    </row>
    <row r="4" spans="1:12" s="26" customFormat="1" ht="15.75" x14ac:dyDescent="0.2">
      <c r="B4" s="27" t="s">
        <v>311</v>
      </c>
      <c r="C4" s="1201" t="s">
        <v>1030</v>
      </c>
      <c r="D4" s="1202"/>
      <c r="E4" s="1201" t="s">
        <v>874</v>
      </c>
      <c r="F4" s="1203"/>
    </row>
    <row r="5" spans="1:12" ht="18.75" customHeight="1" x14ac:dyDescent="0.25">
      <c r="A5" s="21"/>
      <c r="B5" s="29" t="s">
        <v>315</v>
      </c>
      <c r="C5" s="30"/>
      <c r="D5" s="31" t="s">
        <v>1034</v>
      </c>
      <c r="E5" s="32"/>
      <c r="F5" s="32" t="s">
        <v>1034</v>
      </c>
    </row>
    <row r="6" spans="1:12" ht="13.5" customHeight="1" x14ac:dyDescent="0.25">
      <c r="A6" s="21"/>
      <c r="B6" s="33"/>
      <c r="C6" s="31" t="s">
        <v>319</v>
      </c>
      <c r="D6" s="34"/>
      <c r="E6" s="35" t="s">
        <v>319</v>
      </c>
      <c r="F6" s="35"/>
    </row>
    <row r="7" spans="1:12" ht="14.25" customHeight="1" thickBot="1" x14ac:dyDescent="0.3">
      <c r="A7" s="21"/>
      <c r="B7" s="36"/>
      <c r="C7" s="37"/>
      <c r="D7" s="37" t="s">
        <v>953</v>
      </c>
      <c r="E7" s="38"/>
      <c r="F7" s="38" t="s">
        <v>1031</v>
      </c>
    </row>
    <row r="8" spans="1:12" ht="8.25" customHeight="1" thickBot="1" x14ac:dyDescent="0.3">
      <c r="A8" s="21"/>
      <c r="B8" s="39"/>
      <c r="C8" s="40"/>
      <c r="D8" s="41"/>
      <c r="E8" s="40"/>
      <c r="F8" s="42"/>
      <c r="I8" s="561"/>
      <c r="J8" s="561"/>
      <c r="K8" s="561"/>
      <c r="L8" s="561"/>
    </row>
    <row r="9" spans="1:12" ht="15.75" customHeight="1" thickBot="1" x14ac:dyDescent="0.3">
      <c r="A9" s="21"/>
      <c r="B9" s="43" t="s">
        <v>1035</v>
      </c>
      <c r="C9" s="957">
        <f>+'T1 Bilan'!E33</f>
        <v>1419989.45</v>
      </c>
      <c r="D9" s="44">
        <f>+C9/E9-1</f>
        <v>328.79829897134681</v>
      </c>
      <c r="E9" s="957">
        <f>+'T1 Bilan'!G33</f>
        <v>4305.63</v>
      </c>
      <c r="F9" s="960">
        <f>+C9-E9</f>
        <v>1415683.82</v>
      </c>
    </row>
    <row r="10" spans="1:12" ht="6" customHeight="1" thickBot="1" x14ac:dyDescent="0.3">
      <c r="A10" s="21"/>
      <c r="B10" s="39"/>
      <c r="C10" s="958"/>
      <c r="D10" s="41"/>
      <c r="E10" s="958"/>
      <c r="F10" s="961"/>
    </row>
    <row r="11" spans="1:12" ht="18" customHeight="1" thickBot="1" x14ac:dyDescent="0.3">
      <c r="A11" s="21"/>
      <c r="B11" s="43" t="s">
        <v>1036</v>
      </c>
      <c r="C11" s="957">
        <f>+C29-C9</f>
        <v>-312040.07000000007</v>
      </c>
      <c r="D11" s="44">
        <f>+C11/E11-1</f>
        <v>-5.064307717155299</v>
      </c>
      <c r="E11" s="957">
        <f>+E29-E9</f>
        <v>76775.7</v>
      </c>
      <c r="F11" s="962">
        <f>+C11-E11</f>
        <v>-388815.77000000008</v>
      </c>
    </row>
    <row r="12" spans="1:12" ht="4.5" customHeight="1" thickBot="1" x14ac:dyDescent="0.3">
      <c r="A12" s="21"/>
      <c r="B12" s="39"/>
      <c r="C12" s="958"/>
      <c r="D12" s="45"/>
      <c r="E12" s="958"/>
      <c r="F12" s="961"/>
    </row>
    <row r="13" spans="1:12" ht="18" customHeight="1" thickBot="1" x14ac:dyDescent="0.3">
      <c r="A13" s="21"/>
      <c r="B13" s="43" t="s">
        <v>1037</v>
      </c>
      <c r="C13" s="957">
        <f>+'T1 Bilan'!E52</f>
        <v>308800.71999999997</v>
      </c>
      <c r="D13" s="44">
        <f>+C13/E13-1</f>
        <v>8941.9690124529388</v>
      </c>
      <c r="E13" s="957">
        <f>+'T1 Bilan'!G52</f>
        <v>34.53</v>
      </c>
      <c r="F13" s="962">
        <f>+C13-E13</f>
        <v>308766.18999999994</v>
      </c>
    </row>
    <row r="14" spans="1:12" ht="5.25" customHeight="1" thickBot="1" x14ac:dyDescent="0.3">
      <c r="A14" s="21"/>
      <c r="B14" s="39"/>
      <c r="C14" s="958"/>
      <c r="D14" s="41"/>
      <c r="E14" s="958"/>
      <c r="F14" s="961"/>
    </row>
    <row r="15" spans="1:12" ht="18" customHeight="1" thickBot="1" x14ac:dyDescent="0.3">
      <c r="A15" s="21"/>
      <c r="B15" s="43" t="s">
        <v>0</v>
      </c>
      <c r="C15" s="957">
        <f>+'T1 Bilan'!E58</f>
        <v>492.54</v>
      </c>
      <c r="D15" s="44">
        <f>+C15/E15-1</f>
        <v>-0.99842005824812263</v>
      </c>
      <c r="E15" s="957">
        <f>+'T1 Bilan'!G58</f>
        <v>311745.67000000004</v>
      </c>
      <c r="F15" s="962">
        <f>+C15-E15</f>
        <v>-311253.13000000006</v>
      </c>
    </row>
    <row r="16" spans="1:12" ht="5.25" customHeight="1" thickBot="1" x14ac:dyDescent="0.3">
      <c r="A16" s="21"/>
      <c r="B16" s="39"/>
      <c r="C16" s="958"/>
      <c r="D16" s="41"/>
      <c r="E16" s="958"/>
      <c r="F16" s="961"/>
    </row>
    <row r="17" spans="1:6" ht="18" customHeight="1" thickBot="1" x14ac:dyDescent="0.3">
      <c r="A17" s="21"/>
      <c r="B17" s="39" t="s">
        <v>547</v>
      </c>
      <c r="C17" s="959">
        <f>C15-C35</f>
        <v>492.54</v>
      </c>
      <c r="D17" s="44">
        <f>+C17/E17-1</f>
        <v>-0.99842005824812263</v>
      </c>
      <c r="E17" s="959">
        <f>E15-E35</f>
        <v>311745.67000000004</v>
      </c>
      <c r="F17" s="962">
        <f>+C17-E17</f>
        <v>-311253.13000000006</v>
      </c>
    </row>
    <row r="18" spans="1:6" ht="18" customHeight="1" thickBot="1" x14ac:dyDescent="0.3">
      <c r="A18" s="21"/>
      <c r="B18" s="39"/>
      <c r="C18" s="958"/>
      <c r="D18" s="41"/>
      <c r="E18" s="958"/>
      <c r="F18" s="961"/>
    </row>
    <row r="19" spans="1:6" ht="18" customHeight="1" thickBot="1" x14ac:dyDescent="0.3">
      <c r="A19" s="21"/>
      <c r="B19" s="39" t="s">
        <v>1</v>
      </c>
      <c r="C19" s="959">
        <f>+C9+C13+C15</f>
        <v>1729282.71</v>
      </c>
      <c r="D19" s="44">
        <f>+C19/E19-1</f>
        <v>4.470927659110818</v>
      </c>
      <c r="E19" s="959">
        <f>+E9+E13+E15</f>
        <v>316085.83</v>
      </c>
      <c r="F19" s="960">
        <f>+C19-E19</f>
        <v>1413196.88</v>
      </c>
    </row>
    <row r="20" spans="1:6" ht="15.75" x14ac:dyDescent="0.25">
      <c r="A20" s="21"/>
      <c r="B20" s="46"/>
      <c r="C20" s="19"/>
      <c r="D20" s="19"/>
      <c r="E20" s="19"/>
      <c r="F20" s="19"/>
    </row>
    <row r="21" spans="1:6" ht="15.75" x14ac:dyDescent="0.25">
      <c r="A21" s="47"/>
      <c r="B21" s="17"/>
      <c r="C21" s="18" t="s">
        <v>377</v>
      </c>
      <c r="D21" s="19"/>
      <c r="E21" s="20"/>
      <c r="F21" s="20"/>
    </row>
    <row r="22" spans="1:6" ht="6.75" customHeight="1" x14ac:dyDescent="0.25">
      <c r="A22" s="21"/>
      <c r="B22" s="17"/>
      <c r="C22" s="20"/>
      <c r="D22" s="19"/>
      <c r="E22" s="20"/>
      <c r="F22" s="20"/>
    </row>
    <row r="23" spans="1:6" ht="16.5" thickBot="1" x14ac:dyDescent="0.3">
      <c r="A23" s="21"/>
      <c r="B23" s="23"/>
      <c r="C23" s="24" t="s">
        <v>310</v>
      </c>
      <c r="D23" s="24"/>
      <c r="E23" s="342" t="str">
        <f>'T5 ESG'!$G$3</f>
        <v>31/12/2022</v>
      </c>
      <c r="F23" s="25"/>
    </row>
    <row r="24" spans="1:6" ht="18" customHeight="1" thickBot="1" x14ac:dyDescent="0.3">
      <c r="A24" s="26"/>
      <c r="B24" s="48" t="s">
        <v>377</v>
      </c>
      <c r="C24" s="28" t="s">
        <v>1030</v>
      </c>
      <c r="D24" s="28"/>
      <c r="E24" s="49" t="s">
        <v>874</v>
      </c>
      <c r="F24" s="50"/>
    </row>
    <row r="25" spans="1:6" ht="14.25" customHeight="1" x14ac:dyDescent="0.25">
      <c r="A25" s="21"/>
      <c r="B25" s="29" t="s">
        <v>315</v>
      </c>
      <c r="C25" s="31" t="s">
        <v>319</v>
      </c>
      <c r="D25" s="31" t="s">
        <v>1034</v>
      </c>
      <c r="E25" s="31" t="s">
        <v>319</v>
      </c>
      <c r="F25" s="35" t="s">
        <v>1034</v>
      </c>
    </row>
    <row r="26" spans="1:6" ht="15.75" x14ac:dyDescent="0.25">
      <c r="A26" s="21"/>
      <c r="B26" s="33"/>
      <c r="C26" s="51" t="str">
        <f>E3</f>
        <v>31/12/2022</v>
      </c>
      <c r="D26" s="34" t="s">
        <v>953</v>
      </c>
      <c r="E26" s="51" t="s">
        <v>954</v>
      </c>
      <c r="F26" s="35"/>
    </row>
    <row r="27" spans="1:6" ht="16.5" thickBot="1" x14ac:dyDescent="0.3">
      <c r="A27" s="21"/>
      <c r="B27" s="36"/>
      <c r="C27" s="52">
        <v>1</v>
      </c>
      <c r="D27" s="53" t="s">
        <v>6</v>
      </c>
      <c r="E27" s="52">
        <v>2</v>
      </c>
      <c r="F27" s="38" t="s">
        <v>1031</v>
      </c>
    </row>
    <row r="28" spans="1:6" ht="9" customHeight="1" thickBot="1" x14ac:dyDescent="0.3">
      <c r="B28" s="54"/>
      <c r="C28" s="20"/>
      <c r="D28" s="19"/>
      <c r="E28" s="20"/>
      <c r="F28" s="55"/>
    </row>
    <row r="29" spans="1:6" ht="18" customHeight="1" thickBot="1" x14ac:dyDescent="0.3">
      <c r="A29" s="56"/>
      <c r="B29" s="57" t="s">
        <v>2</v>
      </c>
      <c r="C29" s="957">
        <f>+'T1 Bilan'!E101</f>
        <v>1107949.3799999999</v>
      </c>
      <c r="D29" s="44">
        <f>+C29/E29-1</f>
        <v>12.664667069472095</v>
      </c>
      <c r="E29" s="957">
        <f>+'T1 Bilan'!G101</f>
        <v>81081.33</v>
      </c>
      <c r="F29" s="960">
        <f>+C29-E29</f>
        <v>1026868.0499999999</v>
      </c>
    </row>
    <row r="30" spans="1:6" ht="4.5" customHeight="1" thickBot="1" x14ac:dyDescent="0.3">
      <c r="A30" s="21"/>
      <c r="B30" s="39"/>
      <c r="C30" s="958"/>
      <c r="D30" s="41"/>
      <c r="E30" s="958"/>
      <c r="F30" s="961"/>
    </row>
    <row r="31" spans="1:6" ht="18" customHeight="1" thickBot="1" x14ac:dyDescent="0.3">
      <c r="A31" s="56"/>
      <c r="B31" s="57" t="s">
        <v>3</v>
      </c>
      <c r="C31" s="957">
        <f>+'T1 Bilan'!E114</f>
        <v>621333.33000000007</v>
      </c>
      <c r="D31" s="44">
        <f>+C31/E31-1</f>
        <v>1.6439209887470243</v>
      </c>
      <c r="E31" s="957">
        <f>+'T1 Bilan'!G114</f>
        <v>235004.5</v>
      </c>
      <c r="F31" s="962">
        <f>+C31-E31</f>
        <v>386328.83000000007</v>
      </c>
    </row>
    <row r="32" spans="1:6" ht="3" customHeight="1" thickBot="1" x14ac:dyDescent="0.3">
      <c r="A32" s="21"/>
      <c r="B32" s="39"/>
      <c r="C32" s="958"/>
      <c r="D32" s="41"/>
      <c r="E32" s="958"/>
      <c r="F32" s="961"/>
    </row>
    <row r="33" spans="1:6" ht="18" customHeight="1" thickBot="1" x14ac:dyDescent="0.3">
      <c r="A33" s="56"/>
      <c r="B33" s="57" t="s">
        <v>4</v>
      </c>
      <c r="C33" s="957">
        <f>+C13-C31</f>
        <v>-312532.6100000001</v>
      </c>
      <c r="D33" s="44">
        <f>+C33/E33-1</f>
        <v>0.33009596928492657</v>
      </c>
      <c r="E33" s="957">
        <f>+E13-E31</f>
        <v>-234969.97</v>
      </c>
      <c r="F33" s="960">
        <f>+C33-E33</f>
        <v>-77562.640000000101</v>
      </c>
    </row>
    <row r="34" spans="1:6" ht="3" customHeight="1" thickBot="1" x14ac:dyDescent="0.3">
      <c r="A34" s="21"/>
      <c r="B34" s="57"/>
      <c r="C34" s="957"/>
      <c r="D34" s="41"/>
      <c r="E34" s="958"/>
      <c r="F34" s="961"/>
    </row>
    <row r="35" spans="1:6" ht="18" customHeight="1" thickBot="1" x14ac:dyDescent="0.3">
      <c r="A35" s="56"/>
      <c r="B35" s="57" t="s">
        <v>422</v>
      </c>
      <c r="C35" s="957">
        <f>+'T1 Bilan'!E120</f>
        <v>0</v>
      </c>
      <c r="D35" s="44" t="e">
        <f>+C35/E35-1</f>
        <v>#DIV/0!</v>
      </c>
      <c r="E35" s="957">
        <f>+'T1 Bilan'!G120</f>
        <v>0</v>
      </c>
      <c r="F35" s="960">
        <f>+C35-E35</f>
        <v>0</v>
      </c>
    </row>
    <row r="36" spans="1:6" ht="18" customHeight="1" thickBot="1" x14ac:dyDescent="0.3">
      <c r="A36" s="21"/>
      <c r="B36" s="39"/>
      <c r="C36" s="958"/>
      <c r="D36" s="41"/>
      <c r="E36" s="958"/>
      <c r="F36" s="961"/>
    </row>
    <row r="37" spans="1:6" ht="18" customHeight="1" thickBot="1" x14ac:dyDescent="0.3">
      <c r="A37" s="56"/>
      <c r="B37" s="57" t="s">
        <v>5</v>
      </c>
      <c r="C37" s="957">
        <f>+C29+C31+C35</f>
        <v>1729282.71</v>
      </c>
      <c r="D37" s="44">
        <f>+C37/E37-1</f>
        <v>4.470927659110818</v>
      </c>
      <c r="E37" s="957">
        <f>+E29+E31+E35</f>
        <v>316085.83</v>
      </c>
      <c r="F37" s="962">
        <f>+C37-E37</f>
        <v>1413196.88</v>
      </c>
    </row>
    <row r="38" spans="1:6" x14ac:dyDescent="0.2">
      <c r="A38" s="21"/>
      <c r="C38" s="58"/>
    </row>
    <row r="39" spans="1:6" x14ac:dyDescent="0.2">
      <c r="A39" s="21"/>
      <c r="D39" s="59"/>
    </row>
    <row r="40" spans="1:6" x14ac:dyDescent="0.2">
      <c r="A40" s="21"/>
    </row>
    <row r="41" spans="1:6" x14ac:dyDescent="0.2">
      <c r="A41" s="21"/>
    </row>
    <row r="42" spans="1:6" x14ac:dyDescent="0.2">
      <c r="A42" s="21"/>
    </row>
    <row r="43" spans="1:6" x14ac:dyDescent="0.2">
      <c r="A43" s="21"/>
    </row>
    <row r="44" spans="1:6" x14ac:dyDescent="0.2">
      <c r="A44" s="21"/>
    </row>
    <row r="45" spans="1:6" x14ac:dyDescent="0.2">
      <c r="A45" s="21"/>
    </row>
    <row r="46" spans="1:6" x14ac:dyDescent="0.2">
      <c r="A46" s="21"/>
    </row>
    <row r="47" spans="1:6" x14ac:dyDescent="0.2">
      <c r="A47" s="21"/>
    </row>
    <row r="48" spans="1:6" x14ac:dyDescent="0.2">
      <c r="A48" s="21"/>
    </row>
    <row r="49" spans="1:1" x14ac:dyDescent="0.2">
      <c r="A49" s="21"/>
    </row>
    <row r="50" spans="1:1" x14ac:dyDescent="0.2">
      <c r="A50" s="21"/>
    </row>
    <row r="51" spans="1:1" x14ac:dyDescent="0.2">
      <c r="A51" s="21"/>
    </row>
    <row r="52" spans="1:1" x14ac:dyDescent="0.2">
      <c r="A52" s="21"/>
    </row>
    <row r="53" spans="1:1" x14ac:dyDescent="0.2">
      <c r="A53" s="21"/>
    </row>
    <row r="54" spans="1:1" x14ac:dyDescent="0.2">
      <c r="A54" s="21"/>
    </row>
    <row r="55" spans="1:1" x14ac:dyDescent="0.2">
      <c r="A55" s="21"/>
    </row>
  </sheetData>
  <mergeCells count="2">
    <mergeCell ref="C4:D4"/>
    <mergeCell ref="E4:F4"/>
  </mergeCells>
  <phoneticPr fontId="0" type="noConversion"/>
  <pageMargins left="0.78740157499999996" right="0.78740157499999996" top="0.984251969" bottom="0.984251969" header="0.4921259845" footer="0.4921259845"/>
  <pageSetup paperSize="9" scale="78" orientation="portrait" horizontalDpi="300" verticalDpi="300" r:id="rId1"/>
  <headerFooter alignWithMargins="0">
    <oddHeader>&amp;L&amp;"Times New Roman,Gras italique"&amp;12Sté : ...............................</oddHeader>
  </headerFooter>
  <ignoredErrors>
    <ignoredError sqref="D9 D13 D15 D29 D31 D35" evalError="1"/>
    <ignoredError sqref="D11 D17 D19 D33 D37" evalError="1" formula="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0.83203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46</vt:i4>
      </vt:variant>
      <vt:variant>
        <vt:lpstr>Plages nommées</vt:lpstr>
      </vt:variant>
      <vt:variant>
        <vt:i4>2062</vt:i4>
      </vt:variant>
    </vt:vector>
  </HeadingPairs>
  <TitlesOfParts>
    <vt:vector size="2108" baseType="lpstr">
      <vt:lpstr>Feuil1</vt:lpstr>
      <vt:lpstr>Identification</vt:lpstr>
      <vt:lpstr>Couverture Etats de synthèse</vt:lpstr>
      <vt:lpstr>Couverture</vt:lpstr>
      <vt:lpstr>Programme</vt:lpstr>
      <vt:lpstr>Xml</vt:lpstr>
      <vt:lpstr>Balance N</vt:lpstr>
      <vt:lpstr>Balance N-1</vt:lpstr>
      <vt:lpstr>Balance N Retraitée</vt:lpstr>
      <vt:lpstr>Balance N-1 Retraitée</vt:lpstr>
      <vt:lpstr>T1 Bilan</vt:lpstr>
      <vt:lpstr>T2 CPC</vt:lpstr>
      <vt:lpstr>T3 B12-res fis</vt:lpstr>
      <vt:lpstr>T4 B2-immo</vt:lpstr>
      <vt:lpstr>T5 ESG</vt:lpstr>
      <vt:lpstr>T6 TB11</vt:lpstr>
      <vt:lpstr>T7 CNCET B10-CB</vt:lpstr>
      <vt:lpstr>T8 B2 BIS</vt:lpstr>
      <vt:lpstr>T9 B5-PROV</vt:lpstr>
      <vt:lpstr>T10 B3-+-Value</vt:lpstr>
      <vt:lpstr>T11 B4-Titres part</vt:lpstr>
      <vt:lpstr>T12 B14-TVA</vt:lpstr>
      <vt:lpstr>T13 C1-rép cap</vt:lpstr>
      <vt:lpstr>T14 C2-affec resu</vt:lpstr>
      <vt:lpstr>T15 Encourag</vt:lpstr>
      <vt:lpstr>T16 Amort</vt:lpstr>
      <vt:lpstr>T17 + V Fusions</vt:lpstr>
      <vt:lpstr>T18 Emprunts</vt:lpstr>
      <vt:lpstr>T19 Locations</vt:lpstr>
      <vt:lpstr>T20 Stocks</vt:lpstr>
      <vt:lpstr>ETIC  A0 A1</vt:lpstr>
      <vt:lpstr> A2 </vt:lpstr>
      <vt:lpstr>A3</vt:lpstr>
      <vt:lpstr>B1-Tab non val</vt:lpstr>
      <vt:lpstr>B6-CREANCES-01</vt:lpstr>
      <vt:lpstr>B7-dettes</vt:lpstr>
      <vt:lpstr>B8-SURETES-01</vt:lpstr>
      <vt:lpstr>B9-Eng fin</vt:lpstr>
      <vt:lpstr>B13-res cour</vt:lpstr>
      <vt:lpstr>B15 Passif Eventuel</vt:lpstr>
      <vt:lpstr>C3-3 exer</vt:lpstr>
      <vt:lpstr>C4-ope  dev</vt:lpstr>
      <vt:lpstr>C5- Datation</vt:lpstr>
      <vt:lpstr>TF</vt:lpstr>
      <vt:lpstr>bilan condens</vt:lpstr>
      <vt:lpstr>Feuil2</vt:lpstr>
      <vt:lpstr>Cellule_1000</vt:lpstr>
      <vt:lpstr>Cellule_1001</vt:lpstr>
      <vt:lpstr>Cellule_1002</vt:lpstr>
      <vt:lpstr>Cellule_10022</vt:lpstr>
      <vt:lpstr>Cellule_10023</vt:lpstr>
      <vt:lpstr>Cellule_10024</vt:lpstr>
      <vt:lpstr>Cellule_10025</vt:lpstr>
      <vt:lpstr>Cellule_10026</vt:lpstr>
      <vt:lpstr>Cellule_10027</vt:lpstr>
      <vt:lpstr>Cellule_10028</vt:lpstr>
      <vt:lpstr>Cellule_10029</vt:lpstr>
      <vt:lpstr>Cellule_1003</vt:lpstr>
      <vt:lpstr>Cellule_1004</vt:lpstr>
      <vt:lpstr>Cellule_10040</vt:lpstr>
      <vt:lpstr>Cellule_10041</vt:lpstr>
      <vt:lpstr>Cellule_10042</vt:lpstr>
      <vt:lpstr>Cellule_10043</vt:lpstr>
      <vt:lpstr>Cellule_1005</vt:lpstr>
      <vt:lpstr>Cellule_1006</vt:lpstr>
      <vt:lpstr>Cellule_10061_1</vt:lpstr>
      <vt:lpstr>Cellule_10061_10</vt:lpstr>
      <vt:lpstr>Cellule_10061_2</vt:lpstr>
      <vt:lpstr>Cellule_10061_3</vt:lpstr>
      <vt:lpstr>Cellule_10061_4</vt:lpstr>
      <vt:lpstr>Cellule_10061_5</vt:lpstr>
      <vt:lpstr>Cellule_10061_6</vt:lpstr>
      <vt:lpstr>Cellule_10061_7</vt:lpstr>
      <vt:lpstr>Cellule_10061_8</vt:lpstr>
      <vt:lpstr>Cellule_10061_9</vt:lpstr>
      <vt:lpstr>Cellule_10064</vt:lpstr>
      <vt:lpstr>Cellule_10065</vt:lpstr>
      <vt:lpstr>Cellule_10066</vt:lpstr>
      <vt:lpstr>Cellule_10067</vt:lpstr>
      <vt:lpstr>Cellule_10068</vt:lpstr>
      <vt:lpstr>Cellule_10069</vt:lpstr>
      <vt:lpstr>Cellule_1007</vt:lpstr>
      <vt:lpstr>Cellule_10070</vt:lpstr>
      <vt:lpstr>Cellule_10071</vt:lpstr>
      <vt:lpstr>Cellule_10073</vt:lpstr>
      <vt:lpstr>Cellule_10074</vt:lpstr>
      <vt:lpstr>Cellule_10075</vt:lpstr>
      <vt:lpstr>Cellule_10076</vt:lpstr>
      <vt:lpstr>Cellule_10077</vt:lpstr>
      <vt:lpstr>Cellule_10078</vt:lpstr>
      <vt:lpstr>Cellule_10079</vt:lpstr>
      <vt:lpstr>Cellule_1008</vt:lpstr>
      <vt:lpstr>Cellule_10080</vt:lpstr>
      <vt:lpstr>Cellule_10082</vt:lpstr>
      <vt:lpstr>Cellule_10083</vt:lpstr>
      <vt:lpstr>Cellule_10084</vt:lpstr>
      <vt:lpstr>Cellule_10085</vt:lpstr>
      <vt:lpstr>Cellule_10086</vt:lpstr>
      <vt:lpstr>Cellule_10087</vt:lpstr>
      <vt:lpstr>Cellule_10088</vt:lpstr>
      <vt:lpstr>Cellule_10089</vt:lpstr>
      <vt:lpstr>Cellule_1009</vt:lpstr>
      <vt:lpstr>Cellule_10091</vt:lpstr>
      <vt:lpstr>Cellule_1010</vt:lpstr>
      <vt:lpstr>Cellule_1011</vt:lpstr>
      <vt:lpstr>Cellule_1012</vt:lpstr>
      <vt:lpstr>Cellule_1013</vt:lpstr>
      <vt:lpstr>Cellule_1014</vt:lpstr>
      <vt:lpstr>Cellule_1015</vt:lpstr>
      <vt:lpstr>Cellule_1016</vt:lpstr>
      <vt:lpstr>Cellule_1017</vt:lpstr>
      <vt:lpstr>Cellule_1018</vt:lpstr>
      <vt:lpstr>Cellule_1019</vt:lpstr>
      <vt:lpstr>Cellule_1020</vt:lpstr>
      <vt:lpstr>Cellule_1021</vt:lpstr>
      <vt:lpstr>Cellule_1022</vt:lpstr>
      <vt:lpstr>Cellule_1023</vt:lpstr>
      <vt:lpstr>Cellule_1024</vt:lpstr>
      <vt:lpstr>Cellule_1025</vt:lpstr>
      <vt:lpstr>Cellule_1026</vt:lpstr>
      <vt:lpstr>Cellule_1027</vt:lpstr>
      <vt:lpstr>Cellule_1028</vt:lpstr>
      <vt:lpstr>Cellule_1029</vt:lpstr>
      <vt:lpstr>Cellule_1030</vt:lpstr>
      <vt:lpstr>Cellule_1031</vt:lpstr>
      <vt:lpstr>Cellule_1032</vt:lpstr>
      <vt:lpstr>Cellule_1033</vt:lpstr>
      <vt:lpstr>Cellule_1034</vt:lpstr>
      <vt:lpstr>Cellule_1035</vt:lpstr>
      <vt:lpstr>Cellule_1036</vt:lpstr>
      <vt:lpstr>Cellule_1037</vt:lpstr>
      <vt:lpstr>Cellule_1038</vt:lpstr>
      <vt:lpstr>Cellule_1039</vt:lpstr>
      <vt:lpstr>Cellule_1040</vt:lpstr>
      <vt:lpstr>Cellule_1041</vt:lpstr>
      <vt:lpstr>Cellule_1042</vt:lpstr>
      <vt:lpstr>Cellule_10420</vt:lpstr>
      <vt:lpstr>Cellule_1043</vt:lpstr>
      <vt:lpstr>Cellule_1044</vt:lpstr>
      <vt:lpstr>Cellule_1045</vt:lpstr>
      <vt:lpstr>Cellule_1046</vt:lpstr>
      <vt:lpstr>Cellule_1047</vt:lpstr>
      <vt:lpstr>Cellule_1048</vt:lpstr>
      <vt:lpstr>Cellule_1049</vt:lpstr>
      <vt:lpstr>Cellule_1050</vt:lpstr>
      <vt:lpstr>Cellule_1051</vt:lpstr>
      <vt:lpstr>Cellule_1052</vt:lpstr>
      <vt:lpstr>Cellule_1053</vt:lpstr>
      <vt:lpstr>Cellule_1054</vt:lpstr>
      <vt:lpstr>Cellule_1055</vt:lpstr>
      <vt:lpstr>Cellule_1056</vt:lpstr>
      <vt:lpstr>Cellule_1057</vt:lpstr>
      <vt:lpstr>Cellule_1058</vt:lpstr>
      <vt:lpstr>Cellule_1059</vt:lpstr>
      <vt:lpstr>Cellule_1060</vt:lpstr>
      <vt:lpstr>Cellule_1061</vt:lpstr>
      <vt:lpstr>Cellule_1062</vt:lpstr>
      <vt:lpstr>Cellule_1063</vt:lpstr>
      <vt:lpstr>Cellule_1064</vt:lpstr>
      <vt:lpstr>Cellule_1065</vt:lpstr>
      <vt:lpstr>Cellule_1066</vt:lpstr>
      <vt:lpstr>Cellule_1067</vt:lpstr>
      <vt:lpstr>Cellule_1068</vt:lpstr>
      <vt:lpstr>Cellule_1069</vt:lpstr>
      <vt:lpstr>Cellule_1070</vt:lpstr>
      <vt:lpstr>Cellule_1071</vt:lpstr>
      <vt:lpstr>Cellule_1072</vt:lpstr>
      <vt:lpstr>Cellule_1073</vt:lpstr>
      <vt:lpstr>Cellule_1074</vt:lpstr>
      <vt:lpstr>Cellule_1075</vt:lpstr>
      <vt:lpstr>Cellule_1076</vt:lpstr>
      <vt:lpstr>Cellule_1077</vt:lpstr>
      <vt:lpstr>Cellule_1078_1</vt:lpstr>
      <vt:lpstr>Cellule_1078_10</vt:lpstr>
      <vt:lpstr>Cellule_1078_2</vt:lpstr>
      <vt:lpstr>Cellule_1078_3</vt:lpstr>
      <vt:lpstr>Cellule_1078_4</vt:lpstr>
      <vt:lpstr>Cellule_1078_5</vt:lpstr>
      <vt:lpstr>Cellule_1078_6</vt:lpstr>
      <vt:lpstr>Cellule_1078_7</vt:lpstr>
      <vt:lpstr>Cellule_1078_8</vt:lpstr>
      <vt:lpstr>Cellule_1078_9</vt:lpstr>
      <vt:lpstr>Cellule_1079_1</vt:lpstr>
      <vt:lpstr>Cellule_1079_10</vt:lpstr>
      <vt:lpstr>Cellule_1079_2</vt:lpstr>
      <vt:lpstr>Cellule_1079_3</vt:lpstr>
      <vt:lpstr>Cellule_1079_4</vt:lpstr>
      <vt:lpstr>Cellule_1079_5</vt:lpstr>
      <vt:lpstr>Cellule_1079_6</vt:lpstr>
      <vt:lpstr>Cellule_1079_7</vt:lpstr>
      <vt:lpstr>Cellule_1079_8</vt:lpstr>
      <vt:lpstr>Cellule_1079_9</vt:lpstr>
      <vt:lpstr>Cellule_1080_1</vt:lpstr>
      <vt:lpstr>Cellule_1080_10</vt:lpstr>
      <vt:lpstr>Cellule_1080_2</vt:lpstr>
      <vt:lpstr>Cellule_1080_3</vt:lpstr>
      <vt:lpstr>Cellule_1080_4</vt:lpstr>
      <vt:lpstr>Cellule_1080_5</vt:lpstr>
      <vt:lpstr>Cellule_1080_6</vt:lpstr>
      <vt:lpstr>Cellule_1080_7</vt:lpstr>
      <vt:lpstr>Cellule_1080_8</vt:lpstr>
      <vt:lpstr>Cellule_1080_9</vt:lpstr>
      <vt:lpstr>Cellule_1081_1</vt:lpstr>
      <vt:lpstr>Cellule_1081_10</vt:lpstr>
      <vt:lpstr>Cellule_1081_2</vt:lpstr>
      <vt:lpstr>Cellule_1081_3</vt:lpstr>
      <vt:lpstr>Cellule_1081_4</vt:lpstr>
      <vt:lpstr>Cellule_1081_5</vt:lpstr>
      <vt:lpstr>Cellule_1081_6</vt:lpstr>
      <vt:lpstr>Cellule_1081_7</vt:lpstr>
      <vt:lpstr>Cellule_1081_8</vt:lpstr>
      <vt:lpstr>Cellule_1081_9</vt:lpstr>
      <vt:lpstr>Cellule_1082_1</vt:lpstr>
      <vt:lpstr>Cellule_1082_10</vt:lpstr>
      <vt:lpstr>Cellule_1082_2</vt:lpstr>
      <vt:lpstr>Cellule_1082_3</vt:lpstr>
      <vt:lpstr>Cellule_1082_4</vt:lpstr>
      <vt:lpstr>Cellule_1082_5</vt:lpstr>
      <vt:lpstr>Cellule_1082_6</vt:lpstr>
      <vt:lpstr>Cellule_1082_7</vt:lpstr>
      <vt:lpstr>Cellule_1082_8</vt:lpstr>
      <vt:lpstr>Cellule_1082_9</vt:lpstr>
      <vt:lpstr>Cellule_1083_1</vt:lpstr>
      <vt:lpstr>Cellule_1083_10</vt:lpstr>
      <vt:lpstr>Cellule_1083_2</vt:lpstr>
      <vt:lpstr>Cellule_1083_3</vt:lpstr>
      <vt:lpstr>Cellule_1083_4</vt:lpstr>
      <vt:lpstr>Cellule_1083_5</vt:lpstr>
      <vt:lpstr>Cellule_1083_6</vt:lpstr>
      <vt:lpstr>Cellule_1083_7</vt:lpstr>
      <vt:lpstr>Cellule_1083_8</vt:lpstr>
      <vt:lpstr>Cellule_1083_9</vt:lpstr>
      <vt:lpstr>Cellule_1084_1</vt:lpstr>
      <vt:lpstr>Cellule_1084_10</vt:lpstr>
      <vt:lpstr>Cellule_1084_2</vt:lpstr>
      <vt:lpstr>Cellule_1084_3</vt:lpstr>
      <vt:lpstr>Cellule_1084_4</vt:lpstr>
      <vt:lpstr>Cellule_1084_5</vt:lpstr>
      <vt:lpstr>Cellule_1084_6</vt:lpstr>
      <vt:lpstr>Cellule_1084_7</vt:lpstr>
      <vt:lpstr>Cellule_1084_8</vt:lpstr>
      <vt:lpstr>Cellule_1084_9</vt:lpstr>
      <vt:lpstr>Cellule_1085_1</vt:lpstr>
      <vt:lpstr>Cellule_1085_10</vt:lpstr>
      <vt:lpstr>Cellule_1085_2</vt:lpstr>
      <vt:lpstr>Cellule_1085_3</vt:lpstr>
      <vt:lpstr>Cellule_1085_4</vt:lpstr>
      <vt:lpstr>Cellule_1085_5</vt:lpstr>
      <vt:lpstr>Cellule_1085_6</vt:lpstr>
      <vt:lpstr>Cellule_1085_7</vt:lpstr>
      <vt:lpstr>Cellule_1085_8</vt:lpstr>
      <vt:lpstr>Cellule_1085_9</vt:lpstr>
      <vt:lpstr>Cellule_1086_1</vt:lpstr>
      <vt:lpstr>Cellule_1086_10</vt:lpstr>
      <vt:lpstr>Cellule_1086_2</vt:lpstr>
      <vt:lpstr>Cellule_1086_3</vt:lpstr>
      <vt:lpstr>Cellule_1086_4</vt:lpstr>
      <vt:lpstr>Cellule_1086_5</vt:lpstr>
      <vt:lpstr>Cellule_1086_6</vt:lpstr>
      <vt:lpstr>Cellule_1086_7</vt:lpstr>
      <vt:lpstr>Cellule_1086_8</vt:lpstr>
      <vt:lpstr>Cellule_1086_9</vt:lpstr>
      <vt:lpstr>Cellule_1088</vt:lpstr>
      <vt:lpstr>Cellule_1089</vt:lpstr>
      <vt:lpstr>Cellule_1090</vt:lpstr>
      <vt:lpstr>Cellule_1091</vt:lpstr>
      <vt:lpstr>Cellule_1093</vt:lpstr>
      <vt:lpstr>Cellule_1094</vt:lpstr>
      <vt:lpstr>Cellule_1098_1</vt:lpstr>
      <vt:lpstr>Cellule_1098_2</vt:lpstr>
      <vt:lpstr>Cellule_1098_3</vt:lpstr>
      <vt:lpstr>Cellule_1098_4</vt:lpstr>
      <vt:lpstr>Cellule_1098_5</vt:lpstr>
      <vt:lpstr>Cellule_1098_6</vt:lpstr>
      <vt:lpstr>Cellule_1099_1</vt:lpstr>
      <vt:lpstr>Cellule_1099_2</vt:lpstr>
      <vt:lpstr>Cellule_1099_3</vt:lpstr>
      <vt:lpstr>Cellule_1099_4</vt:lpstr>
      <vt:lpstr>Cellule_1099_5</vt:lpstr>
      <vt:lpstr>Cellule_1099_6</vt:lpstr>
      <vt:lpstr>Cellule_1100_1</vt:lpstr>
      <vt:lpstr>Cellule_1100_2</vt:lpstr>
      <vt:lpstr>Cellule_1100_3</vt:lpstr>
      <vt:lpstr>Cellule_1100_4</vt:lpstr>
      <vt:lpstr>Cellule_1100_5</vt:lpstr>
      <vt:lpstr>Cellule_1100_6</vt:lpstr>
      <vt:lpstr>Cellule_1101_1</vt:lpstr>
      <vt:lpstr>Cellule_1101_2</vt:lpstr>
      <vt:lpstr>Cellule_1101_3</vt:lpstr>
      <vt:lpstr>Cellule_1101_4</vt:lpstr>
      <vt:lpstr>Cellule_1101_5</vt:lpstr>
      <vt:lpstr>Cellule_1101_6</vt:lpstr>
      <vt:lpstr>Cellule_1102_1</vt:lpstr>
      <vt:lpstr>Cellule_1102_2</vt:lpstr>
      <vt:lpstr>Cellule_1102_3</vt:lpstr>
      <vt:lpstr>Cellule_1102_4</vt:lpstr>
      <vt:lpstr>Cellule_1102_5</vt:lpstr>
      <vt:lpstr>Cellule_1102_6</vt:lpstr>
      <vt:lpstr>Cellule_1103_1</vt:lpstr>
      <vt:lpstr>Cellule_1103_2</vt:lpstr>
      <vt:lpstr>Cellule_1103_3</vt:lpstr>
      <vt:lpstr>Cellule_1103_4</vt:lpstr>
      <vt:lpstr>Cellule_1103_5</vt:lpstr>
      <vt:lpstr>Cellule_1103_6</vt:lpstr>
      <vt:lpstr>Cellule_1104_1</vt:lpstr>
      <vt:lpstr>Cellule_1104_2</vt:lpstr>
      <vt:lpstr>Cellule_1104_3</vt:lpstr>
      <vt:lpstr>Cellule_1104_4</vt:lpstr>
      <vt:lpstr>Cellule_1104_5</vt:lpstr>
      <vt:lpstr>Cellule_1104_6</vt:lpstr>
      <vt:lpstr>Cellule_1105_1</vt:lpstr>
      <vt:lpstr>Cellule_1105_2</vt:lpstr>
      <vt:lpstr>Cellule_1105_3</vt:lpstr>
      <vt:lpstr>Cellule_1105_4</vt:lpstr>
      <vt:lpstr>Cellule_1105_5</vt:lpstr>
      <vt:lpstr>Cellule_1105_6</vt:lpstr>
      <vt:lpstr>Cellule_1106_1</vt:lpstr>
      <vt:lpstr>Cellule_1106_2</vt:lpstr>
      <vt:lpstr>Cellule_1106_3</vt:lpstr>
      <vt:lpstr>Cellule_1106_4</vt:lpstr>
      <vt:lpstr>Cellule_1106_5</vt:lpstr>
      <vt:lpstr>Cellule_1106_6</vt:lpstr>
      <vt:lpstr>Cellule_1107_1</vt:lpstr>
      <vt:lpstr>Cellule_1107_2</vt:lpstr>
      <vt:lpstr>Cellule_1107_3</vt:lpstr>
      <vt:lpstr>Cellule_1107_4</vt:lpstr>
      <vt:lpstr>Cellule_1107_5</vt:lpstr>
      <vt:lpstr>Cellule_1107_6</vt:lpstr>
      <vt:lpstr>Cellule_1108_1</vt:lpstr>
      <vt:lpstr>Cellule_1108_2</vt:lpstr>
      <vt:lpstr>Cellule_1108_3</vt:lpstr>
      <vt:lpstr>Cellule_1108_4</vt:lpstr>
      <vt:lpstr>Cellule_1108_5</vt:lpstr>
      <vt:lpstr>Cellule_1108_6</vt:lpstr>
      <vt:lpstr>Cellule_1110</vt:lpstr>
      <vt:lpstr>Cellule_1111</vt:lpstr>
      <vt:lpstr>Cellule_1112</vt:lpstr>
      <vt:lpstr>Cellule_1113</vt:lpstr>
      <vt:lpstr>Cellule_1114</vt:lpstr>
      <vt:lpstr>Cellule_1115</vt:lpstr>
      <vt:lpstr>Cellule_1116</vt:lpstr>
      <vt:lpstr>Cellule_1117</vt:lpstr>
      <vt:lpstr>Cellule_11176</vt:lpstr>
      <vt:lpstr>Cellule_11177</vt:lpstr>
      <vt:lpstr>Cellule_11178</vt:lpstr>
      <vt:lpstr>Cellule_11179</vt:lpstr>
      <vt:lpstr>Cellule_11181</vt:lpstr>
      <vt:lpstr>Cellule_11182</vt:lpstr>
      <vt:lpstr>Cellule_11183</vt:lpstr>
      <vt:lpstr>Cellule_11184</vt:lpstr>
      <vt:lpstr>Cellule_11186</vt:lpstr>
      <vt:lpstr>Cellule_11187</vt:lpstr>
      <vt:lpstr>Cellule_11188</vt:lpstr>
      <vt:lpstr>Cellule_11189</vt:lpstr>
      <vt:lpstr>Cellule_1119</vt:lpstr>
      <vt:lpstr>Cellule_11191</vt:lpstr>
      <vt:lpstr>Cellule_11192</vt:lpstr>
      <vt:lpstr>Cellule_11193</vt:lpstr>
      <vt:lpstr>Cellule_11194</vt:lpstr>
      <vt:lpstr>Cellule_11196</vt:lpstr>
      <vt:lpstr>Cellule_11197</vt:lpstr>
      <vt:lpstr>Cellule_11198</vt:lpstr>
      <vt:lpstr>Cellule_11199</vt:lpstr>
      <vt:lpstr>Cellule_1120</vt:lpstr>
      <vt:lpstr>Cellule_11201</vt:lpstr>
      <vt:lpstr>Cellule_11202</vt:lpstr>
      <vt:lpstr>Cellule_11203</vt:lpstr>
      <vt:lpstr>Cellule_11204</vt:lpstr>
      <vt:lpstr>Cellule_11206</vt:lpstr>
      <vt:lpstr>Cellule_11207</vt:lpstr>
      <vt:lpstr>Cellule_11208</vt:lpstr>
      <vt:lpstr>Cellule_11209</vt:lpstr>
      <vt:lpstr>Cellule_1121</vt:lpstr>
      <vt:lpstr>Cellule_11211</vt:lpstr>
      <vt:lpstr>Cellule_11212</vt:lpstr>
      <vt:lpstr>Cellule_11213</vt:lpstr>
      <vt:lpstr>Cellule_11214</vt:lpstr>
      <vt:lpstr>Cellule_11216</vt:lpstr>
      <vt:lpstr>Cellule_11217</vt:lpstr>
      <vt:lpstr>Cellule_11218</vt:lpstr>
      <vt:lpstr>Cellule_11219</vt:lpstr>
      <vt:lpstr>Cellule_1122</vt:lpstr>
      <vt:lpstr>Cellule_11221</vt:lpstr>
      <vt:lpstr>Cellule_11222</vt:lpstr>
      <vt:lpstr>Cellule_11223</vt:lpstr>
      <vt:lpstr>Cellule_11224</vt:lpstr>
      <vt:lpstr>Cellule_11226</vt:lpstr>
      <vt:lpstr>Cellule_11227</vt:lpstr>
      <vt:lpstr>Cellule_11228</vt:lpstr>
      <vt:lpstr>Cellule_11229</vt:lpstr>
      <vt:lpstr>Cellule_1123</vt:lpstr>
      <vt:lpstr>Cellule_11231</vt:lpstr>
      <vt:lpstr>Cellule_11232</vt:lpstr>
      <vt:lpstr>Cellule_11233</vt:lpstr>
      <vt:lpstr>Cellule_11234</vt:lpstr>
      <vt:lpstr>Cellule_11236</vt:lpstr>
      <vt:lpstr>Cellule_11237</vt:lpstr>
      <vt:lpstr>Cellule_11238</vt:lpstr>
      <vt:lpstr>Cellule_11239</vt:lpstr>
      <vt:lpstr>Cellule_1124</vt:lpstr>
      <vt:lpstr>Cellule_11241</vt:lpstr>
      <vt:lpstr>Cellule_11242</vt:lpstr>
      <vt:lpstr>Cellule_11243</vt:lpstr>
      <vt:lpstr>Cellule_11244</vt:lpstr>
      <vt:lpstr>Cellule_11246</vt:lpstr>
      <vt:lpstr>Cellule_11247</vt:lpstr>
      <vt:lpstr>Cellule_11248</vt:lpstr>
      <vt:lpstr>Cellule_11249</vt:lpstr>
      <vt:lpstr>Cellule_1125</vt:lpstr>
      <vt:lpstr>Cellule_11251</vt:lpstr>
      <vt:lpstr>Cellule_11252</vt:lpstr>
      <vt:lpstr>Cellule_11253</vt:lpstr>
      <vt:lpstr>Cellule_11254</vt:lpstr>
      <vt:lpstr>Cellule_11256</vt:lpstr>
      <vt:lpstr>Cellule_11257</vt:lpstr>
      <vt:lpstr>Cellule_11258</vt:lpstr>
      <vt:lpstr>Cellule_11259</vt:lpstr>
      <vt:lpstr>Cellule_1126</vt:lpstr>
      <vt:lpstr>Cellule_11261</vt:lpstr>
      <vt:lpstr>Cellule_11262</vt:lpstr>
      <vt:lpstr>Cellule_11263</vt:lpstr>
      <vt:lpstr>Cellule_11264</vt:lpstr>
      <vt:lpstr>Cellule_11266</vt:lpstr>
      <vt:lpstr>Cellule_11267</vt:lpstr>
      <vt:lpstr>Cellule_11268</vt:lpstr>
      <vt:lpstr>Cellule_11269</vt:lpstr>
      <vt:lpstr>Cellule_11271</vt:lpstr>
      <vt:lpstr>Cellule_11272</vt:lpstr>
      <vt:lpstr>Cellule_11273</vt:lpstr>
      <vt:lpstr>Cellule_11274</vt:lpstr>
      <vt:lpstr>Cellule_11276</vt:lpstr>
      <vt:lpstr>Cellule_11277</vt:lpstr>
      <vt:lpstr>Cellule_11278</vt:lpstr>
      <vt:lpstr>Cellule_11279</vt:lpstr>
      <vt:lpstr>Cellule_1128</vt:lpstr>
      <vt:lpstr>Cellule_11281</vt:lpstr>
      <vt:lpstr>Cellule_11282</vt:lpstr>
      <vt:lpstr>Cellule_11283</vt:lpstr>
      <vt:lpstr>Cellule_11284</vt:lpstr>
      <vt:lpstr>Cellule_11286</vt:lpstr>
      <vt:lpstr>Cellule_11287</vt:lpstr>
      <vt:lpstr>Cellule_11288</vt:lpstr>
      <vt:lpstr>Cellule_11289</vt:lpstr>
      <vt:lpstr>Cellule_1129</vt:lpstr>
      <vt:lpstr>Cellule_11291</vt:lpstr>
      <vt:lpstr>Cellule_11292</vt:lpstr>
      <vt:lpstr>Cellule_11293</vt:lpstr>
      <vt:lpstr>Cellule_11294</vt:lpstr>
      <vt:lpstr>Cellule_11296</vt:lpstr>
      <vt:lpstr>Cellule_11297</vt:lpstr>
      <vt:lpstr>Cellule_11298</vt:lpstr>
      <vt:lpstr>Cellule_11299</vt:lpstr>
      <vt:lpstr>Cellule_1130</vt:lpstr>
      <vt:lpstr>Cellule_11301</vt:lpstr>
      <vt:lpstr>Cellule_11302</vt:lpstr>
      <vt:lpstr>Cellule_11303</vt:lpstr>
      <vt:lpstr>Cellule_11304</vt:lpstr>
      <vt:lpstr>Cellule_11306</vt:lpstr>
      <vt:lpstr>Cellule_11307</vt:lpstr>
      <vt:lpstr>Cellule_11308</vt:lpstr>
      <vt:lpstr>Cellule_11309</vt:lpstr>
      <vt:lpstr>Cellule_1131</vt:lpstr>
      <vt:lpstr>Cellule_11311</vt:lpstr>
      <vt:lpstr>Cellule_11312</vt:lpstr>
      <vt:lpstr>Cellule_11313</vt:lpstr>
      <vt:lpstr>Cellule_11314</vt:lpstr>
      <vt:lpstr>Cellule_11316</vt:lpstr>
      <vt:lpstr>Cellule_11317</vt:lpstr>
      <vt:lpstr>Cellule_11318</vt:lpstr>
      <vt:lpstr>Cellule_11319</vt:lpstr>
      <vt:lpstr>Cellule_1132</vt:lpstr>
      <vt:lpstr>Cellule_11321</vt:lpstr>
      <vt:lpstr>Cellule_11322</vt:lpstr>
      <vt:lpstr>Cellule_11323</vt:lpstr>
      <vt:lpstr>Cellule_11324</vt:lpstr>
      <vt:lpstr>Cellule_11326</vt:lpstr>
      <vt:lpstr>Cellule_11327</vt:lpstr>
      <vt:lpstr>Cellule_11328</vt:lpstr>
      <vt:lpstr>Cellule_11329</vt:lpstr>
      <vt:lpstr>Cellule_1133</vt:lpstr>
      <vt:lpstr>Cellule_11331</vt:lpstr>
      <vt:lpstr>Cellule_11332</vt:lpstr>
      <vt:lpstr>Cellule_11333</vt:lpstr>
      <vt:lpstr>Cellule_11334</vt:lpstr>
      <vt:lpstr>Cellule_11336</vt:lpstr>
      <vt:lpstr>Cellule_11337</vt:lpstr>
      <vt:lpstr>Cellule_11338</vt:lpstr>
      <vt:lpstr>Cellule_11339</vt:lpstr>
      <vt:lpstr>Cellule_1134</vt:lpstr>
      <vt:lpstr>Cellule_11341</vt:lpstr>
      <vt:lpstr>Cellule_11342</vt:lpstr>
      <vt:lpstr>Cellule_11343</vt:lpstr>
      <vt:lpstr>Cellule_11344</vt:lpstr>
      <vt:lpstr>Cellule_11346</vt:lpstr>
      <vt:lpstr>Cellule_11347</vt:lpstr>
      <vt:lpstr>Cellule_11348</vt:lpstr>
      <vt:lpstr>Cellule_11349</vt:lpstr>
      <vt:lpstr>Cellule_1135</vt:lpstr>
      <vt:lpstr>Cellule_11351</vt:lpstr>
      <vt:lpstr>Cellule_11352</vt:lpstr>
      <vt:lpstr>Cellule_11353</vt:lpstr>
      <vt:lpstr>Cellule_11354</vt:lpstr>
      <vt:lpstr>Cellule_11356</vt:lpstr>
      <vt:lpstr>Cellule_11357</vt:lpstr>
      <vt:lpstr>Cellule_11358</vt:lpstr>
      <vt:lpstr>Cellule_11359</vt:lpstr>
      <vt:lpstr>Cellule_11361</vt:lpstr>
      <vt:lpstr>Cellule_11362</vt:lpstr>
      <vt:lpstr>Cellule_11363</vt:lpstr>
      <vt:lpstr>Cellule_11364</vt:lpstr>
      <vt:lpstr>Cellule_11366</vt:lpstr>
      <vt:lpstr>Cellule_11367</vt:lpstr>
      <vt:lpstr>Cellule_11368</vt:lpstr>
      <vt:lpstr>Cellule_11369</vt:lpstr>
      <vt:lpstr>Cellule_1137</vt:lpstr>
      <vt:lpstr>Cellule_11371</vt:lpstr>
      <vt:lpstr>Cellule_11372</vt:lpstr>
      <vt:lpstr>Cellule_11373</vt:lpstr>
      <vt:lpstr>Cellule_11374</vt:lpstr>
      <vt:lpstr>Cellule_11376</vt:lpstr>
      <vt:lpstr>Cellule_11377</vt:lpstr>
      <vt:lpstr>Cellule_11378</vt:lpstr>
      <vt:lpstr>Cellule_11379</vt:lpstr>
      <vt:lpstr>Cellule_1138</vt:lpstr>
      <vt:lpstr>Cellule_11381</vt:lpstr>
      <vt:lpstr>Cellule_11382</vt:lpstr>
      <vt:lpstr>Cellule_11383</vt:lpstr>
      <vt:lpstr>Cellule_11384</vt:lpstr>
      <vt:lpstr>Cellule_11386</vt:lpstr>
      <vt:lpstr>Cellule_11387</vt:lpstr>
      <vt:lpstr>Cellule_11388</vt:lpstr>
      <vt:lpstr>Cellule_11389</vt:lpstr>
      <vt:lpstr>Cellule_1139</vt:lpstr>
      <vt:lpstr>Cellule_11391</vt:lpstr>
      <vt:lpstr>Cellule_11392</vt:lpstr>
      <vt:lpstr>Cellule_11393</vt:lpstr>
      <vt:lpstr>Cellule_11394</vt:lpstr>
      <vt:lpstr>Cellule_11396</vt:lpstr>
      <vt:lpstr>Cellule_11397</vt:lpstr>
      <vt:lpstr>Cellule_11398</vt:lpstr>
      <vt:lpstr>Cellule_11399</vt:lpstr>
      <vt:lpstr>Cellule_1140</vt:lpstr>
      <vt:lpstr>Cellule_11401</vt:lpstr>
      <vt:lpstr>Cellule_11402</vt:lpstr>
      <vt:lpstr>Cellule_11403</vt:lpstr>
      <vt:lpstr>Cellule_11404</vt:lpstr>
      <vt:lpstr>Cellule_11406</vt:lpstr>
      <vt:lpstr>Cellule_11407</vt:lpstr>
      <vt:lpstr>Cellule_11408</vt:lpstr>
      <vt:lpstr>Cellule_11409</vt:lpstr>
      <vt:lpstr>Cellule_1141</vt:lpstr>
      <vt:lpstr>Cellule_11411</vt:lpstr>
      <vt:lpstr>Cellule_11412</vt:lpstr>
      <vt:lpstr>Cellule_11413</vt:lpstr>
      <vt:lpstr>Cellule_11414</vt:lpstr>
      <vt:lpstr>Cellule_11416</vt:lpstr>
      <vt:lpstr>Cellule_11417</vt:lpstr>
      <vt:lpstr>Cellule_11418</vt:lpstr>
      <vt:lpstr>Cellule_11419</vt:lpstr>
      <vt:lpstr>Cellule_1142</vt:lpstr>
      <vt:lpstr>Cellule_11421</vt:lpstr>
      <vt:lpstr>Cellule_11422</vt:lpstr>
      <vt:lpstr>Cellule_11423</vt:lpstr>
      <vt:lpstr>Cellule_11424</vt:lpstr>
      <vt:lpstr>Cellule_11426</vt:lpstr>
      <vt:lpstr>Cellule_11427</vt:lpstr>
      <vt:lpstr>Cellule_11428</vt:lpstr>
      <vt:lpstr>Cellule_11429</vt:lpstr>
      <vt:lpstr>Cellule_1143</vt:lpstr>
      <vt:lpstr>Cellule_11431</vt:lpstr>
      <vt:lpstr>Cellule_11432</vt:lpstr>
      <vt:lpstr>Cellule_11433</vt:lpstr>
      <vt:lpstr>Cellule_11434</vt:lpstr>
      <vt:lpstr>Cellule_11436</vt:lpstr>
      <vt:lpstr>Cellule_11437</vt:lpstr>
      <vt:lpstr>Cellule_11438</vt:lpstr>
      <vt:lpstr>Cellule_11439</vt:lpstr>
      <vt:lpstr>Cellule_1144</vt:lpstr>
      <vt:lpstr>Cellule_1146</vt:lpstr>
      <vt:lpstr>Cellule_1147</vt:lpstr>
      <vt:lpstr>Cellule_1148</vt:lpstr>
      <vt:lpstr>Cellule_1149</vt:lpstr>
      <vt:lpstr>Cellule_1150</vt:lpstr>
      <vt:lpstr>Cellule_1151</vt:lpstr>
      <vt:lpstr>Cellule_1152</vt:lpstr>
      <vt:lpstr>Cellule_1153</vt:lpstr>
      <vt:lpstr>Cellule_1155</vt:lpstr>
      <vt:lpstr>Cellule_1156</vt:lpstr>
      <vt:lpstr>Cellule_1157</vt:lpstr>
      <vt:lpstr>Cellule_1158</vt:lpstr>
      <vt:lpstr>Cellule_1159</vt:lpstr>
      <vt:lpstr>Cellule_1160</vt:lpstr>
      <vt:lpstr>Cellule_1161</vt:lpstr>
      <vt:lpstr>Cellule_1162</vt:lpstr>
      <vt:lpstr>Cellule_1164</vt:lpstr>
      <vt:lpstr>Cellule_1165</vt:lpstr>
      <vt:lpstr>Cellule_1166</vt:lpstr>
      <vt:lpstr>Cellule_1167</vt:lpstr>
      <vt:lpstr>Cellule_1168</vt:lpstr>
      <vt:lpstr>Cellule_1169</vt:lpstr>
      <vt:lpstr>Cellule_1170</vt:lpstr>
      <vt:lpstr>Cellule_1171</vt:lpstr>
      <vt:lpstr>Cellule_1173</vt:lpstr>
      <vt:lpstr>Cellule_1174</vt:lpstr>
      <vt:lpstr>Cellule_1175</vt:lpstr>
      <vt:lpstr>Cellule_1176</vt:lpstr>
      <vt:lpstr>Cellule_1177</vt:lpstr>
      <vt:lpstr>Cellule_1178</vt:lpstr>
      <vt:lpstr>Cellule_1179</vt:lpstr>
      <vt:lpstr>Cellule_1180</vt:lpstr>
      <vt:lpstr>Cellule_1182</vt:lpstr>
      <vt:lpstr>Cellule_1183</vt:lpstr>
      <vt:lpstr>Cellule_1184</vt:lpstr>
      <vt:lpstr>Cellule_1185</vt:lpstr>
      <vt:lpstr>Cellule_1186</vt:lpstr>
      <vt:lpstr>Cellule_1187</vt:lpstr>
      <vt:lpstr>Cellule_1188</vt:lpstr>
      <vt:lpstr>Cellule_1189</vt:lpstr>
      <vt:lpstr>Cellule_1191</vt:lpstr>
      <vt:lpstr>Cellule_1192</vt:lpstr>
      <vt:lpstr>Cellule_1193</vt:lpstr>
      <vt:lpstr>Cellule_1194</vt:lpstr>
      <vt:lpstr>Cellule_1195</vt:lpstr>
      <vt:lpstr>Cellule_1196</vt:lpstr>
      <vt:lpstr>Cellule_1197</vt:lpstr>
      <vt:lpstr>Cellule_1198</vt:lpstr>
      <vt:lpstr>Cellule_1200</vt:lpstr>
      <vt:lpstr>Cellule_1201</vt:lpstr>
      <vt:lpstr>Cellule_1202</vt:lpstr>
      <vt:lpstr>Cellule_1203</vt:lpstr>
      <vt:lpstr>Cellule_1204</vt:lpstr>
      <vt:lpstr>Cellule_1205</vt:lpstr>
      <vt:lpstr>Cellule_1206</vt:lpstr>
      <vt:lpstr>Cellule_1207</vt:lpstr>
      <vt:lpstr>Cellule_1208_1</vt:lpstr>
      <vt:lpstr>Cellule_1208_2</vt:lpstr>
      <vt:lpstr>Cellule_1208_3</vt:lpstr>
      <vt:lpstr>Cellule_1208_4</vt:lpstr>
      <vt:lpstr>Cellule_1209_1</vt:lpstr>
      <vt:lpstr>Cellule_1209_2</vt:lpstr>
      <vt:lpstr>Cellule_1209_3</vt:lpstr>
      <vt:lpstr>Cellule_1209_4</vt:lpstr>
      <vt:lpstr>Cellule_1210_1</vt:lpstr>
      <vt:lpstr>Cellule_1210_2</vt:lpstr>
      <vt:lpstr>Cellule_1210_3</vt:lpstr>
      <vt:lpstr>Cellule_1210_4</vt:lpstr>
      <vt:lpstr>Cellule_1211_1</vt:lpstr>
      <vt:lpstr>Cellule_1211_2</vt:lpstr>
      <vt:lpstr>Cellule_1211_3</vt:lpstr>
      <vt:lpstr>Cellule_1211_4</vt:lpstr>
      <vt:lpstr>Cellule_1212_1</vt:lpstr>
      <vt:lpstr>Cellule_1212_2</vt:lpstr>
      <vt:lpstr>Cellule_1212_3</vt:lpstr>
      <vt:lpstr>Cellule_1212_4</vt:lpstr>
      <vt:lpstr>Cellule_12121</vt:lpstr>
      <vt:lpstr>Cellule_12122</vt:lpstr>
      <vt:lpstr>Cellule_12123</vt:lpstr>
      <vt:lpstr>Cellule_12124</vt:lpstr>
      <vt:lpstr>Cellule_12125</vt:lpstr>
      <vt:lpstr>Cellule_1213_1</vt:lpstr>
      <vt:lpstr>Cellule_1213_2</vt:lpstr>
      <vt:lpstr>Cellule_1213_3</vt:lpstr>
      <vt:lpstr>Cellule_1213_4</vt:lpstr>
      <vt:lpstr>Cellule_1214_1</vt:lpstr>
      <vt:lpstr>Cellule_1214_2</vt:lpstr>
      <vt:lpstr>Cellule_1214_3</vt:lpstr>
      <vt:lpstr>Cellule_1214_4</vt:lpstr>
      <vt:lpstr>Cellule_1215_1</vt:lpstr>
      <vt:lpstr>Cellule_1215_2</vt:lpstr>
      <vt:lpstr>Cellule_1215_3</vt:lpstr>
      <vt:lpstr>Cellule_1215_4</vt:lpstr>
      <vt:lpstr>Cellule_1216_1</vt:lpstr>
      <vt:lpstr>Cellule_1216_2</vt:lpstr>
      <vt:lpstr>Cellule_1216_3</vt:lpstr>
      <vt:lpstr>Cellule_1216_4</vt:lpstr>
      <vt:lpstr>Cellule_1217_1</vt:lpstr>
      <vt:lpstr>Cellule_1217_2</vt:lpstr>
      <vt:lpstr>Cellule_1217_3</vt:lpstr>
      <vt:lpstr>Cellule_1217_4</vt:lpstr>
      <vt:lpstr>Cellule_1218_1</vt:lpstr>
      <vt:lpstr>Cellule_1218_2</vt:lpstr>
      <vt:lpstr>Cellule_1218_3</vt:lpstr>
      <vt:lpstr>Cellule_1218_4</vt:lpstr>
      <vt:lpstr>Cellule_1219_1</vt:lpstr>
      <vt:lpstr>Cellule_1219_2</vt:lpstr>
      <vt:lpstr>Cellule_1219_3</vt:lpstr>
      <vt:lpstr>Cellule_1219_4</vt:lpstr>
      <vt:lpstr>Cellule_122</vt:lpstr>
      <vt:lpstr>Cellule_1220_1</vt:lpstr>
      <vt:lpstr>Cellule_1220_2</vt:lpstr>
      <vt:lpstr>Cellule_1220_3</vt:lpstr>
      <vt:lpstr>Cellule_1220_4</vt:lpstr>
      <vt:lpstr>Cellule_1221_1</vt:lpstr>
      <vt:lpstr>Cellule_1221_2</vt:lpstr>
      <vt:lpstr>Cellule_1221_3</vt:lpstr>
      <vt:lpstr>Cellule_1221_4</vt:lpstr>
      <vt:lpstr>Cellule_1222_1</vt:lpstr>
      <vt:lpstr>Cellule_1222_2</vt:lpstr>
      <vt:lpstr>Cellule_1222_3</vt:lpstr>
      <vt:lpstr>Cellule_1222_4</vt:lpstr>
      <vt:lpstr>Cellule_1223_1</vt:lpstr>
      <vt:lpstr>Cellule_1223_2</vt:lpstr>
      <vt:lpstr>Cellule_1223_3</vt:lpstr>
      <vt:lpstr>Cellule_1223_4</vt:lpstr>
      <vt:lpstr>Cellule_1224_1</vt:lpstr>
      <vt:lpstr>Cellule_1224_2</vt:lpstr>
      <vt:lpstr>Cellule_1224_3</vt:lpstr>
      <vt:lpstr>Cellule_1224_4</vt:lpstr>
      <vt:lpstr>Cellule_1225_1</vt:lpstr>
      <vt:lpstr>Cellule_1225_2</vt:lpstr>
      <vt:lpstr>Cellule_1225_3</vt:lpstr>
      <vt:lpstr>Cellule_1225_4</vt:lpstr>
      <vt:lpstr>Cellule_1226_1</vt:lpstr>
      <vt:lpstr>Cellule_1226_2</vt:lpstr>
      <vt:lpstr>Cellule_1226_3</vt:lpstr>
      <vt:lpstr>Cellule_1226_4</vt:lpstr>
      <vt:lpstr>Cellule_1227_1</vt:lpstr>
      <vt:lpstr>Cellule_1227_2</vt:lpstr>
      <vt:lpstr>Cellule_1227_3</vt:lpstr>
      <vt:lpstr>Cellule_1227_4</vt:lpstr>
      <vt:lpstr>Cellule_1228_1</vt:lpstr>
      <vt:lpstr>Cellule_1228_2</vt:lpstr>
      <vt:lpstr>Cellule_1228_3</vt:lpstr>
      <vt:lpstr>Cellule_1228_4</vt:lpstr>
      <vt:lpstr>Cellule_1229_1</vt:lpstr>
      <vt:lpstr>Cellule_1229_2</vt:lpstr>
      <vt:lpstr>Cellule_1229_3</vt:lpstr>
      <vt:lpstr>Cellule_1229_4</vt:lpstr>
      <vt:lpstr>Cellule_123</vt:lpstr>
      <vt:lpstr>Cellule_1231</vt:lpstr>
      <vt:lpstr>Cellule_1232</vt:lpstr>
      <vt:lpstr>Cellule_1233</vt:lpstr>
      <vt:lpstr>Cellule_1234</vt:lpstr>
      <vt:lpstr>Cellule_1236</vt:lpstr>
      <vt:lpstr>Cellule_1237</vt:lpstr>
      <vt:lpstr>Cellule_1238</vt:lpstr>
      <vt:lpstr>Cellule_1239</vt:lpstr>
      <vt:lpstr>Cellule_124</vt:lpstr>
      <vt:lpstr>Cellule_1241</vt:lpstr>
      <vt:lpstr>Cellule_1242</vt:lpstr>
      <vt:lpstr>Cellule_1243</vt:lpstr>
      <vt:lpstr>Cellule_1244</vt:lpstr>
      <vt:lpstr>Cellule_1246</vt:lpstr>
      <vt:lpstr>Cellule_1247</vt:lpstr>
      <vt:lpstr>Cellule_1248</vt:lpstr>
      <vt:lpstr>Cellule_1249</vt:lpstr>
      <vt:lpstr>Cellule_125</vt:lpstr>
      <vt:lpstr>Cellule_1250_1</vt:lpstr>
      <vt:lpstr>Cellule_1250_2</vt:lpstr>
      <vt:lpstr>Cellule_1250_3</vt:lpstr>
      <vt:lpstr>Cellule_1250_4</vt:lpstr>
      <vt:lpstr>Cellule_1251_1</vt:lpstr>
      <vt:lpstr>Cellule_1251_2</vt:lpstr>
      <vt:lpstr>Cellule_1251_3</vt:lpstr>
      <vt:lpstr>Cellule_1251_4</vt:lpstr>
      <vt:lpstr>Cellule_1252_1</vt:lpstr>
      <vt:lpstr>Cellule_1252_2</vt:lpstr>
      <vt:lpstr>Cellule_1252_3</vt:lpstr>
      <vt:lpstr>Cellule_1252_4</vt:lpstr>
      <vt:lpstr>Cellule_1253_1</vt:lpstr>
      <vt:lpstr>Cellule_1253_2</vt:lpstr>
      <vt:lpstr>Cellule_1253_3</vt:lpstr>
      <vt:lpstr>Cellule_1253_4</vt:lpstr>
      <vt:lpstr>Cellule_1257</vt:lpstr>
      <vt:lpstr>Cellule_12597</vt:lpstr>
      <vt:lpstr>Cellule_12598</vt:lpstr>
      <vt:lpstr>Cellule_12599</vt:lpstr>
      <vt:lpstr>Cellule_126</vt:lpstr>
      <vt:lpstr>Cellule_12600</vt:lpstr>
      <vt:lpstr>Cellule_12601</vt:lpstr>
      <vt:lpstr>Cellule_12602</vt:lpstr>
      <vt:lpstr>Cellule_12603</vt:lpstr>
      <vt:lpstr>Cellule_12604</vt:lpstr>
      <vt:lpstr>Cellule_1261</vt:lpstr>
      <vt:lpstr>Cellule_1262</vt:lpstr>
      <vt:lpstr>Cellule_1263</vt:lpstr>
      <vt:lpstr>Cellule_1264</vt:lpstr>
      <vt:lpstr>Cellule_1265</vt:lpstr>
      <vt:lpstr>Cellule_1267_1</vt:lpstr>
      <vt:lpstr>Cellule_1267_2</vt:lpstr>
      <vt:lpstr>Cellule_1267_3</vt:lpstr>
      <vt:lpstr>Cellule_1267_4</vt:lpstr>
      <vt:lpstr>Cellule_1267_5</vt:lpstr>
      <vt:lpstr>Cellule_1267_6</vt:lpstr>
      <vt:lpstr>Cellule_1268_1</vt:lpstr>
      <vt:lpstr>Cellule_1268_2</vt:lpstr>
      <vt:lpstr>Cellule_1268_3</vt:lpstr>
      <vt:lpstr>Cellule_1268_4</vt:lpstr>
      <vt:lpstr>Cellule_1268_5</vt:lpstr>
      <vt:lpstr>Cellule_1268_6</vt:lpstr>
      <vt:lpstr>Cellule_1269_1</vt:lpstr>
      <vt:lpstr>Cellule_1269_2</vt:lpstr>
      <vt:lpstr>Cellule_1269_3</vt:lpstr>
      <vt:lpstr>Cellule_1269_4</vt:lpstr>
      <vt:lpstr>Cellule_1269_5</vt:lpstr>
      <vt:lpstr>Cellule_1269_6</vt:lpstr>
      <vt:lpstr>Cellule_127</vt:lpstr>
      <vt:lpstr>Cellule_1270_1</vt:lpstr>
      <vt:lpstr>Cellule_1270_2</vt:lpstr>
      <vt:lpstr>Cellule_1270_3</vt:lpstr>
      <vt:lpstr>Cellule_1270_4</vt:lpstr>
      <vt:lpstr>Cellule_1270_5</vt:lpstr>
      <vt:lpstr>Cellule_1270_6</vt:lpstr>
      <vt:lpstr>Cellule_1271_1</vt:lpstr>
      <vt:lpstr>Cellule_1271_2</vt:lpstr>
      <vt:lpstr>Cellule_1271_3</vt:lpstr>
      <vt:lpstr>Cellule_1271_4</vt:lpstr>
      <vt:lpstr>Cellule_1271_5</vt:lpstr>
      <vt:lpstr>Cellule_1271_6</vt:lpstr>
      <vt:lpstr>Cellule_1272_1</vt:lpstr>
      <vt:lpstr>Cellule_1272_2</vt:lpstr>
      <vt:lpstr>Cellule_1272_3</vt:lpstr>
      <vt:lpstr>Cellule_1272_4</vt:lpstr>
      <vt:lpstr>Cellule_1272_5</vt:lpstr>
      <vt:lpstr>Cellule_1272_6</vt:lpstr>
      <vt:lpstr>Cellule_1273_1</vt:lpstr>
      <vt:lpstr>Cellule_1273_2</vt:lpstr>
      <vt:lpstr>Cellule_1273_3</vt:lpstr>
      <vt:lpstr>Cellule_1273_4</vt:lpstr>
      <vt:lpstr>Cellule_1273_5</vt:lpstr>
      <vt:lpstr>Cellule_1273_6</vt:lpstr>
      <vt:lpstr>Cellule_1274_1</vt:lpstr>
      <vt:lpstr>Cellule_1274_2</vt:lpstr>
      <vt:lpstr>Cellule_1274_3</vt:lpstr>
      <vt:lpstr>Cellule_1274_4</vt:lpstr>
      <vt:lpstr>Cellule_1274_5</vt:lpstr>
      <vt:lpstr>Cellule_1274_6</vt:lpstr>
      <vt:lpstr>Cellule_1279</vt:lpstr>
      <vt:lpstr>Cellule_128</vt:lpstr>
      <vt:lpstr>Cellule_1280</vt:lpstr>
      <vt:lpstr>Cellule_129</vt:lpstr>
      <vt:lpstr>Cellule_130</vt:lpstr>
      <vt:lpstr>Cellule_1308</vt:lpstr>
      <vt:lpstr>Cellule_1309</vt:lpstr>
      <vt:lpstr>Cellule_131</vt:lpstr>
      <vt:lpstr>Cellule_1310</vt:lpstr>
      <vt:lpstr>Cellule_1311</vt:lpstr>
      <vt:lpstr>Cellule_1312</vt:lpstr>
      <vt:lpstr>Cellule_1313</vt:lpstr>
      <vt:lpstr>Cellule_1314</vt:lpstr>
      <vt:lpstr>Cellule_1315</vt:lpstr>
      <vt:lpstr>Cellule_1316</vt:lpstr>
      <vt:lpstr>Cellule_1317</vt:lpstr>
      <vt:lpstr>Cellule_1318</vt:lpstr>
      <vt:lpstr>Cellule_1319</vt:lpstr>
      <vt:lpstr>Cellule_132</vt:lpstr>
      <vt:lpstr>Cellule_1320</vt:lpstr>
      <vt:lpstr>Cellule_1321</vt:lpstr>
      <vt:lpstr>Cellule_1324</vt:lpstr>
      <vt:lpstr>Cellule_1325</vt:lpstr>
      <vt:lpstr>Cellule_1326</vt:lpstr>
      <vt:lpstr>Cellule_1327</vt:lpstr>
      <vt:lpstr>Cellule_1328</vt:lpstr>
      <vt:lpstr>Cellule_1329</vt:lpstr>
      <vt:lpstr>Cellule_133</vt:lpstr>
      <vt:lpstr>Cellule_1330</vt:lpstr>
      <vt:lpstr>Cellule_1331</vt:lpstr>
      <vt:lpstr>Cellule_1332</vt:lpstr>
      <vt:lpstr>Cellule_1333</vt:lpstr>
      <vt:lpstr>Cellule_13339</vt:lpstr>
      <vt:lpstr>Cellule_1334</vt:lpstr>
      <vt:lpstr>Cellule_13343</vt:lpstr>
      <vt:lpstr>Cellule_1335</vt:lpstr>
      <vt:lpstr>Cellule_1336</vt:lpstr>
      <vt:lpstr>Cellule_13368</vt:lpstr>
      <vt:lpstr>Cellule_13369</vt:lpstr>
      <vt:lpstr>Cellule_1337</vt:lpstr>
      <vt:lpstr>Cellule_13370</vt:lpstr>
      <vt:lpstr>Cellule_13371</vt:lpstr>
      <vt:lpstr>Cellule_13372</vt:lpstr>
      <vt:lpstr>Cellule_13373</vt:lpstr>
      <vt:lpstr>Cellule_13374</vt:lpstr>
      <vt:lpstr>Cellule_13375</vt:lpstr>
      <vt:lpstr>Cellule_13376</vt:lpstr>
      <vt:lpstr>Cellule_13377</vt:lpstr>
      <vt:lpstr>Cellule_13378</vt:lpstr>
      <vt:lpstr>Cellule_13379</vt:lpstr>
      <vt:lpstr>Cellule_1338</vt:lpstr>
      <vt:lpstr>Cellule_13380</vt:lpstr>
      <vt:lpstr>Cellule_13381</vt:lpstr>
      <vt:lpstr>Cellule_13382</vt:lpstr>
      <vt:lpstr>Cellule_13383</vt:lpstr>
      <vt:lpstr>Cellule_13384</vt:lpstr>
      <vt:lpstr>Cellule_13385</vt:lpstr>
      <vt:lpstr>Cellule_13386</vt:lpstr>
      <vt:lpstr>Cellule_13387</vt:lpstr>
      <vt:lpstr>Cellule_13388</vt:lpstr>
      <vt:lpstr>Cellule_13389</vt:lpstr>
      <vt:lpstr>Cellule_1339</vt:lpstr>
      <vt:lpstr>Cellule_13390</vt:lpstr>
      <vt:lpstr>Cellule_13391</vt:lpstr>
      <vt:lpstr>Cellule_13392</vt:lpstr>
      <vt:lpstr>Cellule_13393</vt:lpstr>
      <vt:lpstr>Cellule_13394</vt:lpstr>
      <vt:lpstr>Cellule_13395</vt:lpstr>
      <vt:lpstr>Cellule_13396</vt:lpstr>
      <vt:lpstr>Cellule_13397</vt:lpstr>
      <vt:lpstr>Cellule_13398</vt:lpstr>
      <vt:lpstr>Cellule_13399</vt:lpstr>
      <vt:lpstr>Cellule_134</vt:lpstr>
      <vt:lpstr>Cellule_1340</vt:lpstr>
      <vt:lpstr>Cellule_13400</vt:lpstr>
      <vt:lpstr>Cellule_13401</vt:lpstr>
      <vt:lpstr>Cellule_13402</vt:lpstr>
      <vt:lpstr>Cellule_13403</vt:lpstr>
      <vt:lpstr>Cellule_13404</vt:lpstr>
      <vt:lpstr>Cellule_13405</vt:lpstr>
      <vt:lpstr>Cellule_13406</vt:lpstr>
      <vt:lpstr>Cellule_13407</vt:lpstr>
      <vt:lpstr>Cellule_13408</vt:lpstr>
      <vt:lpstr>Cellule_13409</vt:lpstr>
      <vt:lpstr>Cellule_1341</vt:lpstr>
      <vt:lpstr>Cellule_13410</vt:lpstr>
      <vt:lpstr>Cellule_13411</vt:lpstr>
      <vt:lpstr>Cellule_13412</vt:lpstr>
      <vt:lpstr>Cellule_13413</vt:lpstr>
      <vt:lpstr>Cellule_13414</vt:lpstr>
      <vt:lpstr>Cellule_13415</vt:lpstr>
      <vt:lpstr>Cellule_13416</vt:lpstr>
      <vt:lpstr>Cellule_13417</vt:lpstr>
      <vt:lpstr>Cellule_13418</vt:lpstr>
      <vt:lpstr>Cellule_13419</vt:lpstr>
      <vt:lpstr>Cellule_1342</vt:lpstr>
      <vt:lpstr>Cellule_13420</vt:lpstr>
      <vt:lpstr>Cellule_13421</vt:lpstr>
      <vt:lpstr>Cellule_13422</vt:lpstr>
      <vt:lpstr>Cellule_13423</vt:lpstr>
      <vt:lpstr>Cellule_13424</vt:lpstr>
      <vt:lpstr>Cellule_13425</vt:lpstr>
      <vt:lpstr>Cellule_13426</vt:lpstr>
      <vt:lpstr>Cellule_13427</vt:lpstr>
      <vt:lpstr>Cellule_13428</vt:lpstr>
      <vt:lpstr>Cellule_13429</vt:lpstr>
      <vt:lpstr>Cellule_1343</vt:lpstr>
      <vt:lpstr>Cellule_13430</vt:lpstr>
      <vt:lpstr>Cellule_13431</vt:lpstr>
      <vt:lpstr>Cellule_13432</vt:lpstr>
      <vt:lpstr>Cellule_13433</vt:lpstr>
      <vt:lpstr>Cellule_13434</vt:lpstr>
      <vt:lpstr>Cellule_13435</vt:lpstr>
      <vt:lpstr>Cellule_13436</vt:lpstr>
      <vt:lpstr>Cellule_13437</vt:lpstr>
      <vt:lpstr>Cellule_13438</vt:lpstr>
      <vt:lpstr>Cellule_13439</vt:lpstr>
      <vt:lpstr>Cellule_1344</vt:lpstr>
      <vt:lpstr>Cellule_13440</vt:lpstr>
      <vt:lpstr>Cellule_13441</vt:lpstr>
      <vt:lpstr>Cellule_13442</vt:lpstr>
      <vt:lpstr>Cellule_13443</vt:lpstr>
      <vt:lpstr>Cellule_13444</vt:lpstr>
      <vt:lpstr>Cellule_13445</vt:lpstr>
      <vt:lpstr>Cellule_13446</vt:lpstr>
      <vt:lpstr>Cellule_13447</vt:lpstr>
      <vt:lpstr>Cellule_13448</vt:lpstr>
      <vt:lpstr>Cellule_13449</vt:lpstr>
      <vt:lpstr>Cellule_1345</vt:lpstr>
      <vt:lpstr>Cellule_13450</vt:lpstr>
      <vt:lpstr>Cellule_13451</vt:lpstr>
      <vt:lpstr>Cellule_13452</vt:lpstr>
      <vt:lpstr>Cellule_13453</vt:lpstr>
      <vt:lpstr>Cellule_1346</vt:lpstr>
      <vt:lpstr>Cellule_1349</vt:lpstr>
      <vt:lpstr>Cellule_135</vt:lpstr>
      <vt:lpstr>Cellule_1350</vt:lpstr>
      <vt:lpstr>Cellule_13505</vt:lpstr>
      <vt:lpstr>Cellule_13506</vt:lpstr>
      <vt:lpstr>Cellule_13507</vt:lpstr>
      <vt:lpstr>Cellule_13508</vt:lpstr>
      <vt:lpstr>Cellule_13509</vt:lpstr>
      <vt:lpstr>Cellule_1351</vt:lpstr>
      <vt:lpstr>Cellule_13510</vt:lpstr>
      <vt:lpstr>Cellule_13511</vt:lpstr>
      <vt:lpstr>Cellule_13512</vt:lpstr>
      <vt:lpstr>Cellule_13513</vt:lpstr>
      <vt:lpstr>Cellule_1352</vt:lpstr>
      <vt:lpstr>Cellule_1353</vt:lpstr>
      <vt:lpstr>Cellule_13536_1</vt:lpstr>
      <vt:lpstr>Cellule_13536_2</vt:lpstr>
      <vt:lpstr>Cellule_13536_3</vt:lpstr>
      <vt:lpstr>Cellule_13536_4</vt:lpstr>
      <vt:lpstr>Cellule_13536_5</vt:lpstr>
      <vt:lpstr>Cellule_13536_6</vt:lpstr>
      <vt:lpstr>Cellule_13537_1</vt:lpstr>
      <vt:lpstr>Cellule_13537_2</vt:lpstr>
      <vt:lpstr>Cellule_13537_3</vt:lpstr>
      <vt:lpstr>Cellule_13537_4</vt:lpstr>
      <vt:lpstr>Cellule_13537_5</vt:lpstr>
      <vt:lpstr>Cellule_13537_6</vt:lpstr>
      <vt:lpstr>Cellule_1354</vt:lpstr>
      <vt:lpstr>Cellule_1355</vt:lpstr>
      <vt:lpstr>Cellule_1356</vt:lpstr>
      <vt:lpstr>Cellule_1357</vt:lpstr>
      <vt:lpstr>Cellule_136</vt:lpstr>
      <vt:lpstr>Cellule_137</vt:lpstr>
      <vt:lpstr>Cellule_1372</vt:lpstr>
      <vt:lpstr>Cellule_1373</vt:lpstr>
      <vt:lpstr>Cellule_1374</vt:lpstr>
      <vt:lpstr>Cellule_1375</vt:lpstr>
      <vt:lpstr>Cellule_1376</vt:lpstr>
      <vt:lpstr>Cellule_1377</vt:lpstr>
      <vt:lpstr>Cellule_1378</vt:lpstr>
      <vt:lpstr>Cellule_1379</vt:lpstr>
      <vt:lpstr>Cellule_138</vt:lpstr>
      <vt:lpstr>Cellule_1380</vt:lpstr>
      <vt:lpstr>Cellule_1381</vt:lpstr>
      <vt:lpstr>Cellule_1382</vt:lpstr>
      <vt:lpstr>Cellule_1383</vt:lpstr>
      <vt:lpstr>Cellule_1384</vt:lpstr>
      <vt:lpstr>Cellule_1385</vt:lpstr>
      <vt:lpstr>Cellule_1386</vt:lpstr>
      <vt:lpstr>Cellule_1387</vt:lpstr>
      <vt:lpstr>Cellule_1388</vt:lpstr>
      <vt:lpstr>Cellule_1389</vt:lpstr>
      <vt:lpstr>Cellule_139</vt:lpstr>
      <vt:lpstr>Cellule_1390</vt:lpstr>
      <vt:lpstr>Cellule_1391</vt:lpstr>
      <vt:lpstr>Cellule_1392</vt:lpstr>
      <vt:lpstr>Cellule_1393</vt:lpstr>
      <vt:lpstr>Cellule_1394</vt:lpstr>
      <vt:lpstr>Cellule_1395</vt:lpstr>
      <vt:lpstr>Cellule_1396</vt:lpstr>
      <vt:lpstr>Cellule_1397</vt:lpstr>
      <vt:lpstr>Cellule_1398</vt:lpstr>
      <vt:lpstr>Cellule_1399</vt:lpstr>
      <vt:lpstr>Cellule_140</vt:lpstr>
      <vt:lpstr>Cellule_1401</vt:lpstr>
      <vt:lpstr>Cellule_1402</vt:lpstr>
      <vt:lpstr>Cellule_1403</vt:lpstr>
      <vt:lpstr>Cellule_1404</vt:lpstr>
      <vt:lpstr>Cellule_1405</vt:lpstr>
      <vt:lpstr>Cellule_1406</vt:lpstr>
      <vt:lpstr>Cellule_1407</vt:lpstr>
      <vt:lpstr>Cellule_1409</vt:lpstr>
      <vt:lpstr>Cellule_141</vt:lpstr>
      <vt:lpstr>Cellule_1410</vt:lpstr>
      <vt:lpstr>Cellule_1411</vt:lpstr>
      <vt:lpstr>Cellule_1412</vt:lpstr>
      <vt:lpstr>Cellule_1413</vt:lpstr>
      <vt:lpstr>Cellule_1414</vt:lpstr>
      <vt:lpstr>Cellule_1415</vt:lpstr>
      <vt:lpstr>Cellule_1417</vt:lpstr>
      <vt:lpstr>Cellule_1418</vt:lpstr>
      <vt:lpstr>Cellule_1419</vt:lpstr>
      <vt:lpstr>Cellule_142</vt:lpstr>
      <vt:lpstr>Cellule_1420</vt:lpstr>
      <vt:lpstr>Cellule_1421</vt:lpstr>
      <vt:lpstr>Cellule_1422</vt:lpstr>
      <vt:lpstr>Cellule_1423</vt:lpstr>
      <vt:lpstr>Cellule_1425</vt:lpstr>
      <vt:lpstr>Cellule_1426</vt:lpstr>
      <vt:lpstr>Cellule_1427</vt:lpstr>
      <vt:lpstr>Cellule_1428</vt:lpstr>
      <vt:lpstr>Cellule_1429</vt:lpstr>
      <vt:lpstr>Cellule_143</vt:lpstr>
      <vt:lpstr>Cellule_1430</vt:lpstr>
      <vt:lpstr>Cellule_1431</vt:lpstr>
      <vt:lpstr>Cellule_1433</vt:lpstr>
      <vt:lpstr>Cellule_1434</vt:lpstr>
      <vt:lpstr>Cellule_1435</vt:lpstr>
      <vt:lpstr>Cellule_1436</vt:lpstr>
      <vt:lpstr>Cellule_1437</vt:lpstr>
      <vt:lpstr>Cellule_1438</vt:lpstr>
      <vt:lpstr>Cellule_1439</vt:lpstr>
      <vt:lpstr>Cellule_144</vt:lpstr>
      <vt:lpstr>Cellule_1449</vt:lpstr>
      <vt:lpstr>Cellule_145</vt:lpstr>
      <vt:lpstr>Cellule_1450</vt:lpstr>
      <vt:lpstr>Cellule_1451</vt:lpstr>
      <vt:lpstr>Cellule_1452</vt:lpstr>
      <vt:lpstr>Cellule_1453</vt:lpstr>
      <vt:lpstr>Cellule_1454</vt:lpstr>
      <vt:lpstr>Cellule_1455</vt:lpstr>
      <vt:lpstr>Cellule_1457</vt:lpstr>
      <vt:lpstr>Cellule_1458</vt:lpstr>
      <vt:lpstr>Cellule_1459</vt:lpstr>
      <vt:lpstr>Cellule_146</vt:lpstr>
      <vt:lpstr>Cellule_1460</vt:lpstr>
      <vt:lpstr>Cellule_1461</vt:lpstr>
      <vt:lpstr>Cellule_1462</vt:lpstr>
      <vt:lpstr>Cellule_1463</vt:lpstr>
      <vt:lpstr>Cellule_1465</vt:lpstr>
      <vt:lpstr>Cellule_1466</vt:lpstr>
      <vt:lpstr>Cellule_1467</vt:lpstr>
      <vt:lpstr>Cellule_1468</vt:lpstr>
      <vt:lpstr>Cellule_1469</vt:lpstr>
      <vt:lpstr>Cellule_147</vt:lpstr>
      <vt:lpstr>Cellule_1470</vt:lpstr>
      <vt:lpstr>Cellule_1471</vt:lpstr>
      <vt:lpstr>Cellule_1473</vt:lpstr>
      <vt:lpstr>Cellule_1474</vt:lpstr>
      <vt:lpstr>Cellule_1475</vt:lpstr>
      <vt:lpstr>Cellule_1476</vt:lpstr>
      <vt:lpstr>Cellule_1477</vt:lpstr>
      <vt:lpstr>Cellule_1478</vt:lpstr>
      <vt:lpstr>Cellule_1479</vt:lpstr>
      <vt:lpstr>Cellule_148</vt:lpstr>
      <vt:lpstr>Cellule_1481</vt:lpstr>
      <vt:lpstr>Cellule_1482</vt:lpstr>
      <vt:lpstr>Cellule_1483</vt:lpstr>
      <vt:lpstr>Cellule_1484</vt:lpstr>
      <vt:lpstr>Cellule_1485</vt:lpstr>
      <vt:lpstr>Cellule_1486</vt:lpstr>
      <vt:lpstr>Cellule_1487</vt:lpstr>
      <vt:lpstr>Cellule_149</vt:lpstr>
      <vt:lpstr>Cellule_151</vt:lpstr>
      <vt:lpstr>Cellule_152</vt:lpstr>
      <vt:lpstr>Cellule_1521</vt:lpstr>
      <vt:lpstr>Cellule_1522</vt:lpstr>
      <vt:lpstr>Cellule_1523</vt:lpstr>
      <vt:lpstr>Cellule_1524</vt:lpstr>
      <vt:lpstr>Cellule_1525</vt:lpstr>
      <vt:lpstr>Cellule_1526</vt:lpstr>
      <vt:lpstr>Cellule_1527</vt:lpstr>
      <vt:lpstr>Cellule_1528</vt:lpstr>
      <vt:lpstr>Cellule_1529</vt:lpstr>
      <vt:lpstr>Cellule_153</vt:lpstr>
      <vt:lpstr>Cellule_1530</vt:lpstr>
      <vt:lpstr>Cellule_1531</vt:lpstr>
      <vt:lpstr>Cellule_1532</vt:lpstr>
      <vt:lpstr>Cellule_1533</vt:lpstr>
      <vt:lpstr>Cellule_1534</vt:lpstr>
      <vt:lpstr>Cellule_1535</vt:lpstr>
      <vt:lpstr>Cellule_1536</vt:lpstr>
      <vt:lpstr>Cellule_1537</vt:lpstr>
      <vt:lpstr>Cellule_1538</vt:lpstr>
      <vt:lpstr>Cellule_1539</vt:lpstr>
      <vt:lpstr>Cellule_154</vt:lpstr>
      <vt:lpstr>Cellule_1540</vt:lpstr>
      <vt:lpstr>Cellule_1541</vt:lpstr>
      <vt:lpstr>Cellule_1542</vt:lpstr>
      <vt:lpstr>Cellule_1543</vt:lpstr>
      <vt:lpstr>Cellule_1544</vt:lpstr>
      <vt:lpstr>Cellule_1545</vt:lpstr>
      <vt:lpstr>Cellule_1546</vt:lpstr>
      <vt:lpstr>Cellule_1547</vt:lpstr>
      <vt:lpstr>Cellule_1548</vt:lpstr>
      <vt:lpstr>Cellule_1549</vt:lpstr>
      <vt:lpstr>Cellule_1550</vt:lpstr>
      <vt:lpstr>Cellule_1551</vt:lpstr>
      <vt:lpstr>Cellule_1552</vt:lpstr>
      <vt:lpstr>Cellule_1553</vt:lpstr>
      <vt:lpstr>Cellule_1555</vt:lpstr>
      <vt:lpstr>Cellule_1556</vt:lpstr>
      <vt:lpstr>Cellule_1557</vt:lpstr>
      <vt:lpstr>Cellule_1558</vt:lpstr>
      <vt:lpstr>Cellule_1559</vt:lpstr>
      <vt:lpstr>Cellule_1560</vt:lpstr>
      <vt:lpstr>Cellule_1561</vt:lpstr>
      <vt:lpstr>Cellule_1562</vt:lpstr>
      <vt:lpstr>Cellule_1563</vt:lpstr>
      <vt:lpstr>Cellule_1564</vt:lpstr>
      <vt:lpstr>Cellule_1565</vt:lpstr>
      <vt:lpstr>Cellule_1566</vt:lpstr>
      <vt:lpstr>Cellule_1567</vt:lpstr>
      <vt:lpstr>Cellule_1568</vt:lpstr>
      <vt:lpstr>Cellule_1569</vt:lpstr>
      <vt:lpstr>Cellule_1570</vt:lpstr>
      <vt:lpstr>Cellule_1571</vt:lpstr>
      <vt:lpstr>Cellule_1572</vt:lpstr>
      <vt:lpstr>Cellule_1573</vt:lpstr>
      <vt:lpstr>Cellule_1574</vt:lpstr>
      <vt:lpstr>Cellule_1575</vt:lpstr>
      <vt:lpstr>Cellule_1576</vt:lpstr>
      <vt:lpstr>Cellule_1577</vt:lpstr>
      <vt:lpstr>Cellule_1578</vt:lpstr>
      <vt:lpstr>Cellule_1579</vt:lpstr>
      <vt:lpstr>Cellule_1582</vt:lpstr>
      <vt:lpstr>Cellule_1583</vt:lpstr>
      <vt:lpstr>Cellule_1584</vt:lpstr>
      <vt:lpstr>Cellule_1585</vt:lpstr>
      <vt:lpstr>Cellule_1586</vt:lpstr>
      <vt:lpstr>Cellule_1587</vt:lpstr>
      <vt:lpstr>Cellule_1588</vt:lpstr>
      <vt:lpstr>Cellule_1589</vt:lpstr>
      <vt:lpstr>Cellule_1590</vt:lpstr>
      <vt:lpstr>Cellule_1591</vt:lpstr>
      <vt:lpstr>Cellule_1592</vt:lpstr>
      <vt:lpstr>Cellule_1593</vt:lpstr>
      <vt:lpstr>Cellule_1594</vt:lpstr>
      <vt:lpstr>Cellule_1596</vt:lpstr>
      <vt:lpstr>Cellule_1597</vt:lpstr>
      <vt:lpstr>Cellule_1598</vt:lpstr>
      <vt:lpstr>Cellule_1599</vt:lpstr>
      <vt:lpstr>Cellule_160</vt:lpstr>
      <vt:lpstr>Cellule_1600</vt:lpstr>
      <vt:lpstr>Cellule_1601</vt:lpstr>
      <vt:lpstr>Cellule_1602</vt:lpstr>
      <vt:lpstr>Cellule_1604</vt:lpstr>
      <vt:lpstr>Cellule_1605</vt:lpstr>
      <vt:lpstr>Cellule_1606</vt:lpstr>
      <vt:lpstr>Cellule_1607</vt:lpstr>
      <vt:lpstr>Cellule_1608</vt:lpstr>
      <vt:lpstr>Cellule_1609</vt:lpstr>
      <vt:lpstr>Cellule_161</vt:lpstr>
      <vt:lpstr>Cellule_1610</vt:lpstr>
      <vt:lpstr>Cellule_1612</vt:lpstr>
      <vt:lpstr>Cellule_1613</vt:lpstr>
      <vt:lpstr>Cellule_1614</vt:lpstr>
      <vt:lpstr>Cellule_1615</vt:lpstr>
      <vt:lpstr>Cellule_1616</vt:lpstr>
      <vt:lpstr>Cellule_1617</vt:lpstr>
      <vt:lpstr>Cellule_1618</vt:lpstr>
      <vt:lpstr>Cellule_162</vt:lpstr>
      <vt:lpstr>Cellule_1624</vt:lpstr>
      <vt:lpstr>Cellule_1625</vt:lpstr>
      <vt:lpstr>Cellule_1626</vt:lpstr>
      <vt:lpstr>Cellule_1627</vt:lpstr>
      <vt:lpstr>Cellule_1628</vt:lpstr>
      <vt:lpstr>Cellule_1629</vt:lpstr>
      <vt:lpstr>Cellule_163</vt:lpstr>
      <vt:lpstr>Cellule_1630</vt:lpstr>
      <vt:lpstr>Cellule_1631</vt:lpstr>
      <vt:lpstr>Cellule_1632</vt:lpstr>
      <vt:lpstr>Cellule_1633</vt:lpstr>
      <vt:lpstr>Cellule_1635</vt:lpstr>
      <vt:lpstr>Cellule_1636</vt:lpstr>
      <vt:lpstr>Cellule_1637</vt:lpstr>
      <vt:lpstr>Cellule_1638</vt:lpstr>
      <vt:lpstr>Cellule_1639</vt:lpstr>
      <vt:lpstr>Cellule_164</vt:lpstr>
      <vt:lpstr>Cellule_1640</vt:lpstr>
      <vt:lpstr>Cellule_1641</vt:lpstr>
      <vt:lpstr>Cellule_1643</vt:lpstr>
      <vt:lpstr>Cellule_1644</vt:lpstr>
      <vt:lpstr>Cellule_1645</vt:lpstr>
      <vt:lpstr>Cellule_1646</vt:lpstr>
      <vt:lpstr>Cellule_1647</vt:lpstr>
      <vt:lpstr>Cellule_1648</vt:lpstr>
      <vt:lpstr>Cellule_1649</vt:lpstr>
      <vt:lpstr>Cellule_165</vt:lpstr>
      <vt:lpstr>Cellule_1650</vt:lpstr>
      <vt:lpstr>Cellule_1651</vt:lpstr>
      <vt:lpstr>Cellule_1652</vt:lpstr>
      <vt:lpstr>Cellule_1653</vt:lpstr>
      <vt:lpstr>Cellule_1654</vt:lpstr>
      <vt:lpstr>Cellule_1656</vt:lpstr>
      <vt:lpstr>Cellule_1657</vt:lpstr>
      <vt:lpstr>Cellule_1658</vt:lpstr>
      <vt:lpstr>Cellule_1659</vt:lpstr>
      <vt:lpstr>Cellule_166</vt:lpstr>
      <vt:lpstr>Cellule_1660</vt:lpstr>
      <vt:lpstr>Cellule_1661</vt:lpstr>
      <vt:lpstr>Cellule_1662</vt:lpstr>
      <vt:lpstr>Cellule_1664</vt:lpstr>
      <vt:lpstr>Cellule_1665</vt:lpstr>
      <vt:lpstr>Cellule_1666</vt:lpstr>
      <vt:lpstr>Cellule_1667</vt:lpstr>
      <vt:lpstr>Cellule_1668</vt:lpstr>
      <vt:lpstr>Cellule_1669</vt:lpstr>
      <vt:lpstr>Cellule_167</vt:lpstr>
      <vt:lpstr>Cellule_1670</vt:lpstr>
      <vt:lpstr>Cellule_1672</vt:lpstr>
      <vt:lpstr>Cellule_1673</vt:lpstr>
      <vt:lpstr>Cellule_1674</vt:lpstr>
      <vt:lpstr>Cellule_1675</vt:lpstr>
      <vt:lpstr>Cellule_1676</vt:lpstr>
      <vt:lpstr>Cellule_1677</vt:lpstr>
      <vt:lpstr>Cellule_1678</vt:lpstr>
      <vt:lpstr>Cellule_1679</vt:lpstr>
      <vt:lpstr>Cellule_168</vt:lpstr>
      <vt:lpstr>Cellule_1680</vt:lpstr>
      <vt:lpstr>Cellule_1681</vt:lpstr>
      <vt:lpstr>Cellule_1682</vt:lpstr>
      <vt:lpstr>Cellule_1683</vt:lpstr>
      <vt:lpstr>Cellule_1685</vt:lpstr>
      <vt:lpstr>Cellule_1686</vt:lpstr>
      <vt:lpstr>Cellule_1687</vt:lpstr>
      <vt:lpstr>Cellule_1688</vt:lpstr>
      <vt:lpstr>Cellule_1689</vt:lpstr>
      <vt:lpstr>Cellule_169</vt:lpstr>
      <vt:lpstr>Cellule_1690</vt:lpstr>
      <vt:lpstr>Cellule_1691</vt:lpstr>
      <vt:lpstr>Cellule_170</vt:lpstr>
      <vt:lpstr>Cellule_1700</vt:lpstr>
      <vt:lpstr>Cellule_1701</vt:lpstr>
      <vt:lpstr>Cellule_1702</vt:lpstr>
      <vt:lpstr>Cellule_1703</vt:lpstr>
      <vt:lpstr>Cellule_1704</vt:lpstr>
      <vt:lpstr>Cellule_1705</vt:lpstr>
      <vt:lpstr>Cellule_1706</vt:lpstr>
      <vt:lpstr>Cellule_1707</vt:lpstr>
      <vt:lpstr>Cellule_1708</vt:lpstr>
      <vt:lpstr>Cellule_1709</vt:lpstr>
      <vt:lpstr>Cellule_171</vt:lpstr>
      <vt:lpstr>Cellule_1710</vt:lpstr>
      <vt:lpstr>Cellule_1711</vt:lpstr>
      <vt:lpstr>Cellule_1712</vt:lpstr>
      <vt:lpstr>Cellule_1713</vt:lpstr>
      <vt:lpstr>Cellule_1714</vt:lpstr>
      <vt:lpstr>Cellule_1715</vt:lpstr>
      <vt:lpstr>Cellule_1716</vt:lpstr>
      <vt:lpstr>Cellule_1717</vt:lpstr>
      <vt:lpstr>Cellule_1718</vt:lpstr>
      <vt:lpstr>Cellule_1719</vt:lpstr>
      <vt:lpstr>Cellule_172</vt:lpstr>
      <vt:lpstr>Cellule_1720</vt:lpstr>
      <vt:lpstr>Cellule_1721</vt:lpstr>
      <vt:lpstr>Cellule_1722</vt:lpstr>
      <vt:lpstr>Cellule_1723</vt:lpstr>
      <vt:lpstr>Cellule_1724</vt:lpstr>
      <vt:lpstr>Cellule_1725</vt:lpstr>
      <vt:lpstr>Cellule_1726</vt:lpstr>
      <vt:lpstr>Cellule_1727</vt:lpstr>
      <vt:lpstr>Cellule_1728</vt:lpstr>
      <vt:lpstr>Cellule_1729</vt:lpstr>
      <vt:lpstr>Cellule_173</vt:lpstr>
      <vt:lpstr>Cellule_1730</vt:lpstr>
      <vt:lpstr>Cellule_1731</vt:lpstr>
      <vt:lpstr>Cellule_1733</vt:lpstr>
      <vt:lpstr>Cellule_1734</vt:lpstr>
      <vt:lpstr>Cellule_1736</vt:lpstr>
      <vt:lpstr>Cellule_1737</vt:lpstr>
      <vt:lpstr>Cellule_1738</vt:lpstr>
      <vt:lpstr>Cellule_1739</vt:lpstr>
      <vt:lpstr>Cellule_174</vt:lpstr>
      <vt:lpstr>Cellule_1740</vt:lpstr>
      <vt:lpstr>Cellule_1741</vt:lpstr>
      <vt:lpstr>Cellule_1742</vt:lpstr>
      <vt:lpstr>Cellule_1748</vt:lpstr>
      <vt:lpstr>Cellule_1749</vt:lpstr>
      <vt:lpstr>Cellule_175</vt:lpstr>
      <vt:lpstr>Cellule_1750</vt:lpstr>
      <vt:lpstr>Cellule_1751</vt:lpstr>
      <vt:lpstr>Cellule_1752</vt:lpstr>
      <vt:lpstr>Cellule_1753</vt:lpstr>
      <vt:lpstr>Cellule_1754</vt:lpstr>
      <vt:lpstr>Cellule_1755</vt:lpstr>
      <vt:lpstr>Cellule_1757</vt:lpstr>
      <vt:lpstr>Cellule_1758</vt:lpstr>
      <vt:lpstr>Cellule_1759</vt:lpstr>
      <vt:lpstr>Cellule_176</vt:lpstr>
      <vt:lpstr>Cellule_1760</vt:lpstr>
      <vt:lpstr>Cellule_1761</vt:lpstr>
      <vt:lpstr>Cellule_1762</vt:lpstr>
      <vt:lpstr>Cellule_1763</vt:lpstr>
      <vt:lpstr>Cellule_1764</vt:lpstr>
      <vt:lpstr>Cellule_1765</vt:lpstr>
      <vt:lpstr>Cellule_1766</vt:lpstr>
      <vt:lpstr>Cellule_1767</vt:lpstr>
      <vt:lpstr>Cellule_1769</vt:lpstr>
      <vt:lpstr>Cellule_177</vt:lpstr>
      <vt:lpstr>Cellule_1770</vt:lpstr>
      <vt:lpstr>Cellule_1771</vt:lpstr>
      <vt:lpstr>Cellule_1772</vt:lpstr>
      <vt:lpstr>Cellule_1773</vt:lpstr>
      <vt:lpstr>Cellule_1774</vt:lpstr>
      <vt:lpstr>Cellule_1775</vt:lpstr>
      <vt:lpstr>Cellule_178</vt:lpstr>
      <vt:lpstr>Cellule_1784</vt:lpstr>
      <vt:lpstr>Cellule_1785</vt:lpstr>
      <vt:lpstr>Cellule_1786</vt:lpstr>
      <vt:lpstr>Cellule_1787</vt:lpstr>
      <vt:lpstr>Cellule_1788</vt:lpstr>
      <vt:lpstr>Cellule_1789</vt:lpstr>
      <vt:lpstr>Cellule_179</vt:lpstr>
      <vt:lpstr>Cellule_1790</vt:lpstr>
      <vt:lpstr>Cellule_1791</vt:lpstr>
      <vt:lpstr>Cellule_1792</vt:lpstr>
      <vt:lpstr>Cellule_1793</vt:lpstr>
      <vt:lpstr>Cellule_1794</vt:lpstr>
      <vt:lpstr>Cellule_1795</vt:lpstr>
      <vt:lpstr>Cellule_1796</vt:lpstr>
      <vt:lpstr>Cellule_1797</vt:lpstr>
      <vt:lpstr>Cellule_1798</vt:lpstr>
      <vt:lpstr>Cellule_18</vt:lpstr>
      <vt:lpstr>Cellule_1800</vt:lpstr>
      <vt:lpstr>Cellule_1801</vt:lpstr>
      <vt:lpstr>Cellule_1802</vt:lpstr>
      <vt:lpstr>Cellule_1803</vt:lpstr>
      <vt:lpstr>Cellule_1804</vt:lpstr>
      <vt:lpstr>Cellule_1805</vt:lpstr>
      <vt:lpstr>Cellule_1806</vt:lpstr>
      <vt:lpstr>Cellule_1807</vt:lpstr>
      <vt:lpstr>Cellule_1808</vt:lpstr>
      <vt:lpstr>Cellule_1809</vt:lpstr>
      <vt:lpstr>Cellule_181</vt:lpstr>
      <vt:lpstr>Cellule_1810</vt:lpstr>
      <vt:lpstr>Cellule_1811</vt:lpstr>
      <vt:lpstr>Cellule_1812</vt:lpstr>
      <vt:lpstr>Cellule_1813</vt:lpstr>
      <vt:lpstr>Cellule_1814</vt:lpstr>
      <vt:lpstr>Cellule_1815</vt:lpstr>
      <vt:lpstr>Cellule_1816</vt:lpstr>
      <vt:lpstr>Cellule_1817</vt:lpstr>
      <vt:lpstr>Cellule_1819</vt:lpstr>
      <vt:lpstr>Cellule_182</vt:lpstr>
      <vt:lpstr>Cellule_1820</vt:lpstr>
      <vt:lpstr>Cellule_1821</vt:lpstr>
      <vt:lpstr>Cellule_1822</vt:lpstr>
      <vt:lpstr>Cellule_1823</vt:lpstr>
      <vt:lpstr>Cellule_1824</vt:lpstr>
      <vt:lpstr>Cellule_1825</vt:lpstr>
      <vt:lpstr>Cellule_1827</vt:lpstr>
      <vt:lpstr>Cellule_1828</vt:lpstr>
      <vt:lpstr>Cellule_1829</vt:lpstr>
      <vt:lpstr>Cellule_183</vt:lpstr>
      <vt:lpstr>Cellule_1830</vt:lpstr>
      <vt:lpstr>Cellule_1831</vt:lpstr>
      <vt:lpstr>Cellule_1832</vt:lpstr>
      <vt:lpstr>Cellule_1833</vt:lpstr>
      <vt:lpstr>Cellule_1834</vt:lpstr>
      <vt:lpstr>Cellule_1836</vt:lpstr>
      <vt:lpstr>Cellule_1837</vt:lpstr>
      <vt:lpstr>Cellule_1838</vt:lpstr>
      <vt:lpstr>Cellule_1839</vt:lpstr>
      <vt:lpstr>Cellule_184</vt:lpstr>
      <vt:lpstr>Cellule_1840</vt:lpstr>
      <vt:lpstr>Cellule_1841</vt:lpstr>
      <vt:lpstr>Cellule_1842</vt:lpstr>
      <vt:lpstr>Cellule_1844</vt:lpstr>
      <vt:lpstr>Cellule_1845</vt:lpstr>
      <vt:lpstr>Cellule_1846</vt:lpstr>
      <vt:lpstr>Cellule_1847</vt:lpstr>
      <vt:lpstr>Cellule_1848</vt:lpstr>
      <vt:lpstr>Cellule_1849</vt:lpstr>
      <vt:lpstr>Cellule_1850</vt:lpstr>
      <vt:lpstr>Cellule_1851</vt:lpstr>
      <vt:lpstr>Cellule_1853</vt:lpstr>
      <vt:lpstr>Cellule_1854</vt:lpstr>
      <vt:lpstr>Cellule_1855</vt:lpstr>
      <vt:lpstr>Cellule_1856</vt:lpstr>
      <vt:lpstr>Cellule_1857</vt:lpstr>
      <vt:lpstr>Cellule_1858</vt:lpstr>
      <vt:lpstr>Cellule_1859</vt:lpstr>
      <vt:lpstr>Cellule_186</vt:lpstr>
      <vt:lpstr>Cellule_1861</vt:lpstr>
      <vt:lpstr>Cellule_1862</vt:lpstr>
      <vt:lpstr>Cellule_1863</vt:lpstr>
      <vt:lpstr>Cellule_1864</vt:lpstr>
      <vt:lpstr>Cellule_1865</vt:lpstr>
      <vt:lpstr>Cellule_1866</vt:lpstr>
      <vt:lpstr>Cellule_1867</vt:lpstr>
      <vt:lpstr>Cellule_1869</vt:lpstr>
      <vt:lpstr>Cellule_187</vt:lpstr>
      <vt:lpstr>Cellule_1870</vt:lpstr>
      <vt:lpstr>Cellule_1871</vt:lpstr>
      <vt:lpstr>Cellule_1872</vt:lpstr>
      <vt:lpstr>Cellule_1873</vt:lpstr>
      <vt:lpstr>Cellule_1874</vt:lpstr>
      <vt:lpstr>Cellule_1875</vt:lpstr>
      <vt:lpstr>Cellule_1877</vt:lpstr>
      <vt:lpstr>Cellule_1878</vt:lpstr>
      <vt:lpstr>Cellule_1879</vt:lpstr>
      <vt:lpstr>Cellule_188</vt:lpstr>
      <vt:lpstr>Cellule_1880</vt:lpstr>
      <vt:lpstr>Cellule_1881</vt:lpstr>
      <vt:lpstr>Cellule_1882</vt:lpstr>
      <vt:lpstr>Cellule_1883</vt:lpstr>
      <vt:lpstr>Cellule_1884</vt:lpstr>
      <vt:lpstr>Cellule_1886</vt:lpstr>
      <vt:lpstr>Cellule_1887</vt:lpstr>
      <vt:lpstr>Cellule_1888</vt:lpstr>
      <vt:lpstr>Cellule_1889</vt:lpstr>
      <vt:lpstr>Cellule_189</vt:lpstr>
      <vt:lpstr>Cellule_1890</vt:lpstr>
      <vt:lpstr>Cellule_1891</vt:lpstr>
      <vt:lpstr>Cellule_1892</vt:lpstr>
      <vt:lpstr>Cellule_1894</vt:lpstr>
      <vt:lpstr>Cellule_1895</vt:lpstr>
      <vt:lpstr>Cellule_1896</vt:lpstr>
      <vt:lpstr>Cellule_1897</vt:lpstr>
      <vt:lpstr>Cellule_1898</vt:lpstr>
      <vt:lpstr>Cellule_1899</vt:lpstr>
      <vt:lpstr>Cellule_1900</vt:lpstr>
      <vt:lpstr>Cellule_1901</vt:lpstr>
      <vt:lpstr>Cellule_1903</vt:lpstr>
      <vt:lpstr>Cellule_1904</vt:lpstr>
      <vt:lpstr>Cellule_1905</vt:lpstr>
      <vt:lpstr>Cellule_1906</vt:lpstr>
      <vt:lpstr>Cellule_1907</vt:lpstr>
      <vt:lpstr>Cellule_1908</vt:lpstr>
      <vt:lpstr>Cellule_1909</vt:lpstr>
      <vt:lpstr>Cellule_1910</vt:lpstr>
      <vt:lpstr>Cellule_1912</vt:lpstr>
      <vt:lpstr>Cellule_1913</vt:lpstr>
      <vt:lpstr>Cellule_1914</vt:lpstr>
      <vt:lpstr>Cellule_1915</vt:lpstr>
      <vt:lpstr>Cellule_1916</vt:lpstr>
      <vt:lpstr>Cellule_1917</vt:lpstr>
      <vt:lpstr>Cellule_1918</vt:lpstr>
      <vt:lpstr>Cellule_1919</vt:lpstr>
      <vt:lpstr>Cellule_192</vt:lpstr>
      <vt:lpstr>Cellule_1921</vt:lpstr>
      <vt:lpstr>Cellule_1922</vt:lpstr>
      <vt:lpstr>Cellule_1923</vt:lpstr>
      <vt:lpstr>Cellule_1924</vt:lpstr>
      <vt:lpstr>Cellule_1925</vt:lpstr>
      <vt:lpstr>Cellule_1926</vt:lpstr>
      <vt:lpstr>Cellule_1927</vt:lpstr>
      <vt:lpstr>Cellule_1928</vt:lpstr>
      <vt:lpstr>Cellule_1929_1</vt:lpstr>
      <vt:lpstr>Cellule_1929_2</vt:lpstr>
      <vt:lpstr>Cellule_1929_3</vt:lpstr>
      <vt:lpstr>Cellule_1929_4</vt:lpstr>
      <vt:lpstr>Cellule_1929_5</vt:lpstr>
      <vt:lpstr>Cellule_1929_6</vt:lpstr>
      <vt:lpstr>Cellule_193</vt:lpstr>
      <vt:lpstr>Cellule_1930_1</vt:lpstr>
      <vt:lpstr>Cellule_1930_2</vt:lpstr>
      <vt:lpstr>Cellule_1930_3</vt:lpstr>
      <vt:lpstr>Cellule_1930_4</vt:lpstr>
      <vt:lpstr>Cellule_1930_5</vt:lpstr>
      <vt:lpstr>Cellule_1930_6</vt:lpstr>
      <vt:lpstr>Cellule_1931_1</vt:lpstr>
      <vt:lpstr>Cellule_1931_2</vt:lpstr>
      <vt:lpstr>Cellule_1931_3</vt:lpstr>
      <vt:lpstr>Cellule_1931_4</vt:lpstr>
      <vt:lpstr>Cellule_1931_5</vt:lpstr>
      <vt:lpstr>Cellule_1931_6</vt:lpstr>
      <vt:lpstr>Cellule_1932_1</vt:lpstr>
      <vt:lpstr>Cellule_1932_2</vt:lpstr>
      <vt:lpstr>Cellule_1932_3</vt:lpstr>
      <vt:lpstr>Cellule_1932_4</vt:lpstr>
      <vt:lpstr>Cellule_1932_5</vt:lpstr>
      <vt:lpstr>Cellule_1932_6</vt:lpstr>
      <vt:lpstr>Cellule_1933_1</vt:lpstr>
      <vt:lpstr>Cellule_1933_2</vt:lpstr>
      <vt:lpstr>Cellule_1933_3</vt:lpstr>
      <vt:lpstr>Cellule_1933_4</vt:lpstr>
      <vt:lpstr>Cellule_1933_5</vt:lpstr>
      <vt:lpstr>Cellule_1933_6</vt:lpstr>
      <vt:lpstr>Cellule_1934_1</vt:lpstr>
      <vt:lpstr>Cellule_1934_2</vt:lpstr>
      <vt:lpstr>Cellule_1934_3</vt:lpstr>
      <vt:lpstr>Cellule_1934_4</vt:lpstr>
      <vt:lpstr>Cellule_1934_5</vt:lpstr>
      <vt:lpstr>Cellule_1934_6</vt:lpstr>
      <vt:lpstr>Cellule_1935_1</vt:lpstr>
      <vt:lpstr>Cellule_1935_2</vt:lpstr>
      <vt:lpstr>Cellule_1935_3</vt:lpstr>
      <vt:lpstr>Cellule_1935_4</vt:lpstr>
      <vt:lpstr>Cellule_1935_5</vt:lpstr>
      <vt:lpstr>Cellule_1935_6</vt:lpstr>
      <vt:lpstr>Cellule_1936_1</vt:lpstr>
      <vt:lpstr>Cellule_1936_2</vt:lpstr>
      <vt:lpstr>Cellule_1936_3</vt:lpstr>
      <vt:lpstr>Cellule_1936_4</vt:lpstr>
      <vt:lpstr>Cellule_1936_5</vt:lpstr>
      <vt:lpstr>Cellule_1936_6</vt:lpstr>
      <vt:lpstr>Cellule_194</vt:lpstr>
      <vt:lpstr>Cellule_195</vt:lpstr>
      <vt:lpstr>Cellule_196</vt:lpstr>
      <vt:lpstr>Cellule_1963</vt:lpstr>
      <vt:lpstr>Cellule_1964</vt:lpstr>
      <vt:lpstr>Cellule_1965</vt:lpstr>
      <vt:lpstr>Cellule_1966</vt:lpstr>
      <vt:lpstr>Cellule_1967</vt:lpstr>
      <vt:lpstr>Cellule_1968</vt:lpstr>
      <vt:lpstr>Cellule_1969</vt:lpstr>
      <vt:lpstr>Cellule_197</vt:lpstr>
      <vt:lpstr>Cellule_1970</vt:lpstr>
      <vt:lpstr>Cellule_1971</vt:lpstr>
      <vt:lpstr>Cellule_1972</vt:lpstr>
      <vt:lpstr>Cellule_1973</vt:lpstr>
      <vt:lpstr>Cellule_1974</vt:lpstr>
      <vt:lpstr>Cellule_1975</vt:lpstr>
      <vt:lpstr>Cellule_1976</vt:lpstr>
      <vt:lpstr>Cellule_1977</vt:lpstr>
      <vt:lpstr>Cellule_1978</vt:lpstr>
      <vt:lpstr>Cellule_1979</vt:lpstr>
      <vt:lpstr>Cellule_198</vt:lpstr>
      <vt:lpstr>Cellule_1980</vt:lpstr>
      <vt:lpstr>Cellule_1981</vt:lpstr>
      <vt:lpstr>Cellule_1982</vt:lpstr>
      <vt:lpstr>Cellule_1983</vt:lpstr>
      <vt:lpstr>Cellule_1984</vt:lpstr>
      <vt:lpstr>Cellule_1985</vt:lpstr>
      <vt:lpstr>Cellule_1986</vt:lpstr>
      <vt:lpstr>Cellule_1987</vt:lpstr>
      <vt:lpstr>Cellule_1988</vt:lpstr>
      <vt:lpstr>Cellule_1989</vt:lpstr>
      <vt:lpstr>Cellule_199</vt:lpstr>
      <vt:lpstr>Cellule_1990</vt:lpstr>
      <vt:lpstr>Cellule_1991</vt:lpstr>
      <vt:lpstr>Cellule_1992</vt:lpstr>
      <vt:lpstr>Cellule_1993</vt:lpstr>
      <vt:lpstr>Cellule_1994</vt:lpstr>
      <vt:lpstr>Cellule_1995</vt:lpstr>
      <vt:lpstr>Cellule_1996</vt:lpstr>
      <vt:lpstr>Cellule_1997</vt:lpstr>
      <vt:lpstr>Cellule_1998</vt:lpstr>
      <vt:lpstr>Cellule_1999</vt:lpstr>
      <vt:lpstr>Cellule_2000</vt:lpstr>
      <vt:lpstr>Cellule_2001</vt:lpstr>
      <vt:lpstr>Cellule_2002</vt:lpstr>
      <vt:lpstr>Cellule_2003</vt:lpstr>
      <vt:lpstr>Cellule_2004</vt:lpstr>
      <vt:lpstr>Cellule_2005</vt:lpstr>
      <vt:lpstr>Cellule_2006</vt:lpstr>
      <vt:lpstr>Cellule_2007</vt:lpstr>
      <vt:lpstr>Cellule_2008</vt:lpstr>
      <vt:lpstr>Cellule_2009</vt:lpstr>
      <vt:lpstr>Cellule_2010</vt:lpstr>
      <vt:lpstr>Cellule_2011</vt:lpstr>
      <vt:lpstr>Cellule_2012</vt:lpstr>
      <vt:lpstr>Cellule_2013</vt:lpstr>
      <vt:lpstr>Cellule_2014</vt:lpstr>
      <vt:lpstr>Cellule_2022</vt:lpstr>
      <vt:lpstr>Cellule_2024</vt:lpstr>
      <vt:lpstr>Cellule_2025</vt:lpstr>
      <vt:lpstr>Cellule_2026</vt:lpstr>
      <vt:lpstr>Cellule_2027</vt:lpstr>
      <vt:lpstr>Cellule_2028</vt:lpstr>
      <vt:lpstr>Cellule_2029</vt:lpstr>
      <vt:lpstr>Cellule_2031</vt:lpstr>
      <vt:lpstr>Cellule_2032</vt:lpstr>
      <vt:lpstr>Cellule_2033</vt:lpstr>
      <vt:lpstr>Cellule_2034</vt:lpstr>
      <vt:lpstr>Cellule_2035</vt:lpstr>
      <vt:lpstr>Cellule_2037</vt:lpstr>
      <vt:lpstr>Cellule_2038</vt:lpstr>
      <vt:lpstr>Cellule_2039</vt:lpstr>
      <vt:lpstr>Cellule_2040</vt:lpstr>
      <vt:lpstr>Cellule_2041</vt:lpstr>
      <vt:lpstr>Cellule_2042</vt:lpstr>
      <vt:lpstr>Cellule_2043</vt:lpstr>
      <vt:lpstr>Cellule_2044_1</vt:lpstr>
      <vt:lpstr>Cellule_2044_2</vt:lpstr>
      <vt:lpstr>Cellule_2044_3</vt:lpstr>
      <vt:lpstr>Cellule_2044_4</vt:lpstr>
      <vt:lpstr>Cellule_2045_1</vt:lpstr>
      <vt:lpstr>Cellule_2045_2</vt:lpstr>
      <vt:lpstr>Cellule_2045_3</vt:lpstr>
      <vt:lpstr>Cellule_2045_4</vt:lpstr>
      <vt:lpstr>Cellule_2046_1</vt:lpstr>
      <vt:lpstr>Cellule_2046_2</vt:lpstr>
      <vt:lpstr>Cellule_2046_3</vt:lpstr>
      <vt:lpstr>Cellule_2046_4</vt:lpstr>
      <vt:lpstr>Cellule_2047_1</vt:lpstr>
      <vt:lpstr>Cellule_2047_2</vt:lpstr>
      <vt:lpstr>Cellule_2047_3</vt:lpstr>
      <vt:lpstr>Cellule_2047_4</vt:lpstr>
      <vt:lpstr>Cellule_2048_1</vt:lpstr>
      <vt:lpstr>Cellule_2048_2</vt:lpstr>
      <vt:lpstr>Cellule_2048_3</vt:lpstr>
      <vt:lpstr>Cellule_2048_4</vt:lpstr>
      <vt:lpstr>Cellule_2049_1</vt:lpstr>
      <vt:lpstr>Cellule_2049_2</vt:lpstr>
      <vt:lpstr>Cellule_2049_3</vt:lpstr>
      <vt:lpstr>Cellule_2049_4</vt:lpstr>
      <vt:lpstr>Cellule_2050_1</vt:lpstr>
      <vt:lpstr>Cellule_2050_2</vt:lpstr>
      <vt:lpstr>Cellule_2050_3</vt:lpstr>
      <vt:lpstr>Cellule_2050_4</vt:lpstr>
      <vt:lpstr>Cellule_2051_1</vt:lpstr>
      <vt:lpstr>Cellule_2051_2</vt:lpstr>
      <vt:lpstr>Cellule_2051_3</vt:lpstr>
      <vt:lpstr>Cellule_2051_4</vt:lpstr>
      <vt:lpstr>Cellule_2052_1</vt:lpstr>
      <vt:lpstr>Cellule_2052_2</vt:lpstr>
      <vt:lpstr>Cellule_2052_3</vt:lpstr>
      <vt:lpstr>Cellule_2052_4</vt:lpstr>
      <vt:lpstr>Cellule_2053_1</vt:lpstr>
      <vt:lpstr>Cellule_2053_2</vt:lpstr>
      <vt:lpstr>Cellule_2053_3</vt:lpstr>
      <vt:lpstr>Cellule_2053_4</vt:lpstr>
      <vt:lpstr>Cellule_2055</vt:lpstr>
      <vt:lpstr>Cellule_2056</vt:lpstr>
      <vt:lpstr>Cellule_2057</vt:lpstr>
      <vt:lpstr>Cellule_2058</vt:lpstr>
      <vt:lpstr>Cellule_2059</vt:lpstr>
      <vt:lpstr>Cellule_2060</vt:lpstr>
      <vt:lpstr>Cellule_2061</vt:lpstr>
      <vt:lpstr>Cellule_2062</vt:lpstr>
      <vt:lpstr>Cellule_2063</vt:lpstr>
      <vt:lpstr>Cellule_2065</vt:lpstr>
      <vt:lpstr>Cellule_2066</vt:lpstr>
      <vt:lpstr>Cellule_2067</vt:lpstr>
      <vt:lpstr>Cellule_2068</vt:lpstr>
      <vt:lpstr>Cellule_207</vt:lpstr>
      <vt:lpstr>Cellule_2070</vt:lpstr>
      <vt:lpstr>Cellule_2071</vt:lpstr>
      <vt:lpstr>Cellule_2072</vt:lpstr>
      <vt:lpstr>Cellule_2073</vt:lpstr>
      <vt:lpstr>Cellule_2075</vt:lpstr>
      <vt:lpstr>Cellule_2076</vt:lpstr>
      <vt:lpstr>Cellule_2077</vt:lpstr>
      <vt:lpstr>Cellule_2078</vt:lpstr>
      <vt:lpstr>Cellule_208</vt:lpstr>
      <vt:lpstr>Cellule_2080</vt:lpstr>
      <vt:lpstr>Cellule_2081</vt:lpstr>
      <vt:lpstr>Cellule_2082</vt:lpstr>
      <vt:lpstr>Cellule_2083</vt:lpstr>
      <vt:lpstr>Cellule_2085</vt:lpstr>
      <vt:lpstr>Cellule_2086</vt:lpstr>
      <vt:lpstr>Cellule_2087</vt:lpstr>
      <vt:lpstr>Cellule_2088</vt:lpstr>
      <vt:lpstr>Cellule_209</vt:lpstr>
      <vt:lpstr>Cellule_2094_1</vt:lpstr>
      <vt:lpstr>Cellule_2094_2</vt:lpstr>
      <vt:lpstr>Cellule_2094_3</vt:lpstr>
      <vt:lpstr>Cellule_2094_4</vt:lpstr>
      <vt:lpstr>Cellule_2094_5</vt:lpstr>
      <vt:lpstr>Cellule_2094_6</vt:lpstr>
      <vt:lpstr>Cellule_2095_1</vt:lpstr>
      <vt:lpstr>Cellule_2095_2</vt:lpstr>
      <vt:lpstr>Cellule_2095_3</vt:lpstr>
      <vt:lpstr>Cellule_2095_4</vt:lpstr>
      <vt:lpstr>Cellule_2095_5</vt:lpstr>
      <vt:lpstr>Cellule_2095_6</vt:lpstr>
      <vt:lpstr>Cellule_2096_1</vt:lpstr>
      <vt:lpstr>Cellule_2096_2</vt:lpstr>
      <vt:lpstr>Cellule_2096_3</vt:lpstr>
      <vt:lpstr>Cellule_2096_4</vt:lpstr>
      <vt:lpstr>Cellule_2096_5</vt:lpstr>
      <vt:lpstr>Cellule_2096_6</vt:lpstr>
      <vt:lpstr>Cellule_2097_1</vt:lpstr>
      <vt:lpstr>Cellule_2097_2</vt:lpstr>
      <vt:lpstr>Cellule_2097_3</vt:lpstr>
      <vt:lpstr>Cellule_2097_4</vt:lpstr>
      <vt:lpstr>Cellule_2097_5</vt:lpstr>
      <vt:lpstr>Cellule_2097_6</vt:lpstr>
      <vt:lpstr>Cellule_2098_1</vt:lpstr>
      <vt:lpstr>Cellule_2098_2</vt:lpstr>
      <vt:lpstr>Cellule_2098_3</vt:lpstr>
      <vt:lpstr>Cellule_2098_4</vt:lpstr>
      <vt:lpstr>Cellule_2098_5</vt:lpstr>
      <vt:lpstr>Cellule_2098_6</vt:lpstr>
      <vt:lpstr>Cellule_2099_1</vt:lpstr>
      <vt:lpstr>Cellule_2099_2</vt:lpstr>
      <vt:lpstr>Cellule_2099_3</vt:lpstr>
      <vt:lpstr>Cellule_2099_4</vt:lpstr>
      <vt:lpstr>Cellule_2099_5</vt:lpstr>
      <vt:lpstr>Cellule_2099_6</vt:lpstr>
      <vt:lpstr>Cellule_210</vt:lpstr>
      <vt:lpstr>Cellule_2100_1</vt:lpstr>
      <vt:lpstr>Cellule_2100_2</vt:lpstr>
      <vt:lpstr>Cellule_2100_3</vt:lpstr>
      <vt:lpstr>Cellule_2100_4</vt:lpstr>
      <vt:lpstr>Cellule_2100_5</vt:lpstr>
      <vt:lpstr>Cellule_2100_6</vt:lpstr>
      <vt:lpstr>Cellule_2101_1</vt:lpstr>
      <vt:lpstr>Cellule_2101_2</vt:lpstr>
      <vt:lpstr>Cellule_2101_3</vt:lpstr>
      <vt:lpstr>Cellule_2101_4</vt:lpstr>
      <vt:lpstr>Cellule_2101_5</vt:lpstr>
      <vt:lpstr>Cellule_2101_6</vt:lpstr>
      <vt:lpstr>Cellule_211</vt:lpstr>
      <vt:lpstr>Cellule_212</vt:lpstr>
      <vt:lpstr>Cellule_213</vt:lpstr>
      <vt:lpstr>Cellule_214</vt:lpstr>
      <vt:lpstr>Cellule_215</vt:lpstr>
      <vt:lpstr>Cellule_216</vt:lpstr>
      <vt:lpstr>Cellule_217</vt:lpstr>
      <vt:lpstr>Cellule_218</vt:lpstr>
      <vt:lpstr>Cellule_219</vt:lpstr>
      <vt:lpstr>Cellule_22</vt:lpstr>
      <vt:lpstr>Cellule_220</vt:lpstr>
      <vt:lpstr>Cellule_221</vt:lpstr>
      <vt:lpstr>Cellule_222</vt:lpstr>
      <vt:lpstr>Cellule_223</vt:lpstr>
      <vt:lpstr>Cellule_224</vt:lpstr>
      <vt:lpstr>Cellule_225</vt:lpstr>
      <vt:lpstr>Cellule_226</vt:lpstr>
      <vt:lpstr>Cellule_227</vt:lpstr>
      <vt:lpstr>Cellule_228</vt:lpstr>
      <vt:lpstr>Cellule_229</vt:lpstr>
      <vt:lpstr>Cellule_230</vt:lpstr>
      <vt:lpstr>Cellule_231</vt:lpstr>
      <vt:lpstr>Cellule_232</vt:lpstr>
      <vt:lpstr>Cellule_233</vt:lpstr>
      <vt:lpstr>Cellule_234</vt:lpstr>
      <vt:lpstr>Cellule_238</vt:lpstr>
      <vt:lpstr>Cellule_239</vt:lpstr>
      <vt:lpstr>Cellule_240</vt:lpstr>
      <vt:lpstr>Cellule_241</vt:lpstr>
      <vt:lpstr>Cellule_242</vt:lpstr>
      <vt:lpstr>Cellule_243</vt:lpstr>
      <vt:lpstr>Cellule_244</vt:lpstr>
      <vt:lpstr>Cellule_245</vt:lpstr>
      <vt:lpstr>Cellule_246</vt:lpstr>
      <vt:lpstr>Cellule_247</vt:lpstr>
      <vt:lpstr>Cellule_248</vt:lpstr>
      <vt:lpstr>Cellule_249</vt:lpstr>
      <vt:lpstr>Cellule_254</vt:lpstr>
      <vt:lpstr>Cellule_255</vt:lpstr>
      <vt:lpstr>Cellule_256</vt:lpstr>
      <vt:lpstr>Cellule_257</vt:lpstr>
      <vt:lpstr>Cellule_258</vt:lpstr>
      <vt:lpstr>Cellule_259</vt:lpstr>
      <vt:lpstr>Cellule_260</vt:lpstr>
      <vt:lpstr>Cellule_261</vt:lpstr>
      <vt:lpstr>Cellule_262</vt:lpstr>
      <vt:lpstr>Cellule_263</vt:lpstr>
      <vt:lpstr>Cellule_264</vt:lpstr>
      <vt:lpstr>Cellule_265</vt:lpstr>
      <vt:lpstr>Cellule_266</vt:lpstr>
      <vt:lpstr>Cellule_267</vt:lpstr>
      <vt:lpstr>Cellule_268</vt:lpstr>
      <vt:lpstr>Cellule_269</vt:lpstr>
      <vt:lpstr>Cellule_274</vt:lpstr>
      <vt:lpstr>Cellule_275</vt:lpstr>
      <vt:lpstr>Cellule_276</vt:lpstr>
      <vt:lpstr>Cellule_277</vt:lpstr>
      <vt:lpstr>Cellule_278</vt:lpstr>
      <vt:lpstr>Cellule_279</vt:lpstr>
      <vt:lpstr>Cellule_280</vt:lpstr>
      <vt:lpstr>Cellule_281</vt:lpstr>
      <vt:lpstr>Cellule_282</vt:lpstr>
      <vt:lpstr>Cellule_283</vt:lpstr>
      <vt:lpstr>Cellule_284</vt:lpstr>
      <vt:lpstr>Cellule_285</vt:lpstr>
      <vt:lpstr>Cellule_286</vt:lpstr>
      <vt:lpstr>Cellule_287</vt:lpstr>
      <vt:lpstr>Cellule_288</vt:lpstr>
      <vt:lpstr>Cellule_289</vt:lpstr>
      <vt:lpstr>Cellule_291</vt:lpstr>
      <vt:lpstr>Cellule_292</vt:lpstr>
      <vt:lpstr>Cellule_293</vt:lpstr>
      <vt:lpstr>Cellule_294</vt:lpstr>
      <vt:lpstr>Cellule_296</vt:lpstr>
      <vt:lpstr>Cellule_297</vt:lpstr>
      <vt:lpstr>Cellule_298</vt:lpstr>
      <vt:lpstr>Cellule_299</vt:lpstr>
      <vt:lpstr>Cellule_303</vt:lpstr>
      <vt:lpstr>Cellule_304</vt:lpstr>
      <vt:lpstr>Cellule_305</vt:lpstr>
      <vt:lpstr>Cellule_306</vt:lpstr>
      <vt:lpstr>Cellule_307</vt:lpstr>
      <vt:lpstr>Cellule_308</vt:lpstr>
      <vt:lpstr>Cellule_309</vt:lpstr>
      <vt:lpstr>Cellule_310</vt:lpstr>
      <vt:lpstr>Cellule_311</vt:lpstr>
      <vt:lpstr>Cellule_312</vt:lpstr>
      <vt:lpstr>Cellule_313</vt:lpstr>
      <vt:lpstr>Cellule_314</vt:lpstr>
      <vt:lpstr>Cellule_316</vt:lpstr>
      <vt:lpstr>Cellule_317</vt:lpstr>
      <vt:lpstr>Cellule_318</vt:lpstr>
      <vt:lpstr>Cellule_319</vt:lpstr>
      <vt:lpstr>Cellule_330</vt:lpstr>
      <vt:lpstr>Cellule_4063</vt:lpstr>
      <vt:lpstr>Cellule_4064</vt:lpstr>
      <vt:lpstr>Cellule_4066</vt:lpstr>
      <vt:lpstr>Cellule_4067</vt:lpstr>
      <vt:lpstr>Cellule_471</vt:lpstr>
      <vt:lpstr>Cellule_473</vt:lpstr>
      <vt:lpstr>Cellule_475</vt:lpstr>
      <vt:lpstr>Cellule_477</vt:lpstr>
      <vt:lpstr>Cellule_479</vt:lpstr>
      <vt:lpstr>Cellule_481</vt:lpstr>
      <vt:lpstr>Cellule_483</vt:lpstr>
      <vt:lpstr>Cellule_485</vt:lpstr>
      <vt:lpstr>Cellule_487</vt:lpstr>
      <vt:lpstr>Cellule_489</vt:lpstr>
      <vt:lpstr>Cellule_491</vt:lpstr>
      <vt:lpstr>Cellule_493</vt:lpstr>
      <vt:lpstr>Cellule_495</vt:lpstr>
      <vt:lpstr>Cellule_497</vt:lpstr>
      <vt:lpstr>Cellule_498</vt:lpstr>
      <vt:lpstr>Cellule_499</vt:lpstr>
      <vt:lpstr>Cellule_50</vt:lpstr>
      <vt:lpstr>Cellule_500</vt:lpstr>
      <vt:lpstr>Cellule_502</vt:lpstr>
      <vt:lpstr>Cellule_503</vt:lpstr>
      <vt:lpstr>Cellule_504</vt:lpstr>
      <vt:lpstr>Cellule_505</vt:lpstr>
      <vt:lpstr>Cellule_507</vt:lpstr>
      <vt:lpstr>Cellule_508</vt:lpstr>
      <vt:lpstr>Cellule_509</vt:lpstr>
      <vt:lpstr>Cellule_51</vt:lpstr>
      <vt:lpstr>Cellule_510</vt:lpstr>
      <vt:lpstr>Cellule_512</vt:lpstr>
      <vt:lpstr>Cellule_513</vt:lpstr>
      <vt:lpstr>Cellule_514</vt:lpstr>
      <vt:lpstr>Cellule_515</vt:lpstr>
      <vt:lpstr>Cellule_517</vt:lpstr>
      <vt:lpstr>Cellule_518</vt:lpstr>
      <vt:lpstr>Cellule_519</vt:lpstr>
      <vt:lpstr>Cellule_52</vt:lpstr>
      <vt:lpstr>Cellule_520</vt:lpstr>
      <vt:lpstr>Cellule_522</vt:lpstr>
      <vt:lpstr>Cellule_523</vt:lpstr>
      <vt:lpstr>Cellule_524</vt:lpstr>
      <vt:lpstr>Cellule_525</vt:lpstr>
      <vt:lpstr>Cellule_527</vt:lpstr>
      <vt:lpstr>Cellule_528</vt:lpstr>
      <vt:lpstr>Cellule_529</vt:lpstr>
      <vt:lpstr>Cellule_53</vt:lpstr>
      <vt:lpstr>Cellule_530</vt:lpstr>
      <vt:lpstr>Cellule_532</vt:lpstr>
      <vt:lpstr>Cellule_533</vt:lpstr>
      <vt:lpstr>Cellule_534</vt:lpstr>
      <vt:lpstr>Cellule_535</vt:lpstr>
      <vt:lpstr>Cellule_54</vt:lpstr>
      <vt:lpstr>Cellule_55</vt:lpstr>
      <vt:lpstr>Cellule_6872</vt:lpstr>
      <vt:lpstr>Cellule_6873</vt:lpstr>
      <vt:lpstr>Cellule_6874</vt:lpstr>
      <vt:lpstr>Cellule_6875</vt:lpstr>
      <vt:lpstr>Cellule_70</vt:lpstr>
      <vt:lpstr>Cellule_71</vt:lpstr>
      <vt:lpstr>Cellule_72</vt:lpstr>
      <vt:lpstr>Cellule_7830_1</vt:lpstr>
      <vt:lpstr>Cellule_7830_2</vt:lpstr>
      <vt:lpstr>Cellule_7830_3</vt:lpstr>
      <vt:lpstr>Cellule_7830_4</vt:lpstr>
      <vt:lpstr>Cellule_7830_5</vt:lpstr>
      <vt:lpstr>Cellule_7830_6</vt:lpstr>
      <vt:lpstr>Cellule_817</vt:lpstr>
      <vt:lpstr>Cellule_818</vt:lpstr>
      <vt:lpstr>Cellule_819</vt:lpstr>
      <vt:lpstr>Cellule_820</vt:lpstr>
      <vt:lpstr>Cellule_821_1</vt:lpstr>
      <vt:lpstr>Cellule_821_2</vt:lpstr>
      <vt:lpstr>Cellule_821_3</vt:lpstr>
      <vt:lpstr>Cellule_821_4</vt:lpstr>
      <vt:lpstr>Cellule_821_5</vt:lpstr>
      <vt:lpstr>Cellule_821_6</vt:lpstr>
      <vt:lpstr>Cellule_822_1</vt:lpstr>
      <vt:lpstr>Cellule_822_2</vt:lpstr>
      <vt:lpstr>Cellule_822_3</vt:lpstr>
      <vt:lpstr>Cellule_822_4</vt:lpstr>
      <vt:lpstr>Cellule_822_5</vt:lpstr>
      <vt:lpstr>Cellule_822_6</vt:lpstr>
      <vt:lpstr>Cellule_823_1</vt:lpstr>
      <vt:lpstr>Cellule_823_2</vt:lpstr>
      <vt:lpstr>Cellule_823_3</vt:lpstr>
      <vt:lpstr>Cellule_823_4</vt:lpstr>
      <vt:lpstr>Cellule_823_5</vt:lpstr>
      <vt:lpstr>Cellule_823_6</vt:lpstr>
      <vt:lpstr>Cellule_824_1</vt:lpstr>
      <vt:lpstr>Cellule_824_2</vt:lpstr>
      <vt:lpstr>Cellule_824_3</vt:lpstr>
      <vt:lpstr>Cellule_824_4</vt:lpstr>
      <vt:lpstr>Cellule_824_5</vt:lpstr>
      <vt:lpstr>Cellule_824_6</vt:lpstr>
      <vt:lpstr>Cellule_825_1</vt:lpstr>
      <vt:lpstr>Cellule_825_2</vt:lpstr>
      <vt:lpstr>Cellule_825_3</vt:lpstr>
      <vt:lpstr>Cellule_825_4</vt:lpstr>
      <vt:lpstr>Cellule_825_5</vt:lpstr>
      <vt:lpstr>Cellule_825_6</vt:lpstr>
      <vt:lpstr>Cellule_826_1</vt:lpstr>
      <vt:lpstr>Cellule_826_2</vt:lpstr>
      <vt:lpstr>Cellule_826_3</vt:lpstr>
      <vt:lpstr>Cellule_826_4</vt:lpstr>
      <vt:lpstr>Cellule_826_5</vt:lpstr>
      <vt:lpstr>Cellule_826_6</vt:lpstr>
      <vt:lpstr>Cellule_827_1</vt:lpstr>
      <vt:lpstr>Cellule_827_2</vt:lpstr>
      <vt:lpstr>Cellule_827_3</vt:lpstr>
      <vt:lpstr>Cellule_827_4</vt:lpstr>
      <vt:lpstr>Cellule_827_5</vt:lpstr>
      <vt:lpstr>Cellule_827_6</vt:lpstr>
      <vt:lpstr>Cellule_828_1</vt:lpstr>
      <vt:lpstr>Cellule_828_2</vt:lpstr>
      <vt:lpstr>Cellule_828_3</vt:lpstr>
      <vt:lpstr>Cellule_828_4</vt:lpstr>
      <vt:lpstr>Cellule_828_5</vt:lpstr>
      <vt:lpstr>Cellule_828_6</vt:lpstr>
      <vt:lpstr>Cellule_829_1</vt:lpstr>
      <vt:lpstr>Cellule_829_2</vt:lpstr>
      <vt:lpstr>Cellule_829_3</vt:lpstr>
      <vt:lpstr>Cellule_829_4</vt:lpstr>
      <vt:lpstr>Cellule_829_5</vt:lpstr>
      <vt:lpstr>Cellule_829_6</vt:lpstr>
      <vt:lpstr>Cellule_830_1</vt:lpstr>
      <vt:lpstr>Cellule_830_2</vt:lpstr>
      <vt:lpstr>Cellule_830_3</vt:lpstr>
      <vt:lpstr>Cellule_830_4</vt:lpstr>
      <vt:lpstr>Cellule_830_5</vt:lpstr>
      <vt:lpstr>Cellule_830_6</vt:lpstr>
      <vt:lpstr>Cellule_831_1</vt:lpstr>
      <vt:lpstr>Cellule_831_2</vt:lpstr>
      <vt:lpstr>Cellule_831_3</vt:lpstr>
      <vt:lpstr>Cellule_831_4</vt:lpstr>
      <vt:lpstr>Cellule_831_5</vt:lpstr>
      <vt:lpstr>Cellule_831_6</vt:lpstr>
      <vt:lpstr>Cellule_833</vt:lpstr>
      <vt:lpstr>Cellule_834</vt:lpstr>
      <vt:lpstr>Cellule_837</vt:lpstr>
      <vt:lpstr>Cellule_838</vt:lpstr>
      <vt:lpstr>Cellule_839</vt:lpstr>
      <vt:lpstr>Cellule_840</vt:lpstr>
      <vt:lpstr>Cellule_845</vt:lpstr>
      <vt:lpstr>Cellule_846</vt:lpstr>
      <vt:lpstr>Cellule_847</vt:lpstr>
      <vt:lpstr>Cellule_848</vt:lpstr>
      <vt:lpstr>Cellule_849</vt:lpstr>
      <vt:lpstr>Cellule_850</vt:lpstr>
      <vt:lpstr>Cellule_851</vt:lpstr>
      <vt:lpstr>Cellule_852</vt:lpstr>
      <vt:lpstr>Cellule_854</vt:lpstr>
      <vt:lpstr>Cellule_855</vt:lpstr>
      <vt:lpstr>Cellule_860</vt:lpstr>
      <vt:lpstr>Cellule_861</vt:lpstr>
      <vt:lpstr>Cellule_863</vt:lpstr>
      <vt:lpstr>Cellule_864</vt:lpstr>
      <vt:lpstr>Cellule_865</vt:lpstr>
      <vt:lpstr>Cellule_866</vt:lpstr>
      <vt:lpstr>Cellule_867</vt:lpstr>
      <vt:lpstr>Cellule_873</vt:lpstr>
      <vt:lpstr>Cellule_874</vt:lpstr>
      <vt:lpstr>Cellule_875</vt:lpstr>
      <vt:lpstr>Cellule_877</vt:lpstr>
      <vt:lpstr>Cellule_878</vt:lpstr>
      <vt:lpstr>Cellule_879</vt:lpstr>
      <vt:lpstr>Cellule_881</vt:lpstr>
      <vt:lpstr>Cellule_882</vt:lpstr>
      <vt:lpstr>Cellule_883</vt:lpstr>
      <vt:lpstr>Cellule_885</vt:lpstr>
      <vt:lpstr>Cellule_886</vt:lpstr>
      <vt:lpstr>Cellule_887</vt:lpstr>
      <vt:lpstr>Cellule_893</vt:lpstr>
      <vt:lpstr>Cellule_894</vt:lpstr>
      <vt:lpstr>Cellule_895</vt:lpstr>
      <vt:lpstr>Cellule_897</vt:lpstr>
      <vt:lpstr>Cellule_898</vt:lpstr>
      <vt:lpstr>Cellule_899</vt:lpstr>
      <vt:lpstr>Cellule_901</vt:lpstr>
      <vt:lpstr>Cellule_902</vt:lpstr>
      <vt:lpstr>Cellule_903</vt:lpstr>
      <vt:lpstr>Cellule_905</vt:lpstr>
      <vt:lpstr>Cellule_906</vt:lpstr>
      <vt:lpstr>Cellule_907</vt:lpstr>
      <vt:lpstr>Cellule_909</vt:lpstr>
      <vt:lpstr>Cellule_910</vt:lpstr>
      <vt:lpstr>Cellule_911</vt:lpstr>
      <vt:lpstr>Cellule_921</vt:lpstr>
      <vt:lpstr>Cellule_922</vt:lpstr>
      <vt:lpstr>Cellule_923</vt:lpstr>
      <vt:lpstr>Cellule_925</vt:lpstr>
      <vt:lpstr>Cellule_926</vt:lpstr>
      <vt:lpstr>Cellule_927</vt:lpstr>
      <vt:lpstr>Cellule_929</vt:lpstr>
      <vt:lpstr>Cellule_930</vt:lpstr>
      <vt:lpstr>Cellule_931</vt:lpstr>
      <vt:lpstr>Cellule_933</vt:lpstr>
      <vt:lpstr>Cellule_934</vt:lpstr>
      <vt:lpstr>Cellule_935</vt:lpstr>
      <vt:lpstr>Cellule_937</vt:lpstr>
      <vt:lpstr>Cellule_938</vt:lpstr>
      <vt:lpstr>Cellule_939</vt:lpstr>
      <vt:lpstr>Cellule_949</vt:lpstr>
      <vt:lpstr>Cellule_950</vt:lpstr>
      <vt:lpstr>Cellule_951</vt:lpstr>
      <vt:lpstr>Cellule_966</vt:lpstr>
      <vt:lpstr>Cellule_967</vt:lpstr>
      <vt:lpstr>Cellule_968</vt:lpstr>
      <vt:lpstr>Cellule_969</vt:lpstr>
      <vt:lpstr>Cellule_970</vt:lpstr>
      <vt:lpstr>Cellule_971</vt:lpstr>
      <vt:lpstr>Cellule_972</vt:lpstr>
      <vt:lpstr>Cellule_973</vt:lpstr>
      <vt:lpstr>Cellule_974</vt:lpstr>
      <vt:lpstr>Cellule_975</vt:lpstr>
      <vt:lpstr>Cellule_976</vt:lpstr>
      <vt:lpstr>Cellule_977</vt:lpstr>
      <vt:lpstr>Cellule_978</vt:lpstr>
      <vt:lpstr>Cellule_979</vt:lpstr>
      <vt:lpstr>Cellule_980</vt:lpstr>
      <vt:lpstr>Cellule_981</vt:lpstr>
      <vt:lpstr>Cellule_982</vt:lpstr>
      <vt:lpstr>Cellule_983</vt:lpstr>
      <vt:lpstr>Cellule_984</vt:lpstr>
      <vt:lpstr>Cellule_985</vt:lpstr>
      <vt:lpstr>Cellule_986</vt:lpstr>
      <vt:lpstr>Cellule_987</vt:lpstr>
      <vt:lpstr>Cellule_988</vt:lpstr>
      <vt:lpstr>Cellule_989</vt:lpstr>
      <vt:lpstr>Cellule_990</vt:lpstr>
      <vt:lpstr>Cellule_991</vt:lpstr>
      <vt:lpstr>Cellule_992</vt:lpstr>
      <vt:lpstr>Cellule_993</vt:lpstr>
      <vt:lpstr>Cellule_994</vt:lpstr>
      <vt:lpstr>Cellule_995</vt:lpstr>
      <vt:lpstr>Cellule_996</vt:lpstr>
      <vt:lpstr>Cellule_997</vt:lpstr>
      <vt:lpstr>Cellule_998</vt:lpstr>
      <vt:lpstr>Cellule_999</vt:lpstr>
      <vt:lpstr>Cellule497</vt:lpstr>
      <vt:lpstr>ETASYNT_Balance_Liste</vt:lpstr>
      <vt:lpstr>'Balance N Retraitée'!Impression_des_titres</vt:lpstr>
      <vt:lpstr>' A2 '!Zone_d_impression</vt:lpstr>
      <vt:lpstr>'B13-res cour'!Zone_d_impression</vt:lpstr>
      <vt:lpstr>'B1-Tab non val'!Zone_d_impression</vt:lpstr>
      <vt:lpstr>'B6-CREANCES-01'!Zone_d_impression</vt:lpstr>
      <vt:lpstr>'B7-dettes'!Zone_d_impression</vt:lpstr>
      <vt:lpstr>'B8-SURETES-01'!Zone_d_impression</vt:lpstr>
      <vt:lpstr>'B9-Eng fin'!Zone_d_impression</vt:lpstr>
      <vt:lpstr>'Balance N'!Zone_d_impression</vt:lpstr>
      <vt:lpstr>'Balance N Retraitée'!Zone_d_impression</vt:lpstr>
      <vt:lpstr>'bilan condens'!Zone_d_impression</vt:lpstr>
      <vt:lpstr>'C3-3 exer'!Zone_d_impression</vt:lpstr>
      <vt:lpstr>'C4-ope  dev'!Zone_d_impression</vt:lpstr>
      <vt:lpstr>'C5- Datation'!Zone_d_impression</vt:lpstr>
      <vt:lpstr>'ETIC  A0 A1'!Zone_d_impression</vt:lpstr>
      <vt:lpstr>Identification!Zone_d_impression</vt:lpstr>
      <vt:lpstr>'T1 Bilan'!Zone_d_impression</vt:lpstr>
      <vt:lpstr>'T10 B3-+-Value'!Zone_d_impression</vt:lpstr>
      <vt:lpstr>'T11 B4-Titres part'!Zone_d_impression</vt:lpstr>
      <vt:lpstr>'T12 B14-TVA'!Zone_d_impression</vt:lpstr>
      <vt:lpstr>'T13 C1-rép cap'!Zone_d_impression</vt:lpstr>
      <vt:lpstr>'T14 C2-affec resu'!Zone_d_impression</vt:lpstr>
      <vt:lpstr>'T15 Encourag'!Zone_d_impression</vt:lpstr>
      <vt:lpstr>'T16 Amort'!Zone_d_impression</vt:lpstr>
      <vt:lpstr>'T18 Emprunts'!Zone_d_impression</vt:lpstr>
      <vt:lpstr>'T19 Locations'!Zone_d_impression</vt:lpstr>
      <vt:lpstr>'T2 CPC'!Zone_d_impression</vt:lpstr>
      <vt:lpstr>'T3 B12-res fis'!Zone_d_impression</vt:lpstr>
      <vt:lpstr>'T4 B2-immo'!Zone_d_impression</vt:lpstr>
      <vt:lpstr>'T5 ESG'!Zone_d_impression</vt:lpstr>
      <vt:lpstr>'T6 TB11'!Zone_d_impression</vt:lpstr>
      <vt:lpstr>'T7 CNCET B10-CB'!Zone_d_impression</vt:lpstr>
      <vt:lpstr>'T8 B2 BIS'!Zone_d_impression</vt:lpstr>
      <vt:lpstr>'T9 B5-PROV'!Zone_d_impression</vt:lpstr>
      <vt:lpstr>TF!Zone_d_impression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BOUHALLA</cp:lastModifiedBy>
  <cp:lastPrinted>2022-06-05T11:40:25Z</cp:lastPrinted>
  <dcterms:created xsi:type="dcterms:W3CDTF">1999-06-29T16:54:12Z</dcterms:created>
  <dcterms:modified xsi:type="dcterms:W3CDTF">2022-07-18T23:34:53Z</dcterms:modified>
</cp:coreProperties>
</file>